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style2.xml" ContentType="application/vnd.ms-office.chartstyle+xml"/>
  <Override PartName="/xl/charts/colors2.xml" ContentType="application/vnd.ms-office.chartcolorstyle+xml"/>
  <Override PartName="/xl/charts/chart6.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harts/chart7.xml" ContentType="application/vnd.openxmlformats-officedocument.drawingml.chart+xml"/>
  <Override PartName="/xl/charts/chart8.xml" ContentType="application/vnd.openxmlformats-officedocument.drawingml.chart+xml"/>
  <Override PartName="/xl/charts/style4.xml" ContentType="application/vnd.ms-office.chartstyle+xml"/>
  <Override PartName="/xl/charts/colors4.xml" ContentType="application/vnd.ms-office.chartcolorstyle+xml"/>
  <Override PartName="/xl/charts/chart9.xml" ContentType="application/vnd.openxmlformats-officedocument.drawingml.chart+xml"/>
  <Override PartName="/xl/charts/style5.xml" ContentType="application/vnd.ms-office.chartstyle+xml"/>
  <Override PartName="/xl/charts/colors5.xml" ContentType="application/vnd.ms-office.chartcolorstyle+xml"/>
  <Override PartName="/xl/drawings/drawing3.xml" ContentType="application/vnd.openxmlformats-officedocument.drawing+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defaultThemeVersion="124226"/>
  <mc:AlternateContent xmlns:mc="http://schemas.openxmlformats.org/markup-compatibility/2006">
    <mc:Choice Requires="x15">
      <x15ac:absPath xmlns:x15ac="http://schemas.microsoft.com/office/spreadsheetml/2010/11/ac" url="C:\Users\justi\py\pyKML\斷層\"/>
    </mc:Choice>
  </mc:AlternateContent>
  <xr:revisionPtr revIDLastSave="0" documentId="13_ncr:1_{5FBE3E38-379A-42E3-948D-411EFFB5E70F}" xr6:coauthVersionLast="47" xr6:coauthVersionMax="47" xr10:uidLastSave="{00000000-0000-0000-0000-000000000000}"/>
  <bookViews>
    <workbookView xWindow="-110" yWindow="-110" windowWidth="29020" windowHeight="19060" activeTab="7" xr2:uid="{00000000-000D-0000-FFFF-FFFF00000000}"/>
  </bookViews>
  <sheets>
    <sheet name="一般工址Cs" sheetId="31" r:id="rId1"/>
    <sheet name="設計反應譜" sheetId="9" r:id="rId2"/>
    <sheet name="台北盆地Cs" sheetId="41" r:id="rId3"/>
    <sheet name="一般工址Kz" sheetId="33" r:id="rId4"/>
    <sheet name="台北盆地設計反應譜" sheetId="14" r:id="rId5"/>
    <sheet name="斷層距離" sheetId="23" r:id="rId6"/>
    <sheet name="斷層 (100年版)" sheetId="28" r:id="rId7"/>
    <sheet name="工址放大係數" sheetId="8" r:id="rId8"/>
  </sheets>
  <definedNames>
    <definedName name="_xlnm._FilterDatabase" localSheetId="0" hidden="1">一般工址Cs!$A$2:$F$40</definedName>
    <definedName name="_xlnm._FilterDatabase" localSheetId="2" hidden="1">台北盆地Cs!$B$2:$D$6</definedName>
    <definedName name="_xlnm.Print_Area" localSheetId="0">一般工址Cs!$A$2:$F$37</definedName>
    <definedName name="_xlnm.Print_Area" localSheetId="3">一般工址Kz!$A$2:$F$37</definedName>
    <definedName name="_xlnm.Print_Area" localSheetId="2">台北盆地Cs!$B$2:$H$27</definedName>
    <definedName name="八里區">台北盆地設計反應譜!$E$788:$F$796</definedName>
    <definedName name="三重區">台北盆地設計反應譜!$E$361:$F$361</definedName>
    <definedName name="三義斷層">斷層距離!$C$34:$AI$58</definedName>
    <definedName name="土城區">台北盆地設計反應譜!$E$389:$F$426</definedName>
    <definedName name="士林區">台北盆地設計反應譜!$E$204:$F$245</definedName>
    <definedName name="大甲斷層全段、鐵砧山斷層、彰化斷層">斷層距離!$C$59:$AI$115</definedName>
    <definedName name="大同區">台北盆地設計反應譜!$E$33:$F$33</definedName>
    <definedName name="大安區">台北盆地設計反應譜!$E$109:$F$161</definedName>
    <definedName name="大尖山斷層、觸口斷層">斷層距離!$C$235:$AI$250</definedName>
    <definedName name="大茅埔一雙冬斷層">斷層距離!$C$192:$AI$221</definedName>
    <definedName name="中山區">台北盆地設計反應譜!$E$34:$F$75</definedName>
    <definedName name="中正區">台北盆地設計反應譜!$E$2:$F$32</definedName>
    <definedName name="中和區">台北盆地設計反應譜!$E$653:$F$743</definedName>
    <definedName name="五股區">台北盆地設計反應譜!$E$363:$F$374</definedName>
    <definedName name="內湖區">台北盆地設計反應譜!$E$279:$F$309</definedName>
    <definedName name="六甲斷層">斷層距離!$C$251:$AI$255</definedName>
    <definedName name="屯子腳斷層">斷層距離!$C$116:$AI$138</definedName>
    <definedName name="文山區">台北盆地設計反應譜!$E$327:$F$360</definedName>
    <definedName name="北投區">台北盆地設計反應譜!$E$246:$F$278</definedName>
    <definedName name="台北市區里">台北盆地設計反應譜!$D$2:$F$360</definedName>
    <definedName name="永和區">台北盆地設計反應譜!$E$388:$F$388</definedName>
    <definedName name="地盤種類" localSheetId="0">工址放大係數!$A$23:$A$25</definedName>
    <definedName name="地盤種類" localSheetId="3">工址放大係數!$A$23:$A$25</definedName>
    <definedName name="汐止區">台北盆地設計反應譜!$E$797:$F$819</definedName>
    <definedName name="米崙斷層、嶺頂斷層、瑞穗斷層、玉里斷層、池上斷層、鹿野斷層、利吉斷層">斷層距離!$C$281:$AI$303</definedName>
    <definedName name="行政區">台北盆地設計反應譜!$A$14:$A$14</definedName>
    <definedName name="車籠埔斷層全段">斷層距離!$C$139:$AI$191</definedName>
    <definedName name="宜蘭縣">設計反應譜!$C$40:$V$52</definedName>
    <definedName name="宜蘭縣三星鄉">設計反應譜!$J$49</definedName>
    <definedName name="宜蘭縣大同鄉">設計反應譜!$J$50</definedName>
    <definedName name="宜蘭縣五結鄉">設計反應譜!$J$46</definedName>
    <definedName name="宜蘭縣冬山鄉">設計反應譜!$J$47</definedName>
    <definedName name="宜蘭縣壯圍鄉">設計反應譜!$J$43</definedName>
    <definedName name="宜蘭縣宜蘭市">設計反應譜!$J$40</definedName>
    <definedName name="宜蘭縣南澳鄉">設計反應譜!$J$51</definedName>
    <definedName name="宜蘭縣員山鄉">設計反應譜!$J$44</definedName>
    <definedName name="宜蘭縣頭城鎮">設計反應譜!$J$41</definedName>
    <definedName name="宜蘭縣礁溪鎮">設計反應譜!$J$42</definedName>
    <definedName name="宜蘭縣羅東鎮">設計反應譜!$J$45</definedName>
    <definedName name="宜蘭縣蘇澳鎮">設計反應譜!$J$48</definedName>
    <definedName name="松山區">台北盆地設計反應譜!$E$76:$F$108</definedName>
    <definedName name="板橋區">台北盆地設計反應譜!$E$527:$F$652</definedName>
    <definedName name="花蓮縣">設計反應譜!$C$332:$V$344</definedName>
    <definedName name="花蓮縣玉里鎮">設計反應譜!$J$334</definedName>
    <definedName name="花蓮縣光復鄉">設計反應譜!$J$338</definedName>
    <definedName name="花蓮縣吉安鄉">設計反應譜!$J$336</definedName>
    <definedName name="花蓮縣秀林鄉">設計反應譜!$J$342</definedName>
    <definedName name="花蓮縣卓溪鄉">設計反應譜!$J$344</definedName>
    <definedName name="花蓮縣花蓮市">設計反應譜!$J$332</definedName>
    <definedName name="花蓮縣富里鄉">設計反應譜!$J$341</definedName>
    <definedName name="花蓮縣新城鄉">設計反應譜!$J$335</definedName>
    <definedName name="花蓮縣瑞穗鄉">設計反應譜!$J$340</definedName>
    <definedName name="花蓮縣萬榮鄉">設計反應譜!$J$343</definedName>
    <definedName name="花蓮縣壽豐鄉">設計反應譜!$J$337</definedName>
    <definedName name="花蓮縣鳳山鎮">設計反應譜!$J$333</definedName>
    <definedName name="花蓮縣豐濱鄉">設計反應譜!$J$339</definedName>
    <definedName name="金門縣">設計反應譜!$C$352:$V$357</definedName>
    <definedName name="金門縣金沙鎮">設計反應譜!$J$353</definedName>
    <definedName name="金門縣金城鎮">設計反應譜!$J$354</definedName>
    <definedName name="金門縣金湖鎮">設計反應譜!$J$352</definedName>
    <definedName name="金門縣金寧鄉">設計反應譜!$J$355</definedName>
    <definedName name="金門縣烈嶼鄉">設計反應譜!$J$356</definedName>
    <definedName name="金門縣烏坵鄉">設計反應譜!$J$357</definedName>
    <definedName name="信義區">台北盆地設計反應譜!$E$163:$F$203</definedName>
    <definedName name="南投縣">設計反應譜!$C$155:$V$167</definedName>
    <definedName name="南投縣中寮鄉">設計反應譜!$J$162:$L$162</definedName>
    <definedName name="南投縣仁愛鄉">設計反應譜!$J$167</definedName>
    <definedName name="南投縣水里鄉">設計反應譜!$J$165:$K$165</definedName>
    <definedName name="南投縣名間鄉">設計反應譜!$J$160:$L$160</definedName>
    <definedName name="南投縣竹山鎮">設計反應譜!$J$158:$M$158</definedName>
    <definedName name="南投縣信義鄉">設計反應譜!$J$166</definedName>
    <definedName name="南投縣南投市">設計反應譜!$J$155:$L$155</definedName>
    <definedName name="南投縣埔里鎮">設計反應譜!$J$156</definedName>
    <definedName name="南投縣草屯鎮">設計反應譜!$J$157:$L$157</definedName>
    <definedName name="南投縣國姓鄉">設計反應譜!$J$164:$K$164</definedName>
    <definedName name="南投縣魚池鄉">設計反應譜!$J$163</definedName>
    <definedName name="南投縣鹿谷鄉">設計反應譜!$J$161:$L$161</definedName>
    <definedName name="南投縣集集鎮">設計反應譜!$J$159:$K$159</definedName>
    <definedName name="南海諸島">設計反應譜!$C$362:$V$363</definedName>
    <definedName name="南港區">台北盆地設計反應譜!$E$310:$F$326</definedName>
    <definedName name="屏東縣">設計反應譜!$C$283:$V$315</definedName>
    <definedName name="屏東縣九如鄉">設計反應譜!$J$290</definedName>
    <definedName name="屏東縣三地門鄉">設計反應譜!$J$308</definedName>
    <definedName name="屏東縣內埔鄉">設計反應譜!$J$295</definedName>
    <definedName name="屏東縣竹田鄉">設計反應譜!$J$296</definedName>
    <definedName name="屏東縣牡丹鄉">設計反應譜!$J$315</definedName>
    <definedName name="屏東縣車城鄉">設計反應譜!$J$305</definedName>
    <definedName name="屏東縣里港鄉">設計反應譜!$J$291</definedName>
    <definedName name="屏東縣佳冬鄉">設計反應譜!$J$303</definedName>
    <definedName name="屏東縣來義鄉">設計反應譜!$J$312</definedName>
    <definedName name="屏東縣東港鎮">設計反應譜!$J$285</definedName>
    <definedName name="屏東縣枋山鄉">設計反應譜!$J$307</definedName>
    <definedName name="屏東縣枋寮鄉">設計反應譜!$J$298</definedName>
    <definedName name="屏東縣林邊鄉">設計反應譜!$J$301</definedName>
    <definedName name="屏東縣長治鄉">設計反應譜!$J$288</definedName>
    <definedName name="屏東縣南州鄉">設計反應譜!$J$302</definedName>
    <definedName name="屏東縣屏東市">設計反應譜!$J$283</definedName>
    <definedName name="屏東縣恆春鎮">設計反應譜!$J$286</definedName>
    <definedName name="屏東縣春日鄉">設計反應譜!$J$313</definedName>
    <definedName name="屏東縣崁頂鄉">設計反應譜!$J$300</definedName>
    <definedName name="屏東縣泰武鄉">設計反應譜!$J$311</definedName>
    <definedName name="屏東縣琉球鄉">設計反應譜!$J$304</definedName>
    <definedName name="屏東縣高樹鄉">設計反應譜!$J$293</definedName>
    <definedName name="屏東縣新埤鄉">設計反應譜!$J$297</definedName>
    <definedName name="屏東縣新園鄉">設計反應譜!$J$299</definedName>
    <definedName name="屏東縣獅子鄉">設計反應譜!$J$314</definedName>
    <definedName name="屏東縣萬丹鄉">設計反應譜!$J$287</definedName>
    <definedName name="屏東縣萬巒鄉">設計反應譜!$J$294</definedName>
    <definedName name="屏東縣滿洲鄉">設計反應譜!$J$306</definedName>
    <definedName name="屏東縣瑪家鄉">設計反應譜!$J$310</definedName>
    <definedName name="屏東縣潮州鎮">設計反應譜!$J$284</definedName>
    <definedName name="屏東縣霧台鄉">設計反應譜!$J$309</definedName>
    <definedName name="屏東縣麟洛鄉">設計反應譜!$J$289</definedName>
    <definedName name="屏東縣鹽埔鄉">設計反應譜!$J$292</definedName>
    <definedName name="建技71">一般工址Cs!$X$9:$Z$9</definedName>
    <definedName name="建技78">一般工址Cs!$X$11:$Z$11</definedName>
    <definedName name="建技86">一般工址Cs!$X$13:$AA$13</definedName>
    <definedName name="建技89">一般工址Cs!$X$15:$Y$15</definedName>
    <definedName name="苗栗縣">設計反應譜!$C$82:$V$99</definedName>
    <definedName name="苗栗縣三義鄉">設計反應譜!$J$94:$M$94</definedName>
    <definedName name="苗栗縣三灣鄉">設計反應譜!$J$97:$K$97</definedName>
    <definedName name="苗栗縣大湖鄉">設計反應譜!$J$89:$N$89</definedName>
    <definedName name="苗栗縣公館鄉">設計反應譜!$J$90:$K$90</definedName>
    <definedName name="苗栗縣竹南鎮">設計反應譜!$J$85</definedName>
    <definedName name="苗栗縣西湖鄉">設計反應譜!$J$95</definedName>
    <definedName name="苗栗縣卓蘭鎮">設計反應譜!$J$88:$M$8907</definedName>
    <definedName name="苗栗縣南庄鄉">設計反應譜!$J$92</definedName>
    <definedName name="苗栗縣後龍鎮">設計反應譜!$J$87</definedName>
    <definedName name="苗栗縣苑裡鎮">設計反應譜!$J$83:$M$83</definedName>
    <definedName name="苗栗縣苗栗市">設計反應譜!$J$82</definedName>
    <definedName name="苗栗縣泰安鄉">設計反應譜!$J$99:$L$99</definedName>
    <definedName name="苗栗縣通霄鎮">設計反應譜!$J$84:$L$84</definedName>
    <definedName name="苗栗縣造橋鄉">設計反應譜!$J$96</definedName>
    <definedName name="苗栗縣獅潭鄉">設計反應譜!$J$98</definedName>
    <definedName name="苗栗縣銅鑼鄉">設計反應譜!$J$91:$M$91</definedName>
    <definedName name="苗栗縣頭份鎮">設計反應譜!$J$86:$K$885</definedName>
    <definedName name="苗栗縣頭屋鄉">設計反應譜!$J$93</definedName>
    <definedName name="桃園市">設計反應譜!$C$69:$V$81</definedName>
    <definedName name="桃園市八德區">設計反應譜!$J$76</definedName>
    <definedName name="桃園市大園區">設計反應譜!$J$74</definedName>
    <definedName name="桃園市大溪區">設計反應譜!$J$71</definedName>
    <definedName name="桃園市中壢區">設計反應譜!$J$70</definedName>
    <definedName name="桃園市平鎮區">設計反應譜!$J$78</definedName>
    <definedName name="桃園市桃園區">設計反應譜!$J$69</definedName>
    <definedName name="桃園市復興區">設計反應譜!$J$81</definedName>
    <definedName name="桃園市新屋區">設計反應譜!$J$79</definedName>
    <definedName name="桃園市楊梅區">設計反應譜!$J$72</definedName>
    <definedName name="桃園市龍潭區">設計反應譜!$J$77</definedName>
    <definedName name="桃園市龜山區">設計反應譜!$J$75</definedName>
    <definedName name="桃園市蘆竹區">設計反應譜!$J$73</definedName>
    <definedName name="桃園市觀音區">設計反應譜!$J$80</definedName>
    <definedName name="泰山區">台北盆地設計反應譜!$E$375:$F$387</definedName>
    <definedName name="高雄市">設計反應譜!$C$245:$V$282</definedName>
    <definedName name="高雄市三民區">設計反應譜!$J$276</definedName>
    <definedName name="高雄市大社區">設計反應譜!$J$249</definedName>
    <definedName name="高雄市大寮區">設計反應譜!$J$247</definedName>
    <definedName name="高雄市大樹區">設計反應譜!$J$248</definedName>
    <definedName name="高雄市小港區">設計反應譜!$J$282</definedName>
    <definedName name="高雄市仁武區">設計反應譜!$J$250</definedName>
    <definedName name="高雄市內門區">設計反應譜!$J$268</definedName>
    <definedName name="高雄市六龜區">設計反應譜!$J$265</definedName>
    <definedName name="高雄市左營區">設計反應譜!$J$274</definedName>
    <definedName name="高雄市永安區">設計反應譜!$J$260</definedName>
    <definedName name="高雄市田寮區">設計反應譜!$J$255</definedName>
    <definedName name="高雄市甲仙區">設計反應譜!$J$266</definedName>
    <definedName name="高雄市杉林區">設計反應譜!$J$267</definedName>
    <definedName name="高雄市那瑪夏區">設計反應譜!$J$271</definedName>
    <definedName name="高雄市岡山區">設計反應譜!$J$252</definedName>
    <definedName name="高雄市林園區">設計反應譜!$J$246</definedName>
    <definedName name="高雄市阿蓮區">設計反應譜!$J$256</definedName>
    <definedName name="高雄市前金區">設計反應譜!$J$278</definedName>
    <definedName name="高雄市前鎮區">設計反應譜!$J$280</definedName>
    <definedName name="高雄市美濃區">設計反應譜!$J$264</definedName>
    <definedName name="高雄市苓雅區">設計反應譜!$J$279</definedName>
    <definedName name="高雄市茂林區">設計反應譜!$J$269</definedName>
    <definedName name="高雄市茄萣區">設計反應譜!$J$259</definedName>
    <definedName name="高雄市桃源區">設計反應譜!$J$270</definedName>
    <definedName name="高雄市梓官區">設計反應譜!$J$262</definedName>
    <definedName name="高雄市鳥松區">設計反應譜!$J$251</definedName>
    <definedName name="高雄市湖內區">設計反應譜!$J$258</definedName>
    <definedName name="高雄市新興區">設計反應譜!$J$277</definedName>
    <definedName name="高雄市楠梓區">設計反應譜!$J$275</definedName>
    <definedName name="高雄市路竹區">設計反應譜!$J$257</definedName>
    <definedName name="高雄市鼓山區">設計反應譜!$J$273</definedName>
    <definedName name="高雄市旗山區">設計反應譜!$J$263</definedName>
    <definedName name="高雄市旗津區">設計反應譜!$J$281</definedName>
    <definedName name="高雄市鳳山區">設計反應譜!$J$245</definedName>
    <definedName name="高雄市橋頭區">設計反應譜!$J$253</definedName>
    <definedName name="高雄市燕巢區">設計反應譜!$J$254</definedName>
    <definedName name="高雄市彌陀區">設計反應譜!$J$261</definedName>
    <definedName name="高雄市鹽埕區">設計反應譜!$J$272</definedName>
    <definedName name="基隆市">設計反應譜!$C$11:$V$15</definedName>
    <definedName name="基隆市七堵區">設計反應譜!$J$9</definedName>
    <definedName name="基隆市中山區">設計反應譜!$J$12</definedName>
    <definedName name="基隆市中正區">設計反應譜!$J$8</definedName>
    <definedName name="基隆市仁愛區">設計反應譜!$J$11</definedName>
    <definedName name="基隆市安樂區">設計反應譜!$J$13</definedName>
    <definedName name="基隆市信義區">設計反應譜!$J$14</definedName>
    <definedName name="基隆市暖暖區">設計反應譜!$J$10</definedName>
    <definedName name="梅山斷層">斷層距離!$C$222:$AI$234</definedName>
    <definedName name="淡水區">台北盆地設計反應譜!$E$773:$F$787</definedName>
    <definedName name="連江縣">設計反應譜!$C$358:$V$361</definedName>
    <definedName name="連江縣北竿鄉">設計反應譜!$J$359</definedName>
    <definedName name="連江縣東引鄉">設計反應譜!$J$361</definedName>
    <definedName name="連江縣南竿鄉">設計反應譜!$J$358</definedName>
    <definedName name="連江縣莒光鄉">設計反應譜!$J$360</definedName>
    <definedName name="雲林縣">設計反應譜!$C$168:$V$187</definedName>
    <definedName name="雲林縣二崙鄉">設計反應譜!$J$178</definedName>
    <definedName name="雲林縣口湖鄉">設計反應譜!$J$186</definedName>
    <definedName name="雲林縣土庫鎮">設計反應譜!$J$172</definedName>
    <definedName name="雲林縣大埤鄉">設計反應譜!$J$175</definedName>
    <definedName name="雲林縣元長鄉">設計反應譜!$J$184</definedName>
    <definedName name="雲林縣斗六市">設計反應譜!$J$168:$M$168</definedName>
    <definedName name="雲林縣斗南鎮">設計反應譜!$J$169</definedName>
    <definedName name="雲林縣水林鄉">設計反應譜!$J$187</definedName>
    <definedName name="雲林縣北港鎮">設計反應譜!$J$173</definedName>
    <definedName name="雲林縣古坑鄉">設計反應譜!$J$174:$L$174</definedName>
    <definedName name="雲林縣四湖鄉">設計反應譜!$J$185</definedName>
    <definedName name="雲林縣西螺鎮">設計反應譜!$J$171</definedName>
    <definedName name="雲林縣東勢鄉">設計反應譜!$J$181</definedName>
    <definedName name="雲林縣林內鄉">設計反應譜!$J$177:$L$177</definedName>
    <definedName name="雲林縣虎尾鎮">設計反應譜!$J$170</definedName>
    <definedName name="雲林縣崙背鄉">設計反應譜!$J$179</definedName>
    <definedName name="雲林縣麥寮鄉">設計反應譜!$J$180</definedName>
    <definedName name="雲林縣莿桐鄉">設計反應譜!$J$176</definedName>
    <definedName name="雲林縣臺西鄉">設計反應譜!$J$183</definedName>
    <definedName name="雲林縣褒忠鄉">設計反應譜!$J$182</definedName>
    <definedName name="新化斷層">斷層距離!$C$256:$AI$264</definedName>
    <definedName name="新北市">設計反應譜!$C$16:$V$39</definedName>
    <definedName name="新北市八里區">設計反應譜!$J$24</definedName>
    <definedName name="新北市三芝區">設計反應譜!$J$32</definedName>
    <definedName name="新北市三峽區">設計反應譜!$J$26</definedName>
    <definedName name="新北市土城區">設計反應譜!$J$19</definedName>
    <definedName name="新北市中和區">設計反應譜!$J$16</definedName>
    <definedName name="新北市五股區">設計反應譜!$J$20</definedName>
    <definedName name="新北市平溪區">設計反應譜!$J$34</definedName>
    <definedName name="新北市石門區">設計反應譜!$J$33</definedName>
    <definedName name="新北市石碇區">設計反應譜!$J$30</definedName>
    <definedName name="新北市汐止區">設計反應譜!$J$23</definedName>
    <definedName name="新北市坪林區">設計反應譜!$J$31</definedName>
    <definedName name="新北市林口區">設計反應譜!$J$28</definedName>
    <definedName name="新北市金山區">設計反應譜!$J$37</definedName>
    <definedName name="新北市泰山區">設計反應譜!$J$21</definedName>
    <definedName name="新北市烏來區">設計反應譜!$J$39</definedName>
    <definedName name="新北市貢寮區">設計反應譜!$J$36</definedName>
    <definedName name="新北市淡水區">設計反應譜!$J$22</definedName>
    <definedName name="新北市深坑區">設計反應譜!$J$29</definedName>
    <definedName name="新北市微分區">台北盆地設計反應譜!$B$14:$B$27</definedName>
    <definedName name="新北市新店區">設計反應譜!$J$17</definedName>
    <definedName name="新北市瑞芳區">設計反應譜!$J$27</definedName>
    <definedName name="新北市萬里區">設計反應譜!$J$38</definedName>
    <definedName name="新北市樹林區">設計反應譜!$J$18</definedName>
    <definedName name="新北市雙溪區">設計反應譜!$J$35</definedName>
    <definedName name="新北市鶯歌區">設計反應譜!$J$25</definedName>
    <definedName name="新竹市">設計反應譜!$C$66:$V$68</definedName>
    <definedName name="新竹市北區">設計反應譜!$J$67</definedName>
    <definedName name="新竹市東區">設計反應譜!$J$66</definedName>
    <definedName name="新竹市香山區">設計反應譜!$J$68</definedName>
    <definedName name="新竹縣">設計反應譜!$C$53:$V$65</definedName>
    <definedName name="新竹縣五峰鄉">設計反應譜!$J$65</definedName>
    <definedName name="新竹縣北埔鄉">設計反應譜!$J$61:$K$61</definedName>
    <definedName name="新竹縣尖石鄉">設計反應譜!$J$64</definedName>
    <definedName name="新竹縣竹北市">設計反應譜!$J$53</definedName>
    <definedName name="新竹縣竹東鎮">設計反應譜!$J$54</definedName>
    <definedName name="新竹縣芎林鄉">設計反應譜!$J$59</definedName>
    <definedName name="新竹縣峨嵋鄉">設計反應譜!$J$63:$K$63</definedName>
    <definedName name="新竹縣湖口鄉">設計反應譜!$J$57</definedName>
    <definedName name="新竹縣新埔鎮">設計反應譜!$J$55</definedName>
    <definedName name="新竹縣新豐鄉">設計反應譜!$J$58</definedName>
    <definedName name="新竹縣橫山鄉">設計反應譜!$J$60</definedName>
    <definedName name="新竹縣關西鎮">設計反應譜!$J$56</definedName>
    <definedName name="新竹縣寶山鄉">設計反應譜!$J$62:$K$62</definedName>
    <definedName name="新店區">台北盆地設計反應譜!$E$744:$F$772</definedName>
    <definedName name="新城斷層">斷層距離!$C$3:$AI$18</definedName>
    <definedName name="新莊區">台北盆地設計反應譜!$E$427:$F$497</definedName>
    <definedName name="獅潭斷層">斷層距離!$C$19:$AI$33</definedName>
    <definedName name="萬華區">台北盆地設計反應譜!$E$162:$F$162</definedName>
    <definedName name="嘉義市">設計反應譜!$C$188:$V$189</definedName>
    <definedName name="嘉義市西區">設計反應譜!$J$189</definedName>
    <definedName name="嘉義市東區">設計反應譜!$J$188</definedName>
    <definedName name="嘉義縣">設計反應譜!$C$190:$V$207</definedName>
    <definedName name="嘉義縣大林鎮">設計反應譜!$J$193:$L$193</definedName>
    <definedName name="嘉義縣大埔鄉">設計反應譜!$J$206</definedName>
    <definedName name="嘉義縣中埔鄉">設計反應譜!$J$202</definedName>
    <definedName name="嘉義縣六腳鄉">設計反應譜!$J$197</definedName>
    <definedName name="嘉義縣太保市">設計反應譜!$J$190</definedName>
    <definedName name="嘉義縣水上鄉">設計反應譜!$J$201</definedName>
    <definedName name="嘉義縣布袋鎮">設計反應譜!$J$192</definedName>
    <definedName name="嘉義縣民雄鄉">設計反應譜!$J$194:$K$194</definedName>
    <definedName name="嘉義縣朴子市">設計反應譜!$J$191</definedName>
    <definedName name="嘉義縣竹崎鄉">設計反應譜!$J$203:$L$203</definedName>
    <definedName name="嘉義縣東石鄉">設計反應譜!$J$198</definedName>
    <definedName name="嘉義縣阿里山鄉">設計反應譜!$J$207</definedName>
    <definedName name="嘉義縣梅山鄉">設計反應譜!$J$204:$L$204</definedName>
    <definedName name="嘉義縣鹿草鄉">設計反應譜!$J$200</definedName>
    <definedName name="嘉義縣番路鄉">設計反應譜!$J$205</definedName>
    <definedName name="嘉義縣新港鄉">設計反應譜!$J$196</definedName>
    <definedName name="嘉義縣溪口鄉">設計反應譜!$J$195</definedName>
    <definedName name="嘉義縣義竹鄉">設計反應譜!$J$199</definedName>
    <definedName name="彰化縣">設計反應譜!$C$129:$V$154</definedName>
    <definedName name="彰化縣二水鄉">設計反應譜!$J$146:$K$146</definedName>
    <definedName name="彰化縣二林鎮">設計反應譜!$J$148</definedName>
    <definedName name="彰化縣大村鄉">設計反應譜!$J$141:$K$141</definedName>
    <definedName name="彰化縣大城鄉">設計反應譜!$J$152</definedName>
    <definedName name="彰化縣北斗鎮">設計反應譜!$J$147</definedName>
    <definedName name="彰化縣永靖鄉">設計反應譜!$J$144</definedName>
    <definedName name="彰化縣田中鎮">設計反應譜!$J$140:$K$140</definedName>
    <definedName name="彰化縣田尾鄉">設計反應譜!$J$149</definedName>
    <definedName name="彰化縣竹塘鄉">設計反應譜!$J$153</definedName>
    <definedName name="彰化縣伸港鄉">設計反應譜!$J$133</definedName>
    <definedName name="彰化縣秀水鄉">設計反應譜!$J$135</definedName>
    <definedName name="彰化縣和美鎮">設計反應譜!$J$131</definedName>
    <definedName name="彰化縣社頭鄉">設計反應譜!$J$145:$K$145</definedName>
    <definedName name="彰化縣芬園鄉">設計反應譜!$J$137:$K$137</definedName>
    <definedName name="彰化縣花壇鄉">設計反應譜!$J$136:$K$136</definedName>
    <definedName name="彰化縣芳苑鄉">設計反應譜!$J$151</definedName>
    <definedName name="彰化縣員林市">設計反應譜!$J$138:$K$138</definedName>
    <definedName name="彰化縣埔心鄉">設計反應譜!$J$143</definedName>
    <definedName name="彰化縣埔鹽鄉">設計反應譜!$J$142</definedName>
    <definedName name="彰化縣埤頭鄉">設計反應譜!$J$150</definedName>
    <definedName name="彰化縣鹿港鎮">設計反應譜!$J$130</definedName>
    <definedName name="彰化縣溪州鄉">設計反應譜!$J$154</definedName>
    <definedName name="彰化縣溪湖鎮">設計反應譜!$J$139</definedName>
    <definedName name="彰化縣彰化市">設計反應譜!$J$129:$K$129</definedName>
    <definedName name="彰化縣福興鄉">設計反應譜!$J$134</definedName>
    <definedName name="彰化縣線西鄉">設計反應譜!$J$132</definedName>
    <definedName name="旗山斷層">斷層距離!$C$265:$AI$280</definedName>
    <definedName name="構造">工址放大係數!$C$23:$C$25</definedName>
    <definedName name="臺中市">設計反應譜!$C$100:$V$128</definedName>
    <definedName name="臺中市大甲區">設計反應譜!$J$102:$L$102</definedName>
    <definedName name="臺中市大安區">設計反應譜!$J$113:$K$113</definedName>
    <definedName name="臺中市大肚區">設計反應譜!$J$115</definedName>
    <definedName name="臺中市大里區">設計反應譜!$J$119:$L$119</definedName>
    <definedName name="臺中市大雅區">設計反應譜!$J$109:$M$109</definedName>
    <definedName name="臺中市中區">設計反應譜!$J$121:$M$121</definedName>
    <definedName name="臺中市太平區">設計反應譜!$J$118:$L$118</definedName>
    <definedName name="臺中市北屯區">設計反應譜!$J$128:$N$128</definedName>
    <definedName name="臺中市北區">設計反應譜!$J$125:$M$125</definedName>
    <definedName name="臺中市外埔區">設計反應譜!$J$112:$M$112</definedName>
    <definedName name="臺中市石岡區">設計反應譜!$J$111:$M$111</definedName>
    <definedName name="臺中市后里區">設計反應譜!$J$106:$M$106</definedName>
    <definedName name="臺中市西屯區">設計反應譜!$J$126:$M$126</definedName>
    <definedName name="臺中市西區">設計反應譜!$J$124:$M$124</definedName>
    <definedName name="臺中市沙鹿區">設計反應譜!$J$104:$L$104</definedName>
    <definedName name="臺中市和平區">設計反應譜!$J$120:$K$120</definedName>
    <definedName name="臺中市東區">設計反應譜!$J$122:$L$122</definedName>
    <definedName name="臺中市東勢區">設計反應譜!$J$101:$M$101</definedName>
    <definedName name="臺中市南屯區">設計反應譜!$J$127:$K$127</definedName>
    <definedName name="臺中市南區">設計反應譜!$J$123:$L$123</definedName>
    <definedName name="臺中市烏日區">設計反應譜!$J$114:$K$114</definedName>
    <definedName name="臺中市神岡區">設計反應譜!$J$107:$M$107</definedName>
    <definedName name="臺中市梧棲區">設計反應譜!$J$105:$K$105</definedName>
    <definedName name="臺中市清水區">設計反應譜!$J$103:$L$103</definedName>
    <definedName name="臺中市新社區">設計反應譜!$J$110:$M$110</definedName>
    <definedName name="臺中市潭子區">設計反應譜!$J$108:$N$108</definedName>
    <definedName name="臺中市龍井區">設計反應譜!$J$116:$K$116</definedName>
    <definedName name="臺中市豐原區">設計反應譜!$J$100:$N$100</definedName>
    <definedName name="臺中市霧峰區">設計反應譜!$J$117:$L$117</definedName>
    <definedName name="臺北市">台北盆地設計反應譜!$B$2:$B$13</definedName>
    <definedName name="臺北市士林區">設計反應譜!$J$6</definedName>
    <definedName name="臺北市內湖區">設計反應譜!$J$5</definedName>
    <definedName name="臺北市文山區">設計反應譜!$J$3</definedName>
    <definedName name="臺北市北投區">設計反應譜!$J$7</definedName>
    <definedName name="臺北市南港區">設計反應譜!$J$4</definedName>
    <definedName name="臺北盆地">台北盆地設計反應譜!$A$2:$A$3</definedName>
    <definedName name="臺東縣">設計反應譜!$C$316:$V$331</definedName>
    <definedName name="臺東縣大武鄉">設計反應譜!$J$325</definedName>
    <definedName name="臺東縣太麻里鄉">設計反應譜!$J$324</definedName>
    <definedName name="臺東縣成功鎮">設計反應譜!$J$317</definedName>
    <definedName name="臺東縣池上鄉">設計反應譜!$J$321</definedName>
    <definedName name="臺東縣卑南鄉">設計反應譜!$J$319</definedName>
    <definedName name="臺東縣延平鄉">設計反應譜!$J$328</definedName>
    <definedName name="臺東縣東河鄉">設計反應譜!$J$322</definedName>
    <definedName name="臺東縣金峰鄉">設計反應譜!$J$329</definedName>
    <definedName name="臺東縣長濱鄉">設計反應譜!$J$323</definedName>
    <definedName name="臺東縣海端鄉">設計反應譜!$J$327</definedName>
    <definedName name="臺東縣鹿野鄉">設計反應譜!$J$320</definedName>
    <definedName name="臺東縣達仁鄉">設計反應譜!$J$330</definedName>
    <definedName name="臺東縣綠島鄉">設計反應譜!$J$326</definedName>
    <definedName name="臺東縣臺東市">設計反應譜!$J$316</definedName>
    <definedName name="臺東縣關山鎮">設計反應譜!$J$318</definedName>
    <definedName name="臺東縣蘭嶼鄉">設計反應譜!$J$331</definedName>
    <definedName name="臺南市">設計反應譜!$C$208:$V$244</definedName>
    <definedName name="臺南市七股區">設計反應譜!$J$222</definedName>
    <definedName name="臺南市下營區">設計反應譜!$J$215</definedName>
    <definedName name="臺南市大內區">設計反應譜!$J$218</definedName>
    <definedName name="臺南市山上區">設計反應譜!$J$229</definedName>
    <definedName name="臺南市中西區">設計反應譜!$J$241</definedName>
    <definedName name="臺南市仁德區">設計反應譜!$J$234</definedName>
    <definedName name="臺南市六甲區">設計反應譜!$J$216</definedName>
    <definedName name="臺南市北門區">設計反應譜!$J$224</definedName>
    <definedName name="臺南市北區">設計反應譜!$J$242</definedName>
    <definedName name="臺南市左鎮區">設計反應譜!$J$232</definedName>
    <definedName name="臺南市永康區">設計反應譜!$J$238</definedName>
    <definedName name="臺南市玉井區">設計反應譜!$J$230</definedName>
    <definedName name="臺南市白河區">設計反應譜!$J$210:$K$210</definedName>
    <definedName name="臺南市安平區">設計反應譜!$J$244</definedName>
    <definedName name="臺南市安定區">設計反應譜!$J$228</definedName>
    <definedName name="臺南市安南區">設計反應譜!$J$243</definedName>
    <definedName name="臺南市西港區">設計反應譜!$J$221</definedName>
    <definedName name="臺南市佳里區">設計反應譜!$J$219</definedName>
    <definedName name="臺南市官田區">設計反應譜!$J$217</definedName>
    <definedName name="臺南市東山區">設計反應譜!$J$213:$K$213</definedName>
    <definedName name="臺南市東區">設計反應譜!$J$239</definedName>
    <definedName name="臺南市南化區">設計反應譜!$J$232</definedName>
    <definedName name="臺南市南區">設計反應譜!$J$240</definedName>
    <definedName name="臺南市後壁區">設計反應譜!$J$212</definedName>
    <definedName name="臺南市柳營區">設計反應譜!$J$211</definedName>
    <definedName name="臺南市將軍區">設計反應譜!$J$223</definedName>
    <definedName name="臺南市麻豆區">設計反應譜!$J$214</definedName>
    <definedName name="臺南市善化區">設計反應譜!$J$226</definedName>
    <definedName name="臺南市新化區">設計反應譜!$J$225</definedName>
    <definedName name="臺南市新市區">設計反應譜!$J$227</definedName>
    <definedName name="臺南市新營區">設計反應譜!$J$208</definedName>
    <definedName name="臺南市楠西區">設計反應譜!$J$231</definedName>
    <definedName name="臺南市學甲區">設計反應譜!$J$220</definedName>
    <definedName name="臺南市龍崎區">設計反應譜!$J$237</definedName>
    <definedName name="臺南市歸仁區">設計反應譜!$J$235</definedName>
    <definedName name="臺南市關廟區">設計反應譜!$J$236</definedName>
    <definedName name="臺南市鹽水區">設計反應譜!$J$209</definedName>
    <definedName name="澎湖縣">設計反應譜!$C$345:$V$351</definedName>
    <definedName name="澎湖縣七美鄉">設計反應譜!$J$350</definedName>
    <definedName name="澎湖縣白沙鄉">設計反應譜!$J$347</definedName>
    <definedName name="澎湖縣西嶼鄉">設計反應譜!$J$348</definedName>
    <definedName name="澎湖縣馬公市">設計反應譜!$J$345</definedName>
    <definedName name="澎湖縣望安鄉">設計反應譜!$J$349</definedName>
    <definedName name="澎湖縣湖西鄉">設計反應譜!$J$346</definedName>
    <definedName name="樹林區">台北盆地設計反應譜!$E$498:$F$526</definedName>
    <definedName name="縣市">設計反應譜!$Y$3:$Y$23</definedName>
    <definedName name="斷層0">'斷層 (100年版)'!$E$1</definedName>
    <definedName name="斷層1">'斷層 (100年版)'!$E$2</definedName>
    <definedName name="斷層10">'斷層 (100年版)'!$E$11:$F$11</definedName>
    <definedName name="斷層11">'斷層 (100年版)'!$E$12:$F$12</definedName>
    <definedName name="斷層111" localSheetId="0">工址放大係數!$A$28:$A$41</definedName>
    <definedName name="斷層12">'斷層 (100年版)'!$E$13</definedName>
    <definedName name="斷層13">'斷層 (100年版)'!$E$14</definedName>
    <definedName name="斷層2">'斷層 (100年版)'!$E$3:$F$3</definedName>
    <definedName name="斷層3">'斷層 (100年版)'!$E$4</definedName>
    <definedName name="斷層4">'斷層 (100年版)'!$E$5:$G$5</definedName>
    <definedName name="斷層5">'斷層 (100年版)'!$E$6:$F$6</definedName>
    <definedName name="斷層6">'斷層 (100年版)'!$E$7</definedName>
    <definedName name="斷層7">'斷層 (100年版)'!$E$8:$F$8</definedName>
    <definedName name="斷層8">'斷層 (100年版)'!$E$9</definedName>
    <definedName name="斷層9">'斷層 (100年版)'!$E$10</definedName>
    <definedName name="蘆洲區">台北盆地設計反應譜!$E$362:$F$362</definedName>
  </definedNames>
  <calcPr calcId="191029"/>
</workbook>
</file>

<file path=xl/calcChain.xml><?xml version="1.0" encoding="utf-8"?>
<calcChain xmlns="http://schemas.openxmlformats.org/spreadsheetml/2006/main">
  <c r="A362" i="9" l="1"/>
  <c r="A363" i="9"/>
  <c r="A361" i="9"/>
  <c r="A360" i="9"/>
  <c r="A359" i="9"/>
  <c r="A358" i="9"/>
  <c r="A357" i="9"/>
  <c r="A356" i="9"/>
  <c r="A355" i="9"/>
  <c r="A354" i="9"/>
  <c r="A353" i="9"/>
  <c r="A352" i="9"/>
  <c r="A351" i="9"/>
  <c r="A350" i="9"/>
  <c r="A349" i="9"/>
  <c r="A348" i="9"/>
  <c r="A347" i="9"/>
  <c r="A346" i="9"/>
  <c r="A345" i="9"/>
  <c r="A344" i="9"/>
  <c r="A343" i="9"/>
  <c r="A342" i="9"/>
  <c r="A341" i="9"/>
  <c r="A340" i="9"/>
  <c r="A339" i="9"/>
  <c r="A338" i="9"/>
  <c r="A337" i="9"/>
  <c r="A336" i="9"/>
  <c r="A335" i="9"/>
  <c r="A334" i="9"/>
  <c r="A333" i="9"/>
  <c r="A332" i="9"/>
  <c r="A331" i="9"/>
  <c r="A330" i="9"/>
  <c r="A329" i="9"/>
  <c r="A328" i="9"/>
  <c r="A327" i="9"/>
  <c r="A326" i="9"/>
  <c r="A325" i="9"/>
  <c r="A324" i="9"/>
  <c r="A323" i="9"/>
  <c r="A322" i="9"/>
  <c r="A321" i="9"/>
  <c r="A320" i="9"/>
  <c r="A319" i="9"/>
  <c r="A318" i="9"/>
  <c r="A317" i="9"/>
  <c r="A316" i="9"/>
  <c r="A315" i="9"/>
  <c r="A314" i="9"/>
  <c r="A313" i="9"/>
  <c r="A312" i="9"/>
  <c r="A311" i="9"/>
  <c r="A310" i="9"/>
  <c r="A309" i="9"/>
  <c r="A308" i="9"/>
  <c r="A307" i="9"/>
  <c r="A306" i="9"/>
  <c r="A305" i="9"/>
  <c r="A304" i="9"/>
  <c r="A303" i="9"/>
  <c r="A302" i="9"/>
  <c r="A301" i="9"/>
  <c r="A300" i="9"/>
  <c r="A299" i="9"/>
  <c r="A298" i="9"/>
  <c r="A297" i="9"/>
  <c r="A296" i="9"/>
  <c r="A295" i="9"/>
  <c r="A294" i="9"/>
  <c r="A293" i="9"/>
  <c r="A292" i="9"/>
  <c r="A291" i="9"/>
  <c r="A290" i="9"/>
  <c r="A289" i="9"/>
  <c r="A288" i="9"/>
  <c r="A287" i="9"/>
  <c r="A286" i="9"/>
  <c r="A285" i="9"/>
  <c r="A284" i="9"/>
  <c r="A283" i="9"/>
  <c r="A282" i="9"/>
  <c r="A281" i="9"/>
  <c r="A280" i="9"/>
  <c r="A279" i="9"/>
  <c r="A278" i="9"/>
  <c r="A277" i="9"/>
  <c r="A276" i="9"/>
  <c r="A275" i="9"/>
  <c r="A274" i="9"/>
  <c r="A273" i="9"/>
  <c r="A272" i="9"/>
  <c r="A271" i="9"/>
  <c r="A270" i="9"/>
  <c r="A269" i="9"/>
  <c r="A268" i="9"/>
  <c r="A267" i="9"/>
  <c r="A266" i="9"/>
  <c r="A265" i="9"/>
  <c r="A264" i="9"/>
  <c r="A263" i="9"/>
  <c r="A262" i="9"/>
  <c r="A261" i="9"/>
  <c r="A260" i="9"/>
  <c r="A259" i="9"/>
  <c r="A258" i="9"/>
  <c r="A257" i="9"/>
  <c r="A256" i="9"/>
  <c r="A255" i="9"/>
  <c r="A254" i="9"/>
  <c r="A253" i="9"/>
  <c r="A252" i="9"/>
  <c r="A251" i="9"/>
  <c r="A250" i="9"/>
  <c r="A249" i="9"/>
  <c r="A248" i="9"/>
  <c r="A247" i="9"/>
  <c r="A246" i="9"/>
  <c r="A245" i="9"/>
  <c r="A244" i="9"/>
  <c r="A243" i="9"/>
  <c r="A242" i="9"/>
  <c r="A241" i="9"/>
  <c r="A240" i="9"/>
  <c r="A239" i="9"/>
  <c r="A238" i="9"/>
  <c r="A237" i="9"/>
  <c r="A236" i="9"/>
  <c r="A235" i="9"/>
  <c r="A234" i="9"/>
  <c r="A233" i="9"/>
  <c r="A232" i="9"/>
  <c r="A231" i="9"/>
  <c r="A230" i="9"/>
  <c r="A229" i="9"/>
  <c r="A228" i="9"/>
  <c r="A227" i="9"/>
  <c r="A226" i="9"/>
  <c r="A225" i="9"/>
  <c r="A224" i="9"/>
  <c r="A223" i="9"/>
  <c r="A222" i="9"/>
  <c r="A221" i="9"/>
  <c r="A220" i="9"/>
  <c r="A219" i="9"/>
  <c r="A218" i="9"/>
  <c r="A217" i="9"/>
  <c r="A216" i="9"/>
  <c r="A215" i="9"/>
  <c r="A214" i="9"/>
  <c r="A213" i="9"/>
  <c r="A212" i="9"/>
  <c r="A211" i="9"/>
  <c r="A210" i="9"/>
  <c r="A209" i="9"/>
  <c r="A208" i="9"/>
  <c r="A207" i="9"/>
  <c r="A206" i="9"/>
  <c r="A205" i="9"/>
  <c r="A204" i="9"/>
  <c r="A203" i="9"/>
  <c r="A202" i="9"/>
  <c r="A201" i="9"/>
  <c r="A200" i="9"/>
  <c r="A199" i="9"/>
  <c r="A198" i="9"/>
  <c r="A197" i="9"/>
  <c r="A196" i="9"/>
  <c r="A195" i="9"/>
  <c r="A194" i="9"/>
  <c r="A193" i="9"/>
  <c r="A192" i="9"/>
  <c r="A191" i="9"/>
  <c r="A190" i="9"/>
  <c r="A189" i="9"/>
  <c r="A188" i="9"/>
  <c r="A187" i="9"/>
  <c r="A186" i="9"/>
  <c r="A185" i="9"/>
  <c r="A184" i="9"/>
  <c r="A183" i="9"/>
  <c r="A182" i="9"/>
  <c r="A181" i="9"/>
  <c r="A180" i="9"/>
  <c r="A179" i="9"/>
  <c r="A178" i="9"/>
  <c r="A177" i="9"/>
  <c r="A176" i="9"/>
  <c r="A175" i="9"/>
  <c r="A174" i="9"/>
  <c r="A173" i="9"/>
  <c r="A172" i="9"/>
  <c r="A171" i="9"/>
  <c r="A170" i="9"/>
  <c r="A169" i="9"/>
  <c r="A168" i="9"/>
  <c r="A167" i="9"/>
  <c r="A166" i="9"/>
  <c r="A165" i="9"/>
  <c r="A164" i="9"/>
  <c r="A163" i="9"/>
  <c r="A162" i="9"/>
  <c r="A161" i="9"/>
  <c r="A160" i="9"/>
  <c r="A159" i="9"/>
  <c r="A158" i="9"/>
  <c r="A157" i="9"/>
  <c r="A156" i="9"/>
  <c r="A155" i="9"/>
  <c r="A154" i="9"/>
  <c r="A153" i="9"/>
  <c r="A152" i="9"/>
  <c r="A151" i="9"/>
  <c r="A150" i="9"/>
  <c r="A149" i="9"/>
  <c r="A148" i="9"/>
  <c r="A147" i="9"/>
  <c r="A146" i="9"/>
  <c r="A145" i="9"/>
  <c r="A144" i="9"/>
  <c r="A143" i="9"/>
  <c r="A142" i="9"/>
  <c r="A141" i="9"/>
  <c r="A140" i="9"/>
  <c r="A139" i="9"/>
  <c r="A138" i="9"/>
  <c r="A137" i="9"/>
  <c r="A136" i="9"/>
  <c r="A135" i="9"/>
  <c r="A134" i="9"/>
  <c r="A133" i="9"/>
  <c r="A132" i="9"/>
  <c r="A131" i="9"/>
  <c r="A130" i="9"/>
  <c r="A129" i="9"/>
  <c r="A128" i="9"/>
  <c r="A127" i="9"/>
  <c r="A126" i="9"/>
  <c r="A125" i="9"/>
  <c r="A124" i="9"/>
  <c r="A123" i="9"/>
  <c r="A122" i="9"/>
  <c r="A121" i="9"/>
  <c r="A120" i="9"/>
  <c r="A119" i="9"/>
  <c r="A118" i="9"/>
  <c r="A117" i="9"/>
  <c r="A116" i="9"/>
  <c r="A115" i="9"/>
  <c r="A114" i="9"/>
  <c r="A113" i="9"/>
  <c r="A112" i="9"/>
  <c r="A111" i="9"/>
  <c r="A110" i="9"/>
  <c r="A109" i="9"/>
  <c r="A108" i="9"/>
  <c r="A107" i="9"/>
  <c r="A106" i="9"/>
  <c r="A105" i="9"/>
  <c r="A104" i="9"/>
  <c r="A103" i="9"/>
  <c r="A102" i="9"/>
  <c r="A101" i="9"/>
  <c r="A100" i="9"/>
  <c r="A99" i="9"/>
  <c r="A98" i="9"/>
  <c r="A97" i="9"/>
  <c r="A96" i="9"/>
  <c r="A95" i="9"/>
  <c r="A94" i="9"/>
  <c r="A93" i="9"/>
  <c r="A92" i="9"/>
  <c r="A91" i="9"/>
  <c r="A90" i="9"/>
  <c r="A89" i="9"/>
  <c r="A88" i="9"/>
  <c r="A87" i="9"/>
  <c r="A86" i="9"/>
  <c r="A85" i="9"/>
  <c r="A84" i="9"/>
  <c r="A83" i="9"/>
  <c r="A82" i="9"/>
  <c r="A81" i="9"/>
  <c r="A80" i="9"/>
  <c r="A79" i="9"/>
  <c r="A78" i="9"/>
  <c r="A77" i="9"/>
  <c r="A76" i="9"/>
  <c r="A75" i="9"/>
  <c r="A74" i="9"/>
  <c r="A73" i="9"/>
  <c r="A72" i="9"/>
  <c r="A71" i="9"/>
  <c r="A70" i="9"/>
  <c r="A69" i="9"/>
  <c r="A68" i="9"/>
  <c r="A67" i="9"/>
  <c r="A66" i="9"/>
  <c r="A65" i="9"/>
  <c r="A64" i="9"/>
  <c r="A63" i="9"/>
  <c r="A62" i="9"/>
  <c r="A61" i="9"/>
  <c r="A60" i="9"/>
  <c r="A59" i="9"/>
  <c r="A58" i="9"/>
  <c r="A57" i="9"/>
  <c r="A56" i="9"/>
  <c r="A55" i="9"/>
  <c r="A54" i="9"/>
  <c r="A53" i="9"/>
  <c r="A52" i="9"/>
  <c r="A51" i="9"/>
  <c r="A50" i="9"/>
  <c r="A49" i="9"/>
  <c r="A48" i="9"/>
  <c r="A47" i="9"/>
  <c r="A46" i="9"/>
  <c r="A45" i="9"/>
  <c r="A44" i="9"/>
  <c r="A43" i="9"/>
  <c r="A42" i="9"/>
  <c r="A41" i="9"/>
  <c r="A40" i="9"/>
  <c r="A39" i="9"/>
  <c r="A38" i="9"/>
  <c r="A37" i="9"/>
  <c r="A36" i="9"/>
  <c r="A35" i="9"/>
  <c r="A34" i="9"/>
  <c r="A33" i="9"/>
  <c r="A32" i="9"/>
  <c r="A31" i="9"/>
  <c r="A30" i="9"/>
  <c r="A29" i="9"/>
  <c r="A28" i="9"/>
  <c r="A27" i="9"/>
  <c r="A26" i="9"/>
  <c r="A25" i="9"/>
  <c r="A24" i="9"/>
  <c r="A23" i="9"/>
  <c r="A22" i="9"/>
  <c r="A21" i="9"/>
  <c r="A20" i="9"/>
  <c r="A19" i="9"/>
  <c r="A18" i="9"/>
  <c r="A17" i="9"/>
  <c r="A16" i="9"/>
  <c r="A15" i="9"/>
  <c r="A14" i="9"/>
  <c r="A13" i="9"/>
  <c r="A12" i="9"/>
  <c r="A11" i="9"/>
  <c r="A10" i="9"/>
  <c r="A9" i="9"/>
  <c r="A8" i="9"/>
  <c r="A7" i="9"/>
  <c r="A6" i="9"/>
  <c r="A5" i="9"/>
  <c r="A4" i="9"/>
  <c r="A3" i="9"/>
  <c r="I49" i="31" l="1"/>
  <c r="Q3" i="31"/>
  <c r="AX42" i="31" l="1"/>
  <c r="AW42" i="31"/>
  <c r="Q4" i="41"/>
  <c r="Q3" i="41"/>
  <c r="AW34" i="41"/>
  <c r="AX42" i="41" s="1"/>
  <c r="AX53" i="41"/>
  <c r="AX54" i="41"/>
  <c r="AX55" i="41"/>
  <c r="AX56" i="41"/>
  <c r="AX57" i="41"/>
  <c r="AX69" i="41"/>
  <c r="AX70" i="41"/>
  <c r="AX71" i="41"/>
  <c r="AX72" i="41"/>
  <c r="AX73" i="41"/>
  <c r="AX85" i="41"/>
  <c r="AX86" i="41"/>
  <c r="AX87" i="41"/>
  <c r="AX88" i="41"/>
  <c r="AX89" i="41"/>
  <c r="AX101" i="41"/>
  <c r="AX102" i="41"/>
  <c r="AX103" i="41"/>
  <c r="AX104" i="41"/>
  <c r="AX105" i="41"/>
  <c r="AX117" i="41"/>
  <c r="AX118" i="41"/>
  <c r="AX119" i="41"/>
  <c r="AX120" i="41"/>
  <c r="AX121" i="41"/>
  <c r="AX133" i="41"/>
  <c r="AX134" i="41"/>
  <c r="AX135" i="41"/>
  <c r="AX136" i="41"/>
  <c r="AX137" i="41"/>
  <c r="AX149" i="41"/>
  <c r="AX150" i="41"/>
  <c r="AX151" i="41"/>
  <c r="AX152" i="41"/>
  <c r="AX153" i="41"/>
  <c r="AX165" i="41"/>
  <c r="AX166" i="41"/>
  <c r="AX167" i="41"/>
  <c r="AX168" i="41"/>
  <c r="AX169" i="41"/>
  <c r="AX170" i="41"/>
  <c r="AX181" i="41"/>
  <c r="AX182" i="41"/>
  <c r="AX183" i="41"/>
  <c r="AX184" i="41"/>
  <c r="AX185" i="41"/>
  <c r="AX186" i="41"/>
  <c r="AX197" i="41"/>
  <c r="AX198" i="41"/>
  <c r="AX199" i="41"/>
  <c r="AX200" i="41"/>
  <c r="AX201" i="41"/>
  <c r="AX202" i="41"/>
  <c r="AX213" i="41"/>
  <c r="AX214" i="41"/>
  <c r="AX215" i="41"/>
  <c r="AX216" i="41"/>
  <c r="AX217" i="41"/>
  <c r="AX218" i="41"/>
  <c r="AW42" i="41"/>
  <c r="AW43" i="41"/>
  <c r="AW44" i="41"/>
  <c r="AW45" i="41"/>
  <c r="AW46" i="41"/>
  <c r="AW47" i="41"/>
  <c r="AW48" i="41"/>
  <c r="AW49" i="41"/>
  <c r="AW50" i="41"/>
  <c r="AW51" i="41"/>
  <c r="AW52" i="41"/>
  <c r="AW53" i="41"/>
  <c r="AW54" i="41"/>
  <c r="AW55" i="41"/>
  <c r="AW56" i="41"/>
  <c r="AW57" i="41"/>
  <c r="AW58" i="41"/>
  <c r="AW59" i="41"/>
  <c r="AW60" i="41"/>
  <c r="AW61" i="41"/>
  <c r="AW62" i="41"/>
  <c r="AW63" i="41"/>
  <c r="AW64" i="41"/>
  <c r="AW65" i="41"/>
  <c r="AW66" i="41"/>
  <c r="AW67" i="41"/>
  <c r="AW68" i="41"/>
  <c r="AW69" i="41"/>
  <c r="AW70" i="41"/>
  <c r="AW71" i="41"/>
  <c r="AW72" i="41"/>
  <c r="AW73" i="41"/>
  <c r="AW74" i="41"/>
  <c r="AW75" i="41"/>
  <c r="AW76" i="41"/>
  <c r="AW77" i="41"/>
  <c r="AW78" i="41"/>
  <c r="AW79" i="41"/>
  <c r="AW80" i="41"/>
  <c r="AW81" i="41"/>
  <c r="AW82" i="41"/>
  <c r="AW83" i="41"/>
  <c r="AW84" i="41"/>
  <c r="AW85" i="41"/>
  <c r="AW86" i="41"/>
  <c r="AW87" i="41"/>
  <c r="AW88" i="41"/>
  <c r="AW89" i="41"/>
  <c r="AW90" i="41"/>
  <c r="AW91" i="41"/>
  <c r="AW92" i="41"/>
  <c r="AW93" i="41"/>
  <c r="AW94" i="41"/>
  <c r="AW95" i="41"/>
  <c r="AW96" i="41"/>
  <c r="AW97" i="41"/>
  <c r="AW98" i="41"/>
  <c r="AW99" i="41"/>
  <c r="AW100" i="41"/>
  <c r="AW101" i="41"/>
  <c r="AW102" i="41"/>
  <c r="AW103" i="41"/>
  <c r="AW104" i="41"/>
  <c r="AW105" i="41"/>
  <c r="AW106" i="41"/>
  <c r="AW107" i="41"/>
  <c r="AW108" i="41"/>
  <c r="AW109" i="41"/>
  <c r="AW110" i="41"/>
  <c r="AW111" i="41"/>
  <c r="AW112" i="41"/>
  <c r="AW113" i="41"/>
  <c r="AW114" i="41"/>
  <c r="AW115" i="41"/>
  <c r="AW116" i="41"/>
  <c r="AW117" i="41"/>
  <c r="AW118" i="41"/>
  <c r="AW119" i="41"/>
  <c r="AW120" i="41"/>
  <c r="AW121" i="41"/>
  <c r="AW122" i="41"/>
  <c r="AW123" i="41"/>
  <c r="AW124" i="41"/>
  <c r="AW125" i="41"/>
  <c r="AW126" i="41"/>
  <c r="AW127" i="41"/>
  <c r="AW128" i="41"/>
  <c r="AW129" i="41"/>
  <c r="AW130" i="41"/>
  <c r="AW131" i="41"/>
  <c r="AW132" i="41"/>
  <c r="AW133" i="41"/>
  <c r="AW134" i="41"/>
  <c r="AW135" i="41"/>
  <c r="AW136" i="41"/>
  <c r="AW137" i="41"/>
  <c r="AW138" i="41"/>
  <c r="AW139" i="41"/>
  <c r="AW140" i="41"/>
  <c r="AW141" i="41"/>
  <c r="AW142" i="41"/>
  <c r="AW143" i="41"/>
  <c r="AW144" i="41"/>
  <c r="AW145" i="41"/>
  <c r="AW146" i="41"/>
  <c r="AW147" i="41"/>
  <c r="AW148" i="41"/>
  <c r="AW149" i="41"/>
  <c r="AW150" i="41"/>
  <c r="AW151" i="41"/>
  <c r="AW152" i="41"/>
  <c r="AW153" i="41"/>
  <c r="AW154" i="41"/>
  <c r="AW155" i="41"/>
  <c r="AW156" i="41"/>
  <c r="AW157" i="41"/>
  <c r="AW158" i="41"/>
  <c r="AW159" i="41"/>
  <c r="AW160" i="41"/>
  <c r="AW161" i="41"/>
  <c r="AW162" i="41"/>
  <c r="AW163" i="41"/>
  <c r="AW164" i="41"/>
  <c r="AW165" i="41"/>
  <c r="AW166" i="41"/>
  <c r="AW167" i="41"/>
  <c r="AW168" i="41"/>
  <c r="AW169" i="41"/>
  <c r="AW170" i="41"/>
  <c r="AW171" i="41"/>
  <c r="AW172" i="41"/>
  <c r="AW173" i="41"/>
  <c r="AW174" i="41"/>
  <c r="AW175" i="41"/>
  <c r="AW176" i="41"/>
  <c r="AW177" i="41"/>
  <c r="AW178" i="41"/>
  <c r="AW179" i="41"/>
  <c r="AW180" i="41"/>
  <c r="AW181" i="41"/>
  <c r="AW182" i="41"/>
  <c r="AW183" i="41"/>
  <c r="AW184" i="41"/>
  <c r="AW185" i="41"/>
  <c r="AW186" i="41"/>
  <c r="AW187" i="41"/>
  <c r="AW188" i="41"/>
  <c r="AW189" i="41"/>
  <c r="AW190" i="41"/>
  <c r="AW191" i="41"/>
  <c r="AW192" i="41"/>
  <c r="AW193" i="41"/>
  <c r="AW194" i="41"/>
  <c r="AW195" i="41"/>
  <c r="AW196" i="41"/>
  <c r="AW197" i="41"/>
  <c r="AW198" i="41"/>
  <c r="AW199" i="41"/>
  <c r="AW200" i="41"/>
  <c r="AW201" i="41"/>
  <c r="AW202" i="41"/>
  <c r="AW203" i="41"/>
  <c r="AW204" i="41"/>
  <c r="AW205" i="41"/>
  <c r="AW206" i="41"/>
  <c r="AW207" i="41"/>
  <c r="AW208" i="41"/>
  <c r="AW209" i="41"/>
  <c r="AW210" i="41"/>
  <c r="AW211" i="41"/>
  <c r="AW212" i="41"/>
  <c r="AW213" i="41"/>
  <c r="AW214" i="41"/>
  <c r="AW215" i="41"/>
  <c r="AW216" i="41"/>
  <c r="AW217" i="41"/>
  <c r="AW218" i="41"/>
  <c r="AW41" i="41"/>
  <c r="AS42" i="41"/>
  <c r="AS43" i="41"/>
  <c r="AS44" i="41"/>
  <c r="AS45" i="41"/>
  <c r="AS46" i="41"/>
  <c r="AS47" i="41"/>
  <c r="AS48" i="41"/>
  <c r="AS49" i="41"/>
  <c r="AS50" i="41"/>
  <c r="AS51" i="41"/>
  <c r="AS52" i="41"/>
  <c r="AS53" i="41"/>
  <c r="AS54" i="41"/>
  <c r="AS55" i="41"/>
  <c r="AS56" i="41"/>
  <c r="AS57" i="41"/>
  <c r="AS58" i="41"/>
  <c r="AS59" i="41"/>
  <c r="AS60" i="41"/>
  <c r="AS61" i="41"/>
  <c r="AS62" i="41"/>
  <c r="AS63" i="41"/>
  <c r="AS64" i="41"/>
  <c r="AS65" i="41"/>
  <c r="AS66" i="41"/>
  <c r="AS67" i="41"/>
  <c r="AS68" i="41"/>
  <c r="AS69" i="41"/>
  <c r="AS70" i="41"/>
  <c r="AS71" i="41"/>
  <c r="AS72" i="41"/>
  <c r="AS73" i="41"/>
  <c r="AS74" i="41"/>
  <c r="AS75" i="41"/>
  <c r="AS76" i="41"/>
  <c r="AS77" i="41"/>
  <c r="AS78" i="41"/>
  <c r="AS79" i="41"/>
  <c r="AS80" i="41"/>
  <c r="AS81" i="41"/>
  <c r="AS82" i="41"/>
  <c r="AS83" i="41"/>
  <c r="AS84" i="41"/>
  <c r="AS85" i="41"/>
  <c r="AS86" i="41"/>
  <c r="AS87" i="41"/>
  <c r="AS88" i="41"/>
  <c r="AS89" i="41"/>
  <c r="AS90" i="41"/>
  <c r="AS91" i="41"/>
  <c r="AS92" i="41"/>
  <c r="AS93" i="41"/>
  <c r="AS94" i="41"/>
  <c r="AS95" i="41"/>
  <c r="AS96" i="41"/>
  <c r="AS97" i="41"/>
  <c r="AS98" i="41"/>
  <c r="AS99" i="41"/>
  <c r="AS100" i="41"/>
  <c r="AS101" i="41"/>
  <c r="AS102" i="41"/>
  <c r="AS103" i="41"/>
  <c r="AS104" i="41"/>
  <c r="AS105" i="41"/>
  <c r="AS106" i="41"/>
  <c r="AS107" i="41"/>
  <c r="AS108" i="41"/>
  <c r="AS109" i="41"/>
  <c r="AS110" i="41"/>
  <c r="AS111" i="41"/>
  <c r="AS112" i="41"/>
  <c r="AS113" i="41"/>
  <c r="AS114" i="41"/>
  <c r="AS115" i="41"/>
  <c r="AS116" i="41"/>
  <c r="AS117" i="41"/>
  <c r="AS118" i="41"/>
  <c r="AS119" i="41"/>
  <c r="AS120" i="41"/>
  <c r="AS121" i="41"/>
  <c r="AS122" i="41"/>
  <c r="AS123" i="41"/>
  <c r="AS124" i="41"/>
  <c r="AS125" i="41"/>
  <c r="AS126" i="41"/>
  <c r="AS127" i="41"/>
  <c r="AS128" i="41"/>
  <c r="AS129" i="41"/>
  <c r="AS130" i="41"/>
  <c r="AS131" i="41"/>
  <c r="AS132" i="41"/>
  <c r="AS133" i="41"/>
  <c r="AS134" i="41"/>
  <c r="AS135" i="41"/>
  <c r="AS136" i="41"/>
  <c r="AS137" i="41"/>
  <c r="AS138" i="41"/>
  <c r="AS139" i="41"/>
  <c r="AS140" i="41"/>
  <c r="AS141" i="41"/>
  <c r="AS142" i="41"/>
  <c r="AS143" i="41"/>
  <c r="AS144" i="41"/>
  <c r="AS145" i="41"/>
  <c r="AS146" i="41"/>
  <c r="AS147" i="41"/>
  <c r="AS148" i="41"/>
  <c r="AS149" i="41"/>
  <c r="AS150" i="41"/>
  <c r="AS151" i="41"/>
  <c r="AS152" i="41"/>
  <c r="AS153" i="41"/>
  <c r="AS154" i="41"/>
  <c r="AS155" i="41"/>
  <c r="AS156" i="41"/>
  <c r="AS157" i="41"/>
  <c r="AS158" i="41"/>
  <c r="AS159" i="41"/>
  <c r="AS160" i="41"/>
  <c r="AS161" i="41"/>
  <c r="AS162" i="41"/>
  <c r="AS163" i="41"/>
  <c r="AS164" i="41"/>
  <c r="AS165" i="41"/>
  <c r="AS166" i="41"/>
  <c r="AS167" i="41"/>
  <c r="AS168" i="41"/>
  <c r="AS169" i="41"/>
  <c r="AS170" i="41"/>
  <c r="AS171" i="41"/>
  <c r="AS172" i="41"/>
  <c r="AS173" i="41"/>
  <c r="AS174" i="41"/>
  <c r="AS175" i="41"/>
  <c r="AS176" i="41"/>
  <c r="AS177" i="41"/>
  <c r="AS178" i="41"/>
  <c r="AS179" i="41"/>
  <c r="AS180" i="41"/>
  <c r="AS181" i="41"/>
  <c r="AS182" i="41"/>
  <c r="AS183" i="41"/>
  <c r="AS184" i="41"/>
  <c r="AS185" i="41"/>
  <c r="AS186" i="41"/>
  <c r="AS187" i="41"/>
  <c r="AS188" i="41"/>
  <c r="AS189" i="41"/>
  <c r="AS190" i="41"/>
  <c r="AS191" i="41"/>
  <c r="AS192" i="41"/>
  <c r="AS193" i="41"/>
  <c r="AS194" i="41"/>
  <c r="AS195" i="41"/>
  <c r="AS196" i="41"/>
  <c r="AS197" i="41"/>
  <c r="AS198" i="41"/>
  <c r="AS199" i="41"/>
  <c r="AS200" i="41"/>
  <c r="AS201" i="41"/>
  <c r="AS202" i="41"/>
  <c r="AS203" i="41"/>
  <c r="AS204" i="41"/>
  <c r="AS205" i="41"/>
  <c r="AS206" i="41"/>
  <c r="AS207" i="41"/>
  <c r="AS208" i="41"/>
  <c r="AS209" i="41"/>
  <c r="AS210" i="41"/>
  <c r="AS211" i="41"/>
  <c r="AS212" i="41"/>
  <c r="AS213" i="41"/>
  <c r="AS214" i="41"/>
  <c r="AS215" i="41"/>
  <c r="AS216" i="41"/>
  <c r="AS217" i="41"/>
  <c r="AS218" i="41"/>
  <c r="AS41" i="41"/>
  <c r="AR42" i="41"/>
  <c r="AR43" i="41"/>
  <c r="AR44" i="41"/>
  <c r="AR45" i="41"/>
  <c r="AR46" i="41"/>
  <c r="AR47" i="41"/>
  <c r="AR48" i="41"/>
  <c r="AR49" i="41"/>
  <c r="AR50" i="41"/>
  <c r="AR51" i="41"/>
  <c r="AR52" i="41"/>
  <c r="AR53" i="41"/>
  <c r="AR54" i="41"/>
  <c r="AR55" i="41"/>
  <c r="AR56" i="41"/>
  <c r="AR57" i="41"/>
  <c r="AR58" i="41"/>
  <c r="AR59" i="41"/>
  <c r="AR60" i="41"/>
  <c r="AR61" i="41"/>
  <c r="AR62" i="41"/>
  <c r="AR63" i="41"/>
  <c r="AR64" i="41"/>
  <c r="AR65" i="41"/>
  <c r="AR66" i="41"/>
  <c r="AR67" i="41"/>
  <c r="AR68" i="41"/>
  <c r="AR69" i="41"/>
  <c r="AR70" i="41"/>
  <c r="AR71" i="41"/>
  <c r="AR72" i="41"/>
  <c r="AR73" i="41"/>
  <c r="AR74" i="41"/>
  <c r="AR75" i="41"/>
  <c r="AR76" i="41"/>
  <c r="AR77" i="41"/>
  <c r="AR78" i="41"/>
  <c r="AR79" i="41"/>
  <c r="AR80" i="41"/>
  <c r="AR81" i="41"/>
  <c r="AR82" i="41"/>
  <c r="AR83" i="41"/>
  <c r="AR84" i="41"/>
  <c r="AR85" i="41"/>
  <c r="AR86" i="41"/>
  <c r="AR87" i="41"/>
  <c r="AR88" i="41"/>
  <c r="AR89" i="41"/>
  <c r="AR90" i="41"/>
  <c r="AR91" i="41"/>
  <c r="AR92" i="41"/>
  <c r="AR93" i="41"/>
  <c r="AR94" i="41"/>
  <c r="AR95" i="41"/>
  <c r="AR96" i="41"/>
  <c r="AR97" i="41"/>
  <c r="AR98" i="41"/>
  <c r="AR99" i="41"/>
  <c r="AR100" i="41"/>
  <c r="AR101" i="41"/>
  <c r="AR102" i="41"/>
  <c r="AR103" i="41"/>
  <c r="AR104" i="41"/>
  <c r="AR105" i="41"/>
  <c r="AR106" i="41"/>
  <c r="AR107" i="41"/>
  <c r="AR108" i="41"/>
  <c r="AR109" i="41"/>
  <c r="AR110" i="41"/>
  <c r="AR111" i="41"/>
  <c r="AR112" i="41"/>
  <c r="AR113" i="41"/>
  <c r="AR114" i="41"/>
  <c r="AR115" i="41"/>
  <c r="AR116" i="41"/>
  <c r="AR117" i="41"/>
  <c r="AR118" i="41"/>
  <c r="AR119" i="41"/>
  <c r="AR120" i="41"/>
  <c r="AR121" i="41"/>
  <c r="AR122" i="41"/>
  <c r="AR123" i="41"/>
  <c r="AR124" i="41"/>
  <c r="AR125" i="41"/>
  <c r="AR126" i="41"/>
  <c r="AR127" i="41"/>
  <c r="AR128" i="41"/>
  <c r="AR129" i="41"/>
  <c r="AR130" i="41"/>
  <c r="AR131" i="41"/>
  <c r="AR132" i="41"/>
  <c r="AR133" i="41"/>
  <c r="AR134" i="41"/>
  <c r="AR135" i="41"/>
  <c r="AR136" i="41"/>
  <c r="AR137" i="41"/>
  <c r="AR138" i="41"/>
  <c r="AR139" i="41"/>
  <c r="AR140" i="41"/>
  <c r="AR141" i="41"/>
  <c r="AR142" i="41"/>
  <c r="AR143" i="41"/>
  <c r="AR144" i="41"/>
  <c r="AR145" i="41"/>
  <c r="AR146" i="41"/>
  <c r="AR147" i="41"/>
  <c r="AR148" i="41"/>
  <c r="AR149" i="41"/>
  <c r="AR150" i="41"/>
  <c r="AR151" i="41"/>
  <c r="AR152" i="41"/>
  <c r="AR153" i="41"/>
  <c r="AR154" i="41"/>
  <c r="AR155" i="41"/>
  <c r="AR156" i="41"/>
  <c r="AR157" i="41"/>
  <c r="AR158" i="41"/>
  <c r="AR159" i="41"/>
  <c r="AR160" i="41"/>
  <c r="AR161" i="41"/>
  <c r="AR162" i="41"/>
  <c r="AR163" i="41"/>
  <c r="AR164" i="41"/>
  <c r="AR165" i="41"/>
  <c r="AR166" i="41"/>
  <c r="AR167" i="41"/>
  <c r="AR168" i="41"/>
  <c r="AR169" i="41"/>
  <c r="AR170" i="41"/>
  <c r="AR171" i="41"/>
  <c r="AR172" i="41"/>
  <c r="AR173" i="41"/>
  <c r="AR174" i="41"/>
  <c r="AR175" i="41"/>
  <c r="AR176" i="41"/>
  <c r="AR177" i="41"/>
  <c r="AR178" i="41"/>
  <c r="AR179" i="41"/>
  <c r="AR180" i="41"/>
  <c r="AR181" i="41"/>
  <c r="AR182" i="41"/>
  <c r="AR183" i="41"/>
  <c r="AR184" i="41"/>
  <c r="AR185" i="41"/>
  <c r="AR186" i="41"/>
  <c r="AR187" i="41"/>
  <c r="AR188" i="41"/>
  <c r="AR189" i="41"/>
  <c r="AR190" i="41"/>
  <c r="AR191" i="41"/>
  <c r="AR192" i="41"/>
  <c r="AR193" i="41"/>
  <c r="AR194" i="41"/>
  <c r="AR195" i="41"/>
  <c r="AR196" i="41"/>
  <c r="AR197" i="41"/>
  <c r="AR198" i="41"/>
  <c r="AR199" i="41"/>
  <c r="AR200" i="41"/>
  <c r="AR201" i="41"/>
  <c r="AR202" i="41"/>
  <c r="AR203" i="41"/>
  <c r="AR204" i="41"/>
  <c r="AR205" i="41"/>
  <c r="AR206" i="41"/>
  <c r="AR207" i="41"/>
  <c r="AR208" i="41"/>
  <c r="AR209" i="41"/>
  <c r="AR210" i="41"/>
  <c r="AR211" i="41"/>
  <c r="AR212" i="41"/>
  <c r="AR213" i="41"/>
  <c r="AR214" i="41"/>
  <c r="AR215" i="41"/>
  <c r="AR216" i="41"/>
  <c r="AR217" i="41"/>
  <c r="AR218" i="41"/>
  <c r="AR41" i="41"/>
  <c r="AQ35" i="41"/>
  <c r="AL41" i="41"/>
  <c r="AQ42" i="41"/>
  <c r="AQ43" i="41"/>
  <c r="AQ44" i="41"/>
  <c r="AQ45" i="41"/>
  <c r="AQ46" i="41"/>
  <c r="AQ47" i="41"/>
  <c r="AQ48" i="41"/>
  <c r="AQ49" i="41"/>
  <c r="AQ50" i="41"/>
  <c r="AQ51" i="41"/>
  <c r="AQ52" i="41"/>
  <c r="AQ53" i="41"/>
  <c r="AQ54" i="41"/>
  <c r="AQ55" i="41"/>
  <c r="AQ56" i="41"/>
  <c r="AQ57" i="41"/>
  <c r="AQ58" i="41"/>
  <c r="AQ59" i="41"/>
  <c r="AQ60" i="41"/>
  <c r="AQ61" i="41"/>
  <c r="AQ62" i="41"/>
  <c r="AQ63" i="41"/>
  <c r="AQ64" i="41"/>
  <c r="AQ65" i="41"/>
  <c r="AQ66" i="41"/>
  <c r="AQ67" i="41"/>
  <c r="AQ68" i="41"/>
  <c r="AQ69" i="41"/>
  <c r="AQ70" i="41"/>
  <c r="AQ71" i="41"/>
  <c r="AQ72" i="41"/>
  <c r="AQ73" i="41"/>
  <c r="AQ74" i="41"/>
  <c r="AQ75" i="41"/>
  <c r="AQ76" i="41"/>
  <c r="AQ77" i="41"/>
  <c r="AQ78" i="41"/>
  <c r="AQ79" i="41"/>
  <c r="AQ80" i="41"/>
  <c r="AQ81" i="41"/>
  <c r="AQ82" i="41"/>
  <c r="AQ83" i="41"/>
  <c r="AQ84" i="41"/>
  <c r="AQ85" i="41"/>
  <c r="AQ86" i="41"/>
  <c r="AQ87" i="41"/>
  <c r="AQ88" i="41"/>
  <c r="AQ89" i="41"/>
  <c r="AQ90" i="41"/>
  <c r="AQ91" i="41"/>
  <c r="AQ92" i="41"/>
  <c r="AQ93" i="41"/>
  <c r="AQ94" i="41"/>
  <c r="AQ95" i="41"/>
  <c r="AQ96" i="41"/>
  <c r="AQ97" i="41"/>
  <c r="AQ98" i="41"/>
  <c r="AQ99" i="41"/>
  <c r="AQ100" i="41"/>
  <c r="AQ101" i="41"/>
  <c r="AQ102" i="41"/>
  <c r="AQ103" i="41"/>
  <c r="AQ104" i="41"/>
  <c r="AQ105" i="41"/>
  <c r="AQ106" i="41"/>
  <c r="AQ107" i="41"/>
  <c r="AQ108" i="41"/>
  <c r="AQ109" i="41"/>
  <c r="AQ110" i="41"/>
  <c r="AQ111" i="41"/>
  <c r="AQ112" i="41"/>
  <c r="AQ113" i="41"/>
  <c r="AQ114" i="41"/>
  <c r="AQ115" i="41"/>
  <c r="AQ116" i="41"/>
  <c r="AQ117" i="41"/>
  <c r="AQ118" i="41"/>
  <c r="AQ119" i="41"/>
  <c r="AQ120" i="41"/>
  <c r="AQ121" i="41"/>
  <c r="AQ122" i="41"/>
  <c r="AQ123" i="41"/>
  <c r="AQ124" i="41"/>
  <c r="AQ125" i="41"/>
  <c r="AQ126" i="41"/>
  <c r="AQ127" i="41"/>
  <c r="AQ128" i="41"/>
  <c r="AQ129" i="41"/>
  <c r="AQ130" i="41"/>
  <c r="AQ131" i="41"/>
  <c r="AQ132" i="41"/>
  <c r="AQ133" i="41"/>
  <c r="AQ134" i="41"/>
  <c r="AQ135" i="41"/>
  <c r="AQ136" i="41"/>
  <c r="AQ137" i="41"/>
  <c r="AQ138" i="41"/>
  <c r="AQ139" i="41"/>
  <c r="AQ140" i="41"/>
  <c r="AQ141" i="41"/>
  <c r="AQ142" i="41"/>
  <c r="AQ143" i="41"/>
  <c r="AQ144" i="41"/>
  <c r="AQ145" i="41"/>
  <c r="AQ146" i="41"/>
  <c r="AQ147" i="41"/>
  <c r="AQ148" i="41"/>
  <c r="AQ149" i="41"/>
  <c r="AQ150" i="41"/>
  <c r="AQ151" i="41"/>
  <c r="AQ152" i="41"/>
  <c r="AQ153" i="41"/>
  <c r="AQ154" i="41"/>
  <c r="AQ155" i="41"/>
  <c r="AQ156" i="41"/>
  <c r="AQ157" i="41"/>
  <c r="AQ158" i="41"/>
  <c r="AQ159" i="41"/>
  <c r="AQ160" i="41"/>
  <c r="AQ161" i="41"/>
  <c r="AQ162" i="41"/>
  <c r="AQ163" i="41"/>
  <c r="AQ164" i="41"/>
  <c r="AQ165" i="41"/>
  <c r="AQ166" i="41"/>
  <c r="AQ167" i="41"/>
  <c r="AQ168" i="41"/>
  <c r="AQ169" i="41"/>
  <c r="AQ170" i="41"/>
  <c r="AQ171" i="41"/>
  <c r="AQ172" i="41"/>
  <c r="AQ173" i="41"/>
  <c r="AQ174" i="41"/>
  <c r="AQ175" i="41"/>
  <c r="AQ176" i="41"/>
  <c r="AQ177" i="41"/>
  <c r="AQ178" i="41"/>
  <c r="AQ179" i="41"/>
  <c r="AQ180" i="41"/>
  <c r="AQ181" i="41"/>
  <c r="AQ182" i="41"/>
  <c r="AQ183" i="41"/>
  <c r="AQ184" i="41"/>
  <c r="AQ185" i="41"/>
  <c r="AQ186" i="41"/>
  <c r="AQ187" i="41"/>
  <c r="AQ188" i="41"/>
  <c r="AQ189" i="41"/>
  <c r="AQ190" i="41"/>
  <c r="AQ191" i="41"/>
  <c r="AQ192" i="41"/>
  <c r="AQ193" i="41"/>
  <c r="AQ194" i="41"/>
  <c r="AQ195" i="41"/>
  <c r="AQ196" i="41"/>
  <c r="AQ197" i="41"/>
  <c r="AQ198" i="41"/>
  <c r="AQ199" i="41"/>
  <c r="AQ200" i="41"/>
  <c r="AQ201" i="41"/>
  <c r="AQ202" i="41"/>
  <c r="AQ203" i="41"/>
  <c r="AQ204" i="41"/>
  <c r="AQ205" i="41"/>
  <c r="AQ206" i="41"/>
  <c r="AQ207" i="41"/>
  <c r="AQ208" i="41"/>
  <c r="AQ209" i="41"/>
  <c r="AQ210" i="41"/>
  <c r="AQ211" i="41"/>
  <c r="AQ212" i="41"/>
  <c r="AQ213" i="41"/>
  <c r="AQ214" i="41"/>
  <c r="AQ215" i="41"/>
  <c r="AQ216" i="41"/>
  <c r="AQ217" i="41"/>
  <c r="AQ218" i="41"/>
  <c r="AQ41" i="41"/>
  <c r="AS40" i="41"/>
  <c r="AQ38" i="41"/>
  <c r="AT37" i="41"/>
  <c r="AT38" i="41" s="1"/>
  <c r="AK35" i="41"/>
  <c r="N13" i="41"/>
  <c r="N8" i="41"/>
  <c r="N9" i="41"/>
  <c r="N4" i="41"/>
  <c r="N3" i="41"/>
  <c r="N10" i="41"/>
  <c r="N11" i="41" s="1"/>
  <c r="AK218" i="41"/>
  <c r="AK217" i="41"/>
  <c r="AK216" i="41"/>
  <c r="AK215" i="41"/>
  <c r="AK214" i="41"/>
  <c r="AK213" i="41"/>
  <c r="AK212" i="41"/>
  <c r="AK211" i="41"/>
  <c r="AL211" i="41" s="1"/>
  <c r="AK210" i="41"/>
  <c r="AM210" i="41" s="1"/>
  <c r="AK209" i="41"/>
  <c r="AM209" i="41" s="1"/>
  <c r="AK208" i="41"/>
  <c r="AK207" i="41"/>
  <c r="AK206" i="41"/>
  <c r="AK205" i="41"/>
  <c r="AK204" i="41"/>
  <c r="AK203" i="41"/>
  <c r="AK202" i="41"/>
  <c r="AK201" i="41"/>
  <c r="AK200" i="41"/>
  <c r="AK199" i="41"/>
  <c r="AK198" i="41"/>
  <c r="AK197" i="41"/>
  <c r="AK196" i="41"/>
  <c r="AL196" i="41" s="1"/>
  <c r="AK195" i="41"/>
  <c r="AM195" i="41" s="1"/>
  <c r="AK194" i="41"/>
  <c r="AM194" i="41" s="1"/>
  <c r="AK193" i="41"/>
  <c r="AM193" i="41" s="1"/>
  <c r="AK192" i="41"/>
  <c r="AK191" i="41"/>
  <c r="AK190" i="41"/>
  <c r="AK189" i="41"/>
  <c r="AK188" i="41"/>
  <c r="AK187" i="41"/>
  <c r="AK186" i="41"/>
  <c r="AK185" i="41"/>
  <c r="AK184" i="41"/>
  <c r="AK183" i="41"/>
  <c r="AK182" i="41"/>
  <c r="AK181" i="41"/>
  <c r="AK180" i="41"/>
  <c r="AL180" i="41" s="1"/>
  <c r="AK179" i="41"/>
  <c r="AM179" i="41" s="1"/>
  <c r="AK178" i="41"/>
  <c r="AM178" i="41" s="1"/>
  <c r="AK177" i="41"/>
  <c r="AM177" i="41" s="1"/>
  <c r="AK176" i="41"/>
  <c r="AK175" i="41"/>
  <c r="AK174" i="41"/>
  <c r="AK173" i="41"/>
  <c r="AK172" i="41"/>
  <c r="AK171" i="41"/>
  <c r="AK170" i="41"/>
  <c r="AK169" i="41"/>
  <c r="AK168" i="41"/>
  <c r="AK167" i="41"/>
  <c r="AK166" i="41"/>
  <c r="AK165" i="41"/>
  <c r="AK164" i="41"/>
  <c r="AM164" i="41" s="1"/>
  <c r="AK163" i="41"/>
  <c r="AM163" i="41" s="1"/>
  <c r="AK162" i="41"/>
  <c r="AM162" i="41" s="1"/>
  <c r="AK161" i="41"/>
  <c r="AK160" i="41"/>
  <c r="AK159" i="41"/>
  <c r="AK158" i="41"/>
  <c r="AK157" i="41"/>
  <c r="AK156" i="41"/>
  <c r="AK155" i="41"/>
  <c r="AK154" i="41"/>
  <c r="AK153" i="41"/>
  <c r="AK152" i="41"/>
  <c r="AK151" i="41"/>
  <c r="AK150" i="41"/>
  <c r="AK149" i="41"/>
  <c r="AK148" i="41"/>
  <c r="AM148" i="41" s="1"/>
  <c r="AK147" i="41"/>
  <c r="AL147" i="41" s="1"/>
  <c r="AK146" i="41"/>
  <c r="AM146" i="41" s="1"/>
  <c r="AK145" i="41"/>
  <c r="AM145" i="41" s="1"/>
  <c r="AK144" i="41"/>
  <c r="AK143" i="41"/>
  <c r="AK142" i="41"/>
  <c r="AK141" i="41"/>
  <c r="AK140" i="41"/>
  <c r="AK139" i="41"/>
  <c r="AK138" i="41"/>
  <c r="AK137" i="41"/>
  <c r="AK136" i="41"/>
  <c r="AK135" i="41"/>
  <c r="AK134" i="41"/>
  <c r="AK133" i="41"/>
  <c r="AK132" i="41"/>
  <c r="AM132" i="41" s="1"/>
  <c r="AK131" i="41"/>
  <c r="AM131" i="41" s="1"/>
  <c r="AK130" i="41"/>
  <c r="AM130" i="41" s="1"/>
  <c r="AK129" i="41"/>
  <c r="AM129" i="41" s="1"/>
  <c r="AK128" i="41"/>
  <c r="AK127" i="41"/>
  <c r="AK126" i="41"/>
  <c r="AK125" i="41"/>
  <c r="AK124" i="41"/>
  <c r="AK123" i="41"/>
  <c r="AK122" i="41"/>
  <c r="AK121" i="41"/>
  <c r="AK120" i="41"/>
  <c r="AK119" i="41"/>
  <c r="AK118" i="41"/>
  <c r="AK117" i="41"/>
  <c r="AK116" i="41"/>
  <c r="AM116" i="41" s="1"/>
  <c r="AK115" i="41"/>
  <c r="AL115" i="41" s="1"/>
  <c r="AK114" i="41"/>
  <c r="AM114" i="41" s="1"/>
  <c r="AK113" i="41"/>
  <c r="AM113" i="41" s="1"/>
  <c r="AK112" i="41"/>
  <c r="AK111" i="41"/>
  <c r="AK110" i="41"/>
  <c r="AK109" i="41"/>
  <c r="AK108" i="41"/>
  <c r="AK107" i="41"/>
  <c r="AK106" i="41"/>
  <c r="AK105" i="41"/>
  <c r="AK104" i="41"/>
  <c r="AK103" i="41"/>
  <c r="AK102" i="41"/>
  <c r="AK101" i="41"/>
  <c r="AK100" i="41"/>
  <c r="AM100" i="41" s="1"/>
  <c r="AK99" i="41"/>
  <c r="AM99" i="41" s="1"/>
  <c r="AK98" i="41"/>
  <c r="AL98" i="41" s="1"/>
  <c r="AK97" i="41"/>
  <c r="AL97" i="41" s="1"/>
  <c r="AK96" i="41"/>
  <c r="AK95" i="41"/>
  <c r="AK94" i="41"/>
  <c r="AK93" i="41"/>
  <c r="AK92" i="41"/>
  <c r="AK91" i="41"/>
  <c r="AK90" i="41"/>
  <c r="AK89" i="41"/>
  <c r="AK88" i="41"/>
  <c r="AK87" i="41"/>
  <c r="AK86" i="41"/>
  <c r="AK85" i="41"/>
  <c r="AK84" i="41"/>
  <c r="AL84" i="41" s="1"/>
  <c r="AK83" i="41"/>
  <c r="AL83" i="41" s="1"/>
  <c r="AK82" i="41"/>
  <c r="AL82" i="41" s="1"/>
  <c r="AK81" i="41"/>
  <c r="AM81" i="41" s="1"/>
  <c r="AK80" i="41"/>
  <c r="AK79" i="41"/>
  <c r="AK78" i="41"/>
  <c r="AK77" i="41"/>
  <c r="AK76" i="41"/>
  <c r="AK75" i="41"/>
  <c r="AK74" i="41"/>
  <c r="AK73" i="41"/>
  <c r="AK72" i="41"/>
  <c r="AK71" i="41"/>
  <c r="AK70" i="41"/>
  <c r="AK69" i="41"/>
  <c r="AK68" i="41"/>
  <c r="AM68" i="41" s="1"/>
  <c r="AK67" i="41"/>
  <c r="AM67" i="41" s="1"/>
  <c r="AK66" i="41"/>
  <c r="AM66" i="41" s="1"/>
  <c r="AK65" i="41"/>
  <c r="AM65" i="41" s="1"/>
  <c r="AK64" i="41"/>
  <c r="AK63" i="41"/>
  <c r="AK62" i="41"/>
  <c r="AK61" i="41"/>
  <c r="AK60" i="41"/>
  <c r="AK59" i="41"/>
  <c r="AK58" i="41"/>
  <c r="AK57" i="41"/>
  <c r="AK56" i="41"/>
  <c r="AK55" i="41"/>
  <c r="AK54" i="41"/>
  <c r="AK53" i="41"/>
  <c r="AK52" i="41"/>
  <c r="AM52" i="41" s="1"/>
  <c r="AK51" i="41"/>
  <c r="AK50" i="41"/>
  <c r="AM50" i="41" s="1"/>
  <c r="AK49" i="41"/>
  <c r="AL49" i="41" s="1"/>
  <c r="AK48" i="41"/>
  <c r="AK47" i="41"/>
  <c r="AK46" i="41"/>
  <c r="AK45" i="41"/>
  <c r="AK44" i="41"/>
  <c r="K13" i="41"/>
  <c r="C13" i="41"/>
  <c r="U32" i="41" s="1"/>
  <c r="AK43" i="41"/>
  <c r="AK42" i="41"/>
  <c r="AK41" i="41"/>
  <c r="K10" i="41"/>
  <c r="D10" i="41"/>
  <c r="F10" i="41" s="1"/>
  <c r="AM40" i="41"/>
  <c r="K8" i="41"/>
  <c r="AK38" i="41"/>
  <c r="Y38" i="41"/>
  <c r="W38" i="41"/>
  <c r="AN37" i="41"/>
  <c r="AN38" i="41" s="1"/>
  <c r="K4" i="41"/>
  <c r="K3" i="41"/>
  <c r="Y32" i="41"/>
  <c r="W32" i="41"/>
  <c r="S32" i="41"/>
  <c r="Z91" i="41" s="1"/>
  <c r="C6" i="41"/>
  <c r="AX212" i="41" l="1"/>
  <c r="AX196" i="41"/>
  <c r="AX180" i="41"/>
  <c r="AX164" i="41"/>
  <c r="AX148" i="41"/>
  <c r="AX132" i="41"/>
  <c r="AX116" i="41"/>
  <c r="AX100" i="41"/>
  <c r="AX84" i="41"/>
  <c r="AX68" i="41"/>
  <c r="AX52" i="41"/>
  <c r="AX211" i="41"/>
  <c r="AX195" i="41"/>
  <c r="AX179" i="41"/>
  <c r="AX163" i="41"/>
  <c r="AX147" i="41"/>
  <c r="AX131" i="41"/>
  <c r="AX115" i="41"/>
  <c r="AX99" i="41"/>
  <c r="AX83" i="41"/>
  <c r="AX67" i="41"/>
  <c r="AX51" i="41"/>
  <c r="AX210" i="41"/>
  <c r="AX194" i="41"/>
  <c r="AX178" i="41"/>
  <c r="AX162" i="41"/>
  <c r="AX146" i="41"/>
  <c r="AX130" i="41"/>
  <c r="AX114" i="41"/>
  <c r="AX98" i="41"/>
  <c r="AX82" i="41"/>
  <c r="AX66" i="41"/>
  <c r="AX50" i="41"/>
  <c r="AX209" i="41"/>
  <c r="AX193" i="41"/>
  <c r="AX177" i="41"/>
  <c r="AX161" i="41"/>
  <c r="AX145" i="41"/>
  <c r="AX129" i="41"/>
  <c r="AX113" i="41"/>
  <c r="AX97" i="41"/>
  <c r="AX81" i="41"/>
  <c r="AX65" i="41"/>
  <c r="AX49" i="41"/>
  <c r="AX208" i="41"/>
  <c r="AX192" i="41"/>
  <c r="AX176" i="41"/>
  <c r="AX160" i="41"/>
  <c r="AX144" i="41"/>
  <c r="AX128" i="41"/>
  <c r="AX112" i="41"/>
  <c r="AX96" i="41"/>
  <c r="AX80" i="41"/>
  <c r="AX64" i="41"/>
  <c r="AX48" i="41"/>
  <c r="AX207" i="41"/>
  <c r="AX191" i="41"/>
  <c r="AX175" i="41"/>
  <c r="AX159" i="41"/>
  <c r="AX143" i="41"/>
  <c r="AX127" i="41"/>
  <c r="AX111" i="41"/>
  <c r="AX95" i="41"/>
  <c r="AX79" i="41"/>
  <c r="AX63" i="41"/>
  <c r="AX47" i="41"/>
  <c r="AX206" i="41"/>
  <c r="AX190" i="41"/>
  <c r="AX174" i="41"/>
  <c r="AX158" i="41"/>
  <c r="AX142" i="41"/>
  <c r="AX126" i="41"/>
  <c r="AX110" i="41"/>
  <c r="AX94" i="41"/>
  <c r="AX78" i="41"/>
  <c r="AX62" i="41"/>
  <c r="AX46" i="41"/>
  <c r="AX205" i="41"/>
  <c r="AX189" i="41"/>
  <c r="AX173" i="41"/>
  <c r="AX157" i="41"/>
  <c r="AX141" i="41"/>
  <c r="AX125" i="41"/>
  <c r="AX109" i="41"/>
  <c r="AX93" i="41"/>
  <c r="AX77" i="41"/>
  <c r="AX61" i="41"/>
  <c r="AX45" i="41"/>
  <c r="AX204" i="41"/>
  <c r="AX188" i="41"/>
  <c r="AX172" i="41"/>
  <c r="AX156" i="41"/>
  <c r="AX140" i="41"/>
  <c r="AX124" i="41"/>
  <c r="AX108" i="41"/>
  <c r="AX92" i="41"/>
  <c r="AX76" i="41"/>
  <c r="AX60" i="41"/>
  <c r="AX44" i="41"/>
  <c r="AX41" i="41"/>
  <c r="AX203" i="41"/>
  <c r="AX187" i="41"/>
  <c r="AX171" i="41"/>
  <c r="AX155" i="41"/>
  <c r="AX139" i="41"/>
  <c r="AX123" i="41"/>
  <c r="AX107" i="41"/>
  <c r="AX91" i="41"/>
  <c r="AX75" i="41"/>
  <c r="AX59" i="41"/>
  <c r="AX43" i="41"/>
  <c r="AX154" i="41"/>
  <c r="AX138" i="41"/>
  <c r="AX122" i="41"/>
  <c r="AX106" i="41"/>
  <c r="AX90" i="41"/>
  <c r="AX74" i="41"/>
  <c r="AX58" i="41"/>
  <c r="N12" i="41"/>
  <c r="N17" i="41"/>
  <c r="AT160" i="41"/>
  <c r="AT215" i="41"/>
  <c r="AT211" i="41"/>
  <c r="AT207" i="41"/>
  <c r="AT203" i="41"/>
  <c r="AT199" i="41"/>
  <c r="AT195" i="41"/>
  <c r="AT191" i="41"/>
  <c r="AT187" i="41"/>
  <c r="AT179" i="41"/>
  <c r="AT175" i="41"/>
  <c r="AT171" i="41"/>
  <c r="AT167" i="41"/>
  <c r="AT163" i="41"/>
  <c r="AT159" i="41"/>
  <c r="AT155" i="41"/>
  <c r="AT151" i="41"/>
  <c r="AT147" i="41"/>
  <c r="AT143" i="41"/>
  <c r="AT139" i="41"/>
  <c r="AT135" i="41"/>
  <c r="AT131" i="41"/>
  <c r="AT127" i="41"/>
  <c r="AT123" i="41"/>
  <c r="AT119" i="41"/>
  <c r="AT115" i="41"/>
  <c r="AT111" i="41"/>
  <c r="AT107" i="41"/>
  <c r="AT103" i="41"/>
  <c r="AT99" i="41"/>
  <c r="AT95" i="41"/>
  <c r="AT91" i="41"/>
  <c r="AT87" i="41"/>
  <c r="AT83" i="41"/>
  <c r="AT79" i="41"/>
  <c r="AT75" i="41"/>
  <c r="AT71" i="41"/>
  <c r="AT67" i="41"/>
  <c r="AT63" i="41"/>
  <c r="AT59" i="41"/>
  <c r="AT55" i="41"/>
  <c r="AT51" i="41"/>
  <c r="AT47" i="41"/>
  <c r="AT43" i="41"/>
  <c r="AL53" i="41"/>
  <c r="AM69" i="41"/>
  <c r="AL85" i="41"/>
  <c r="AN85" i="41" s="1"/>
  <c r="AM101" i="41"/>
  <c r="AL117" i="41"/>
  <c r="AM133" i="41"/>
  <c r="AM149" i="41"/>
  <c r="AL165" i="41"/>
  <c r="AN165" i="41" s="1"/>
  <c r="AL181" i="41"/>
  <c r="AL197" i="41"/>
  <c r="AL213" i="41"/>
  <c r="AM118" i="41"/>
  <c r="AM54" i="41"/>
  <c r="AM166" i="41"/>
  <c r="AM55" i="41"/>
  <c r="AM71" i="41"/>
  <c r="AM87" i="41"/>
  <c r="AL103" i="41"/>
  <c r="AM119" i="41"/>
  <c r="AM135" i="41"/>
  <c r="AM151" i="41"/>
  <c r="AL167" i="41"/>
  <c r="AL183" i="41"/>
  <c r="AL199" i="41"/>
  <c r="AL215" i="41"/>
  <c r="AT44" i="41"/>
  <c r="AT48" i="41"/>
  <c r="AT52" i="41"/>
  <c r="AT56" i="41"/>
  <c r="AT60" i="41"/>
  <c r="AT64" i="41"/>
  <c r="AT68" i="41"/>
  <c r="AT72" i="41"/>
  <c r="AT76" i="41"/>
  <c r="AT80" i="41"/>
  <c r="AT84" i="41"/>
  <c r="AT88" i="41"/>
  <c r="AT92" i="41"/>
  <c r="AT96" i="41"/>
  <c r="AT100" i="41"/>
  <c r="AT104" i="41"/>
  <c r="AT108" i="41"/>
  <c r="AT112" i="41"/>
  <c r="AT116" i="41"/>
  <c r="AT120" i="41"/>
  <c r="AT124" i="41"/>
  <c r="AT128" i="41"/>
  <c r="AT132" i="41"/>
  <c r="AT136" i="41"/>
  <c r="AT140" i="41"/>
  <c r="AT144" i="41"/>
  <c r="AT148" i="41"/>
  <c r="AT152" i="41"/>
  <c r="AT156" i="41"/>
  <c r="AT164" i="41"/>
  <c r="AT168" i="41"/>
  <c r="AT172" i="41"/>
  <c r="AT176" i="41"/>
  <c r="AT180" i="41"/>
  <c r="AT184" i="41"/>
  <c r="AT188" i="41"/>
  <c r="AT192" i="41"/>
  <c r="AT196" i="41"/>
  <c r="AT200" i="41"/>
  <c r="AT204" i="41"/>
  <c r="AT208" i="41"/>
  <c r="AT212" i="41"/>
  <c r="AT216" i="41"/>
  <c r="AM102" i="41"/>
  <c r="AL214" i="41"/>
  <c r="AM56" i="41"/>
  <c r="AM72" i="41"/>
  <c r="AM88" i="41"/>
  <c r="AL104" i="41"/>
  <c r="AN104" i="41" s="1"/>
  <c r="AM120" i="41"/>
  <c r="AM152" i="41"/>
  <c r="AM168" i="41"/>
  <c r="AL184" i="41"/>
  <c r="AL200" i="41"/>
  <c r="AL216" i="41"/>
  <c r="AM198" i="41"/>
  <c r="AL57" i="41"/>
  <c r="AM73" i="41"/>
  <c r="AL89" i="41"/>
  <c r="AN89" i="41" s="1"/>
  <c r="AL105" i="41"/>
  <c r="AM121" i="41"/>
  <c r="AM137" i="41"/>
  <c r="AM153" i="41"/>
  <c r="AM169" i="41"/>
  <c r="AL185" i="41"/>
  <c r="AL201" i="41"/>
  <c r="AN201" i="41" s="1"/>
  <c r="AL217" i="41"/>
  <c r="AN217" i="41" s="1"/>
  <c r="AL212" i="41"/>
  <c r="AM150" i="41"/>
  <c r="AL43" i="41"/>
  <c r="AN43" i="41" s="1"/>
  <c r="AM58" i="41"/>
  <c r="AM74" i="41"/>
  <c r="AM90" i="41"/>
  <c r="AL106" i="41"/>
  <c r="AM122" i="41"/>
  <c r="AM138" i="41"/>
  <c r="AM154" i="41"/>
  <c r="AM170" i="41"/>
  <c r="AM186" i="41"/>
  <c r="AM202" i="41"/>
  <c r="AL218" i="41"/>
  <c r="AT183" i="41"/>
  <c r="AM86" i="41"/>
  <c r="AM59" i="41"/>
  <c r="AM75" i="41"/>
  <c r="AM91" i="41"/>
  <c r="AL107" i="41"/>
  <c r="AN107" i="41" s="1"/>
  <c r="AM123" i="41"/>
  <c r="AL139" i="41"/>
  <c r="AN139" i="41" s="1"/>
  <c r="AL155" i="41"/>
  <c r="AM171" i="41"/>
  <c r="AM187" i="41"/>
  <c r="AM203" i="41"/>
  <c r="AT41" i="41"/>
  <c r="AT45" i="41"/>
  <c r="AT49" i="41"/>
  <c r="AT53" i="41"/>
  <c r="AT57" i="41"/>
  <c r="AT61" i="41"/>
  <c r="AT65" i="41"/>
  <c r="AT69" i="41"/>
  <c r="AT73" i="41"/>
  <c r="AT77" i="41"/>
  <c r="AT81" i="41"/>
  <c r="AT85" i="41"/>
  <c r="AT89" i="41"/>
  <c r="AT93" i="41"/>
  <c r="AT97" i="41"/>
  <c r="AT101" i="41"/>
  <c r="AT105" i="41"/>
  <c r="AT109" i="41"/>
  <c r="AT113" i="41"/>
  <c r="AT117" i="41"/>
  <c r="AT121" i="41"/>
  <c r="AT125" i="41"/>
  <c r="AT129" i="41"/>
  <c r="AT133" i="41"/>
  <c r="AT137" i="41"/>
  <c r="AT141" i="41"/>
  <c r="AT145" i="41"/>
  <c r="AT149" i="41"/>
  <c r="AT153" i="41"/>
  <c r="AT157" i="41"/>
  <c r="AT161" i="41"/>
  <c r="AT165" i="41"/>
  <c r="AT169" i="41"/>
  <c r="AT173" i="41"/>
  <c r="AT177" i="41"/>
  <c r="AT181" i="41"/>
  <c r="AT185" i="41"/>
  <c r="AT189" i="41"/>
  <c r="AT193" i="41"/>
  <c r="AT197" i="41"/>
  <c r="AT201" i="41"/>
  <c r="AT205" i="41"/>
  <c r="AT209" i="41"/>
  <c r="AT213" i="41"/>
  <c r="AT217" i="41"/>
  <c r="AL44" i="41"/>
  <c r="AM182" i="41"/>
  <c r="AL92" i="41"/>
  <c r="AM156" i="41"/>
  <c r="AM188" i="41"/>
  <c r="AL45" i="41"/>
  <c r="AM61" i="41"/>
  <c r="AM77" i="41"/>
  <c r="AM93" i="41"/>
  <c r="AM109" i="41"/>
  <c r="AM125" i="41"/>
  <c r="AM141" i="41"/>
  <c r="AM173" i="41"/>
  <c r="AM189" i="41"/>
  <c r="AM205" i="41"/>
  <c r="AM70" i="41"/>
  <c r="AM76" i="41"/>
  <c r="AM124" i="41"/>
  <c r="AM204" i="41"/>
  <c r="AM62" i="41"/>
  <c r="AM94" i="41"/>
  <c r="AM126" i="41"/>
  <c r="AM142" i="41"/>
  <c r="AM158" i="41"/>
  <c r="AM174" i="41"/>
  <c r="AL190" i="41"/>
  <c r="AM206" i="41"/>
  <c r="AM108" i="41"/>
  <c r="AM172" i="41"/>
  <c r="AM47" i="41"/>
  <c r="AM63" i="41"/>
  <c r="AM79" i="41"/>
  <c r="AM111" i="41"/>
  <c r="AM127" i="41"/>
  <c r="AM143" i="41"/>
  <c r="AL159" i="41"/>
  <c r="AN159" i="41" s="1"/>
  <c r="AM175" i="41"/>
  <c r="AM191" i="41"/>
  <c r="AM207" i="41"/>
  <c r="AT42" i="41"/>
  <c r="AT46" i="41"/>
  <c r="AT50" i="41"/>
  <c r="AT54" i="41"/>
  <c r="AT58" i="41"/>
  <c r="AT62" i="41"/>
  <c r="AT66" i="41"/>
  <c r="AT70" i="41"/>
  <c r="AT74" i="41"/>
  <c r="AT78" i="41"/>
  <c r="AT82" i="41"/>
  <c r="AT86" i="41"/>
  <c r="AT90" i="41"/>
  <c r="AT94" i="41"/>
  <c r="AT98" i="41"/>
  <c r="AT102" i="41"/>
  <c r="AT106" i="41"/>
  <c r="AT110" i="41"/>
  <c r="AT114" i="41"/>
  <c r="AT118" i="41"/>
  <c r="AT122" i="41"/>
  <c r="AT126" i="41"/>
  <c r="AT130" i="41"/>
  <c r="AT134" i="41"/>
  <c r="AT138" i="41"/>
  <c r="AT142" i="41"/>
  <c r="AT146" i="41"/>
  <c r="AT150" i="41"/>
  <c r="AT154" i="41"/>
  <c r="AT158" i="41"/>
  <c r="AT162" i="41"/>
  <c r="AT166" i="41"/>
  <c r="AT170" i="41"/>
  <c r="AT174" i="41"/>
  <c r="AT178" i="41"/>
  <c r="AT182" i="41"/>
  <c r="AT186" i="41"/>
  <c r="AT190" i="41"/>
  <c r="AT194" i="41"/>
  <c r="AT198" i="41"/>
  <c r="AT202" i="41"/>
  <c r="AT206" i="41"/>
  <c r="AT210" i="41"/>
  <c r="AT214" i="41"/>
  <c r="AT218" i="41"/>
  <c r="AM60" i="41"/>
  <c r="AM140" i="41"/>
  <c r="AM46" i="41"/>
  <c r="AM78" i="41"/>
  <c r="AM110" i="41"/>
  <c r="AM48" i="41"/>
  <c r="AM64" i="41"/>
  <c r="AM80" i="41"/>
  <c r="AM96" i="41"/>
  <c r="AM112" i="41"/>
  <c r="AM128" i="41"/>
  <c r="AM144" i="41"/>
  <c r="AL160" i="41"/>
  <c r="AM176" i="41"/>
  <c r="AM192" i="41"/>
  <c r="AM208" i="41"/>
  <c r="N15" i="41"/>
  <c r="AM117" i="41"/>
  <c r="AL194" i="41"/>
  <c r="AN194" i="41" s="1"/>
  <c r="AL151" i="41"/>
  <c r="AN151" i="41" s="1"/>
  <c r="K11" i="41"/>
  <c r="K12" i="41" s="1"/>
  <c r="K15" i="41" s="1"/>
  <c r="AM181" i="41"/>
  <c r="AL112" i="41"/>
  <c r="AM139" i="41"/>
  <c r="AM184" i="41"/>
  <c r="AM197" i="41"/>
  <c r="AL206" i="41"/>
  <c r="AN206" i="41" s="1"/>
  <c r="AL158" i="41"/>
  <c r="AM190" i="41"/>
  <c r="AM218" i="41"/>
  <c r="AL56" i="41"/>
  <c r="AN56" i="41" s="1"/>
  <c r="AL114" i="41"/>
  <c r="AN114" i="41" s="1"/>
  <c r="AL208" i="41"/>
  <c r="AN208" i="41" s="1"/>
  <c r="AL71" i="41"/>
  <c r="AN71" i="41" s="1"/>
  <c r="AM183" i="41"/>
  <c r="AL195" i="41"/>
  <c r="AN195" i="41" s="1"/>
  <c r="AM85" i="41"/>
  <c r="AM160" i="41"/>
  <c r="AM199" i="41"/>
  <c r="AM107" i="41"/>
  <c r="AL118" i="41"/>
  <c r="AN118" i="41" s="1"/>
  <c r="C10" i="41"/>
  <c r="AH44" i="41" s="1"/>
  <c r="AH53" i="41" s="1"/>
  <c r="AL150" i="41"/>
  <c r="AN150" i="41" s="1"/>
  <c r="AL178" i="41"/>
  <c r="AM217" i="41"/>
  <c r="AM82" i="41"/>
  <c r="AL62" i="41"/>
  <c r="AN62" i="41" s="1"/>
  <c r="AL101" i="41"/>
  <c r="AN101" i="41" s="1"/>
  <c r="AL121" i="41"/>
  <c r="AN121" i="41" s="1"/>
  <c r="AL144" i="41"/>
  <c r="AN144" i="41" s="1"/>
  <c r="AM167" i="41"/>
  <c r="AL133" i="41"/>
  <c r="AN133" i="41" s="1"/>
  <c r="AL179" i="41"/>
  <c r="AN179" i="41" s="1"/>
  <c r="AL52" i="41"/>
  <c r="AN52" i="41" s="1"/>
  <c r="AL63" i="41"/>
  <c r="AN63" i="41" s="1"/>
  <c r="AL102" i="41"/>
  <c r="AL125" i="41"/>
  <c r="AL81" i="41"/>
  <c r="AL93" i="41"/>
  <c r="AN93" i="41" s="1"/>
  <c r="AM115" i="41"/>
  <c r="AM159" i="41"/>
  <c r="AL172" i="41"/>
  <c r="AN172" i="41" s="1"/>
  <c r="AL192" i="41"/>
  <c r="AN192" i="41" s="1"/>
  <c r="AM200" i="41"/>
  <c r="AM53" i="41"/>
  <c r="AM147" i="41"/>
  <c r="AL210" i="41"/>
  <c r="AN210" i="41" s="1"/>
  <c r="AM45" i="41"/>
  <c r="AM106" i="41"/>
  <c r="AL126" i="41"/>
  <c r="AN126" i="41" s="1"/>
  <c r="AL149" i="41"/>
  <c r="AN149" i="41" s="1"/>
  <c r="AM214" i="41"/>
  <c r="AL47" i="41"/>
  <c r="AN47" i="41" s="1"/>
  <c r="AM57" i="41"/>
  <c r="AM83" i="41"/>
  <c r="AL128" i="41"/>
  <c r="AN128" i="41" s="1"/>
  <c r="AM98" i="41"/>
  <c r="AL129" i="41"/>
  <c r="AN129" i="41" s="1"/>
  <c r="AL142" i="41"/>
  <c r="AN142" i="41" s="1"/>
  <c r="AL176" i="41"/>
  <c r="AN176" i="41" s="1"/>
  <c r="AL120" i="41"/>
  <c r="AN120" i="41" s="1"/>
  <c r="AL143" i="41"/>
  <c r="AN143" i="41" s="1"/>
  <c r="Z169" i="41"/>
  <c r="AM211" i="41"/>
  <c r="AL162" i="41"/>
  <c r="AN162" i="41" s="1"/>
  <c r="AM212" i="41"/>
  <c r="AL110" i="41"/>
  <c r="AN110" i="41" s="1"/>
  <c r="Z212" i="41"/>
  <c r="AL140" i="41"/>
  <c r="AN140" i="41" s="1"/>
  <c r="AL79" i="41"/>
  <c r="AN79" i="41" s="1"/>
  <c r="AL116" i="41"/>
  <c r="AN116" i="41" s="1"/>
  <c r="AL88" i="41"/>
  <c r="AN88" i="41" s="1"/>
  <c r="AM97" i="41"/>
  <c r="AL111" i="41"/>
  <c r="AN111" i="41" s="1"/>
  <c r="AL148" i="41"/>
  <c r="AN148" i="41" s="1"/>
  <c r="AL175" i="41"/>
  <c r="AN175" i="41" s="1"/>
  <c r="AM180" i="41"/>
  <c r="AL191" i="41"/>
  <c r="AN191" i="41" s="1"/>
  <c r="AM196" i="41"/>
  <c r="AL207" i="41"/>
  <c r="AN207" i="41" s="1"/>
  <c r="AL80" i="41"/>
  <c r="AN80" i="41" s="1"/>
  <c r="AM105" i="41"/>
  <c r="AL124" i="41"/>
  <c r="AN124" i="41" s="1"/>
  <c r="AL132" i="41"/>
  <c r="AN132" i="41" s="1"/>
  <c r="AL141" i="41"/>
  <c r="AN141" i="41" s="1"/>
  <c r="AL156" i="41"/>
  <c r="AN156" i="41" s="1"/>
  <c r="AL163" i="41"/>
  <c r="AN163" i="41" s="1"/>
  <c r="AL170" i="41"/>
  <c r="AN170" i="41" s="1"/>
  <c r="AL186" i="41"/>
  <c r="AN186" i="41" s="1"/>
  <c r="AL202" i="41"/>
  <c r="AN202" i="41" s="1"/>
  <c r="AM213" i="41"/>
  <c r="AL96" i="41"/>
  <c r="AN96" i="41" s="1"/>
  <c r="Z43" i="41"/>
  <c r="AL123" i="41"/>
  <c r="AN123" i="41" s="1"/>
  <c r="AM43" i="41"/>
  <c r="AM89" i="41"/>
  <c r="AL130" i="41"/>
  <c r="AN130" i="41" s="1"/>
  <c r="AM104" i="41"/>
  <c r="AM201" i="41"/>
  <c r="AL99" i="41"/>
  <c r="AM165" i="41"/>
  <c r="AL171" i="41"/>
  <c r="AL187" i="41"/>
  <c r="AN187" i="41" s="1"/>
  <c r="AL203" i="41"/>
  <c r="AL55" i="41"/>
  <c r="AN55" i="41" s="1"/>
  <c r="AM103" i="41"/>
  <c r="AL174" i="41"/>
  <c r="AN174" i="41" s="1"/>
  <c r="Z56" i="41"/>
  <c r="AL131" i="41"/>
  <c r="AN131" i="41" s="1"/>
  <c r="AM185" i="41"/>
  <c r="AL50" i="41"/>
  <c r="AN50" i="41" s="1"/>
  <c r="Z92" i="41"/>
  <c r="Z143" i="41"/>
  <c r="AL182" i="41"/>
  <c r="AN182" i="41" s="1"/>
  <c r="AL198" i="41"/>
  <c r="AN198" i="41" s="1"/>
  <c r="AM215" i="41"/>
  <c r="AL122" i="41"/>
  <c r="AN122" i="41" s="1"/>
  <c r="AL65" i="41"/>
  <c r="AN65" i="41" s="1"/>
  <c r="AM155" i="41"/>
  <c r="AM44" i="41"/>
  <c r="AL113" i="41"/>
  <c r="AN113" i="41" s="1"/>
  <c r="AL135" i="41"/>
  <c r="AN135" i="41" s="1"/>
  <c r="AL177" i="41"/>
  <c r="AN177" i="41" s="1"/>
  <c r="AL193" i="41"/>
  <c r="AN193" i="41" s="1"/>
  <c r="AL209" i="41"/>
  <c r="AN209" i="41" s="1"/>
  <c r="AL169" i="41"/>
  <c r="AN169" i="41" s="1"/>
  <c r="AL72" i="41"/>
  <c r="AN72" i="41" s="1"/>
  <c r="AM92" i="41"/>
  <c r="AL100" i="41"/>
  <c r="AN100" i="41" s="1"/>
  <c r="AL108" i="41"/>
  <c r="AN108" i="41" s="1"/>
  <c r="AL119" i="41"/>
  <c r="AN119" i="41" s="1"/>
  <c r="AL127" i="41"/>
  <c r="AN127" i="41" s="1"/>
  <c r="AL188" i="41"/>
  <c r="AN188" i="41" s="1"/>
  <c r="AL204" i="41"/>
  <c r="AN204" i="41" s="1"/>
  <c r="AM216" i="41"/>
  <c r="AL46" i="41"/>
  <c r="AN46" i="41" s="1"/>
  <c r="AL54" i="41"/>
  <c r="AN54" i="41" s="1"/>
  <c r="AM84" i="41"/>
  <c r="AL109" i="41"/>
  <c r="AN109" i="41" s="1"/>
  <c r="AL152" i="41"/>
  <c r="AN152" i="41" s="1"/>
  <c r="AL168" i="41"/>
  <c r="AN168" i="41" s="1"/>
  <c r="AL173" i="41"/>
  <c r="AN173" i="41" s="1"/>
  <c r="AL189" i="41"/>
  <c r="AN189" i="41" s="1"/>
  <c r="AL205" i="41"/>
  <c r="AN205" i="41" s="1"/>
  <c r="C19" i="41"/>
  <c r="X34" i="41" s="1"/>
  <c r="C17" i="41"/>
  <c r="S34" i="41" s="1"/>
  <c r="D17" i="41"/>
  <c r="AN218" i="41"/>
  <c r="AN216" i="41"/>
  <c r="AN215" i="41"/>
  <c r="AN214" i="41"/>
  <c r="AN213" i="41"/>
  <c r="AN212" i="41"/>
  <c r="AN211" i="41"/>
  <c r="AN203" i="41"/>
  <c r="AN200" i="41"/>
  <c r="AN199" i="41"/>
  <c r="AN197" i="41"/>
  <c r="AN196" i="41"/>
  <c r="AN190" i="41"/>
  <c r="AN185" i="41"/>
  <c r="AN184" i="41"/>
  <c r="AN183" i="41"/>
  <c r="AN181" i="41"/>
  <c r="AN180" i="41"/>
  <c r="AN178" i="41"/>
  <c r="AN171" i="41"/>
  <c r="AN167" i="41"/>
  <c r="AN160" i="41"/>
  <c r="AN158" i="41"/>
  <c r="AN155" i="41"/>
  <c r="AN147" i="41"/>
  <c r="AN125" i="41"/>
  <c r="AN117" i="41"/>
  <c r="AN115" i="41"/>
  <c r="AN112" i="41"/>
  <c r="AN106" i="41"/>
  <c r="AN105" i="41"/>
  <c r="AN103" i="41"/>
  <c r="AN102" i="41"/>
  <c r="AN99" i="41"/>
  <c r="AN98" i="41"/>
  <c r="AN97" i="41"/>
  <c r="AN92" i="41"/>
  <c r="AN84" i="41"/>
  <c r="AN83" i="41"/>
  <c r="AN82" i="41"/>
  <c r="AN81" i="41"/>
  <c r="AN45" i="41"/>
  <c r="AN44" i="41"/>
  <c r="AN49" i="41"/>
  <c r="AN57" i="41"/>
  <c r="AN53" i="41"/>
  <c r="AM136" i="41"/>
  <c r="AL136" i="41"/>
  <c r="AN136" i="41" s="1"/>
  <c r="AL67" i="41"/>
  <c r="AN67" i="41" s="1"/>
  <c r="Z81" i="41"/>
  <c r="AM157" i="41"/>
  <c r="AL157" i="41"/>
  <c r="AN157" i="41" s="1"/>
  <c r="AM49" i="41"/>
  <c r="AM41" i="41"/>
  <c r="AN41" i="41"/>
  <c r="Z51" i="41"/>
  <c r="AL58" i="41"/>
  <c r="AN58" i="41" s="1"/>
  <c r="AL70" i="41"/>
  <c r="AN70" i="41" s="1"/>
  <c r="AL78" i="41"/>
  <c r="AN78" i="41" s="1"/>
  <c r="AL86" i="41"/>
  <c r="AN86" i="41" s="1"/>
  <c r="AH41" i="41"/>
  <c r="AL60" i="41"/>
  <c r="AN60" i="41" s="1"/>
  <c r="AL75" i="41"/>
  <c r="AN75" i="41" s="1"/>
  <c r="AM51" i="41"/>
  <c r="AL51" i="41"/>
  <c r="AN51" i="41" s="1"/>
  <c r="AL73" i="41"/>
  <c r="AN73" i="41" s="1"/>
  <c r="Z84" i="41"/>
  <c r="Z87" i="41"/>
  <c r="Z146" i="41"/>
  <c r="AL48" i="41"/>
  <c r="AN48" i="41" s="1"/>
  <c r="Z57" i="41"/>
  <c r="AL61" i="41"/>
  <c r="AN61" i="41" s="1"/>
  <c r="AL90" i="41"/>
  <c r="AN90" i="41" s="1"/>
  <c r="AL76" i="41"/>
  <c r="AN76" i="41" s="1"/>
  <c r="Z50" i="41"/>
  <c r="AL59" i="41"/>
  <c r="AN59" i="41" s="1"/>
  <c r="AL68" i="41"/>
  <c r="AN68" i="41" s="1"/>
  <c r="Z218" i="41"/>
  <c r="Z217" i="41"/>
  <c r="Z216" i="41"/>
  <c r="Z215" i="41"/>
  <c r="Z214" i="41"/>
  <c r="Z207" i="41"/>
  <c r="Z191" i="41"/>
  <c r="Z175" i="41"/>
  <c r="Z173" i="41"/>
  <c r="Z164" i="41"/>
  <c r="Z134" i="41"/>
  <c r="Z133" i="41"/>
  <c r="Z132" i="41"/>
  <c r="Z131" i="41"/>
  <c r="Z130" i="41"/>
  <c r="Z129" i="41"/>
  <c r="Z128" i="41"/>
  <c r="Z127" i="41"/>
  <c r="Z126" i="41"/>
  <c r="Z125" i="41"/>
  <c r="Z124" i="41"/>
  <c r="Z123" i="41"/>
  <c r="Z122" i="41"/>
  <c r="Z121" i="41"/>
  <c r="Z120" i="41"/>
  <c r="Z119" i="41"/>
  <c r="Z118" i="41"/>
  <c r="Z200" i="41"/>
  <c r="Z184" i="41"/>
  <c r="Z171" i="41"/>
  <c r="Z157" i="41"/>
  <c r="Z149" i="41"/>
  <c r="Z141" i="41"/>
  <c r="Z117" i="41"/>
  <c r="Z116" i="41"/>
  <c r="Z115" i="41"/>
  <c r="Z114" i="41"/>
  <c r="Z113" i="41"/>
  <c r="Z112" i="41"/>
  <c r="Z111" i="41"/>
  <c r="Z110" i="41"/>
  <c r="Z109" i="41"/>
  <c r="Z108" i="41"/>
  <c r="Z107" i="41"/>
  <c r="Z106" i="41"/>
  <c r="Z105" i="41"/>
  <c r="Z104" i="41"/>
  <c r="Z103" i="41"/>
  <c r="Z102" i="41"/>
  <c r="Z101" i="41"/>
  <c r="Z100" i="41"/>
  <c r="Z99" i="41"/>
  <c r="Z98" i="41"/>
  <c r="Z97" i="41"/>
  <c r="Z96" i="41"/>
  <c r="Z95" i="41"/>
  <c r="Z94" i="41"/>
  <c r="Z209" i="41"/>
  <c r="Z193" i="41"/>
  <c r="Z177" i="41"/>
  <c r="Z162" i="41"/>
  <c r="Z202" i="41"/>
  <c r="Z186" i="41"/>
  <c r="Z211" i="41"/>
  <c r="Z195" i="41"/>
  <c r="Z179" i="41"/>
  <c r="Z160" i="41"/>
  <c r="Z204" i="41"/>
  <c r="Z188" i="41"/>
  <c r="Z167" i="41"/>
  <c r="Z155" i="41"/>
  <c r="Z147" i="41"/>
  <c r="Z139" i="41"/>
  <c r="Z197" i="41"/>
  <c r="Z181" i="41"/>
  <c r="Z136" i="41"/>
  <c r="Z206" i="41"/>
  <c r="Z190" i="41"/>
  <c r="Z165" i="41"/>
  <c r="Z158" i="41"/>
  <c r="Z150" i="41"/>
  <c r="Z142" i="41"/>
  <c r="Z213" i="41"/>
  <c r="Z199" i="41"/>
  <c r="Z183" i="41"/>
  <c r="Z174" i="41"/>
  <c r="Z172" i="41"/>
  <c r="Z208" i="41"/>
  <c r="Z192" i="41"/>
  <c r="Z201" i="41"/>
  <c r="Z185" i="41"/>
  <c r="Z170" i="41"/>
  <c r="Z210" i="41"/>
  <c r="Z194" i="41"/>
  <c r="Z178" i="41"/>
  <c r="Z161" i="41"/>
  <c r="Z156" i="41"/>
  <c r="Z148" i="41"/>
  <c r="Z140" i="41"/>
  <c r="Z203" i="41"/>
  <c r="Z187" i="41"/>
  <c r="Z168" i="41"/>
  <c r="Z196" i="41"/>
  <c r="Z180" i="41"/>
  <c r="Z198" i="41"/>
  <c r="Z135" i="41"/>
  <c r="Z163" i="41"/>
  <c r="Z159" i="41"/>
  <c r="Z145" i="41"/>
  <c r="Z89" i="41"/>
  <c r="Z85" i="41"/>
  <c r="Z42" i="41"/>
  <c r="Z93" i="41"/>
  <c r="Z182" i="41"/>
  <c r="Z152" i="41"/>
  <c r="Z138" i="41"/>
  <c r="Z205" i="41"/>
  <c r="Z49" i="41"/>
  <c r="Z48" i="41"/>
  <c r="Z151" i="41"/>
  <c r="Z137" i="41"/>
  <c r="Z90" i="41"/>
  <c r="Z86" i="41"/>
  <c r="Z80" i="41"/>
  <c r="Z79" i="41"/>
  <c r="Z78" i="41"/>
  <c r="Z77" i="41"/>
  <c r="Z76" i="41"/>
  <c r="Z75" i="41"/>
  <c r="Z74" i="41"/>
  <c r="Z73" i="41"/>
  <c r="Z72" i="41"/>
  <c r="Z71" i="41"/>
  <c r="Z70" i="41"/>
  <c r="Z69" i="41"/>
  <c r="Z68" i="41"/>
  <c r="Z67" i="41"/>
  <c r="Z66" i="41"/>
  <c r="Z65" i="41"/>
  <c r="Z64" i="41"/>
  <c r="Z63" i="41"/>
  <c r="Z62" i="41"/>
  <c r="Z61" i="41"/>
  <c r="Z60" i="41"/>
  <c r="Z59" i="41"/>
  <c r="Z58" i="41"/>
  <c r="Z166" i="41"/>
  <c r="Z144" i="41"/>
  <c r="Z55" i="41"/>
  <c r="Z54" i="41"/>
  <c r="Z189" i="41"/>
  <c r="Z82" i="41"/>
  <c r="Z154" i="41"/>
  <c r="Z53" i="41"/>
  <c r="Z47" i="41"/>
  <c r="Z46" i="41"/>
  <c r="Z176" i="41"/>
  <c r="Z83" i="41"/>
  <c r="Z52" i="41"/>
  <c r="Z45" i="41"/>
  <c r="Z153" i="41"/>
  <c r="Z88" i="41"/>
  <c r="AM42" i="41"/>
  <c r="AL42" i="41"/>
  <c r="AN42" i="41" s="1"/>
  <c r="AL66" i="41"/>
  <c r="AN66" i="41" s="1"/>
  <c r="AL74" i="41"/>
  <c r="AN74" i="41" s="1"/>
  <c r="Z41" i="41"/>
  <c r="Z44" i="41"/>
  <c r="AL64" i="41"/>
  <c r="AN64" i="41" s="1"/>
  <c r="AL69" i="41"/>
  <c r="AN69" i="41" s="1"/>
  <c r="AL77" i="41"/>
  <c r="AN77" i="41" s="1"/>
  <c r="AM95" i="41"/>
  <c r="AL95" i="41"/>
  <c r="AN95" i="41" s="1"/>
  <c r="AL164" i="41"/>
  <c r="AN164" i="41" s="1"/>
  <c r="AM161" i="41"/>
  <c r="AL161" i="41"/>
  <c r="AN161" i="41" s="1"/>
  <c r="AL87" i="41"/>
  <c r="AN87" i="41" s="1"/>
  <c r="AL91" i="41"/>
  <c r="AN91" i="41" s="1"/>
  <c r="AL94" i="41"/>
  <c r="AN94" i="41" s="1"/>
  <c r="AM134" i="41"/>
  <c r="AL134" i="41"/>
  <c r="AN134" i="41" s="1"/>
  <c r="AL138" i="41"/>
  <c r="AN138" i="41" s="1"/>
  <c r="AL146" i="41"/>
  <c r="AN146" i="41" s="1"/>
  <c r="AL154" i="41"/>
  <c r="AN154" i="41" s="1"/>
  <c r="AL166" i="41"/>
  <c r="AN166" i="41" s="1"/>
  <c r="AL137" i="41"/>
  <c r="AN137" i="41" s="1"/>
  <c r="AL145" i="41"/>
  <c r="AN145" i="41" s="1"/>
  <c r="AL153" i="41"/>
  <c r="AN153" i="41" s="1"/>
  <c r="AV42" i="31"/>
  <c r="AQ109" i="31"/>
  <c r="AR109" i="31" s="1"/>
  <c r="BK109" i="31"/>
  <c r="AQ110" i="31"/>
  <c r="AR110" i="31" s="1"/>
  <c r="BK110" i="31"/>
  <c r="AQ111" i="31"/>
  <c r="AR111" i="31" s="1"/>
  <c r="BK111" i="31"/>
  <c r="AQ112" i="31"/>
  <c r="AR112" i="31" s="1"/>
  <c r="BK112" i="31"/>
  <c r="AQ113" i="31"/>
  <c r="AR113" i="31"/>
  <c r="BK113" i="31"/>
  <c r="AQ114" i="31"/>
  <c r="AR114" i="31" s="1"/>
  <c r="BK114" i="31"/>
  <c r="AQ107" i="31"/>
  <c r="AR107" i="31" s="1"/>
  <c r="BK107" i="31"/>
  <c r="AQ108" i="31"/>
  <c r="AR108" i="31" s="1"/>
  <c r="BK108" i="31"/>
  <c r="AQ103" i="31"/>
  <c r="AR103" i="31" s="1"/>
  <c r="BK103" i="31"/>
  <c r="AQ104" i="31"/>
  <c r="AR104" i="31" s="1"/>
  <c r="BK104" i="31"/>
  <c r="AQ105" i="31"/>
  <c r="AR105" i="31"/>
  <c r="BK105" i="31"/>
  <c r="AQ106" i="31"/>
  <c r="AR106" i="31" s="1"/>
  <c r="BK106" i="31"/>
  <c r="Q13" i="31"/>
  <c r="AQ44" i="31"/>
  <c r="AR44" i="31" s="1"/>
  <c r="AY44" i="31"/>
  <c r="BK44" i="31"/>
  <c r="AQ79" i="31"/>
  <c r="AR79" i="31" s="1"/>
  <c r="BK79" i="31"/>
  <c r="AQ59" i="31"/>
  <c r="AR59" i="31" s="1"/>
  <c r="BK59" i="31"/>
  <c r="AQ51" i="31"/>
  <c r="AR51" i="31" s="1"/>
  <c r="BK51" i="31"/>
  <c r="AQ53" i="31"/>
  <c r="AR53" i="31" s="1"/>
  <c r="BK53" i="31"/>
  <c r="AQ50" i="31"/>
  <c r="AR50" i="31" s="1"/>
  <c r="BK50" i="31"/>
  <c r="V5" i="31"/>
  <c r="T5" i="31"/>
  <c r="Q5" i="31"/>
  <c r="AX38" i="31"/>
  <c r="AX39" i="31" s="1"/>
  <c r="AX40" i="31"/>
  <c r="O4" i="31"/>
  <c r="Q11" i="31"/>
  <c r="P4" i="31"/>
  <c r="V7" i="31"/>
  <c r="T7" i="31"/>
  <c r="AV112" i="31" l="1"/>
  <c r="AU113" i="31"/>
  <c r="AW44" i="31"/>
  <c r="AW67" i="31"/>
  <c r="AW75" i="31"/>
  <c r="AW83" i="31"/>
  <c r="AW91" i="31"/>
  <c r="AW99" i="31"/>
  <c r="AW107" i="31"/>
  <c r="AW43" i="31"/>
  <c r="AW54" i="31"/>
  <c r="AW80" i="31"/>
  <c r="AW96" i="31"/>
  <c r="AW73" i="31"/>
  <c r="AW89" i="31"/>
  <c r="AW113" i="31"/>
  <c r="AW66" i="31"/>
  <c r="AW74" i="31"/>
  <c r="AW82" i="31"/>
  <c r="AW90" i="31"/>
  <c r="AW98" i="31"/>
  <c r="AW106" i="31"/>
  <c r="AW114" i="31"/>
  <c r="AW45" i="31"/>
  <c r="AW68" i="31"/>
  <c r="AW76" i="31"/>
  <c r="AW84" i="31"/>
  <c r="AW92" i="31"/>
  <c r="AW100" i="31"/>
  <c r="AW108" i="31"/>
  <c r="AW51" i="31"/>
  <c r="AW70" i="31"/>
  <c r="AW78" i="31"/>
  <c r="AW94" i="31"/>
  <c r="AW102" i="31"/>
  <c r="AW110" i="31"/>
  <c r="AW71" i="31"/>
  <c r="AW87" i="31"/>
  <c r="AW103" i="31"/>
  <c r="AW72" i="31"/>
  <c r="AW88" i="31"/>
  <c r="AW104" i="31"/>
  <c r="AW59" i="31"/>
  <c r="AW81" i="31"/>
  <c r="AW105" i="31"/>
  <c r="AW50" i="31"/>
  <c r="AW69" i="31"/>
  <c r="AW77" i="31"/>
  <c r="AW85" i="31"/>
  <c r="AW93" i="31"/>
  <c r="AW101" i="31"/>
  <c r="AW109" i="31"/>
  <c r="AW86" i="31"/>
  <c r="AW53" i="31"/>
  <c r="AW79" i="31"/>
  <c r="AW95" i="31"/>
  <c r="AW111" i="31"/>
  <c r="AW112" i="31"/>
  <c r="AW97" i="31"/>
  <c r="AX51" i="31"/>
  <c r="AX53" i="31"/>
  <c r="AX44" i="31"/>
  <c r="AX59" i="31"/>
  <c r="AX50" i="31"/>
  <c r="AH42" i="41"/>
  <c r="AH52" i="41"/>
  <c r="AG53" i="41"/>
  <c r="S38" i="41"/>
  <c r="S54" i="41" s="1"/>
  <c r="F17" i="41"/>
  <c r="D19" i="41"/>
  <c r="E17" i="41"/>
  <c r="X218" i="41"/>
  <c r="X217" i="41"/>
  <c r="X216" i="41"/>
  <c r="X198" i="41"/>
  <c r="X182" i="41"/>
  <c r="X154" i="41"/>
  <c r="X146" i="41"/>
  <c r="X138" i="41"/>
  <c r="X207" i="41"/>
  <c r="X191" i="41"/>
  <c r="X175" i="41"/>
  <c r="X173" i="41"/>
  <c r="X164" i="41"/>
  <c r="X200" i="41"/>
  <c r="X184" i="41"/>
  <c r="X171" i="41"/>
  <c r="X157" i="41"/>
  <c r="X149" i="41"/>
  <c r="X141" i="41"/>
  <c r="X134" i="41"/>
  <c r="X133" i="41"/>
  <c r="X132" i="41"/>
  <c r="X131" i="41"/>
  <c r="X130" i="41"/>
  <c r="X129" i="41"/>
  <c r="X128" i="41"/>
  <c r="X127" i="41"/>
  <c r="X126" i="41"/>
  <c r="X125" i="41"/>
  <c r="X124" i="41"/>
  <c r="X123" i="41"/>
  <c r="X122" i="41"/>
  <c r="X121" i="41"/>
  <c r="X120" i="41"/>
  <c r="X119" i="41"/>
  <c r="X118" i="41"/>
  <c r="X214" i="41"/>
  <c r="X209" i="41"/>
  <c r="X193" i="41"/>
  <c r="X202" i="41"/>
  <c r="X186" i="41"/>
  <c r="X169" i="41"/>
  <c r="X152" i="41"/>
  <c r="X144" i="41"/>
  <c r="X211" i="41"/>
  <c r="X195" i="41"/>
  <c r="X179" i="41"/>
  <c r="X160" i="41"/>
  <c r="X135" i="41"/>
  <c r="X204" i="41"/>
  <c r="X188" i="41"/>
  <c r="X167" i="41"/>
  <c r="X155" i="41"/>
  <c r="X147" i="41"/>
  <c r="X139" i="41"/>
  <c r="X197" i="41"/>
  <c r="X181" i="41"/>
  <c r="X206" i="41"/>
  <c r="X190" i="41"/>
  <c r="X165" i="41"/>
  <c r="X158" i="41"/>
  <c r="X150" i="41"/>
  <c r="X142" i="41"/>
  <c r="X136" i="41"/>
  <c r="X213" i="41"/>
  <c r="X199" i="41"/>
  <c r="X208" i="41"/>
  <c r="X192" i="41"/>
  <c r="X176" i="41"/>
  <c r="X163" i="41"/>
  <c r="X153" i="41"/>
  <c r="X145" i="41"/>
  <c r="X201" i="41"/>
  <c r="X185" i="41"/>
  <c r="X170" i="41"/>
  <c r="X137" i="41"/>
  <c r="X210" i="41"/>
  <c r="X194" i="41"/>
  <c r="X178" i="41"/>
  <c r="X161" i="41"/>
  <c r="X156" i="41"/>
  <c r="X148" i="41"/>
  <c r="X140" i="41"/>
  <c r="X203" i="41"/>
  <c r="X187" i="41"/>
  <c r="X212" i="41"/>
  <c r="X205" i="41"/>
  <c r="X189" i="41"/>
  <c r="X105" i="41"/>
  <c r="X114" i="41"/>
  <c r="X107" i="41"/>
  <c r="X196" i="41"/>
  <c r="X103" i="41"/>
  <c r="X159" i="41"/>
  <c r="X116" i="41"/>
  <c r="X98" i="41"/>
  <c r="X89" i="41"/>
  <c r="X85" i="41"/>
  <c r="X174" i="41"/>
  <c r="X109" i="41"/>
  <c r="X101" i="41"/>
  <c r="X111" i="41"/>
  <c r="X93" i="41"/>
  <c r="X41" i="41"/>
  <c r="X162" i="41"/>
  <c r="X151" i="41"/>
  <c r="X215" i="41"/>
  <c r="X177" i="41"/>
  <c r="X166" i="41"/>
  <c r="X113" i="41"/>
  <c r="X106" i="41"/>
  <c r="X90" i="41"/>
  <c r="X86" i="41"/>
  <c r="X80" i="41"/>
  <c r="X79" i="41"/>
  <c r="X78" i="41"/>
  <c r="X77" i="41"/>
  <c r="X76" i="41"/>
  <c r="X75" i="41"/>
  <c r="X74" i="41"/>
  <c r="X73" i="41"/>
  <c r="X72" i="41"/>
  <c r="X71" i="41"/>
  <c r="X70" i="41"/>
  <c r="X69" i="41"/>
  <c r="X68" i="41"/>
  <c r="X67" i="41"/>
  <c r="X66" i="41"/>
  <c r="X65" i="41"/>
  <c r="X64" i="41"/>
  <c r="X63" i="41"/>
  <c r="X62" i="41"/>
  <c r="X61" i="41"/>
  <c r="X60" i="41"/>
  <c r="X59" i="41"/>
  <c r="X58" i="41"/>
  <c r="X104" i="41"/>
  <c r="X99" i="41"/>
  <c r="X81" i="41"/>
  <c r="X57" i="41"/>
  <c r="X56" i="41"/>
  <c r="X180" i="41"/>
  <c r="X143" i="41"/>
  <c r="X108" i="41"/>
  <c r="X102" i="41"/>
  <c r="X94" i="41"/>
  <c r="X82" i="41"/>
  <c r="X172" i="41"/>
  <c r="X117" i="41"/>
  <c r="X91" i="41"/>
  <c r="X87" i="41"/>
  <c r="X168" i="41"/>
  <c r="X83" i="41"/>
  <c r="X92" i="41"/>
  <c r="X95" i="41"/>
  <c r="X49" i="41"/>
  <c r="X44" i="41"/>
  <c r="X52" i="41"/>
  <c r="X183" i="41"/>
  <c r="X88" i="41"/>
  <c r="X112" i="41"/>
  <c r="X55" i="41"/>
  <c r="X47" i="41"/>
  <c r="X50" i="41"/>
  <c r="X54" i="41"/>
  <c r="X45" i="41"/>
  <c r="X42" i="41"/>
  <c r="X51" i="41"/>
  <c r="X96" i="41"/>
  <c r="X115" i="41"/>
  <c r="X53" i="41"/>
  <c r="X84" i="41"/>
  <c r="X48" i="41"/>
  <c r="X100" i="41"/>
  <c r="X46" i="41"/>
  <c r="X97" i="41"/>
  <c r="X110" i="41"/>
  <c r="X43" i="41"/>
  <c r="AT113" i="31"/>
  <c r="AS113" i="31"/>
  <c r="AT109" i="31"/>
  <c r="AU112" i="31"/>
  <c r="AS109" i="31"/>
  <c r="AX114" i="31"/>
  <c r="AX113" i="31"/>
  <c r="AT112" i="31"/>
  <c r="AV113" i="31"/>
  <c r="AS112" i="31"/>
  <c r="AS111" i="31"/>
  <c r="AX109" i="31"/>
  <c r="AV109" i="31"/>
  <c r="AU109" i="31"/>
  <c r="AT111" i="31"/>
  <c r="AU111" i="31"/>
  <c r="AX111" i="31"/>
  <c r="AV111" i="31"/>
  <c r="AS114" i="31"/>
  <c r="AT114" i="31"/>
  <c r="AU114" i="31"/>
  <c r="AV114" i="31"/>
  <c r="AS110" i="31"/>
  <c r="AX110" i="31"/>
  <c r="AT110" i="31"/>
  <c r="AU110" i="31"/>
  <c r="AV110" i="31"/>
  <c r="AX112" i="31"/>
  <c r="AT107" i="31"/>
  <c r="AU107" i="31"/>
  <c r="AX107" i="31"/>
  <c r="AS107" i="31"/>
  <c r="AV107" i="31"/>
  <c r="AU108" i="31"/>
  <c r="AV108" i="31"/>
  <c r="AS108" i="31"/>
  <c r="AT108" i="31"/>
  <c r="AX108" i="31"/>
  <c r="AS103" i="31"/>
  <c r="AS106" i="31"/>
  <c r="AU103" i="31"/>
  <c r="AT106" i="31"/>
  <c r="AV103" i="31"/>
  <c r="AU106" i="31"/>
  <c r="AX103" i="31"/>
  <c r="AX104" i="31"/>
  <c r="AT103" i="31"/>
  <c r="AV104" i="31"/>
  <c r="AT105" i="31"/>
  <c r="AU105" i="31"/>
  <c r="AV105" i="31"/>
  <c r="AS105" i="31"/>
  <c r="AX105" i="31"/>
  <c r="AV106" i="31"/>
  <c r="AX106" i="31"/>
  <c r="AS104" i="31"/>
  <c r="AT104" i="31"/>
  <c r="AU104" i="31"/>
  <c r="AX79" i="31"/>
  <c r="AS44" i="31"/>
  <c r="AV44" i="31"/>
  <c r="AT44" i="31"/>
  <c r="AU44" i="31"/>
  <c r="AS79" i="31"/>
  <c r="AT79" i="31"/>
  <c r="AU79" i="31"/>
  <c r="AV79" i="31"/>
  <c r="AV59" i="31"/>
  <c r="AT59" i="31"/>
  <c r="AU59" i="31"/>
  <c r="AS59" i="31"/>
  <c r="AT51" i="31"/>
  <c r="AU51" i="31"/>
  <c r="AV51" i="31"/>
  <c r="AS51" i="31"/>
  <c r="AU53" i="31"/>
  <c r="AT53" i="31"/>
  <c r="AV53" i="31"/>
  <c r="AS53" i="31"/>
  <c r="AS50" i="31"/>
  <c r="AT50" i="31"/>
  <c r="AU50" i="31"/>
  <c r="AV50" i="31"/>
  <c r="I66" i="31"/>
  <c r="AR40" i="31"/>
  <c r="AQ43" i="31"/>
  <c r="AA84" i="41" l="1"/>
  <c r="AD84" i="41" s="1"/>
  <c r="Y84" i="41"/>
  <c r="Y49" i="41"/>
  <c r="AA49" i="41"/>
  <c r="AD49" i="41" s="1"/>
  <c r="AA57" i="41"/>
  <c r="AD57" i="41" s="1"/>
  <c r="Y57" i="41"/>
  <c r="AA70" i="41"/>
  <c r="AD70" i="41" s="1"/>
  <c r="Y70" i="41"/>
  <c r="AA177" i="41"/>
  <c r="AD177" i="41" s="1"/>
  <c r="Y177" i="41"/>
  <c r="AA196" i="41"/>
  <c r="AD196" i="41" s="1"/>
  <c r="Y196" i="41"/>
  <c r="AA137" i="41"/>
  <c r="AD137" i="41" s="1"/>
  <c r="Y137" i="41"/>
  <c r="Y165" i="41"/>
  <c r="AA165" i="41"/>
  <c r="AD165" i="41" s="1"/>
  <c r="Y144" i="41"/>
  <c r="AA144" i="41"/>
  <c r="AD144" i="41" s="1"/>
  <c r="Y126" i="41"/>
  <c r="AA126" i="41"/>
  <c r="AD126" i="41" s="1"/>
  <c r="AA173" i="41"/>
  <c r="AD173" i="41" s="1"/>
  <c r="Y173" i="41"/>
  <c r="AA104" i="41"/>
  <c r="AD104" i="41" s="1"/>
  <c r="Y104" i="41"/>
  <c r="AA181" i="41"/>
  <c r="AD181" i="41" s="1"/>
  <c r="Y181" i="41"/>
  <c r="AA186" i="41"/>
  <c r="AD186" i="41" s="1"/>
  <c r="Y186" i="41"/>
  <c r="Y129" i="41"/>
  <c r="AA129" i="41"/>
  <c r="AD129" i="41" s="1"/>
  <c r="AA207" i="41"/>
  <c r="AD207" i="41" s="1"/>
  <c r="Y207" i="41"/>
  <c r="AA81" i="41"/>
  <c r="AD81" i="41" s="1"/>
  <c r="Y81" i="41"/>
  <c r="AA115" i="41"/>
  <c r="AD115" i="41" s="1"/>
  <c r="Y115" i="41"/>
  <c r="AA83" i="41"/>
  <c r="AD83" i="41" s="1"/>
  <c r="Y83" i="41"/>
  <c r="AA51" i="41"/>
  <c r="AD51" i="41" s="1"/>
  <c r="Y51" i="41"/>
  <c r="Y168" i="41"/>
  <c r="AA168" i="41"/>
  <c r="AD168" i="41" s="1"/>
  <c r="AA58" i="41"/>
  <c r="AD58" i="41" s="1"/>
  <c r="Y58" i="41"/>
  <c r="AA74" i="41"/>
  <c r="AD74" i="41" s="1"/>
  <c r="Y74" i="41"/>
  <c r="AA41" i="41"/>
  <c r="AD41" i="41" s="1"/>
  <c r="Y41" i="41"/>
  <c r="AA189" i="41"/>
  <c r="AD189" i="41" s="1"/>
  <c r="Y189" i="41"/>
  <c r="Y145" i="41"/>
  <c r="AA145" i="41"/>
  <c r="AD145" i="41" s="1"/>
  <c r="AA197" i="41"/>
  <c r="AD197" i="41" s="1"/>
  <c r="Y197" i="41"/>
  <c r="AA202" i="41"/>
  <c r="AD202" i="41" s="1"/>
  <c r="Y202" i="41"/>
  <c r="Y130" i="41"/>
  <c r="AA130" i="41"/>
  <c r="AD130" i="41" s="1"/>
  <c r="Y138" i="41"/>
  <c r="AA138" i="41"/>
  <c r="AD138" i="41" s="1"/>
  <c r="Y95" i="41"/>
  <c r="AA95" i="41"/>
  <c r="AD95" i="41" s="1"/>
  <c r="AA107" i="41"/>
  <c r="AD107" i="41" s="1"/>
  <c r="Y107" i="41"/>
  <c r="Y169" i="41"/>
  <c r="AA169" i="41"/>
  <c r="AD169" i="41" s="1"/>
  <c r="AA105" i="41"/>
  <c r="AD105" i="41" s="1"/>
  <c r="Y105" i="41"/>
  <c r="Y42" i="41"/>
  <c r="AA42" i="41"/>
  <c r="AD42" i="41" s="1"/>
  <c r="AA87" i="41"/>
  <c r="AD87" i="41" s="1"/>
  <c r="Y87" i="41"/>
  <c r="AA59" i="41"/>
  <c r="AD59" i="41" s="1"/>
  <c r="Y59" i="41"/>
  <c r="AA75" i="41"/>
  <c r="AD75" i="41" s="1"/>
  <c r="Y75" i="41"/>
  <c r="AA93" i="41"/>
  <c r="AD93" i="41" s="1"/>
  <c r="Y93" i="41"/>
  <c r="AA205" i="41"/>
  <c r="AD205" i="41" s="1"/>
  <c r="Y205" i="41"/>
  <c r="Y153" i="41"/>
  <c r="AA153" i="41"/>
  <c r="AD153" i="41" s="1"/>
  <c r="Y139" i="41"/>
  <c r="AA139" i="41"/>
  <c r="AD139" i="41" s="1"/>
  <c r="AA193" i="41"/>
  <c r="AD193" i="41" s="1"/>
  <c r="Y193" i="41"/>
  <c r="Y131" i="41"/>
  <c r="AA131" i="41"/>
  <c r="AD131" i="41" s="1"/>
  <c r="Y146" i="41"/>
  <c r="AA146" i="41"/>
  <c r="AD146" i="41" s="1"/>
  <c r="AA92" i="41"/>
  <c r="AD92" i="41" s="1"/>
  <c r="Y92" i="41"/>
  <c r="AA201" i="41"/>
  <c r="AD201" i="41" s="1"/>
  <c r="Y201" i="41"/>
  <c r="AA45" i="41"/>
  <c r="AD45" i="41" s="1"/>
  <c r="Y45" i="41"/>
  <c r="AA91" i="41"/>
  <c r="AD91" i="41" s="1"/>
  <c r="Y91" i="41"/>
  <c r="AA60" i="41"/>
  <c r="AD60" i="41" s="1"/>
  <c r="Y60" i="41"/>
  <c r="AA76" i="41"/>
  <c r="AD76" i="41" s="1"/>
  <c r="Y76" i="41"/>
  <c r="AA111" i="41"/>
  <c r="AD111" i="41" s="1"/>
  <c r="Y111" i="41"/>
  <c r="AA212" i="41"/>
  <c r="AD212" i="41" s="1"/>
  <c r="Y212" i="41"/>
  <c r="Y163" i="41"/>
  <c r="AA163" i="41"/>
  <c r="AD163" i="41" s="1"/>
  <c r="Y147" i="41"/>
  <c r="AA147" i="41"/>
  <c r="AD147" i="41" s="1"/>
  <c r="AA209" i="41"/>
  <c r="AD209" i="41" s="1"/>
  <c r="Y209" i="41"/>
  <c r="Y132" i="41"/>
  <c r="AA132" i="41"/>
  <c r="AD132" i="41" s="1"/>
  <c r="Y154" i="41"/>
  <c r="AA154" i="41"/>
  <c r="AD154" i="41" s="1"/>
  <c r="Y170" i="41"/>
  <c r="AA170" i="41"/>
  <c r="AD170" i="41" s="1"/>
  <c r="Y151" i="41"/>
  <c r="AA151" i="41"/>
  <c r="AD151" i="41" s="1"/>
  <c r="AA96" i="41"/>
  <c r="AD96" i="41" s="1"/>
  <c r="Y96" i="41"/>
  <c r="Y162" i="41"/>
  <c r="AA162" i="41"/>
  <c r="AD162" i="41" s="1"/>
  <c r="Y54" i="41"/>
  <c r="AA54" i="41"/>
  <c r="AD54" i="41" s="1"/>
  <c r="AA117" i="41"/>
  <c r="AD117" i="41" s="1"/>
  <c r="Y117" i="41"/>
  <c r="AA61" i="41"/>
  <c r="AD61" i="41" s="1"/>
  <c r="Y61" i="41"/>
  <c r="AA77" i="41"/>
  <c r="AD77" i="41" s="1"/>
  <c r="Y77" i="41"/>
  <c r="AA101" i="41"/>
  <c r="AD101" i="41" s="1"/>
  <c r="Y101" i="41"/>
  <c r="AA187" i="41"/>
  <c r="AD187" i="41" s="1"/>
  <c r="Y187" i="41"/>
  <c r="AA176" i="41"/>
  <c r="AD176" i="41" s="1"/>
  <c r="Y176" i="41"/>
  <c r="Y155" i="41"/>
  <c r="AA155" i="41"/>
  <c r="AD155" i="41" s="1"/>
  <c r="AA214" i="41"/>
  <c r="AD214" i="41" s="1"/>
  <c r="Y214" i="41"/>
  <c r="Y133" i="41"/>
  <c r="AA133" i="41"/>
  <c r="AD133" i="41" s="1"/>
  <c r="AA182" i="41"/>
  <c r="AD182" i="41" s="1"/>
  <c r="Y182" i="41"/>
  <c r="AA190" i="41"/>
  <c r="AD190" i="41" s="1"/>
  <c r="Y190" i="41"/>
  <c r="Y128" i="41"/>
  <c r="AA128" i="41"/>
  <c r="AD128" i="41" s="1"/>
  <c r="AA73" i="41"/>
  <c r="AD73" i="41" s="1"/>
  <c r="Y73" i="41"/>
  <c r="AA50" i="41"/>
  <c r="AD50" i="41" s="1"/>
  <c r="Y50" i="41"/>
  <c r="AA172" i="41"/>
  <c r="AD172" i="41" s="1"/>
  <c r="Y172" i="41"/>
  <c r="AA62" i="41"/>
  <c r="AD62" i="41" s="1"/>
  <c r="Y62" i="41"/>
  <c r="AA78" i="41"/>
  <c r="AD78" i="41" s="1"/>
  <c r="Y78" i="41"/>
  <c r="AA109" i="41"/>
  <c r="AD109" i="41" s="1"/>
  <c r="Y109" i="41"/>
  <c r="AA203" i="41"/>
  <c r="AD203" i="41" s="1"/>
  <c r="Y203" i="41"/>
  <c r="AA192" i="41"/>
  <c r="AD192" i="41" s="1"/>
  <c r="Y192" i="41"/>
  <c r="Y167" i="41"/>
  <c r="AA167" i="41"/>
  <c r="AD167" i="41" s="1"/>
  <c r="Y118" i="41"/>
  <c r="AA118" i="41"/>
  <c r="AD118" i="41" s="1"/>
  <c r="Y134" i="41"/>
  <c r="AA134" i="41"/>
  <c r="AD134" i="41" s="1"/>
  <c r="AA198" i="41"/>
  <c r="AD198" i="41" s="1"/>
  <c r="Y198" i="41"/>
  <c r="AA71" i="41"/>
  <c r="AD71" i="41" s="1"/>
  <c r="Y71" i="41"/>
  <c r="AA191" i="41"/>
  <c r="AD191" i="41" s="1"/>
  <c r="Y191" i="41"/>
  <c r="Y47" i="41"/>
  <c r="AA47" i="41"/>
  <c r="AD47" i="41" s="1"/>
  <c r="AA82" i="41"/>
  <c r="AD82" i="41" s="1"/>
  <c r="Y82" i="41"/>
  <c r="AA63" i="41"/>
  <c r="AD63" i="41" s="1"/>
  <c r="Y63" i="41"/>
  <c r="AA79" i="41"/>
  <c r="AD79" i="41" s="1"/>
  <c r="Y79" i="41"/>
  <c r="AA174" i="41"/>
  <c r="AD174" i="41" s="1"/>
  <c r="Y174" i="41"/>
  <c r="Y140" i="41"/>
  <c r="AA140" i="41"/>
  <c r="AD140" i="41" s="1"/>
  <c r="AA208" i="41"/>
  <c r="AD208" i="41" s="1"/>
  <c r="Y208" i="41"/>
  <c r="AA188" i="41"/>
  <c r="AD188" i="41" s="1"/>
  <c r="Y188" i="41"/>
  <c r="Y119" i="41"/>
  <c r="AA119" i="41"/>
  <c r="AD119" i="41" s="1"/>
  <c r="Y141" i="41"/>
  <c r="AA141" i="41"/>
  <c r="AD141" i="41" s="1"/>
  <c r="AA216" i="41"/>
  <c r="AD216" i="41" s="1"/>
  <c r="Y216" i="41"/>
  <c r="Y55" i="41"/>
  <c r="AA55" i="41"/>
  <c r="AD55" i="41" s="1"/>
  <c r="AA94" i="41"/>
  <c r="AD94" i="41" s="1"/>
  <c r="Y94" i="41"/>
  <c r="AA64" i="41"/>
  <c r="AD64" i="41" s="1"/>
  <c r="Y64" i="41"/>
  <c r="Y85" i="41"/>
  <c r="AA85" i="41"/>
  <c r="AD85" i="41" s="1"/>
  <c r="Y120" i="41"/>
  <c r="AA120" i="41"/>
  <c r="AD120" i="41" s="1"/>
  <c r="Y149" i="41"/>
  <c r="AA149" i="41"/>
  <c r="AD149" i="41" s="1"/>
  <c r="AA217" i="41"/>
  <c r="AD217" i="41" s="1"/>
  <c r="Y217" i="41"/>
  <c r="Y99" i="41"/>
  <c r="AA99" i="41"/>
  <c r="AD99" i="41" s="1"/>
  <c r="AA80" i="41"/>
  <c r="AD80" i="41" s="1"/>
  <c r="Y80" i="41"/>
  <c r="AA110" i="41"/>
  <c r="AD110" i="41" s="1"/>
  <c r="Y110" i="41"/>
  <c r="AA112" i="41"/>
  <c r="AD112" i="41" s="1"/>
  <c r="Y112" i="41"/>
  <c r="AA102" i="41"/>
  <c r="AD102" i="41" s="1"/>
  <c r="Y102" i="41"/>
  <c r="AA65" i="41"/>
  <c r="AD65" i="41" s="1"/>
  <c r="Y65" i="41"/>
  <c r="AA86" i="41"/>
  <c r="AD86" i="41" s="1"/>
  <c r="Y86" i="41"/>
  <c r="Y89" i="41"/>
  <c r="AA89" i="41"/>
  <c r="AD89" i="41" s="1"/>
  <c r="Y156" i="41"/>
  <c r="AA156" i="41"/>
  <c r="AD156" i="41" s="1"/>
  <c r="AA213" i="41"/>
  <c r="AD213" i="41" s="1"/>
  <c r="Y213" i="41"/>
  <c r="AA135" i="41"/>
  <c r="AD135" i="41" s="1"/>
  <c r="Y135" i="41"/>
  <c r="Y121" i="41"/>
  <c r="AA121" i="41"/>
  <c r="AD121" i="41" s="1"/>
  <c r="Y157" i="41"/>
  <c r="AA157" i="41"/>
  <c r="AD157" i="41" s="1"/>
  <c r="AA218" i="41"/>
  <c r="AD218" i="41" s="1"/>
  <c r="Y218" i="41"/>
  <c r="AA175" i="41"/>
  <c r="AD175" i="41" s="1"/>
  <c r="Y175" i="41"/>
  <c r="AA185" i="41"/>
  <c r="AD185" i="41" s="1"/>
  <c r="Y185" i="41"/>
  <c r="AA199" i="41"/>
  <c r="AD199" i="41" s="1"/>
  <c r="Y199" i="41"/>
  <c r="AA97" i="41"/>
  <c r="AD97" i="41" s="1"/>
  <c r="Y97" i="41"/>
  <c r="AA88" i="41"/>
  <c r="AD88" i="41" s="1"/>
  <c r="Y88" i="41"/>
  <c r="AA108" i="41"/>
  <c r="AD108" i="41" s="1"/>
  <c r="Y108" i="41"/>
  <c r="AA66" i="41"/>
  <c r="AD66" i="41" s="1"/>
  <c r="Y66" i="41"/>
  <c r="AA90" i="41"/>
  <c r="AD90" i="41" s="1"/>
  <c r="Y90" i="41"/>
  <c r="AA98" i="41"/>
  <c r="AD98" i="41" s="1"/>
  <c r="Y98" i="41"/>
  <c r="Y161" i="41"/>
  <c r="AA161" i="41"/>
  <c r="AD161" i="41" s="1"/>
  <c r="AA136" i="41"/>
  <c r="AD136" i="41" s="1"/>
  <c r="Y136" i="41"/>
  <c r="Y160" i="41"/>
  <c r="AA160" i="41"/>
  <c r="AD160" i="41" s="1"/>
  <c r="Y122" i="41"/>
  <c r="AA122" i="41"/>
  <c r="AD122" i="41" s="1"/>
  <c r="Y171" i="41"/>
  <c r="AA171" i="41"/>
  <c r="AD171" i="41" s="1"/>
  <c r="G17" i="41"/>
  <c r="H17" i="41" s="1"/>
  <c r="D21" i="41" s="1"/>
  <c r="Y152" i="41"/>
  <c r="AA152" i="41"/>
  <c r="AD152" i="41" s="1"/>
  <c r="AA114" i="41"/>
  <c r="AD114" i="41" s="1"/>
  <c r="Y114" i="41"/>
  <c r="Y43" i="41"/>
  <c r="AA43" i="41"/>
  <c r="AD43" i="41" s="1"/>
  <c r="Y148" i="41"/>
  <c r="AA148" i="41"/>
  <c r="AD148" i="41" s="1"/>
  <c r="Y46" i="41"/>
  <c r="AA46" i="41"/>
  <c r="AD46" i="41" s="1"/>
  <c r="AA183" i="41"/>
  <c r="AD183" i="41" s="1"/>
  <c r="Y183" i="41"/>
  <c r="Y143" i="41"/>
  <c r="AA143" i="41"/>
  <c r="AD143" i="41" s="1"/>
  <c r="AA67" i="41"/>
  <c r="AD67" i="41" s="1"/>
  <c r="Y67" i="41"/>
  <c r="Y106" i="41"/>
  <c r="AA106" i="41"/>
  <c r="AD106" i="41" s="1"/>
  <c r="AA116" i="41"/>
  <c r="AD116" i="41" s="1"/>
  <c r="Y116" i="41"/>
  <c r="AA178" i="41"/>
  <c r="AD178" i="41" s="1"/>
  <c r="Y178" i="41"/>
  <c r="Y142" i="41"/>
  <c r="AA142" i="41"/>
  <c r="AD142" i="41" s="1"/>
  <c r="AA179" i="41"/>
  <c r="AD179" i="41" s="1"/>
  <c r="Y179" i="41"/>
  <c r="Y123" i="41"/>
  <c r="AA123" i="41"/>
  <c r="AD123" i="41" s="1"/>
  <c r="AA184" i="41"/>
  <c r="AD184" i="41" s="1"/>
  <c r="Y184" i="41"/>
  <c r="F19" i="41"/>
  <c r="E19" i="41"/>
  <c r="Y53" i="41"/>
  <c r="AA53" i="41"/>
  <c r="AD53" i="41" s="1"/>
  <c r="Y127" i="41"/>
  <c r="AA127" i="41"/>
  <c r="AD127" i="41" s="1"/>
  <c r="AA206" i="41"/>
  <c r="AD206" i="41" s="1"/>
  <c r="Y206" i="41"/>
  <c r="AA204" i="41"/>
  <c r="AD204" i="41" s="1"/>
  <c r="Y204" i="41"/>
  <c r="Y100" i="41"/>
  <c r="AA100" i="41"/>
  <c r="AD100" i="41" s="1"/>
  <c r="AA52" i="41"/>
  <c r="AD52" i="41" s="1"/>
  <c r="Y52" i="41"/>
  <c r="AA180" i="41"/>
  <c r="AD180" i="41" s="1"/>
  <c r="Y180" i="41"/>
  <c r="AA68" i="41"/>
  <c r="AD68" i="41" s="1"/>
  <c r="Y68" i="41"/>
  <c r="AA113" i="41"/>
  <c r="AD113" i="41" s="1"/>
  <c r="Y113" i="41"/>
  <c r="Y159" i="41"/>
  <c r="AA159" i="41"/>
  <c r="AD159" i="41" s="1"/>
  <c r="AA194" i="41"/>
  <c r="AD194" i="41" s="1"/>
  <c r="Y194" i="41"/>
  <c r="Y150" i="41"/>
  <c r="AA150" i="41"/>
  <c r="AD150" i="41" s="1"/>
  <c r="AA195" i="41"/>
  <c r="AD195" i="41" s="1"/>
  <c r="Y195" i="41"/>
  <c r="Y124" i="41"/>
  <c r="AA124" i="41"/>
  <c r="AD124" i="41" s="1"/>
  <c r="AA200" i="41"/>
  <c r="AD200" i="41" s="1"/>
  <c r="Y200" i="41"/>
  <c r="AA215" i="41"/>
  <c r="AD215" i="41" s="1"/>
  <c r="Y215" i="41"/>
  <c r="AA72" i="41"/>
  <c r="AD72" i="41" s="1"/>
  <c r="Y72" i="41"/>
  <c r="Y48" i="41"/>
  <c r="AA48" i="41"/>
  <c r="AD48" i="41" s="1"/>
  <c r="AA44" i="41"/>
  <c r="AD44" i="41" s="1"/>
  <c r="Y44" i="41"/>
  <c r="AA56" i="41"/>
  <c r="AD56" i="41" s="1"/>
  <c r="Y56" i="41"/>
  <c r="AA69" i="41"/>
  <c r="AD69" i="41" s="1"/>
  <c r="Y69" i="41"/>
  <c r="Y166" i="41"/>
  <c r="AA166" i="41"/>
  <c r="AD166" i="41" s="1"/>
  <c r="AA103" i="41"/>
  <c r="AD103" i="41" s="1"/>
  <c r="Y103" i="41"/>
  <c r="AA210" i="41"/>
  <c r="AD210" i="41" s="1"/>
  <c r="Y210" i="41"/>
  <c r="Y158" i="41"/>
  <c r="AA158" i="41"/>
  <c r="AD158" i="41" s="1"/>
  <c r="AA211" i="41"/>
  <c r="AD211" i="41" s="1"/>
  <c r="Y211" i="41"/>
  <c r="Y125" i="41"/>
  <c r="AA125" i="41"/>
  <c r="AD125" i="41" s="1"/>
  <c r="Y164" i="41"/>
  <c r="AA164" i="41"/>
  <c r="AD164" i="41" s="1"/>
  <c r="U218" i="41"/>
  <c r="U217" i="41"/>
  <c r="U216" i="41"/>
  <c r="U215" i="41"/>
  <c r="U214" i="41"/>
  <c r="U213" i="41"/>
  <c r="U212" i="41"/>
  <c r="U211" i="41"/>
  <c r="U210" i="41"/>
  <c r="U209" i="41"/>
  <c r="U208" i="41"/>
  <c r="U207" i="41"/>
  <c r="U206" i="41"/>
  <c r="U205" i="41"/>
  <c r="U204" i="41"/>
  <c r="U203" i="41"/>
  <c r="U202" i="41"/>
  <c r="U201" i="41"/>
  <c r="U200" i="41"/>
  <c r="U199" i="41"/>
  <c r="U198" i="41"/>
  <c r="U197" i="41"/>
  <c r="U196" i="41"/>
  <c r="U195" i="41"/>
  <c r="U194" i="41"/>
  <c r="U193" i="41"/>
  <c r="U192" i="41"/>
  <c r="U191" i="41"/>
  <c r="U190" i="41"/>
  <c r="U189" i="41"/>
  <c r="U188" i="41"/>
  <c r="U187" i="41"/>
  <c r="U186" i="41"/>
  <c r="U185" i="41"/>
  <c r="U184" i="41"/>
  <c r="U183" i="41"/>
  <c r="U182" i="41"/>
  <c r="U181" i="41"/>
  <c r="U180" i="41"/>
  <c r="U179" i="41"/>
  <c r="U178" i="41"/>
  <c r="U177" i="41"/>
  <c r="U176" i="41"/>
  <c r="S215" i="41"/>
  <c r="S196" i="41"/>
  <c r="S180" i="41"/>
  <c r="S168" i="41"/>
  <c r="U166" i="41"/>
  <c r="S212" i="41"/>
  <c r="S205" i="41"/>
  <c r="S189" i="41"/>
  <c r="S159" i="41"/>
  <c r="U154" i="41"/>
  <c r="S151" i="41"/>
  <c r="U146" i="41"/>
  <c r="S143" i="41"/>
  <c r="U138" i="41"/>
  <c r="S198" i="41"/>
  <c r="S182" i="41"/>
  <c r="U175" i="41"/>
  <c r="U173" i="41"/>
  <c r="S166" i="41"/>
  <c r="U164" i="41"/>
  <c r="S218" i="41"/>
  <c r="S207" i="41"/>
  <c r="S191" i="41"/>
  <c r="S200" i="41"/>
  <c r="S184" i="41"/>
  <c r="S175" i="41"/>
  <c r="S173" i="41"/>
  <c r="S164" i="41"/>
  <c r="U162" i="41"/>
  <c r="U134" i="41"/>
  <c r="U133" i="41"/>
  <c r="U132" i="41"/>
  <c r="U131" i="41"/>
  <c r="U130" i="41"/>
  <c r="U129" i="41"/>
  <c r="U128" i="41"/>
  <c r="U127" i="41"/>
  <c r="U126" i="41"/>
  <c r="U125" i="41"/>
  <c r="U124" i="41"/>
  <c r="U123" i="41"/>
  <c r="U122" i="41"/>
  <c r="U121" i="41"/>
  <c r="U120" i="41"/>
  <c r="U119" i="41"/>
  <c r="U118" i="41"/>
  <c r="S214" i="41"/>
  <c r="S209" i="41"/>
  <c r="S193" i="41"/>
  <c r="S177" i="41"/>
  <c r="S171" i="41"/>
  <c r="U169" i="41"/>
  <c r="S157" i="41"/>
  <c r="U152" i="41"/>
  <c r="S149" i="41"/>
  <c r="U144" i="41"/>
  <c r="S141" i="41"/>
  <c r="U117" i="41"/>
  <c r="U116" i="41"/>
  <c r="U115" i="41"/>
  <c r="U114" i="41"/>
  <c r="U113" i="41"/>
  <c r="U112" i="41"/>
  <c r="U111" i="41"/>
  <c r="U110" i="41"/>
  <c r="U109" i="41"/>
  <c r="U108" i="41"/>
  <c r="U107" i="41"/>
  <c r="U106" i="41"/>
  <c r="U105" i="41"/>
  <c r="U104" i="41"/>
  <c r="U103" i="41"/>
  <c r="U102" i="41"/>
  <c r="U101" i="41"/>
  <c r="U100" i="41"/>
  <c r="U99" i="41"/>
  <c r="U98" i="41"/>
  <c r="U97" i="41"/>
  <c r="U96" i="41"/>
  <c r="U95" i="41"/>
  <c r="U94" i="41"/>
  <c r="U93" i="41"/>
  <c r="U92" i="41"/>
  <c r="U91" i="41"/>
  <c r="U90" i="41"/>
  <c r="U89" i="41"/>
  <c r="U88" i="41"/>
  <c r="U87" i="41"/>
  <c r="U86" i="41"/>
  <c r="U85" i="41"/>
  <c r="U84" i="41"/>
  <c r="U83" i="41"/>
  <c r="U82" i="41"/>
  <c r="S202" i="41"/>
  <c r="S186" i="41"/>
  <c r="S162" i="41"/>
  <c r="U160" i="41"/>
  <c r="S134" i="41"/>
  <c r="S133" i="41"/>
  <c r="S132" i="41"/>
  <c r="S131" i="41"/>
  <c r="S130" i="41"/>
  <c r="S129" i="41"/>
  <c r="S128" i="41"/>
  <c r="S127" i="41"/>
  <c r="S126" i="41"/>
  <c r="S125" i="41"/>
  <c r="S124" i="41"/>
  <c r="S123" i="41"/>
  <c r="S122" i="41"/>
  <c r="S121" i="41"/>
  <c r="S120" i="41"/>
  <c r="S119" i="41"/>
  <c r="S118" i="41"/>
  <c r="S217" i="41"/>
  <c r="S211" i="41"/>
  <c r="S195" i="41"/>
  <c r="S179" i="41"/>
  <c r="S169" i="41"/>
  <c r="U167" i="41"/>
  <c r="U155" i="41"/>
  <c r="S152" i="41"/>
  <c r="U147" i="41"/>
  <c r="S144" i="41"/>
  <c r="U139" i="41"/>
  <c r="U135" i="41"/>
  <c r="S117" i="41"/>
  <c r="S116" i="41"/>
  <c r="S115" i="41"/>
  <c r="S114" i="41"/>
  <c r="S113" i="41"/>
  <c r="S112" i="41"/>
  <c r="S111" i="41"/>
  <c r="S110" i="41"/>
  <c r="S109" i="41"/>
  <c r="S108" i="41"/>
  <c r="S107" i="41"/>
  <c r="S106" i="41"/>
  <c r="S105" i="41"/>
  <c r="S104" i="41"/>
  <c r="S103" i="41"/>
  <c r="S102" i="41"/>
  <c r="S101" i="41"/>
  <c r="S100" i="41"/>
  <c r="S99" i="41"/>
  <c r="S98" i="41"/>
  <c r="S97" i="41"/>
  <c r="S96" i="41"/>
  <c r="S95" i="41"/>
  <c r="S94" i="41"/>
  <c r="S93" i="41"/>
  <c r="S92" i="41"/>
  <c r="S91" i="41"/>
  <c r="S90" i="41"/>
  <c r="S89" i="41"/>
  <c r="S88" i="41"/>
  <c r="S87" i="41"/>
  <c r="S86" i="41"/>
  <c r="S204" i="41"/>
  <c r="S188" i="41"/>
  <c r="S160" i="41"/>
  <c r="S197" i="41"/>
  <c r="S206" i="41"/>
  <c r="S190" i="41"/>
  <c r="U174" i="41"/>
  <c r="U172" i="41"/>
  <c r="U136" i="41"/>
  <c r="S216" i="41"/>
  <c r="S213" i="41"/>
  <c r="S199" i="41"/>
  <c r="S183" i="41"/>
  <c r="S165" i="41"/>
  <c r="U163" i="41"/>
  <c r="S158" i="41"/>
  <c r="U153" i="41"/>
  <c r="S150" i="41"/>
  <c r="U145" i="41"/>
  <c r="S142" i="41"/>
  <c r="S208" i="41"/>
  <c r="S192" i="41"/>
  <c r="S176" i="41"/>
  <c r="S174" i="41"/>
  <c r="S172" i="41"/>
  <c r="U170" i="41"/>
  <c r="S136" i="41"/>
  <c r="S201" i="41"/>
  <c r="S185" i="41"/>
  <c r="S203" i="41"/>
  <c r="U171" i="41"/>
  <c r="U149" i="41"/>
  <c r="S146" i="41"/>
  <c r="U142" i="41"/>
  <c r="S187" i="41"/>
  <c r="U156" i="41"/>
  <c r="S135" i="41"/>
  <c r="S52" i="41"/>
  <c r="U50" i="41"/>
  <c r="S45" i="41"/>
  <c r="S163" i="41"/>
  <c r="S156" i="41"/>
  <c r="S145" i="41"/>
  <c r="S84" i="41"/>
  <c r="S51" i="41"/>
  <c r="S44" i="41"/>
  <c r="U43" i="41"/>
  <c r="S178" i="41"/>
  <c r="S167" i="41"/>
  <c r="U159" i="41"/>
  <c r="U141" i="41"/>
  <c r="S138" i="41"/>
  <c r="S210" i="41"/>
  <c r="U148" i="41"/>
  <c r="S43" i="41"/>
  <c r="T38" i="41"/>
  <c r="S170" i="41"/>
  <c r="S85" i="41"/>
  <c r="U42" i="41"/>
  <c r="S181" i="41"/>
  <c r="S155" i="41"/>
  <c r="S148" i="41"/>
  <c r="U137" i="41"/>
  <c r="U158" i="41"/>
  <c r="U151" i="41"/>
  <c r="S42" i="41"/>
  <c r="S194" i="41"/>
  <c r="U161" i="41"/>
  <c r="U140" i="41"/>
  <c r="S137" i="41"/>
  <c r="U49" i="41"/>
  <c r="U48" i="41"/>
  <c r="U165" i="41"/>
  <c r="S161" i="41"/>
  <c r="S147" i="41"/>
  <c r="S140" i="41"/>
  <c r="U81" i="41"/>
  <c r="U57" i="41"/>
  <c r="U56" i="41"/>
  <c r="S49" i="41"/>
  <c r="S48" i="41"/>
  <c r="U157" i="41"/>
  <c r="S154" i="41"/>
  <c r="U150" i="41"/>
  <c r="U143" i="41"/>
  <c r="S80" i="41"/>
  <c r="S79" i="41"/>
  <c r="S78" i="41"/>
  <c r="S77" i="41"/>
  <c r="S76" i="41"/>
  <c r="S75" i="41"/>
  <c r="S74" i="41"/>
  <c r="S73" i="41"/>
  <c r="S72" i="41"/>
  <c r="S71" i="41"/>
  <c r="S70" i="41"/>
  <c r="S69" i="41"/>
  <c r="S68" i="41"/>
  <c r="S67" i="41"/>
  <c r="S66" i="41"/>
  <c r="S65" i="41"/>
  <c r="S64" i="41"/>
  <c r="S63" i="41"/>
  <c r="S62" i="41"/>
  <c r="S61" i="41"/>
  <c r="S60" i="41"/>
  <c r="S59" i="41"/>
  <c r="S58" i="41"/>
  <c r="U55" i="41"/>
  <c r="U54" i="41"/>
  <c r="S82" i="41"/>
  <c r="U58" i="41"/>
  <c r="U75" i="41"/>
  <c r="U67" i="41"/>
  <c r="U46" i="41"/>
  <c r="U60" i="41"/>
  <c r="S57" i="41"/>
  <c r="S53" i="41"/>
  <c r="S83" i="41"/>
  <c r="U80" i="41"/>
  <c r="U72" i="41"/>
  <c r="S46" i="41"/>
  <c r="U41" i="41"/>
  <c r="U74" i="41"/>
  <c r="U168" i="41"/>
  <c r="U62" i="41"/>
  <c r="S41" i="41"/>
  <c r="S81" i="41"/>
  <c r="S153" i="41"/>
  <c r="U77" i="41"/>
  <c r="U69" i="41"/>
  <c r="U44" i="41"/>
  <c r="U66" i="41"/>
  <c r="S55" i="41"/>
  <c r="U47" i="41"/>
  <c r="U64" i="41"/>
  <c r="U52" i="41"/>
  <c r="R38" i="41"/>
  <c r="U78" i="41"/>
  <c r="U65" i="41"/>
  <c r="U51" i="41"/>
  <c r="U79" i="41"/>
  <c r="U71" i="41"/>
  <c r="U59" i="41"/>
  <c r="S50" i="41"/>
  <c r="S47" i="41"/>
  <c r="U73" i="41"/>
  <c r="U76" i="41"/>
  <c r="U68" i="41"/>
  <c r="U61" i="41"/>
  <c r="U45" i="41"/>
  <c r="U63" i="41"/>
  <c r="U70" i="41"/>
  <c r="S56" i="41"/>
  <c r="S139" i="41"/>
  <c r="U53" i="41"/>
  <c r="F14" i="33"/>
  <c r="F15" i="33" s="1"/>
  <c r="X96" i="33"/>
  <c r="Y96" i="33" s="1"/>
  <c r="V96" i="33"/>
  <c r="X95" i="33"/>
  <c r="Y95" i="33" s="1"/>
  <c r="V95" i="33"/>
  <c r="X94" i="33"/>
  <c r="Y94" i="33" s="1"/>
  <c r="V94" i="33"/>
  <c r="X93" i="33"/>
  <c r="Y93" i="33" s="1"/>
  <c r="V93" i="33"/>
  <c r="X92" i="33"/>
  <c r="Y92" i="33" s="1"/>
  <c r="V92" i="33"/>
  <c r="X91" i="33"/>
  <c r="Y91" i="33" s="1"/>
  <c r="V91" i="33"/>
  <c r="X90" i="33"/>
  <c r="Y90" i="33" s="1"/>
  <c r="V90" i="33"/>
  <c r="X89" i="33"/>
  <c r="Y89" i="33" s="1"/>
  <c r="V89" i="33"/>
  <c r="X88" i="33"/>
  <c r="Y88" i="33" s="1"/>
  <c r="AA88" i="33" s="1"/>
  <c r="V88" i="33"/>
  <c r="X87" i="33"/>
  <c r="Y87" i="33" s="1"/>
  <c r="V87" i="33"/>
  <c r="X86" i="33"/>
  <c r="Y86" i="33" s="1"/>
  <c r="AB86" i="33" s="1"/>
  <c r="V86" i="33"/>
  <c r="X85" i="33"/>
  <c r="Y85" i="33" s="1"/>
  <c r="V85" i="33"/>
  <c r="X84" i="33"/>
  <c r="Y84" i="33" s="1"/>
  <c r="V84" i="33"/>
  <c r="X83" i="33"/>
  <c r="Y83" i="33" s="1"/>
  <c r="V83" i="33"/>
  <c r="X82" i="33"/>
  <c r="Y82" i="33" s="1"/>
  <c r="V82" i="33"/>
  <c r="X81" i="33"/>
  <c r="Y81" i="33" s="1"/>
  <c r="V81" i="33"/>
  <c r="X80" i="33"/>
  <c r="Y80" i="33" s="1"/>
  <c r="AB80" i="33" s="1"/>
  <c r="V80" i="33"/>
  <c r="X79" i="33"/>
  <c r="Y79" i="33" s="1"/>
  <c r="Z79" i="33" s="1"/>
  <c r="V79" i="33"/>
  <c r="X78" i="33"/>
  <c r="Y78" i="33" s="1"/>
  <c r="Z78" i="33" s="1"/>
  <c r="V78" i="33"/>
  <c r="X77" i="33"/>
  <c r="Y77" i="33" s="1"/>
  <c r="V77" i="33"/>
  <c r="X76" i="33"/>
  <c r="Y76" i="33" s="1"/>
  <c r="V76" i="33"/>
  <c r="X75" i="33"/>
  <c r="Y75" i="33" s="1"/>
  <c r="V75" i="33"/>
  <c r="X74" i="33"/>
  <c r="Y74" i="33" s="1"/>
  <c r="AB74" i="33" s="1"/>
  <c r="V74" i="33"/>
  <c r="X73" i="33"/>
  <c r="Y73" i="33" s="1"/>
  <c r="V73" i="33"/>
  <c r="X72" i="33"/>
  <c r="Y72" i="33" s="1"/>
  <c r="AB72" i="33" s="1"/>
  <c r="V72" i="33"/>
  <c r="X71" i="33"/>
  <c r="Y71" i="33" s="1"/>
  <c r="V71" i="33"/>
  <c r="X70" i="33"/>
  <c r="Y70" i="33" s="1"/>
  <c r="V70" i="33"/>
  <c r="X69" i="33"/>
  <c r="Y69" i="33" s="1"/>
  <c r="V69" i="33"/>
  <c r="X68" i="33"/>
  <c r="Y68" i="33" s="1"/>
  <c r="V68" i="33"/>
  <c r="X67" i="33"/>
  <c r="Y67" i="33" s="1"/>
  <c r="V67" i="33"/>
  <c r="X66" i="33"/>
  <c r="Y66" i="33" s="1"/>
  <c r="V66" i="33"/>
  <c r="X65" i="33"/>
  <c r="Y65" i="33" s="1"/>
  <c r="V65" i="33"/>
  <c r="X64" i="33"/>
  <c r="Y64" i="33" s="1"/>
  <c r="V64" i="33"/>
  <c r="X63" i="33"/>
  <c r="Y63" i="33" s="1"/>
  <c r="V63" i="33"/>
  <c r="X62" i="33"/>
  <c r="Y62" i="33" s="1"/>
  <c r="V62" i="33"/>
  <c r="X61" i="33"/>
  <c r="Y61" i="33" s="1"/>
  <c r="V61" i="33"/>
  <c r="X60" i="33"/>
  <c r="Y60" i="33" s="1"/>
  <c r="V60" i="33"/>
  <c r="X56" i="33"/>
  <c r="Y56" i="33" s="1"/>
  <c r="V56" i="33"/>
  <c r="X55" i="33"/>
  <c r="Y55" i="33" s="1"/>
  <c r="Z55" i="33" s="1"/>
  <c r="V55" i="33"/>
  <c r="X54" i="33"/>
  <c r="Y54" i="33" s="1"/>
  <c r="V54" i="33"/>
  <c r="X52" i="33"/>
  <c r="Y52" i="33" s="1"/>
  <c r="Z52" i="33" s="1"/>
  <c r="V52" i="33"/>
  <c r="X49" i="33"/>
  <c r="Y49" i="33" s="1"/>
  <c r="AB49" i="33" s="1"/>
  <c r="V49" i="33"/>
  <c r="X48" i="33"/>
  <c r="Y48" i="33" s="1"/>
  <c r="AA48" i="33" s="1"/>
  <c r="V48" i="33"/>
  <c r="X44" i="33"/>
  <c r="Y44" i="33" s="1"/>
  <c r="V44" i="33"/>
  <c r="AC43" i="33"/>
  <c r="X43" i="33"/>
  <c r="Y43" i="33" s="1"/>
  <c r="Z43" i="33" s="1"/>
  <c r="V43" i="33"/>
  <c r="Y39" i="33"/>
  <c r="B38" i="33"/>
  <c r="N23" i="33"/>
  <c r="S19" i="33"/>
  <c r="V25" i="33" s="1"/>
  <c r="AB17" i="33"/>
  <c r="AA17" i="33"/>
  <c r="Z17" i="33"/>
  <c r="Y17" i="33"/>
  <c r="X17" i="33"/>
  <c r="W17" i="33"/>
  <c r="V17" i="33"/>
  <c r="U17" i="33"/>
  <c r="T17" i="33"/>
  <c r="R15" i="33"/>
  <c r="I14" i="33"/>
  <c r="D14" i="33"/>
  <c r="L14" i="33" s="1"/>
  <c r="M13" i="33"/>
  <c r="L13" i="33"/>
  <c r="K13" i="33"/>
  <c r="J13" i="33"/>
  <c r="I13" i="33"/>
  <c r="U12" i="33"/>
  <c r="AD5" i="33" s="1"/>
  <c r="AC54" i="33" s="1"/>
  <c r="I12" i="33"/>
  <c r="D12" i="33"/>
  <c r="D13" i="33" s="1"/>
  <c r="J14" i="33" s="1"/>
  <c r="W11" i="33"/>
  <c r="K11" i="33"/>
  <c r="I11" i="33"/>
  <c r="C11" i="33"/>
  <c r="E11" i="33" s="1"/>
  <c r="I10" i="33"/>
  <c r="M9" i="33"/>
  <c r="L9" i="33"/>
  <c r="K9" i="33"/>
  <c r="J9" i="33"/>
  <c r="F9" i="33"/>
  <c r="E9" i="33"/>
  <c r="D9" i="33"/>
  <c r="C9" i="33"/>
  <c r="U7" i="33"/>
  <c r="W7" i="33" s="1"/>
  <c r="R7" i="33"/>
  <c r="R13" i="33" s="1"/>
  <c r="R8" i="33" s="1"/>
  <c r="R12" i="33" s="1"/>
  <c r="W6" i="33"/>
  <c r="D5" i="33"/>
  <c r="C5" i="33"/>
  <c r="U3" i="33"/>
  <c r="T3" i="33"/>
  <c r="P3" i="33"/>
  <c r="D3" i="33"/>
  <c r="M3" i="33"/>
  <c r="K3" i="33"/>
  <c r="O1" i="33"/>
  <c r="N1" i="33"/>
  <c r="F3" i="33"/>
  <c r="E3" i="33"/>
  <c r="L3" i="33"/>
  <c r="E3" i="31"/>
  <c r="C3" i="33"/>
  <c r="J3" i="33"/>
  <c r="G19" i="41" l="1"/>
  <c r="H19" i="41" s="1"/>
  <c r="D25" i="41" s="1"/>
  <c r="T81" i="41"/>
  <c r="V81" i="41"/>
  <c r="AB81" i="41" s="1"/>
  <c r="V69" i="41"/>
  <c r="AB69" i="41" s="1"/>
  <c r="T69" i="41"/>
  <c r="V48" i="41"/>
  <c r="AB48" i="41" s="1"/>
  <c r="T48" i="41"/>
  <c r="V167" i="41"/>
  <c r="AB167" i="41" s="1"/>
  <c r="T167" i="41"/>
  <c r="V146" i="41"/>
  <c r="AB146" i="41" s="1"/>
  <c r="T146" i="41"/>
  <c r="V204" i="41"/>
  <c r="AB204" i="41" s="1"/>
  <c r="T204" i="41"/>
  <c r="V101" i="41"/>
  <c r="AB101" i="41" s="1"/>
  <c r="T101" i="41"/>
  <c r="V117" i="41"/>
  <c r="AB117" i="41" s="1"/>
  <c r="T117" i="41"/>
  <c r="T121" i="41"/>
  <c r="V121" i="41"/>
  <c r="AB121" i="41" s="1"/>
  <c r="V186" i="41"/>
  <c r="AB186" i="41" s="1"/>
  <c r="T186" i="41"/>
  <c r="V214" i="41"/>
  <c r="AB214" i="41" s="1"/>
  <c r="T214" i="41"/>
  <c r="V198" i="41"/>
  <c r="AB198" i="41" s="1"/>
  <c r="T198" i="41"/>
  <c r="T41" i="41"/>
  <c r="V41" i="41"/>
  <c r="AB41" i="41" s="1"/>
  <c r="V70" i="41"/>
  <c r="AB70" i="41" s="1"/>
  <c r="T70" i="41"/>
  <c r="V49" i="41"/>
  <c r="AB49" i="41" s="1"/>
  <c r="T49" i="41"/>
  <c r="V178" i="41"/>
  <c r="AB178" i="41" s="1"/>
  <c r="T178" i="41"/>
  <c r="V158" i="41"/>
  <c r="AB158" i="41" s="1"/>
  <c r="T158" i="41"/>
  <c r="V86" i="41"/>
  <c r="AB86" i="41" s="1"/>
  <c r="T86" i="41"/>
  <c r="V102" i="41"/>
  <c r="AB102" i="41" s="1"/>
  <c r="T102" i="41"/>
  <c r="T122" i="41"/>
  <c r="V122" i="41"/>
  <c r="AB122" i="41" s="1"/>
  <c r="V202" i="41"/>
  <c r="AB202" i="41" s="1"/>
  <c r="T202" i="41"/>
  <c r="V82" i="41"/>
  <c r="AB82" i="41" s="1"/>
  <c r="T82" i="41"/>
  <c r="V71" i="41"/>
  <c r="AB71" i="41" s="1"/>
  <c r="T71" i="41"/>
  <c r="V87" i="41"/>
  <c r="AB87" i="41" s="1"/>
  <c r="T87" i="41"/>
  <c r="V103" i="41"/>
  <c r="AB103" i="41" s="1"/>
  <c r="T103" i="41"/>
  <c r="T123" i="41"/>
  <c r="V123" i="41"/>
  <c r="AB123" i="41" s="1"/>
  <c r="V143" i="41"/>
  <c r="AB143" i="41" s="1"/>
  <c r="T143" i="41"/>
  <c r="V88" i="41"/>
  <c r="AB88" i="41" s="1"/>
  <c r="T88" i="41"/>
  <c r="T51" i="41"/>
  <c r="V51" i="41"/>
  <c r="AB51" i="41" s="1"/>
  <c r="V58" i="41"/>
  <c r="AB58" i="41" s="1"/>
  <c r="T58" i="41"/>
  <c r="V84" i="41"/>
  <c r="AB84" i="41" s="1"/>
  <c r="T84" i="41"/>
  <c r="T56" i="41"/>
  <c r="V56" i="41"/>
  <c r="AB56" i="41" s="1"/>
  <c r="T46" i="41"/>
  <c r="V46" i="41"/>
  <c r="AB46" i="41" s="1"/>
  <c r="V59" i="41"/>
  <c r="AB59" i="41" s="1"/>
  <c r="T59" i="41"/>
  <c r="V75" i="41"/>
  <c r="AB75" i="41" s="1"/>
  <c r="T75" i="41"/>
  <c r="V147" i="41"/>
  <c r="AB147" i="41" s="1"/>
  <c r="T147" i="41"/>
  <c r="V145" i="41"/>
  <c r="AB145" i="41" s="1"/>
  <c r="T145" i="41"/>
  <c r="T136" i="41"/>
  <c r="V136" i="41"/>
  <c r="AB136" i="41" s="1"/>
  <c r="V213" i="41"/>
  <c r="AB213" i="41" s="1"/>
  <c r="T213" i="41"/>
  <c r="V91" i="41"/>
  <c r="AB91" i="41" s="1"/>
  <c r="T91" i="41"/>
  <c r="V107" i="41"/>
  <c r="AB107" i="41" s="1"/>
  <c r="T107" i="41"/>
  <c r="T127" i="41"/>
  <c r="V127" i="41"/>
  <c r="AB127" i="41" s="1"/>
  <c r="V141" i="41"/>
  <c r="AB141" i="41" s="1"/>
  <c r="T141" i="41"/>
  <c r="V184" i="41"/>
  <c r="AB184" i="41" s="1"/>
  <c r="T184" i="41"/>
  <c r="V159" i="41"/>
  <c r="AB159" i="41" s="1"/>
  <c r="T159" i="41"/>
  <c r="V72" i="41"/>
  <c r="AB72" i="41" s="1"/>
  <c r="T72" i="41"/>
  <c r="V105" i="41"/>
  <c r="AB105" i="41" s="1"/>
  <c r="T105" i="41"/>
  <c r="D23" i="41"/>
  <c r="V139" i="41"/>
  <c r="AB139" i="41" s="1"/>
  <c r="T139" i="41"/>
  <c r="V74" i="41"/>
  <c r="AB74" i="41" s="1"/>
  <c r="T74" i="41"/>
  <c r="V181" i="41"/>
  <c r="AB181" i="41" s="1"/>
  <c r="T181" i="41"/>
  <c r="V90" i="41"/>
  <c r="AB90" i="41" s="1"/>
  <c r="T90" i="41"/>
  <c r="T126" i="41"/>
  <c r="V126" i="41"/>
  <c r="AB126" i="41" s="1"/>
  <c r="V60" i="41"/>
  <c r="AB60" i="41" s="1"/>
  <c r="T60" i="41"/>
  <c r="V76" i="41"/>
  <c r="AB76" i="41" s="1"/>
  <c r="T76" i="41"/>
  <c r="V161" i="41"/>
  <c r="AB161" i="41" s="1"/>
  <c r="T161" i="41"/>
  <c r="V85" i="41"/>
  <c r="AB85" i="41" s="1"/>
  <c r="T85" i="41"/>
  <c r="V156" i="41"/>
  <c r="AB156" i="41" s="1"/>
  <c r="T156" i="41"/>
  <c r="V216" i="41"/>
  <c r="AB216" i="41" s="1"/>
  <c r="T216" i="41"/>
  <c r="V92" i="41"/>
  <c r="AB92" i="41" s="1"/>
  <c r="T92" i="41"/>
  <c r="V108" i="41"/>
  <c r="AB108" i="41" s="1"/>
  <c r="T108" i="41"/>
  <c r="T128" i="41"/>
  <c r="V128" i="41"/>
  <c r="AB128" i="41" s="1"/>
  <c r="V200" i="41"/>
  <c r="AB200" i="41" s="1"/>
  <c r="T200" i="41"/>
  <c r="V189" i="41"/>
  <c r="AB189" i="41" s="1"/>
  <c r="T189" i="41"/>
  <c r="V148" i="41"/>
  <c r="AB148" i="41" s="1"/>
  <c r="T148" i="41"/>
  <c r="V104" i="41"/>
  <c r="AB104" i="41" s="1"/>
  <c r="T104" i="41"/>
  <c r="V140" i="41"/>
  <c r="AB140" i="41" s="1"/>
  <c r="T140" i="41"/>
  <c r="V199" i="41"/>
  <c r="AB199" i="41" s="1"/>
  <c r="T199" i="41"/>
  <c r="V152" i="41"/>
  <c r="AB152" i="41" s="1"/>
  <c r="T152" i="41"/>
  <c r="V175" i="41"/>
  <c r="AB175" i="41" s="1"/>
  <c r="T175" i="41"/>
  <c r="V61" i="41"/>
  <c r="AB61" i="41" s="1"/>
  <c r="T61" i="41"/>
  <c r="V77" i="41"/>
  <c r="AB77" i="41" s="1"/>
  <c r="T77" i="41"/>
  <c r="V170" i="41"/>
  <c r="AB170" i="41" s="1"/>
  <c r="T170" i="41"/>
  <c r="V163" i="41"/>
  <c r="AB163" i="41" s="1"/>
  <c r="T163" i="41"/>
  <c r="V172" i="41"/>
  <c r="AB172" i="41" s="1"/>
  <c r="T172" i="41"/>
  <c r="V93" i="41"/>
  <c r="AB93" i="41" s="1"/>
  <c r="T93" i="41"/>
  <c r="V109" i="41"/>
  <c r="AB109" i="41" s="1"/>
  <c r="T109" i="41"/>
  <c r="V169" i="41"/>
  <c r="AB169" i="41" s="1"/>
  <c r="T169" i="41"/>
  <c r="T129" i="41"/>
  <c r="V129" i="41"/>
  <c r="AB129" i="41" s="1"/>
  <c r="V149" i="41"/>
  <c r="AB149" i="41" s="1"/>
  <c r="T149" i="41"/>
  <c r="V191" i="41"/>
  <c r="AB191" i="41" s="1"/>
  <c r="T191" i="41"/>
  <c r="V205" i="41"/>
  <c r="AB205" i="41" s="1"/>
  <c r="T205" i="41"/>
  <c r="V144" i="41"/>
  <c r="AB144" i="41" s="1"/>
  <c r="T144" i="41"/>
  <c r="V73" i="41"/>
  <c r="AB73" i="41" s="1"/>
  <c r="T73" i="41"/>
  <c r="V201" i="41"/>
  <c r="AB201" i="41" s="1"/>
  <c r="T201" i="41"/>
  <c r="V83" i="41"/>
  <c r="AB83" i="41" s="1"/>
  <c r="T83" i="41"/>
  <c r="V62" i="41"/>
  <c r="AB62" i="41" s="1"/>
  <c r="T62" i="41"/>
  <c r="V78" i="41"/>
  <c r="AB78" i="41" s="1"/>
  <c r="T78" i="41"/>
  <c r="V45" i="41"/>
  <c r="AB45" i="41" s="1"/>
  <c r="T45" i="41"/>
  <c r="V174" i="41"/>
  <c r="AB174" i="41" s="1"/>
  <c r="T174" i="41"/>
  <c r="V94" i="41"/>
  <c r="AB94" i="41" s="1"/>
  <c r="T94" i="41"/>
  <c r="V110" i="41"/>
  <c r="AB110" i="41" s="1"/>
  <c r="T110" i="41"/>
  <c r="V179" i="41"/>
  <c r="AB179" i="41" s="1"/>
  <c r="T179" i="41"/>
  <c r="T130" i="41"/>
  <c r="V130" i="41"/>
  <c r="AB130" i="41" s="1"/>
  <c r="V207" i="41"/>
  <c r="AB207" i="41" s="1"/>
  <c r="T207" i="41"/>
  <c r="V212" i="41"/>
  <c r="AB212" i="41" s="1"/>
  <c r="T212" i="41"/>
  <c r="V165" i="41"/>
  <c r="AB165" i="41" s="1"/>
  <c r="T165" i="41"/>
  <c r="V176" i="41"/>
  <c r="AB176" i="41" s="1"/>
  <c r="T176" i="41"/>
  <c r="V95" i="41"/>
  <c r="AB95" i="41" s="1"/>
  <c r="T95" i="41"/>
  <c r="V111" i="41"/>
  <c r="AB111" i="41" s="1"/>
  <c r="T111" i="41"/>
  <c r="V195" i="41"/>
  <c r="AB195" i="41" s="1"/>
  <c r="T195" i="41"/>
  <c r="T131" i="41"/>
  <c r="V131" i="41"/>
  <c r="AB131" i="41" s="1"/>
  <c r="V157" i="41"/>
  <c r="AB157" i="41" s="1"/>
  <c r="T157" i="41"/>
  <c r="V218" i="41"/>
  <c r="AB218" i="41" s="1"/>
  <c r="T218" i="41"/>
  <c r="V203" i="41"/>
  <c r="AB203" i="41" s="1"/>
  <c r="T203" i="41"/>
  <c r="V155" i="41"/>
  <c r="AB155" i="41" s="1"/>
  <c r="T155" i="41"/>
  <c r="T125" i="41"/>
  <c r="V125" i="41"/>
  <c r="AB125" i="41" s="1"/>
  <c r="V173" i="41"/>
  <c r="AB173" i="41" s="1"/>
  <c r="T173" i="41"/>
  <c r="V55" i="41"/>
  <c r="AB55" i="41" s="1"/>
  <c r="T55" i="41"/>
  <c r="V63" i="41"/>
  <c r="AB63" i="41" s="1"/>
  <c r="T63" i="41"/>
  <c r="T57" i="41"/>
  <c r="V57" i="41"/>
  <c r="AB57" i="41" s="1"/>
  <c r="V64" i="41"/>
  <c r="AB64" i="41" s="1"/>
  <c r="T64" i="41"/>
  <c r="V80" i="41"/>
  <c r="AB80" i="41" s="1"/>
  <c r="T80" i="41"/>
  <c r="V137" i="41"/>
  <c r="AB137" i="41" s="1"/>
  <c r="T137" i="41"/>
  <c r="V52" i="41"/>
  <c r="AB52" i="41" s="1"/>
  <c r="T52" i="41"/>
  <c r="V192" i="41"/>
  <c r="AB192" i="41" s="1"/>
  <c r="T192" i="41"/>
  <c r="V190" i="41"/>
  <c r="AB190" i="41" s="1"/>
  <c r="T190" i="41"/>
  <c r="V96" i="41"/>
  <c r="AB96" i="41" s="1"/>
  <c r="T96" i="41"/>
  <c r="V112" i="41"/>
  <c r="AB112" i="41" s="1"/>
  <c r="T112" i="41"/>
  <c r="V211" i="41"/>
  <c r="AB211" i="41" s="1"/>
  <c r="T211" i="41"/>
  <c r="T132" i="41"/>
  <c r="V132" i="41"/>
  <c r="AB132" i="41" s="1"/>
  <c r="V168" i="41"/>
  <c r="AB168" i="41" s="1"/>
  <c r="T168" i="41"/>
  <c r="T124" i="41"/>
  <c r="V124" i="41"/>
  <c r="AB124" i="41" s="1"/>
  <c r="V89" i="41"/>
  <c r="AB89" i="41" s="1"/>
  <c r="T89" i="41"/>
  <c r="V43" i="41"/>
  <c r="AB43" i="41" s="1"/>
  <c r="T43" i="41"/>
  <c r="V65" i="41"/>
  <c r="AB65" i="41" s="1"/>
  <c r="T65" i="41"/>
  <c r="V210" i="41"/>
  <c r="AB210" i="41" s="1"/>
  <c r="T210" i="41"/>
  <c r="V135" i="41"/>
  <c r="AB135" i="41" s="1"/>
  <c r="T135" i="41"/>
  <c r="V208" i="41"/>
  <c r="AB208" i="41" s="1"/>
  <c r="T208" i="41"/>
  <c r="V206" i="41"/>
  <c r="AB206" i="41" s="1"/>
  <c r="T206" i="41"/>
  <c r="V97" i="41"/>
  <c r="AB97" i="41" s="1"/>
  <c r="T97" i="41"/>
  <c r="V113" i="41"/>
  <c r="AB113" i="41" s="1"/>
  <c r="T113" i="41"/>
  <c r="V217" i="41"/>
  <c r="AB217" i="41" s="1"/>
  <c r="T217" i="41"/>
  <c r="T133" i="41"/>
  <c r="V133" i="41"/>
  <c r="AB133" i="41" s="1"/>
  <c r="V171" i="41"/>
  <c r="AB171" i="41" s="1"/>
  <c r="T171" i="41"/>
  <c r="V166" i="41"/>
  <c r="AB166" i="41" s="1"/>
  <c r="T166" i="41"/>
  <c r="V180" i="41"/>
  <c r="AB180" i="41" s="1"/>
  <c r="T180" i="41"/>
  <c r="V183" i="41"/>
  <c r="AB183" i="41" s="1"/>
  <c r="T183" i="41"/>
  <c r="V106" i="41"/>
  <c r="AB106" i="41" s="1"/>
  <c r="T106" i="41"/>
  <c r="V53" i="41"/>
  <c r="AB53" i="41" s="1"/>
  <c r="T53" i="41"/>
  <c r="V79" i="41"/>
  <c r="AB79" i="41" s="1"/>
  <c r="T79" i="41"/>
  <c r="V66" i="41"/>
  <c r="AB66" i="41" s="1"/>
  <c r="T66" i="41"/>
  <c r="V138" i="41"/>
  <c r="AB138" i="41" s="1"/>
  <c r="T138" i="41"/>
  <c r="V142" i="41"/>
  <c r="AB142" i="41" s="1"/>
  <c r="T142" i="41"/>
  <c r="V197" i="41"/>
  <c r="AB197" i="41" s="1"/>
  <c r="T197" i="41"/>
  <c r="V98" i="41"/>
  <c r="AB98" i="41" s="1"/>
  <c r="T98" i="41"/>
  <c r="V114" i="41"/>
  <c r="AB114" i="41" s="1"/>
  <c r="T114" i="41"/>
  <c r="T118" i="41"/>
  <c r="V118" i="41"/>
  <c r="AB118" i="41" s="1"/>
  <c r="T134" i="41"/>
  <c r="V134" i="41"/>
  <c r="AB134" i="41" s="1"/>
  <c r="V177" i="41"/>
  <c r="AB177" i="41" s="1"/>
  <c r="T177" i="41"/>
  <c r="V196" i="41"/>
  <c r="AB196" i="41" s="1"/>
  <c r="T196" i="41"/>
  <c r="V185" i="41"/>
  <c r="AB185" i="41" s="1"/>
  <c r="T185" i="41"/>
  <c r="V151" i="41"/>
  <c r="AB151" i="41" s="1"/>
  <c r="T151" i="41"/>
  <c r="V67" i="41"/>
  <c r="AB67" i="41" s="1"/>
  <c r="T67" i="41"/>
  <c r="V194" i="41"/>
  <c r="AB194" i="41" s="1"/>
  <c r="T194" i="41"/>
  <c r="V160" i="41"/>
  <c r="AB160" i="41" s="1"/>
  <c r="T160" i="41"/>
  <c r="V99" i="41"/>
  <c r="AB99" i="41" s="1"/>
  <c r="T99" i="41"/>
  <c r="V115" i="41"/>
  <c r="AB115" i="41" s="1"/>
  <c r="T115" i="41"/>
  <c r="T119" i="41"/>
  <c r="V119" i="41"/>
  <c r="AB119" i="41" s="1"/>
  <c r="V193" i="41"/>
  <c r="AB193" i="41" s="1"/>
  <c r="T193" i="41"/>
  <c r="V215" i="41"/>
  <c r="AB215" i="41" s="1"/>
  <c r="T215" i="41"/>
  <c r="T44" i="41"/>
  <c r="V44" i="41"/>
  <c r="AB44" i="41" s="1"/>
  <c r="V164" i="41"/>
  <c r="AB164" i="41" s="1"/>
  <c r="T164" i="41"/>
  <c r="V47" i="41"/>
  <c r="AB47" i="41" s="1"/>
  <c r="T47" i="41"/>
  <c r="V54" i="41"/>
  <c r="AB54" i="41" s="1"/>
  <c r="T54" i="41"/>
  <c r="V154" i="41"/>
  <c r="AB154" i="41" s="1"/>
  <c r="T154" i="41"/>
  <c r="V187" i="41"/>
  <c r="AB187" i="41" s="1"/>
  <c r="T187" i="41"/>
  <c r="T50" i="41"/>
  <c r="V50" i="41"/>
  <c r="AB50" i="41" s="1"/>
  <c r="V153" i="41"/>
  <c r="AB153" i="41" s="1"/>
  <c r="T153" i="41"/>
  <c r="V68" i="41"/>
  <c r="AB68" i="41" s="1"/>
  <c r="T68" i="41"/>
  <c r="V42" i="41"/>
  <c r="AB42" i="41" s="1"/>
  <c r="T42" i="41"/>
  <c r="V150" i="41"/>
  <c r="AB150" i="41" s="1"/>
  <c r="T150" i="41"/>
  <c r="V188" i="41"/>
  <c r="AB188" i="41" s="1"/>
  <c r="T188" i="41"/>
  <c r="V100" i="41"/>
  <c r="AB100" i="41" s="1"/>
  <c r="T100" i="41"/>
  <c r="V116" i="41"/>
  <c r="AB116" i="41" s="1"/>
  <c r="T116" i="41"/>
  <c r="T120" i="41"/>
  <c r="V120" i="41"/>
  <c r="AB120" i="41" s="1"/>
  <c r="V162" i="41"/>
  <c r="AB162" i="41" s="1"/>
  <c r="T162" i="41"/>
  <c r="V209" i="41"/>
  <c r="AB209" i="41" s="1"/>
  <c r="T209" i="41"/>
  <c r="V182" i="41"/>
  <c r="AB182" i="41" s="1"/>
  <c r="T182" i="41"/>
  <c r="F11" i="33"/>
  <c r="N11" i="33" s="1"/>
  <c r="AB52" i="33"/>
  <c r="AA79" i="33"/>
  <c r="AB79" i="33"/>
  <c r="W12" i="33"/>
  <c r="Z48" i="33"/>
  <c r="AB48" i="33"/>
  <c r="AA78" i="33"/>
  <c r="AD44" i="33"/>
  <c r="AB78" i="33"/>
  <c r="Z77" i="33"/>
  <c r="AB77" i="33"/>
  <c r="AA77" i="33"/>
  <c r="AA66" i="33"/>
  <c r="Z66" i="33"/>
  <c r="AB66" i="33"/>
  <c r="Z63" i="33"/>
  <c r="AB63" i="33"/>
  <c r="AA63" i="33"/>
  <c r="Z71" i="33"/>
  <c r="AB71" i="33"/>
  <c r="AA75" i="33"/>
  <c r="AB75" i="33"/>
  <c r="Z65" i="33"/>
  <c r="AB65" i="33"/>
  <c r="AA65" i="33"/>
  <c r="W28" i="33"/>
  <c r="Z72" i="33"/>
  <c r="U28" i="33"/>
  <c r="U23" i="33"/>
  <c r="AA72" i="33"/>
  <c r="U27" i="33"/>
  <c r="W23" i="33"/>
  <c r="AB88" i="33"/>
  <c r="U22" i="33"/>
  <c r="K5" i="33" s="1"/>
  <c r="K7" i="33" s="1"/>
  <c r="T24" i="33"/>
  <c r="AA74" i="33"/>
  <c r="AD77" i="33"/>
  <c r="T26" i="33"/>
  <c r="AA86" i="33"/>
  <c r="J11" i="33"/>
  <c r="V26" i="33"/>
  <c r="B19" i="33"/>
  <c r="C19" i="33"/>
  <c r="J19" i="33"/>
  <c r="K19" i="33"/>
  <c r="L11" i="33"/>
  <c r="AC90" i="33"/>
  <c r="AC82" i="33"/>
  <c r="AC74" i="33"/>
  <c r="AC91" i="33"/>
  <c r="AC83" i="33"/>
  <c r="AC92" i="33"/>
  <c r="AC93" i="33"/>
  <c r="AC85" i="33"/>
  <c r="AC94" i="33"/>
  <c r="AC86" i="33"/>
  <c r="AC78" i="33"/>
  <c r="AC95" i="33"/>
  <c r="AC87" i="33"/>
  <c r="AC96" i="33"/>
  <c r="AC68" i="33"/>
  <c r="AC60" i="33"/>
  <c r="AC69" i="33"/>
  <c r="AC89" i="33"/>
  <c r="AC88" i="33"/>
  <c r="AC81" i="33"/>
  <c r="AC70" i="33"/>
  <c r="AC62" i="33"/>
  <c r="AC71" i="33"/>
  <c r="AC63" i="33"/>
  <c r="AC79" i="33"/>
  <c r="AC77" i="33"/>
  <c r="AC66" i="33"/>
  <c r="AC84" i="33"/>
  <c r="AC72" i="33"/>
  <c r="AC67" i="33"/>
  <c r="AC61" i="33"/>
  <c r="AC73" i="33"/>
  <c r="AC76" i="33"/>
  <c r="N13" i="33"/>
  <c r="AD43" i="33"/>
  <c r="AE43" i="33" s="1"/>
  <c r="AF43" i="33" s="1"/>
  <c r="AG43" i="33" s="1"/>
  <c r="AA55" i="33"/>
  <c r="AB55" i="33"/>
  <c r="AC64" i="33"/>
  <c r="Z76" i="33"/>
  <c r="AB76" i="33"/>
  <c r="AB62" i="33"/>
  <c r="AA62" i="33"/>
  <c r="Z62" i="33"/>
  <c r="AB70" i="33"/>
  <c r="AA70" i="33"/>
  <c r="Z70" i="33"/>
  <c r="AC56" i="33"/>
  <c r="AC55" i="33"/>
  <c r="AC44" i="33"/>
  <c r="AC48" i="33"/>
  <c r="AC52" i="33"/>
  <c r="AC49" i="33"/>
  <c r="AD54" i="33"/>
  <c r="AE54" i="33" s="1"/>
  <c r="AF54" i="33" s="1"/>
  <c r="AG54" i="33" s="1"/>
  <c r="AB56" i="33"/>
  <c r="AA56" i="33"/>
  <c r="AA76" i="33"/>
  <c r="AB94" i="33"/>
  <c r="Z94" i="33"/>
  <c r="AA94" i="33"/>
  <c r="Z54" i="33"/>
  <c r="AA54" i="33"/>
  <c r="AB54" i="33"/>
  <c r="AA64" i="33"/>
  <c r="Z64" i="33"/>
  <c r="AB64" i="33"/>
  <c r="U13" i="33"/>
  <c r="W13" i="33" s="1"/>
  <c r="W24" i="33"/>
  <c r="AD55" i="33"/>
  <c r="Z56" i="33"/>
  <c r="AC65" i="33"/>
  <c r="AB67" i="33"/>
  <c r="AA67" i="33"/>
  <c r="Z67" i="33"/>
  <c r="U8" i="33"/>
  <c r="Z49" i="33"/>
  <c r="AA49" i="33"/>
  <c r="AB61" i="33"/>
  <c r="AA61" i="33"/>
  <c r="Z61" i="33"/>
  <c r="AB93" i="33"/>
  <c r="AA93" i="33"/>
  <c r="Z93" i="33"/>
  <c r="AC75" i="33"/>
  <c r="AB82" i="33"/>
  <c r="Z82" i="33"/>
  <c r="AA82" i="33"/>
  <c r="F38" i="33"/>
  <c r="E38" i="33"/>
  <c r="AB44" i="33"/>
  <c r="AA44" i="33"/>
  <c r="AB73" i="33"/>
  <c r="Z73" i="33"/>
  <c r="AA73" i="33"/>
  <c r="AD91" i="33"/>
  <c r="AD83" i="33"/>
  <c r="AD75" i="33"/>
  <c r="AD92" i="33"/>
  <c r="AD84" i="33"/>
  <c r="AD76" i="33"/>
  <c r="AD93" i="33"/>
  <c r="AD85" i="33"/>
  <c r="AD94" i="33"/>
  <c r="AD86" i="33"/>
  <c r="AD78" i="33"/>
  <c r="AD95" i="33"/>
  <c r="AD87" i="33"/>
  <c r="AD79" i="33"/>
  <c r="AD96" i="33"/>
  <c r="AD88" i="33"/>
  <c r="AD80" i="33"/>
  <c r="AD90" i="33"/>
  <c r="AD89" i="33"/>
  <c r="AD81" i="33"/>
  <c r="AD74" i="33"/>
  <c r="AD82" i="33"/>
  <c r="AD48" i="33"/>
  <c r="AD73" i="33"/>
  <c r="AD52" i="33"/>
  <c r="AD49" i="33"/>
  <c r="AD56" i="33"/>
  <c r="T27" i="33"/>
  <c r="U26" i="33"/>
  <c r="V23" i="33"/>
  <c r="T22" i="33"/>
  <c r="J5" i="33" s="1"/>
  <c r="J7" i="33" s="1"/>
  <c r="V28" i="33"/>
  <c r="W25" i="33"/>
  <c r="T23" i="33"/>
  <c r="T28" i="33"/>
  <c r="U25" i="33"/>
  <c r="V24" i="33"/>
  <c r="W27" i="33"/>
  <c r="T25" i="33"/>
  <c r="U24" i="33"/>
  <c r="W22" i="33"/>
  <c r="M5" i="33" s="1"/>
  <c r="M7" i="33" s="1"/>
  <c r="V22" i="33"/>
  <c r="L5" i="33" s="1"/>
  <c r="J21" i="33" s="1"/>
  <c r="W26" i="33"/>
  <c r="V27" i="33"/>
  <c r="C38" i="33"/>
  <c r="AB43" i="33"/>
  <c r="AA43" i="33"/>
  <c r="Z44" i="33"/>
  <c r="Z60" i="33"/>
  <c r="AA60" i="33"/>
  <c r="AB60" i="33"/>
  <c r="AC80" i="33"/>
  <c r="AB69" i="33"/>
  <c r="AA69" i="33"/>
  <c r="AA52" i="33"/>
  <c r="Z69" i="33"/>
  <c r="AA71" i="33"/>
  <c r="Z74" i="33"/>
  <c r="AB84" i="33"/>
  <c r="AA84" i="33"/>
  <c r="Z84" i="33"/>
  <c r="Z95" i="33"/>
  <c r="AB95" i="33"/>
  <c r="AA95" i="33"/>
  <c r="AB68" i="33"/>
  <c r="AA68" i="33"/>
  <c r="Z68" i="33"/>
  <c r="Z87" i="33"/>
  <c r="AB87" i="33"/>
  <c r="AA87" i="33"/>
  <c r="AB92" i="33"/>
  <c r="AA92" i="33"/>
  <c r="Z92" i="33"/>
  <c r="AB81" i="33"/>
  <c r="AA81" i="33"/>
  <c r="Z81" i="33"/>
  <c r="AB89" i="33"/>
  <c r="AA89" i="33"/>
  <c r="Z89" i="33"/>
  <c r="AA83" i="33"/>
  <c r="Z83" i="33"/>
  <c r="AB85" i="33"/>
  <c r="AA85" i="33"/>
  <c r="AB90" i="33"/>
  <c r="AA90" i="33"/>
  <c r="Z90" i="33"/>
  <c r="AA96" i="33"/>
  <c r="Z96" i="33"/>
  <c r="Z75" i="33"/>
  <c r="AB83" i="33"/>
  <c r="Z85" i="33"/>
  <c r="AB91" i="33"/>
  <c r="AA91" i="33"/>
  <c r="Z91" i="33"/>
  <c r="AB96" i="33"/>
  <c r="AA80" i="33"/>
  <c r="Z80" i="33"/>
  <c r="Z86" i="33"/>
  <c r="Z88" i="33"/>
  <c r="D40" i="33"/>
  <c r="F40" i="33"/>
  <c r="C40" i="33"/>
  <c r="E40" i="33"/>
  <c r="AC122" i="41" l="1"/>
  <c r="AE122" i="41" s="1"/>
  <c r="AC145" i="41"/>
  <c r="AE145" i="41" s="1"/>
  <c r="AC128" i="41"/>
  <c r="AE128" i="41" s="1"/>
  <c r="AC87" i="41"/>
  <c r="AE87" i="41" s="1"/>
  <c r="AC84" i="41"/>
  <c r="AE84" i="41" s="1"/>
  <c r="AC109" i="41"/>
  <c r="AE109" i="41" s="1"/>
  <c r="AC103" i="41"/>
  <c r="AE103" i="41" s="1"/>
  <c r="AC101" i="41"/>
  <c r="AE101" i="41" s="1"/>
  <c r="AC167" i="41"/>
  <c r="AE167" i="41" s="1"/>
  <c r="D27" i="41"/>
  <c r="AC117" i="41"/>
  <c r="AE117" i="41" s="1"/>
  <c r="AC49" i="41"/>
  <c r="AE49" i="41" s="1"/>
  <c r="AC93" i="41"/>
  <c r="AE93" i="41" s="1"/>
  <c r="AC73" i="41"/>
  <c r="AE73" i="41" s="1"/>
  <c r="AC102" i="41"/>
  <c r="AE102" i="41" s="1"/>
  <c r="AC125" i="41"/>
  <c r="AE125" i="41" s="1"/>
  <c r="AC129" i="41"/>
  <c r="AE129" i="41" s="1"/>
  <c r="AC140" i="41"/>
  <c r="AE140" i="41" s="1"/>
  <c r="AC99" i="41"/>
  <c r="AE99" i="41" s="1"/>
  <c r="AC205" i="41"/>
  <c r="AE205" i="41" s="1"/>
  <c r="AC123" i="41"/>
  <c r="AE123" i="41" s="1"/>
  <c r="AC206" i="41"/>
  <c r="AE206" i="41" s="1"/>
  <c r="AC81" i="41"/>
  <c r="AE81" i="41" s="1"/>
  <c r="AC166" i="41"/>
  <c r="AE166" i="41" s="1"/>
  <c r="AC41" i="41"/>
  <c r="AE41" i="41" s="1"/>
  <c r="AC74" i="41"/>
  <c r="AE74" i="41" s="1"/>
  <c r="AC130" i="41"/>
  <c r="AE130" i="41" s="1"/>
  <c r="AC156" i="41"/>
  <c r="AE156" i="41" s="1"/>
  <c r="AC141" i="41"/>
  <c r="AE141" i="41" s="1"/>
  <c r="AC208" i="41"/>
  <c r="AE208" i="41" s="1"/>
  <c r="AC126" i="41"/>
  <c r="AE126" i="41" s="1"/>
  <c r="AC70" i="41"/>
  <c r="AE70" i="41" s="1"/>
  <c r="AC192" i="41"/>
  <c r="AE192" i="41" s="1"/>
  <c r="AC160" i="41"/>
  <c r="AE160" i="41" s="1"/>
  <c r="AC121" i="41"/>
  <c r="AE121" i="41" s="1"/>
  <c r="AC51" i="41"/>
  <c r="AE51" i="41" s="1"/>
  <c r="AC111" i="41"/>
  <c r="AE111" i="41" s="1"/>
  <c r="AC131" i="41"/>
  <c r="AE131" i="41" s="1"/>
  <c r="AC127" i="41"/>
  <c r="AE127" i="41" s="1"/>
  <c r="AC82" i="41"/>
  <c r="AE82" i="41" s="1"/>
  <c r="AC186" i="41"/>
  <c r="AE186" i="41" s="1"/>
  <c r="AC46" i="41"/>
  <c r="AE46" i="41" s="1"/>
  <c r="AC95" i="41"/>
  <c r="AE95" i="41" s="1"/>
  <c r="AC69" i="41"/>
  <c r="AE69" i="41" s="1"/>
  <c r="AC189" i="41"/>
  <c r="AE189" i="41" s="1"/>
  <c r="AC56" i="41"/>
  <c r="AE56" i="41" s="1"/>
  <c r="AC190" i="41"/>
  <c r="AE190" i="41" s="1"/>
  <c r="AC183" i="41"/>
  <c r="AE183" i="41" s="1"/>
  <c r="AC172" i="41"/>
  <c r="AE172" i="41" s="1"/>
  <c r="AC162" i="41"/>
  <c r="AE162" i="41" s="1"/>
  <c r="AC88" i="41"/>
  <c r="AE88" i="41" s="1"/>
  <c r="AC165" i="41"/>
  <c r="AE165" i="41" s="1"/>
  <c r="AC158" i="41"/>
  <c r="AE158" i="41" s="1"/>
  <c r="AC214" i="41"/>
  <c r="AE214" i="41" s="1"/>
  <c r="AC157" i="41"/>
  <c r="AE157" i="41" s="1"/>
  <c r="AC90" i="41"/>
  <c r="AE90" i="41" s="1"/>
  <c r="AC138" i="41"/>
  <c r="AE138" i="41" s="1"/>
  <c r="AC168" i="41"/>
  <c r="AE168" i="41" s="1"/>
  <c r="AC212" i="41"/>
  <c r="AE212" i="41" s="1"/>
  <c r="AC134" i="41"/>
  <c r="AE134" i="41" s="1"/>
  <c r="AC191" i="41"/>
  <c r="AE191" i="41" s="1"/>
  <c r="AC154" i="41"/>
  <c r="AE154" i="41" s="1"/>
  <c r="AC113" i="41"/>
  <c r="AE113" i="41" s="1"/>
  <c r="AC48" i="41"/>
  <c r="AE48" i="41" s="1"/>
  <c r="AC86" i="41"/>
  <c r="AE86" i="41" s="1"/>
  <c r="AC105" i="41"/>
  <c r="AE105" i="41" s="1"/>
  <c r="AC152" i="41"/>
  <c r="AE152" i="41" s="1"/>
  <c r="AC161" i="41"/>
  <c r="AE161" i="41" s="1"/>
  <c r="AC143" i="41"/>
  <c r="AE143" i="41" s="1"/>
  <c r="AC200" i="41"/>
  <c r="AE200" i="41" s="1"/>
  <c r="AC155" i="41"/>
  <c r="AE155" i="41" s="1"/>
  <c r="AC153" i="41"/>
  <c r="AE153" i="41" s="1"/>
  <c r="AC147" i="41"/>
  <c r="AE147" i="41" s="1"/>
  <c r="AC110" i="41"/>
  <c r="AE110" i="41" s="1"/>
  <c r="AC136" i="41"/>
  <c r="AE136" i="41" s="1"/>
  <c r="AC97" i="41"/>
  <c r="AE97" i="41" s="1"/>
  <c r="AC94" i="41"/>
  <c r="AE94" i="41" s="1"/>
  <c r="AC76" i="41"/>
  <c r="AE76" i="41" s="1"/>
  <c r="AC188" i="41"/>
  <c r="AE188" i="41" s="1"/>
  <c r="AC54" i="41"/>
  <c r="AE54" i="41" s="1"/>
  <c r="AC174" i="41"/>
  <c r="AE174" i="41" s="1"/>
  <c r="AC215" i="41"/>
  <c r="AE215" i="41" s="1"/>
  <c r="AC43" i="41"/>
  <c r="AE43" i="41" s="1"/>
  <c r="AC178" i="41"/>
  <c r="AE178" i="41" s="1"/>
  <c r="AC149" i="41"/>
  <c r="AE149" i="41" s="1"/>
  <c r="AC177" i="41"/>
  <c r="AE177" i="41" s="1"/>
  <c r="AC203" i="41"/>
  <c r="AE203" i="41" s="1"/>
  <c r="AC72" i="41"/>
  <c r="AE72" i="41" s="1"/>
  <c r="AC187" i="41"/>
  <c r="AE187" i="41" s="1"/>
  <c r="AC104" i="41"/>
  <c r="AE104" i="41" s="1"/>
  <c r="AC216" i="41"/>
  <c r="AE216" i="41" s="1"/>
  <c r="AC52" i="41"/>
  <c r="AE52" i="41" s="1"/>
  <c r="AC199" i="41"/>
  <c r="AE199" i="41" s="1"/>
  <c r="AC119" i="41"/>
  <c r="AE119" i="41" s="1"/>
  <c r="AC118" i="41"/>
  <c r="AE118" i="41" s="1"/>
  <c r="AC133" i="41"/>
  <c r="AE133" i="41" s="1"/>
  <c r="AC114" i="41"/>
  <c r="AE114" i="41" s="1"/>
  <c r="AC137" i="41"/>
  <c r="AE137" i="41" s="1"/>
  <c r="AC60" i="41"/>
  <c r="AE60" i="41" s="1"/>
  <c r="AC89" i="41"/>
  <c r="AE89" i="41" s="1"/>
  <c r="AC67" i="41"/>
  <c r="AE67" i="41" s="1"/>
  <c r="AC44" i="41"/>
  <c r="AE44" i="41" s="1"/>
  <c r="AC184" i="41"/>
  <c r="AE184" i="41" s="1"/>
  <c r="AC98" i="41"/>
  <c r="AE98" i="41" s="1"/>
  <c r="AC207" i="41"/>
  <c r="AE207" i="41" s="1"/>
  <c r="AC112" i="41"/>
  <c r="AE112" i="41" s="1"/>
  <c r="AC204" i="41"/>
  <c r="AE204" i="41" s="1"/>
  <c r="AC66" i="41"/>
  <c r="AE66" i="41" s="1"/>
  <c r="AC50" i="41"/>
  <c r="AE50" i="41" s="1"/>
  <c r="AC170" i="41"/>
  <c r="AE170" i="41" s="1"/>
  <c r="AC65" i="41"/>
  <c r="AE65" i="41" s="1"/>
  <c r="AC62" i="41"/>
  <c r="AE62" i="41" s="1"/>
  <c r="AC96" i="41"/>
  <c r="AE96" i="41" s="1"/>
  <c r="AC151" i="41"/>
  <c r="AE151" i="41" s="1"/>
  <c r="AC197" i="41"/>
  <c r="AE197" i="41" s="1"/>
  <c r="AC196" i="41"/>
  <c r="AE196" i="41" s="1"/>
  <c r="AC79" i="41"/>
  <c r="AE79" i="41" s="1"/>
  <c r="AC58" i="41"/>
  <c r="AE58" i="41" s="1"/>
  <c r="AC68" i="41"/>
  <c r="AE68" i="41" s="1"/>
  <c r="AC173" i="41"/>
  <c r="AE173" i="41" s="1"/>
  <c r="AC47" i="41"/>
  <c r="AE47" i="41" s="1"/>
  <c r="AC217" i="41"/>
  <c r="AE217" i="41" s="1"/>
  <c r="AC80" i="41"/>
  <c r="AE80" i="41" s="1"/>
  <c r="AC78" i="41"/>
  <c r="AE78" i="41" s="1"/>
  <c r="AC116" i="41"/>
  <c r="AE116" i="41" s="1"/>
  <c r="AC120" i="41"/>
  <c r="AE120" i="41" s="1"/>
  <c r="AC139" i="41"/>
  <c r="AE139" i="41" s="1"/>
  <c r="AC135" i="41"/>
  <c r="AE135" i="41" s="1"/>
  <c r="AC176" i="41"/>
  <c r="AE176" i="41" s="1"/>
  <c r="AC175" i="41"/>
  <c r="AE175" i="41" s="1"/>
  <c r="AC106" i="41"/>
  <c r="AE106" i="41" s="1"/>
  <c r="AC218" i="41"/>
  <c r="AE218" i="41" s="1"/>
  <c r="AC45" i="41"/>
  <c r="AE45" i="41" s="1"/>
  <c r="AC201" i="41"/>
  <c r="AE201" i="41" s="1"/>
  <c r="AC64" i="41"/>
  <c r="AE64" i="41" s="1"/>
  <c r="AC181" i="41"/>
  <c r="AE181" i="41" s="1"/>
  <c r="AC124" i="41"/>
  <c r="AE124" i="41" s="1"/>
  <c r="AC198" i="41"/>
  <c r="AE198" i="41" s="1"/>
  <c r="AC164" i="41"/>
  <c r="AE164" i="41" s="1"/>
  <c r="AC202" i="41"/>
  <c r="AE202" i="41" s="1"/>
  <c r="AC185" i="41"/>
  <c r="AE185" i="41" s="1"/>
  <c r="AC63" i="41"/>
  <c r="AE63" i="41" s="1"/>
  <c r="AC100" i="41"/>
  <c r="AE100" i="41" s="1"/>
  <c r="AC144" i="41"/>
  <c r="AE144" i="41" s="1"/>
  <c r="AC42" i="41"/>
  <c r="AE42" i="41" s="1"/>
  <c r="AC182" i="41"/>
  <c r="AE182" i="41" s="1"/>
  <c r="AC71" i="41"/>
  <c r="AE71" i="41" s="1"/>
  <c r="AC55" i="41"/>
  <c r="AE55" i="41" s="1"/>
  <c r="AC85" i="41"/>
  <c r="AE85" i="41" s="1"/>
  <c r="AC57" i="41"/>
  <c r="AE57" i="41" s="1"/>
  <c r="AC75" i="41"/>
  <c r="AE75" i="41" s="1"/>
  <c r="AC132" i="41"/>
  <c r="AE132" i="41" s="1"/>
  <c r="AC213" i="41"/>
  <c r="AE213" i="41" s="1"/>
  <c r="AC169" i="41"/>
  <c r="AE169" i="41" s="1"/>
  <c r="AC53" i="41"/>
  <c r="AE53" i="41" s="1"/>
  <c r="AC211" i="41"/>
  <c r="AE211" i="41" s="1"/>
  <c r="AC142" i="41"/>
  <c r="AE142" i="41" s="1"/>
  <c r="AC77" i="41"/>
  <c r="AE77" i="41" s="1"/>
  <c r="AC108" i="41"/>
  <c r="AE108" i="41" s="1"/>
  <c r="AC61" i="41"/>
  <c r="AE61" i="41" s="1"/>
  <c r="AC107" i="41"/>
  <c r="AE107" i="41" s="1"/>
  <c r="AC148" i="41"/>
  <c r="AE148" i="41" s="1"/>
  <c r="AC115" i="41"/>
  <c r="AE115" i="41" s="1"/>
  <c r="AC146" i="41"/>
  <c r="AE146" i="41" s="1"/>
  <c r="AC180" i="41"/>
  <c r="AE180" i="41" s="1"/>
  <c r="AC195" i="41"/>
  <c r="AE195" i="41" s="1"/>
  <c r="AC163" i="41"/>
  <c r="AE163" i="41" s="1"/>
  <c r="AC210" i="41"/>
  <c r="AE210" i="41" s="1"/>
  <c r="AC209" i="41"/>
  <c r="AE209" i="41" s="1"/>
  <c r="AC159" i="41"/>
  <c r="AE159" i="41" s="1"/>
  <c r="AC150" i="41"/>
  <c r="AE150" i="41" s="1"/>
  <c r="AC92" i="41"/>
  <c r="AE92" i="41" s="1"/>
  <c r="AC91" i="41"/>
  <c r="AE91" i="41" s="1"/>
  <c r="AC83" i="41"/>
  <c r="AE83" i="41" s="1"/>
  <c r="AC179" i="41"/>
  <c r="AE179" i="41" s="1"/>
  <c r="AC171" i="41"/>
  <c r="AE171" i="41" s="1"/>
  <c r="AC194" i="41"/>
  <c r="AE194" i="41" s="1"/>
  <c r="AC193" i="41"/>
  <c r="AE193" i="41" s="1"/>
  <c r="AC59" i="41"/>
  <c r="AE59" i="41" s="1"/>
  <c r="AE92" i="33"/>
  <c r="AF92" i="33" s="1"/>
  <c r="AG92" i="33" s="1"/>
  <c r="AE96" i="33"/>
  <c r="AF96" i="33" s="1"/>
  <c r="AG96" i="33" s="1"/>
  <c r="AE77" i="33"/>
  <c r="AF77" i="33" s="1"/>
  <c r="AG77" i="33" s="1"/>
  <c r="AE56" i="33"/>
  <c r="AF56" i="33" s="1"/>
  <c r="AG56" i="33" s="1"/>
  <c r="AE79" i="33"/>
  <c r="AF79" i="33" s="1"/>
  <c r="AG79" i="33" s="1"/>
  <c r="AE90" i="33"/>
  <c r="AF90" i="33" s="1"/>
  <c r="AG90" i="33" s="1"/>
  <c r="AH54" i="33"/>
  <c r="AE55" i="33"/>
  <c r="AF55" i="33" s="1"/>
  <c r="AG55" i="33" s="1"/>
  <c r="AE75" i="33"/>
  <c r="AF75" i="33" s="1"/>
  <c r="AG75" i="33" s="1"/>
  <c r="M11" i="33"/>
  <c r="AE44" i="33"/>
  <c r="AF44" i="33" s="1"/>
  <c r="AG44" i="33" s="1"/>
  <c r="AE52" i="33"/>
  <c r="AF52" i="33" s="1"/>
  <c r="AG52" i="33" s="1"/>
  <c r="AE78" i="33"/>
  <c r="AF78" i="33" s="1"/>
  <c r="AG78" i="33" s="1"/>
  <c r="K17" i="33"/>
  <c r="J17" i="33"/>
  <c r="J22" i="33" s="1"/>
  <c r="L7" i="33"/>
  <c r="K21" i="33"/>
  <c r="L21" i="33" s="1"/>
  <c r="AE76" i="33"/>
  <c r="AF76" i="33" s="1"/>
  <c r="AG76" i="33" s="1"/>
  <c r="AH43" i="33"/>
  <c r="AE81" i="33"/>
  <c r="AF81" i="33" s="1"/>
  <c r="AG81" i="33" s="1"/>
  <c r="AE73" i="33"/>
  <c r="AF73" i="33" s="1"/>
  <c r="AG73" i="33" s="1"/>
  <c r="AE80" i="33"/>
  <c r="AF80" i="33" s="1"/>
  <c r="AG80" i="33" s="1"/>
  <c r="AE94" i="33"/>
  <c r="AF94" i="33" s="1"/>
  <c r="AG94" i="33" s="1"/>
  <c r="AE91" i="33"/>
  <c r="AF91" i="33" s="1"/>
  <c r="AG91" i="33" s="1"/>
  <c r="AE48" i="33"/>
  <c r="AF48" i="33" s="1"/>
  <c r="AE74" i="33"/>
  <c r="AF74" i="33" s="1"/>
  <c r="AG74" i="33" s="1"/>
  <c r="AE88" i="33"/>
  <c r="AF88" i="33" s="1"/>
  <c r="AG88" i="33" s="1"/>
  <c r="AE85" i="33"/>
  <c r="AF85" i="33" s="1"/>
  <c r="AG85" i="33" s="1"/>
  <c r="AE86" i="33"/>
  <c r="AF86" i="33" s="1"/>
  <c r="AE83" i="33"/>
  <c r="AF83" i="33" s="1"/>
  <c r="D38" i="33"/>
  <c r="B40" i="33"/>
  <c r="B39" i="33"/>
  <c r="AE93" i="33"/>
  <c r="AF93" i="33" s="1"/>
  <c r="AE82" i="33"/>
  <c r="AF82" i="33" s="1"/>
  <c r="AE89" i="33"/>
  <c r="AF89" i="33" s="1"/>
  <c r="AE87" i="33"/>
  <c r="AF87" i="33" s="1"/>
  <c r="AE84" i="33"/>
  <c r="AF84" i="33" s="1"/>
  <c r="L19" i="33"/>
  <c r="U14" i="33"/>
  <c r="U15" i="33" s="1"/>
  <c r="U16" i="33" s="1"/>
  <c r="W8" i="33"/>
  <c r="AE49" i="33"/>
  <c r="AF49" i="33" s="1"/>
  <c r="AE95" i="33"/>
  <c r="AF95" i="33" s="1"/>
  <c r="D19" i="33"/>
  <c r="D39" i="33"/>
  <c r="C39" i="33"/>
  <c r="F39" i="33"/>
  <c r="E39" i="33"/>
  <c r="AG42" i="41" l="1"/>
  <c r="AH90" i="33"/>
  <c r="AH92" i="33"/>
  <c r="AH85" i="33"/>
  <c r="AH52" i="33"/>
  <c r="AH77" i="33"/>
  <c r="AH78" i="33"/>
  <c r="AH96" i="33"/>
  <c r="AH73" i="33"/>
  <c r="AH79" i="33"/>
  <c r="AH56" i="33"/>
  <c r="AH75" i="33"/>
  <c r="AH88" i="33"/>
  <c r="AH55" i="33"/>
  <c r="AH74" i="33"/>
  <c r="AH81" i="33"/>
  <c r="AH44" i="33"/>
  <c r="L17" i="33"/>
  <c r="O17" i="33" s="1"/>
  <c r="AH91" i="33"/>
  <c r="AH76" i="33"/>
  <c r="AG48" i="33"/>
  <c r="AH48" i="33"/>
  <c r="AH94" i="33"/>
  <c r="AH80" i="33"/>
  <c r="E7" i="33"/>
  <c r="B21" i="33" s="1"/>
  <c r="C7" i="33"/>
  <c r="D7" i="33"/>
  <c r="C17" i="33" s="1"/>
  <c r="F7" i="33"/>
  <c r="C21" i="33" s="1"/>
  <c r="AG49" i="33"/>
  <c r="AH49" i="33"/>
  <c r="AG87" i="33"/>
  <c r="AH87" i="33"/>
  <c r="AG89" i="33"/>
  <c r="AH89" i="33"/>
  <c r="AG83" i="33"/>
  <c r="AH83" i="33"/>
  <c r="W14" i="33"/>
  <c r="W15" i="33" s="1"/>
  <c r="W16" i="33"/>
  <c r="AG82" i="33"/>
  <c r="AH82" i="33"/>
  <c r="AG86" i="33"/>
  <c r="AH86" i="33"/>
  <c r="J95" i="33"/>
  <c r="J87" i="33"/>
  <c r="J79" i="33"/>
  <c r="J96" i="33"/>
  <c r="J88" i="33"/>
  <c r="J80" i="33"/>
  <c r="J89" i="33"/>
  <c r="J90" i="33"/>
  <c r="J82" i="33"/>
  <c r="J91" i="33"/>
  <c r="J83" i="33"/>
  <c r="J92" i="33"/>
  <c r="J84" i="33"/>
  <c r="J75" i="33"/>
  <c r="J73" i="33"/>
  <c r="J65" i="33"/>
  <c r="B57" i="33"/>
  <c r="J81" i="33"/>
  <c r="J67" i="33"/>
  <c r="J94" i="33"/>
  <c r="J74" i="33"/>
  <c r="J68" i="33"/>
  <c r="J60" i="33"/>
  <c r="J85" i="33"/>
  <c r="J77" i="33"/>
  <c r="J78" i="33"/>
  <c r="J63" i="33"/>
  <c r="J72" i="33"/>
  <c r="J70" i="33"/>
  <c r="J64" i="33"/>
  <c r="J93" i="33"/>
  <c r="J76" i="33"/>
  <c r="J71" i="33"/>
  <c r="J62" i="33"/>
  <c r="F19" i="33"/>
  <c r="B50" i="33" s="1"/>
  <c r="J69" i="33"/>
  <c r="J66" i="33"/>
  <c r="J61" i="33"/>
  <c r="E19" i="33"/>
  <c r="B27" i="33" s="1"/>
  <c r="J86" i="33"/>
  <c r="N21" i="33"/>
  <c r="M21" i="33"/>
  <c r="J29" i="33" s="1"/>
  <c r="O21" i="33"/>
  <c r="AG93" i="33"/>
  <c r="AH93" i="33"/>
  <c r="N19" i="33"/>
  <c r="O19" i="33"/>
  <c r="M19" i="33"/>
  <c r="J27" i="33" s="1"/>
  <c r="AG95" i="33"/>
  <c r="AH95" i="33"/>
  <c r="AG84" i="33"/>
  <c r="AH84" i="33"/>
  <c r="B17" i="33" l="1"/>
  <c r="D17" i="33" s="1"/>
  <c r="M17" i="33"/>
  <c r="J25" i="33" s="1"/>
  <c r="N25" i="33" s="1"/>
  <c r="N17" i="33"/>
  <c r="K27" i="33"/>
  <c r="L27" i="33" s="1"/>
  <c r="M27" i="33" s="1"/>
  <c r="J33" i="33" s="1"/>
  <c r="C27" i="33"/>
  <c r="D27" i="33" s="1"/>
  <c r="E27" i="33" s="1"/>
  <c r="B33" i="33" s="1"/>
  <c r="K29" i="33"/>
  <c r="L29" i="33" s="1"/>
  <c r="M29" i="33" s="1"/>
  <c r="J35" i="33" s="1"/>
  <c r="J48" i="33"/>
  <c r="J55" i="33"/>
  <c r="J52" i="33"/>
  <c r="J54" i="33"/>
  <c r="J49" i="33"/>
  <c r="J50" i="33"/>
  <c r="AD50" i="33"/>
  <c r="V50" i="33"/>
  <c r="X50" i="33"/>
  <c r="Y50" i="33" s="1"/>
  <c r="K50" i="33"/>
  <c r="AC50" i="33"/>
  <c r="J56" i="33"/>
  <c r="X57" i="33"/>
  <c r="Y57" i="33" s="1"/>
  <c r="AD57" i="33"/>
  <c r="K57" i="33"/>
  <c r="AC57" i="33"/>
  <c r="J57" i="33"/>
  <c r="V57" i="33"/>
  <c r="K96" i="33"/>
  <c r="L96" i="33" s="1"/>
  <c r="M96" i="33" s="1"/>
  <c r="N96" i="33" s="1"/>
  <c r="K88" i="33"/>
  <c r="L88" i="33" s="1"/>
  <c r="M88" i="33" s="1"/>
  <c r="N88" i="33" s="1"/>
  <c r="K80" i="33"/>
  <c r="L80" i="33" s="1"/>
  <c r="M80" i="33" s="1"/>
  <c r="N80" i="33" s="1"/>
  <c r="K89" i="33"/>
  <c r="L89" i="33" s="1"/>
  <c r="M89" i="33" s="1"/>
  <c r="N89" i="33" s="1"/>
  <c r="K81" i="33"/>
  <c r="L81" i="33" s="1"/>
  <c r="M81" i="33" s="1"/>
  <c r="N81" i="33" s="1"/>
  <c r="K90" i="33"/>
  <c r="L90" i="33" s="1"/>
  <c r="M90" i="33" s="1"/>
  <c r="N90" i="33" s="1"/>
  <c r="K91" i="33"/>
  <c r="L91" i="33" s="1"/>
  <c r="M91" i="33" s="1"/>
  <c r="N91" i="33" s="1"/>
  <c r="K83" i="33"/>
  <c r="L83" i="33" s="1"/>
  <c r="M83" i="33" s="1"/>
  <c r="N83" i="33" s="1"/>
  <c r="K92" i="33"/>
  <c r="L92" i="33" s="1"/>
  <c r="M92" i="33" s="1"/>
  <c r="N92" i="33" s="1"/>
  <c r="K84" i="33"/>
  <c r="L84" i="33" s="1"/>
  <c r="M84" i="33" s="1"/>
  <c r="N84" i="33" s="1"/>
  <c r="K93" i="33"/>
  <c r="L93" i="33" s="1"/>
  <c r="M93" i="33" s="1"/>
  <c r="N93" i="33" s="1"/>
  <c r="K85" i="33"/>
  <c r="L85" i="33" s="1"/>
  <c r="M85" i="33" s="1"/>
  <c r="N85" i="33" s="1"/>
  <c r="K79" i="33"/>
  <c r="L79" i="33" s="1"/>
  <c r="M79" i="33" s="1"/>
  <c r="N79" i="33" s="1"/>
  <c r="K66" i="33"/>
  <c r="L66" i="33" s="1"/>
  <c r="M66" i="33" s="1"/>
  <c r="N66" i="33" s="1"/>
  <c r="K55" i="33"/>
  <c r="K95" i="33"/>
  <c r="L95" i="33" s="1"/>
  <c r="M95" i="33" s="1"/>
  <c r="N95" i="33" s="1"/>
  <c r="K67" i="33"/>
  <c r="L67" i="33" s="1"/>
  <c r="M67" i="33" s="1"/>
  <c r="N67" i="33" s="1"/>
  <c r="K94" i="33"/>
  <c r="L94" i="33" s="1"/>
  <c r="M94" i="33" s="1"/>
  <c r="N94" i="33" s="1"/>
  <c r="K74" i="33"/>
  <c r="L74" i="33" s="1"/>
  <c r="M74" i="33" s="1"/>
  <c r="N74" i="33" s="1"/>
  <c r="K68" i="33"/>
  <c r="L68" i="33" s="1"/>
  <c r="M68" i="33" s="1"/>
  <c r="N68" i="33" s="1"/>
  <c r="K69" i="33"/>
  <c r="L69" i="33" s="1"/>
  <c r="M69" i="33" s="1"/>
  <c r="N69" i="33" s="1"/>
  <c r="K61" i="33"/>
  <c r="L61" i="33" s="1"/>
  <c r="M61" i="33" s="1"/>
  <c r="N61" i="33" s="1"/>
  <c r="K86" i="33"/>
  <c r="L86" i="33" s="1"/>
  <c r="M86" i="33" s="1"/>
  <c r="N86" i="33" s="1"/>
  <c r="K76" i="33"/>
  <c r="L76" i="33" s="1"/>
  <c r="M76" i="33" s="1"/>
  <c r="N76" i="33" s="1"/>
  <c r="K72" i="33"/>
  <c r="L72" i="33" s="1"/>
  <c r="M72" i="33" s="1"/>
  <c r="N72" i="33" s="1"/>
  <c r="K78" i="33"/>
  <c r="L78" i="33" s="1"/>
  <c r="M78" i="33" s="1"/>
  <c r="N78" i="33" s="1"/>
  <c r="K63" i="33"/>
  <c r="L63" i="33" s="1"/>
  <c r="M63" i="33" s="1"/>
  <c r="N63" i="33" s="1"/>
  <c r="K60" i="33"/>
  <c r="L60" i="33" s="1"/>
  <c r="M60" i="33" s="1"/>
  <c r="N60" i="33" s="1"/>
  <c r="K82" i="33"/>
  <c r="L82" i="33" s="1"/>
  <c r="M82" i="33" s="1"/>
  <c r="N82" i="33" s="1"/>
  <c r="K75" i="33"/>
  <c r="L75" i="33" s="1"/>
  <c r="M75" i="33" s="1"/>
  <c r="N75" i="33" s="1"/>
  <c r="K87" i="33"/>
  <c r="L87" i="33" s="1"/>
  <c r="M87" i="33" s="1"/>
  <c r="N87" i="33" s="1"/>
  <c r="K77" i="33"/>
  <c r="L77" i="33" s="1"/>
  <c r="M77" i="33" s="1"/>
  <c r="N77" i="33" s="1"/>
  <c r="K54" i="33"/>
  <c r="K44" i="33"/>
  <c r="K73" i="33"/>
  <c r="L73" i="33" s="1"/>
  <c r="M73" i="33" s="1"/>
  <c r="N73" i="33" s="1"/>
  <c r="K62" i="33"/>
  <c r="L62" i="33" s="1"/>
  <c r="M62" i="33" s="1"/>
  <c r="N62" i="33" s="1"/>
  <c r="K65" i="33"/>
  <c r="L65" i="33" s="1"/>
  <c r="M65" i="33" s="1"/>
  <c r="N65" i="33" s="1"/>
  <c r="K52" i="33"/>
  <c r="K48" i="33"/>
  <c r="K43" i="33"/>
  <c r="K56" i="33"/>
  <c r="K70" i="33"/>
  <c r="L70" i="33" s="1"/>
  <c r="M70" i="33" s="1"/>
  <c r="N70" i="33" s="1"/>
  <c r="K64" i="33"/>
  <c r="L64" i="33" s="1"/>
  <c r="M64" i="33" s="1"/>
  <c r="N64" i="33" s="1"/>
  <c r="K71" i="33"/>
  <c r="L71" i="33" s="1"/>
  <c r="M71" i="33" s="1"/>
  <c r="N71" i="33" s="1"/>
  <c r="K49" i="33"/>
  <c r="B45" i="33"/>
  <c r="J43" i="33"/>
  <c r="J44" i="33"/>
  <c r="D21" i="33"/>
  <c r="G12" i="33" l="1"/>
  <c r="G11" i="33"/>
  <c r="D23" i="33"/>
  <c r="B22" i="33"/>
  <c r="K25" i="33"/>
  <c r="L25" i="33" s="1"/>
  <c r="M25" i="33" s="1"/>
  <c r="J31" i="33" s="1"/>
  <c r="J36" i="33" s="1"/>
  <c r="L36" i="33" s="1"/>
  <c r="L49" i="33"/>
  <c r="M49" i="33" s="1"/>
  <c r="N49" i="33" s="1"/>
  <c r="L48" i="33"/>
  <c r="M48" i="33" s="1"/>
  <c r="N48" i="33" s="1"/>
  <c r="AE57" i="33"/>
  <c r="AF57" i="33" s="1"/>
  <c r="AH57" i="33" s="1"/>
  <c r="L43" i="33"/>
  <c r="M43" i="33" s="1"/>
  <c r="N43" i="33" s="1"/>
  <c r="L52" i="33"/>
  <c r="M52" i="33" s="1"/>
  <c r="N52" i="33" s="1"/>
  <c r="L50" i="33"/>
  <c r="M50" i="33" s="1"/>
  <c r="N50" i="33" s="1"/>
  <c r="L44" i="33"/>
  <c r="M44" i="33" s="1"/>
  <c r="N44" i="33" s="1"/>
  <c r="L56" i="33"/>
  <c r="M56" i="33" s="1"/>
  <c r="N56" i="33" s="1"/>
  <c r="L54" i="33"/>
  <c r="M54" i="33" s="1"/>
  <c r="N54" i="33" s="1"/>
  <c r="AE50" i="33"/>
  <c r="AF50" i="33" s="1"/>
  <c r="AH50" i="33" s="1"/>
  <c r="L55" i="33"/>
  <c r="M55" i="33" s="1"/>
  <c r="N55" i="33" s="1"/>
  <c r="Z50" i="33"/>
  <c r="AA50" i="33"/>
  <c r="AB50" i="33"/>
  <c r="AB57" i="33"/>
  <c r="Z57" i="33"/>
  <c r="AA57" i="33"/>
  <c r="X45" i="33"/>
  <c r="Y45" i="33" s="1"/>
  <c r="AC45" i="33"/>
  <c r="J45" i="33"/>
  <c r="K45" i="33"/>
  <c r="AD45" i="33"/>
  <c r="V45" i="33"/>
  <c r="O92" i="33"/>
  <c r="O84" i="33"/>
  <c r="O76" i="33"/>
  <c r="O93" i="33"/>
  <c r="O85" i="33"/>
  <c r="O77" i="33"/>
  <c r="O94" i="33"/>
  <c r="O86" i="33"/>
  <c r="O95" i="33"/>
  <c r="O87" i="33"/>
  <c r="O79" i="33"/>
  <c r="O96" i="33"/>
  <c r="O88" i="33"/>
  <c r="O80" i="33"/>
  <c r="O89" i="33"/>
  <c r="O81" i="33"/>
  <c r="O78" i="33"/>
  <c r="O70" i="33"/>
  <c r="O62" i="33"/>
  <c r="B59" i="33"/>
  <c r="O71" i="33"/>
  <c r="O72" i="33"/>
  <c r="O64" i="33"/>
  <c r="O82" i="33"/>
  <c r="O73" i="33"/>
  <c r="O65" i="33"/>
  <c r="O91" i="33"/>
  <c r="O90" i="33"/>
  <c r="O68" i="33"/>
  <c r="O74" i="33"/>
  <c r="O69" i="33"/>
  <c r="O61" i="33"/>
  <c r="E21" i="33"/>
  <c r="P45" i="33" s="1"/>
  <c r="O66" i="33"/>
  <c r="O75" i="33"/>
  <c r="O83" i="33"/>
  <c r="O63" i="33"/>
  <c r="O67" i="33"/>
  <c r="F21" i="33"/>
  <c r="B53" i="33" s="1"/>
  <c r="O60" i="33"/>
  <c r="C90" i="33"/>
  <c r="C82" i="33"/>
  <c r="C74" i="33"/>
  <c r="C91" i="33"/>
  <c r="C83" i="33"/>
  <c r="C92" i="33"/>
  <c r="C93" i="33"/>
  <c r="C85" i="33"/>
  <c r="C94" i="33"/>
  <c r="C86" i="33"/>
  <c r="C95" i="33"/>
  <c r="C87" i="33"/>
  <c r="C96" i="33"/>
  <c r="C78" i="33"/>
  <c r="C77" i="33"/>
  <c r="C76" i="33"/>
  <c r="C68" i="33"/>
  <c r="C60" i="33"/>
  <c r="B58" i="33"/>
  <c r="C89" i="33"/>
  <c r="C69" i="33"/>
  <c r="C80" i="33"/>
  <c r="C79" i="33"/>
  <c r="C70" i="33"/>
  <c r="C62" i="33"/>
  <c r="C88" i="33"/>
  <c r="C71" i="33"/>
  <c r="C63" i="33"/>
  <c r="C84" i="33"/>
  <c r="C81" i="33"/>
  <c r="C67" i="33"/>
  <c r="F17" i="33"/>
  <c r="B51" i="33" s="1"/>
  <c r="C73" i="33"/>
  <c r="C75" i="33"/>
  <c r="C66" i="33"/>
  <c r="C65" i="33"/>
  <c r="C64" i="33"/>
  <c r="C72" i="33"/>
  <c r="C61" i="33"/>
  <c r="E17" i="33"/>
  <c r="E23" i="33" s="1"/>
  <c r="L57" i="33"/>
  <c r="M57" i="33" s="1"/>
  <c r="N57" i="33" s="1"/>
  <c r="O57" i="33" l="1"/>
  <c r="C57" i="33"/>
  <c r="B25" i="33"/>
  <c r="F25" i="33"/>
  <c r="F23" i="33"/>
  <c r="D45" i="33"/>
  <c r="N27" i="33"/>
  <c r="N29" i="33" s="1"/>
  <c r="N36" i="33" s="1"/>
  <c r="C25" i="33"/>
  <c r="C29" i="33"/>
  <c r="AG57" i="33"/>
  <c r="O49" i="33"/>
  <c r="C50" i="33"/>
  <c r="C56" i="33"/>
  <c r="O44" i="33"/>
  <c r="O52" i="33"/>
  <c r="C55" i="33"/>
  <c r="C52" i="33"/>
  <c r="AG50" i="33"/>
  <c r="AE45" i="33"/>
  <c r="AF45" i="33" s="1"/>
  <c r="AH45" i="33" s="1"/>
  <c r="O54" i="33"/>
  <c r="O45" i="33"/>
  <c r="Q45" i="33" s="1"/>
  <c r="R45" i="33" s="1"/>
  <c r="S45" i="33" s="1"/>
  <c r="O50" i="33"/>
  <c r="O55" i="33"/>
  <c r="O56" i="33"/>
  <c r="O59" i="33"/>
  <c r="D59" i="33"/>
  <c r="V59" i="33"/>
  <c r="K59" i="33"/>
  <c r="J59" i="33"/>
  <c r="AD59" i="33"/>
  <c r="C59" i="33"/>
  <c r="AC59" i="33"/>
  <c r="X59" i="33"/>
  <c r="Y59" i="33" s="1"/>
  <c r="P59" i="33"/>
  <c r="AB45" i="33"/>
  <c r="AA45" i="33"/>
  <c r="Z45" i="33"/>
  <c r="X51" i="33"/>
  <c r="Y51" i="33" s="1"/>
  <c r="P51" i="33"/>
  <c r="AC51" i="33"/>
  <c r="K51" i="33"/>
  <c r="O51" i="33"/>
  <c r="D51" i="33"/>
  <c r="V51" i="33"/>
  <c r="AD51" i="33"/>
  <c r="J51" i="33"/>
  <c r="C51" i="33"/>
  <c r="C54" i="33"/>
  <c r="L45" i="33"/>
  <c r="M45" i="33" s="1"/>
  <c r="N45" i="33" s="1"/>
  <c r="D91" i="33"/>
  <c r="E91" i="33" s="1"/>
  <c r="F91" i="33" s="1"/>
  <c r="I91" i="33" s="1"/>
  <c r="D83" i="33"/>
  <c r="E83" i="33" s="1"/>
  <c r="F83" i="33" s="1"/>
  <c r="I83" i="33" s="1"/>
  <c r="D75" i="33"/>
  <c r="E75" i="33" s="1"/>
  <c r="F75" i="33" s="1"/>
  <c r="I75" i="33" s="1"/>
  <c r="D92" i="33"/>
  <c r="E92" i="33" s="1"/>
  <c r="F92" i="33" s="1"/>
  <c r="I92" i="33" s="1"/>
  <c r="D84" i="33"/>
  <c r="E84" i="33" s="1"/>
  <c r="F84" i="33" s="1"/>
  <c r="I84" i="33" s="1"/>
  <c r="D76" i="33"/>
  <c r="E76" i="33" s="1"/>
  <c r="F76" i="33" s="1"/>
  <c r="I76" i="33" s="1"/>
  <c r="D93" i="33"/>
  <c r="E93" i="33" s="1"/>
  <c r="F93" i="33" s="1"/>
  <c r="I93" i="33" s="1"/>
  <c r="D94" i="33"/>
  <c r="E94" i="33" s="1"/>
  <c r="F94" i="33" s="1"/>
  <c r="I94" i="33" s="1"/>
  <c r="D86" i="33"/>
  <c r="E86" i="33" s="1"/>
  <c r="F86" i="33" s="1"/>
  <c r="I86" i="33" s="1"/>
  <c r="D95" i="33"/>
  <c r="E95" i="33" s="1"/>
  <c r="F95" i="33" s="1"/>
  <c r="I95" i="33" s="1"/>
  <c r="D87" i="33"/>
  <c r="E87" i="33" s="1"/>
  <c r="F87" i="33" s="1"/>
  <c r="I87" i="33" s="1"/>
  <c r="D79" i="33"/>
  <c r="E79" i="33" s="1"/>
  <c r="F79" i="33" s="1"/>
  <c r="I79" i="33" s="1"/>
  <c r="D96" i="33"/>
  <c r="E96" i="33" s="1"/>
  <c r="F96" i="33" s="1"/>
  <c r="I96" i="33" s="1"/>
  <c r="D88" i="33"/>
  <c r="E88" i="33" s="1"/>
  <c r="F88" i="33" s="1"/>
  <c r="I88" i="33" s="1"/>
  <c r="D90" i="33"/>
  <c r="E90" i="33" s="1"/>
  <c r="F90" i="33" s="1"/>
  <c r="I90" i="33" s="1"/>
  <c r="D89" i="33"/>
  <c r="E89" i="33" s="1"/>
  <c r="F89" i="33" s="1"/>
  <c r="I89" i="33" s="1"/>
  <c r="D69" i="33"/>
  <c r="E69" i="33" s="1"/>
  <c r="F69" i="33" s="1"/>
  <c r="I69" i="33" s="1"/>
  <c r="D61" i="33"/>
  <c r="E61" i="33" s="1"/>
  <c r="F61" i="33" s="1"/>
  <c r="I61" i="33" s="1"/>
  <c r="D85" i="33"/>
  <c r="E85" i="33" s="1"/>
  <c r="F85" i="33" s="1"/>
  <c r="I85" i="33" s="1"/>
  <c r="D80" i="33"/>
  <c r="E80" i="33" s="1"/>
  <c r="F80" i="33" s="1"/>
  <c r="I80" i="33" s="1"/>
  <c r="D70" i="33"/>
  <c r="E70" i="33" s="1"/>
  <c r="F70" i="33" s="1"/>
  <c r="I70" i="33" s="1"/>
  <c r="D71" i="33"/>
  <c r="E71" i="33" s="1"/>
  <c r="F71" i="33" s="1"/>
  <c r="I71" i="33" s="1"/>
  <c r="D63" i="33"/>
  <c r="E63" i="33" s="1"/>
  <c r="F63" i="33" s="1"/>
  <c r="I63" i="33" s="1"/>
  <c r="D81" i="33"/>
  <c r="E81" i="33" s="1"/>
  <c r="F81" i="33" s="1"/>
  <c r="I81" i="33" s="1"/>
  <c r="D72" i="33"/>
  <c r="E72" i="33" s="1"/>
  <c r="F72" i="33" s="1"/>
  <c r="I72" i="33" s="1"/>
  <c r="D64" i="33"/>
  <c r="E64" i="33" s="1"/>
  <c r="F64" i="33" s="1"/>
  <c r="I64" i="33" s="1"/>
  <c r="D73" i="33"/>
  <c r="E73" i="33" s="1"/>
  <c r="F73" i="33" s="1"/>
  <c r="I73" i="33" s="1"/>
  <c r="D66" i="33"/>
  <c r="E66" i="33" s="1"/>
  <c r="F66" i="33" s="1"/>
  <c r="I66" i="33" s="1"/>
  <c r="D60" i="33"/>
  <c r="E60" i="33" s="1"/>
  <c r="F60" i="33" s="1"/>
  <c r="I60" i="33" s="1"/>
  <c r="D48" i="33"/>
  <c r="D67" i="33"/>
  <c r="E67" i="33" s="1"/>
  <c r="F67" i="33" s="1"/>
  <c r="I67" i="33" s="1"/>
  <c r="D65" i="33"/>
  <c r="E65" i="33" s="1"/>
  <c r="F65" i="33" s="1"/>
  <c r="I65" i="33" s="1"/>
  <c r="D56" i="33"/>
  <c r="D49" i="33"/>
  <c r="D78" i="33"/>
  <c r="E78" i="33" s="1"/>
  <c r="F78" i="33" s="1"/>
  <c r="I78" i="33" s="1"/>
  <c r="D52" i="33"/>
  <c r="D82" i="33"/>
  <c r="E82" i="33" s="1"/>
  <c r="F82" i="33" s="1"/>
  <c r="I82" i="33" s="1"/>
  <c r="D54" i="33"/>
  <c r="D74" i="33"/>
  <c r="E74" i="33" s="1"/>
  <c r="F74" i="33" s="1"/>
  <c r="I74" i="33" s="1"/>
  <c r="B46" i="33"/>
  <c r="D68" i="33"/>
  <c r="E68" i="33" s="1"/>
  <c r="F68" i="33" s="1"/>
  <c r="I68" i="33" s="1"/>
  <c r="D43" i="33"/>
  <c r="D44" i="33"/>
  <c r="D77" i="33"/>
  <c r="E77" i="33" s="1"/>
  <c r="F77" i="33" s="1"/>
  <c r="I77" i="33" s="1"/>
  <c r="D55" i="33"/>
  <c r="D62" i="33"/>
  <c r="E62" i="33" s="1"/>
  <c r="F62" i="33" s="1"/>
  <c r="I62" i="33" s="1"/>
  <c r="D57" i="33"/>
  <c r="D50" i="33"/>
  <c r="C44" i="33"/>
  <c r="C49" i="33"/>
  <c r="C43" i="33"/>
  <c r="AC58" i="33"/>
  <c r="J58" i="33"/>
  <c r="P58" i="33"/>
  <c r="X58" i="33"/>
  <c r="Y58" i="33" s="1"/>
  <c r="O58" i="33"/>
  <c r="D58" i="33"/>
  <c r="V58" i="33"/>
  <c r="C58" i="33"/>
  <c r="AD58" i="33"/>
  <c r="K58" i="33"/>
  <c r="AD53" i="33"/>
  <c r="P53" i="33"/>
  <c r="O53" i="33"/>
  <c r="J53" i="33"/>
  <c r="V53" i="33"/>
  <c r="D53" i="33"/>
  <c r="AC53" i="33"/>
  <c r="X53" i="33"/>
  <c r="Y53" i="33" s="1"/>
  <c r="K53" i="33"/>
  <c r="C53" i="33"/>
  <c r="O43" i="33"/>
  <c r="C45" i="33"/>
  <c r="C48" i="33"/>
  <c r="O48" i="33"/>
  <c r="P93" i="33"/>
  <c r="Q93" i="33" s="1"/>
  <c r="R93" i="33" s="1"/>
  <c r="S93" i="33" s="1"/>
  <c r="P85" i="33"/>
  <c r="Q85" i="33" s="1"/>
  <c r="R85" i="33" s="1"/>
  <c r="S85" i="33" s="1"/>
  <c r="P77" i="33"/>
  <c r="Q77" i="33" s="1"/>
  <c r="R77" i="33" s="1"/>
  <c r="S77" i="33" s="1"/>
  <c r="P94" i="33"/>
  <c r="Q94" i="33" s="1"/>
  <c r="R94" i="33" s="1"/>
  <c r="S94" i="33" s="1"/>
  <c r="P86" i="33"/>
  <c r="Q86" i="33" s="1"/>
  <c r="R86" i="33" s="1"/>
  <c r="S86" i="33" s="1"/>
  <c r="P78" i="33"/>
  <c r="Q78" i="33" s="1"/>
  <c r="R78" i="33" s="1"/>
  <c r="S78" i="33" s="1"/>
  <c r="P95" i="33"/>
  <c r="Q95" i="33" s="1"/>
  <c r="R95" i="33" s="1"/>
  <c r="S95" i="33" s="1"/>
  <c r="P87" i="33"/>
  <c r="Q87" i="33" s="1"/>
  <c r="R87" i="33" s="1"/>
  <c r="S87" i="33" s="1"/>
  <c r="P96" i="33"/>
  <c r="Q96" i="33" s="1"/>
  <c r="R96" i="33" s="1"/>
  <c r="S96" i="33" s="1"/>
  <c r="P88" i="33"/>
  <c r="Q88" i="33" s="1"/>
  <c r="R88" i="33" s="1"/>
  <c r="S88" i="33" s="1"/>
  <c r="P80" i="33"/>
  <c r="Q80" i="33" s="1"/>
  <c r="R80" i="33" s="1"/>
  <c r="S80" i="33" s="1"/>
  <c r="P89" i="33"/>
  <c r="Q89" i="33" s="1"/>
  <c r="R89" i="33" s="1"/>
  <c r="S89" i="33" s="1"/>
  <c r="P81" i="33"/>
  <c r="Q81" i="33" s="1"/>
  <c r="R81" i="33" s="1"/>
  <c r="S81" i="33" s="1"/>
  <c r="P90" i="33"/>
  <c r="Q90" i="33" s="1"/>
  <c r="R90" i="33" s="1"/>
  <c r="S90" i="33" s="1"/>
  <c r="P82" i="33"/>
  <c r="Q82" i="33" s="1"/>
  <c r="R82" i="33" s="1"/>
  <c r="S82" i="33" s="1"/>
  <c r="P71" i="33"/>
  <c r="Q71" i="33" s="1"/>
  <c r="R71" i="33" s="1"/>
  <c r="S71" i="33" s="1"/>
  <c r="P63" i="33"/>
  <c r="Q63" i="33" s="1"/>
  <c r="R63" i="33" s="1"/>
  <c r="S63" i="33" s="1"/>
  <c r="P76" i="33"/>
  <c r="Q76" i="33" s="1"/>
  <c r="R76" i="33" s="1"/>
  <c r="S76" i="33" s="1"/>
  <c r="P72" i="33"/>
  <c r="Q72" i="33" s="1"/>
  <c r="R72" i="33" s="1"/>
  <c r="S72" i="33" s="1"/>
  <c r="P84" i="33"/>
  <c r="Q84" i="33" s="1"/>
  <c r="R84" i="33" s="1"/>
  <c r="S84" i="33" s="1"/>
  <c r="P73" i="33"/>
  <c r="Q73" i="33" s="1"/>
  <c r="R73" i="33" s="1"/>
  <c r="S73" i="33" s="1"/>
  <c r="P65" i="33"/>
  <c r="Q65" i="33" s="1"/>
  <c r="R65" i="33" s="1"/>
  <c r="S65" i="33" s="1"/>
  <c r="P75" i="33"/>
  <c r="Q75" i="33" s="1"/>
  <c r="R75" i="33" s="1"/>
  <c r="S75" i="33" s="1"/>
  <c r="P66" i="33"/>
  <c r="Q66" i="33" s="1"/>
  <c r="R66" i="33" s="1"/>
  <c r="S66" i="33" s="1"/>
  <c r="P70" i="33"/>
  <c r="Q70" i="33" s="1"/>
  <c r="R70" i="33" s="1"/>
  <c r="S70" i="33" s="1"/>
  <c r="P69" i="33"/>
  <c r="Q69" i="33" s="1"/>
  <c r="R69" i="33" s="1"/>
  <c r="S69" i="33" s="1"/>
  <c r="P60" i="33"/>
  <c r="Q60" i="33" s="1"/>
  <c r="R60" i="33" s="1"/>
  <c r="S60" i="33" s="1"/>
  <c r="P52" i="33"/>
  <c r="P44" i="33"/>
  <c r="P91" i="33"/>
  <c r="Q91" i="33" s="1"/>
  <c r="R91" i="33" s="1"/>
  <c r="S91" i="33" s="1"/>
  <c r="P64" i="33"/>
  <c r="Q64" i="33" s="1"/>
  <c r="R64" i="33" s="1"/>
  <c r="S64" i="33" s="1"/>
  <c r="P56" i="33"/>
  <c r="P62" i="33"/>
  <c r="Q62" i="33" s="1"/>
  <c r="R62" i="33" s="1"/>
  <c r="S62" i="33" s="1"/>
  <c r="P92" i="33"/>
  <c r="Q92" i="33" s="1"/>
  <c r="R92" i="33" s="1"/>
  <c r="S92" i="33" s="1"/>
  <c r="P48" i="33"/>
  <c r="P83" i="33"/>
  <c r="Q83" i="33" s="1"/>
  <c r="R83" i="33" s="1"/>
  <c r="S83" i="33" s="1"/>
  <c r="P79" i="33"/>
  <c r="Q79" i="33" s="1"/>
  <c r="R79" i="33" s="1"/>
  <c r="S79" i="33" s="1"/>
  <c r="P68" i="33"/>
  <c r="Q68" i="33" s="1"/>
  <c r="R68" i="33" s="1"/>
  <c r="S68" i="33" s="1"/>
  <c r="P49" i="33"/>
  <c r="P55" i="33"/>
  <c r="P54" i="33"/>
  <c r="P61" i="33"/>
  <c r="Q61" i="33" s="1"/>
  <c r="R61" i="33" s="1"/>
  <c r="S61" i="33" s="1"/>
  <c r="P74" i="33"/>
  <c r="Q74" i="33" s="1"/>
  <c r="R74" i="33" s="1"/>
  <c r="S74" i="33" s="1"/>
  <c r="B47" i="33"/>
  <c r="P67" i="33"/>
  <c r="Q67" i="33" s="1"/>
  <c r="R67" i="33" s="1"/>
  <c r="S67" i="33" s="1"/>
  <c r="P43" i="33"/>
  <c r="B29" i="33"/>
  <c r="P50" i="33"/>
  <c r="P57" i="33"/>
  <c r="E57" i="33" l="1"/>
  <c r="F57" i="33" s="1"/>
  <c r="I57" i="33" s="1"/>
  <c r="Q57" i="33"/>
  <c r="R57" i="33" s="1"/>
  <c r="S57" i="33" s="1"/>
  <c r="F27" i="33"/>
  <c r="F29" i="33" s="1"/>
  <c r="F36" i="33" s="1"/>
  <c r="E45" i="33"/>
  <c r="F45" i="33" s="1"/>
  <c r="I45" i="33" s="1"/>
  <c r="T45" i="33" s="1"/>
  <c r="U45" i="33" s="1"/>
  <c r="W45" i="33" s="1"/>
  <c r="AE58" i="33"/>
  <c r="AF58" i="33" s="1"/>
  <c r="AG58" i="33" s="1"/>
  <c r="AG45" i="33"/>
  <c r="Q52" i="33"/>
  <c r="R52" i="33" s="1"/>
  <c r="S52" i="33" s="1"/>
  <c r="D25" i="33"/>
  <c r="E25" i="33" s="1"/>
  <c r="B31" i="33" s="1"/>
  <c r="Q55" i="33"/>
  <c r="R55" i="33" s="1"/>
  <c r="S55" i="33" s="1"/>
  <c r="D29" i="33"/>
  <c r="E29" i="33" s="1"/>
  <c r="B35" i="33" s="1"/>
  <c r="Q49" i="33"/>
  <c r="R49" i="33" s="1"/>
  <c r="S49" i="33" s="1"/>
  <c r="T78" i="33"/>
  <c r="AI78" i="33" s="1"/>
  <c r="T61" i="33"/>
  <c r="AI61" i="33" s="1"/>
  <c r="Q54" i="33"/>
  <c r="R54" i="33" s="1"/>
  <c r="S54" i="33" s="1"/>
  <c r="Q50" i="33"/>
  <c r="R50" i="33" s="1"/>
  <c r="S50" i="33" s="1"/>
  <c r="T66" i="33"/>
  <c r="AI66" i="33" s="1"/>
  <c r="T90" i="33"/>
  <c r="U90" i="33" s="1"/>
  <c r="W90" i="33" s="1"/>
  <c r="T89" i="33"/>
  <c r="AI89" i="33" s="1"/>
  <c r="T94" i="33"/>
  <c r="U94" i="33" s="1"/>
  <c r="W94" i="33" s="1"/>
  <c r="E50" i="33"/>
  <c r="F50" i="33" s="1"/>
  <c r="I50" i="33" s="1"/>
  <c r="Q56" i="33"/>
  <c r="R56" i="33" s="1"/>
  <c r="S56" i="33" s="1"/>
  <c r="T71" i="33"/>
  <c r="AI71" i="33" s="1"/>
  <c r="E55" i="33"/>
  <c r="F55" i="33" s="1"/>
  <c r="I55" i="33" s="1"/>
  <c r="T64" i="33"/>
  <c r="U64" i="33" s="1"/>
  <c r="W64" i="33" s="1"/>
  <c r="T95" i="33"/>
  <c r="U95" i="33" s="1"/>
  <c r="W95" i="33" s="1"/>
  <c r="E52" i="33"/>
  <c r="F52" i="33" s="1"/>
  <c r="I52" i="33" s="1"/>
  <c r="T83" i="33"/>
  <c r="AI83" i="33" s="1"/>
  <c r="E56" i="33"/>
  <c r="F56" i="33" s="1"/>
  <c r="I56" i="33" s="1"/>
  <c r="T69" i="33"/>
  <c r="AI69" i="33" s="1"/>
  <c r="Q51" i="33"/>
  <c r="R51" i="33" s="1"/>
  <c r="S51" i="33" s="1"/>
  <c r="Q43" i="33"/>
  <c r="R43" i="33" s="1"/>
  <c r="S43" i="33" s="1"/>
  <c r="T68" i="33"/>
  <c r="AI68" i="33" s="1"/>
  <c r="T91" i="33"/>
  <c r="U91" i="33" s="1"/>
  <c r="W91" i="33" s="1"/>
  <c r="T65" i="33"/>
  <c r="U65" i="33" s="1"/>
  <c r="W65" i="33" s="1"/>
  <c r="T81" i="33"/>
  <c r="AI81" i="33" s="1"/>
  <c r="L53" i="33"/>
  <c r="M53" i="33" s="1"/>
  <c r="N53" i="33" s="1"/>
  <c r="AE53" i="33"/>
  <c r="AF53" i="33" s="1"/>
  <c r="AH53" i="33" s="1"/>
  <c r="Q58" i="33"/>
  <c r="R58" i="33" s="1"/>
  <c r="S58" i="33" s="1"/>
  <c r="E54" i="33"/>
  <c r="F54" i="33" s="1"/>
  <c r="I54" i="33" s="1"/>
  <c r="T87" i="33"/>
  <c r="U87" i="33" s="1"/>
  <c r="W87" i="33" s="1"/>
  <c r="AE51" i="33"/>
  <c r="AF51" i="33" s="1"/>
  <c r="AG51" i="33" s="1"/>
  <c r="Q44" i="33"/>
  <c r="R44" i="33" s="1"/>
  <c r="S44" i="33" s="1"/>
  <c r="T84" i="33"/>
  <c r="U84" i="33" s="1"/>
  <c r="W84" i="33" s="1"/>
  <c r="E43" i="33"/>
  <c r="F43" i="33" s="1"/>
  <c r="I43" i="33" s="1"/>
  <c r="AE59" i="33"/>
  <c r="AF59" i="33" s="1"/>
  <c r="AG59" i="33" s="1"/>
  <c r="T80" i="33"/>
  <c r="U80" i="33" s="1"/>
  <c r="W80" i="33" s="1"/>
  <c r="T77" i="33"/>
  <c r="AI77" i="33" s="1"/>
  <c r="E58" i="33"/>
  <c r="F58" i="33" s="1"/>
  <c r="I58" i="33" s="1"/>
  <c r="T92" i="33"/>
  <c r="U92" i="33" s="1"/>
  <c r="W92" i="33" s="1"/>
  <c r="T76" i="33"/>
  <c r="AI76" i="33" s="1"/>
  <c r="T88" i="33"/>
  <c r="AI88" i="33" s="1"/>
  <c r="T85" i="33"/>
  <c r="AI85" i="33" s="1"/>
  <c r="L51" i="33"/>
  <c r="M51" i="33" s="1"/>
  <c r="N51" i="33" s="1"/>
  <c r="L58" i="33"/>
  <c r="M58" i="33" s="1"/>
  <c r="N58" i="33" s="1"/>
  <c r="T79" i="33"/>
  <c r="U79" i="33" s="1"/>
  <c r="W79" i="33" s="1"/>
  <c r="AB59" i="33"/>
  <c r="Z59" i="33"/>
  <c r="AA59" i="33"/>
  <c r="T67" i="33"/>
  <c r="T73" i="33"/>
  <c r="T86" i="33"/>
  <c r="E53" i="33"/>
  <c r="F53" i="33" s="1"/>
  <c r="I53" i="33" s="1"/>
  <c r="Z51" i="33"/>
  <c r="AB51" i="33"/>
  <c r="AA51" i="33"/>
  <c r="E44" i="33"/>
  <c r="F44" i="33" s="1"/>
  <c r="I44" i="33" s="1"/>
  <c r="X47" i="33"/>
  <c r="Y47" i="33" s="1"/>
  <c r="P47" i="33"/>
  <c r="AC47" i="33"/>
  <c r="C47" i="33"/>
  <c r="J47" i="33"/>
  <c r="D47" i="33"/>
  <c r="O47" i="33"/>
  <c r="K47" i="33"/>
  <c r="AD47" i="33"/>
  <c r="V47" i="33"/>
  <c r="T74" i="33"/>
  <c r="Q48" i="33"/>
  <c r="R48" i="33" s="1"/>
  <c r="S48" i="33" s="1"/>
  <c r="T60" i="33"/>
  <c r="T72" i="33"/>
  <c r="E49" i="33"/>
  <c r="F49" i="33" s="1"/>
  <c r="I49" i="33" s="1"/>
  <c r="E51" i="33"/>
  <c r="F51" i="33" s="1"/>
  <c r="I51" i="33" s="1"/>
  <c r="T62" i="33"/>
  <c r="T70" i="33"/>
  <c r="T63" i="33"/>
  <c r="T96" i="33"/>
  <c r="T93" i="33"/>
  <c r="Q53" i="33"/>
  <c r="R53" i="33" s="1"/>
  <c r="S53" i="33" s="1"/>
  <c r="AB58" i="33"/>
  <c r="AA58" i="33"/>
  <c r="Z58" i="33"/>
  <c r="X46" i="33"/>
  <c r="Y46" i="33" s="1"/>
  <c r="P46" i="33"/>
  <c r="AC46" i="33"/>
  <c r="C46" i="33"/>
  <c r="J46" i="33"/>
  <c r="D46" i="33"/>
  <c r="AD46" i="33"/>
  <c r="V46" i="33"/>
  <c r="O46" i="33"/>
  <c r="K46" i="33"/>
  <c r="L59" i="33"/>
  <c r="M59" i="33" s="1"/>
  <c r="N59" i="33" s="1"/>
  <c r="T75" i="33"/>
  <c r="T82" i="33"/>
  <c r="AA53" i="33"/>
  <c r="Z53" i="33"/>
  <c r="AB53" i="33"/>
  <c r="E48" i="33"/>
  <c r="F48" i="33" s="1"/>
  <c r="I48" i="33" s="1"/>
  <c r="Q59" i="33"/>
  <c r="R59" i="33" s="1"/>
  <c r="S59" i="33" s="1"/>
  <c r="E59" i="33"/>
  <c r="F59" i="33" s="1"/>
  <c r="I59" i="33" s="1"/>
  <c r="T57" i="33" l="1"/>
  <c r="U57" i="33" s="1"/>
  <c r="W57" i="33" s="1"/>
  <c r="AH58" i="33"/>
  <c r="T52" i="33"/>
  <c r="U52" i="33" s="1"/>
  <c r="W52" i="33" s="1"/>
  <c r="B36" i="33"/>
  <c r="D36" i="33" s="1"/>
  <c r="T49" i="33"/>
  <c r="U49" i="33" s="1"/>
  <c r="W49" i="33" s="1"/>
  <c r="T55" i="33"/>
  <c r="AI55" i="33" s="1"/>
  <c r="U85" i="33"/>
  <c r="W85" i="33" s="1"/>
  <c r="AI95" i="33"/>
  <c r="AI91" i="33"/>
  <c r="U69" i="33"/>
  <c r="W69" i="33" s="1"/>
  <c r="U71" i="33"/>
  <c r="W71" i="33" s="1"/>
  <c r="AH51" i="33"/>
  <c r="U78" i="33"/>
  <c r="W78" i="33" s="1"/>
  <c r="AI94" i="33"/>
  <c r="U89" i="33"/>
  <c r="W89" i="33" s="1"/>
  <c r="T54" i="33"/>
  <c r="U54" i="33" s="1"/>
  <c r="W54" i="33" s="1"/>
  <c r="U61" i="33"/>
  <c r="W61" i="33" s="1"/>
  <c r="U66" i="33"/>
  <c r="W66" i="33" s="1"/>
  <c r="T56" i="33"/>
  <c r="U56" i="33" s="1"/>
  <c r="W56" i="33" s="1"/>
  <c r="T50" i="33"/>
  <c r="AI50" i="33" s="1"/>
  <c r="AI90" i="33"/>
  <c r="AI64" i="33"/>
  <c r="AI80" i="33"/>
  <c r="AI84" i="33"/>
  <c r="U83" i="33"/>
  <c r="W83" i="33" s="1"/>
  <c r="AI65" i="33"/>
  <c r="U88" i="33"/>
  <c r="W88" i="33" s="1"/>
  <c r="AG53" i="33"/>
  <c r="T43" i="33"/>
  <c r="U43" i="33" s="1"/>
  <c r="W43" i="33" s="1"/>
  <c r="E46" i="33"/>
  <c r="F46" i="33" s="1"/>
  <c r="I46" i="33" s="1"/>
  <c r="U68" i="33"/>
  <c r="W68" i="33" s="1"/>
  <c r="AI87" i="33"/>
  <c r="U81" i="33"/>
  <c r="W81" i="33" s="1"/>
  <c r="Q46" i="33"/>
  <c r="R46" i="33" s="1"/>
  <c r="S46" i="33" s="1"/>
  <c r="U76" i="33"/>
  <c r="W76" i="33" s="1"/>
  <c r="AI92" i="33"/>
  <c r="T44" i="33"/>
  <c r="U44" i="33" s="1"/>
  <c r="W44" i="33" s="1"/>
  <c r="T58" i="33"/>
  <c r="AI58" i="33" s="1"/>
  <c r="T51" i="33"/>
  <c r="AI51" i="33" s="1"/>
  <c r="T53" i="33"/>
  <c r="U53" i="33" s="1"/>
  <c r="W53" i="33" s="1"/>
  <c r="AH59" i="33"/>
  <c r="L47" i="33"/>
  <c r="M47" i="33" s="1"/>
  <c r="N47" i="33" s="1"/>
  <c r="L46" i="33"/>
  <c r="M46" i="33" s="1"/>
  <c r="N46" i="33" s="1"/>
  <c r="T48" i="33"/>
  <c r="AI48" i="33" s="1"/>
  <c r="AI45" i="33"/>
  <c r="U77" i="33"/>
  <c r="W77" i="33" s="1"/>
  <c r="AI79" i="33"/>
  <c r="AE46" i="33"/>
  <c r="AF46" i="33" s="1"/>
  <c r="AH46" i="33" s="1"/>
  <c r="AB46" i="33"/>
  <c r="AA46" i="33"/>
  <c r="Z46" i="33"/>
  <c r="U70" i="33"/>
  <c r="W70" i="33" s="1"/>
  <c r="AI70" i="33"/>
  <c r="U74" i="33"/>
  <c r="W74" i="33" s="1"/>
  <c r="AI74" i="33"/>
  <c r="AI67" i="33"/>
  <c r="U67" i="33"/>
  <c r="W67" i="33" s="1"/>
  <c r="U86" i="33"/>
  <c r="W86" i="33" s="1"/>
  <c r="AI86" i="33"/>
  <c r="T59" i="33"/>
  <c r="U82" i="33"/>
  <c r="W82" i="33" s="1"/>
  <c r="AI82" i="33"/>
  <c r="AI75" i="33"/>
  <c r="U75" i="33"/>
  <c r="W75" i="33" s="1"/>
  <c r="U93" i="33"/>
  <c r="W93" i="33" s="1"/>
  <c r="AI93" i="33"/>
  <c r="U72" i="33"/>
  <c r="W72" i="33" s="1"/>
  <c r="AI72" i="33"/>
  <c r="Q47" i="33"/>
  <c r="R47" i="33" s="1"/>
  <c r="S47" i="33" s="1"/>
  <c r="AI96" i="33"/>
  <c r="U96" i="33"/>
  <c r="W96" i="33" s="1"/>
  <c r="U60" i="33"/>
  <c r="W60" i="33" s="1"/>
  <c r="AI60" i="33"/>
  <c r="AE47" i="33"/>
  <c r="AF47" i="33" s="1"/>
  <c r="AB47" i="33"/>
  <c r="AA47" i="33"/>
  <c r="Z47" i="33"/>
  <c r="U63" i="33"/>
  <c r="W63" i="33" s="1"/>
  <c r="AI63" i="33"/>
  <c r="AI73" i="33"/>
  <c r="U73" i="33"/>
  <c r="W73" i="33" s="1"/>
  <c r="U62" i="33"/>
  <c r="W62" i="33" s="1"/>
  <c r="AI62" i="33"/>
  <c r="E47" i="33"/>
  <c r="F47" i="33" s="1"/>
  <c r="I47" i="33" s="1"/>
  <c r="AI57" i="33" l="1"/>
  <c r="AI52" i="33"/>
  <c r="AI49" i="33"/>
  <c r="U55" i="33"/>
  <c r="W55" i="33" s="1"/>
  <c r="AI56" i="33"/>
  <c r="AI54" i="33"/>
  <c r="T46" i="33"/>
  <c r="AI46" i="33" s="1"/>
  <c r="U48" i="33"/>
  <c r="W48" i="33" s="1"/>
  <c r="U50" i="33"/>
  <c r="W50" i="33" s="1"/>
  <c r="AG46" i="33"/>
  <c r="AI53" i="33"/>
  <c r="AI43" i="33"/>
  <c r="U51" i="33"/>
  <c r="W51" i="33" s="1"/>
  <c r="U58" i="33"/>
  <c r="W58" i="33" s="1"/>
  <c r="AI44" i="33"/>
  <c r="T47" i="33"/>
  <c r="AG47" i="33"/>
  <c r="AH47" i="33"/>
  <c r="U59" i="33"/>
  <c r="W59" i="33" s="1"/>
  <c r="AI59" i="33"/>
  <c r="U46" i="33" l="1"/>
  <c r="W46" i="33" s="1"/>
  <c r="U47" i="33"/>
  <c r="W47" i="33" s="1"/>
  <c r="AI47" i="33"/>
  <c r="AQ102" i="31" l="1"/>
  <c r="AR102" i="31" s="1"/>
  <c r="BK102" i="31"/>
  <c r="AQ101" i="31"/>
  <c r="AR101" i="31" s="1"/>
  <c r="BK101" i="31"/>
  <c r="AQ100" i="31"/>
  <c r="AR100" i="31" s="1"/>
  <c r="BK100" i="31"/>
  <c r="AQ99" i="31"/>
  <c r="AR99" i="31" s="1"/>
  <c r="BK99" i="31"/>
  <c r="AQ98" i="31"/>
  <c r="AR98" i="31" s="1"/>
  <c r="BK98" i="31"/>
  <c r="AQ45" i="31"/>
  <c r="AR45" i="31" s="1"/>
  <c r="AX45" i="31" s="1"/>
  <c r="BK45" i="31"/>
  <c r="AY43" i="31"/>
  <c r="AR43" i="31"/>
  <c r="AX43" i="31" s="1"/>
  <c r="BK43" i="31"/>
  <c r="W39" i="31"/>
  <c r="B38" i="31"/>
  <c r="E38" i="31" s="1"/>
  <c r="N23" i="31"/>
  <c r="R19" i="31"/>
  <c r="AA17" i="31"/>
  <c r="Z17" i="31"/>
  <c r="Y17" i="31"/>
  <c r="X17" i="31"/>
  <c r="W17" i="31"/>
  <c r="V17" i="31"/>
  <c r="U17" i="31"/>
  <c r="T17" i="31"/>
  <c r="S17" i="31"/>
  <c r="H14" i="31"/>
  <c r="D14" i="31"/>
  <c r="K14" i="31" s="1"/>
  <c r="H13" i="31"/>
  <c r="T12" i="31"/>
  <c r="H12" i="31"/>
  <c r="D12" i="31"/>
  <c r="D13" i="31" s="1"/>
  <c r="V11" i="31"/>
  <c r="J11" i="31"/>
  <c r="H11" i="31"/>
  <c r="C11" i="31"/>
  <c r="H10" i="31"/>
  <c r="Q7" i="31"/>
  <c r="V6" i="31"/>
  <c r="T2" i="31"/>
  <c r="S2" i="31"/>
  <c r="O2" i="31"/>
  <c r="C3" i="31"/>
  <c r="L3" i="31"/>
  <c r="F3" i="31"/>
  <c r="D3" i="31"/>
  <c r="J3" i="31"/>
  <c r="I3" i="31"/>
  <c r="K3" i="31"/>
  <c r="M1" i="31"/>
  <c r="N1" i="31"/>
  <c r="AP109" i="31" l="1"/>
  <c r="AP114" i="31"/>
  <c r="AP111" i="31"/>
  <c r="AP113" i="31"/>
  <c r="AP112" i="31"/>
  <c r="AP110" i="31"/>
  <c r="AY109" i="31"/>
  <c r="AY111" i="31"/>
  <c r="AY110" i="31"/>
  <c r="AY113" i="31"/>
  <c r="AY114" i="31"/>
  <c r="AY112" i="31"/>
  <c r="AZ109" i="31"/>
  <c r="AZ111" i="31"/>
  <c r="AZ110" i="31"/>
  <c r="AZ113" i="31"/>
  <c r="AZ114" i="31"/>
  <c r="AZ112" i="31"/>
  <c r="AY108" i="31"/>
  <c r="AY107" i="31"/>
  <c r="AZ108" i="31"/>
  <c r="AZ107" i="31"/>
  <c r="AP108" i="31"/>
  <c r="AP107" i="31"/>
  <c r="AY79" i="31"/>
  <c r="AY103" i="31"/>
  <c r="AY106" i="31"/>
  <c r="AY105" i="31"/>
  <c r="AY104" i="31"/>
  <c r="AZ103" i="31"/>
  <c r="AZ106" i="31"/>
  <c r="AZ104" i="31"/>
  <c r="AZ105" i="31"/>
  <c r="AP105" i="31"/>
  <c r="AP103" i="31"/>
  <c r="AP104" i="31"/>
  <c r="AP106" i="31"/>
  <c r="AX99" i="31"/>
  <c r="AX100" i="31"/>
  <c r="AX101" i="31"/>
  <c r="AX98" i="31"/>
  <c r="AX102" i="31"/>
  <c r="AZ44" i="31"/>
  <c r="BA44" i="31" s="1"/>
  <c r="BB44" i="31" s="1"/>
  <c r="BD44" i="31" s="1"/>
  <c r="AZ50" i="31"/>
  <c r="AZ101" i="31"/>
  <c r="AZ45" i="31"/>
  <c r="AZ51" i="31"/>
  <c r="AZ102" i="31"/>
  <c r="AZ53" i="31"/>
  <c r="AZ43" i="31"/>
  <c r="AP79" i="31"/>
  <c r="AP44" i="31"/>
  <c r="AP51" i="31"/>
  <c r="AP59" i="31"/>
  <c r="AP50" i="31"/>
  <c r="AP53" i="31"/>
  <c r="I14" i="31"/>
  <c r="AP99" i="31"/>
  <c r="AP102" i="31"/>
  <c r="AP101" i="31"/>
  <c r="AP100" i="31"/>
  <c r="AP98" i="31"/>
  <c r="AP43" i="31"/>
  <c r="AP45" i="31"/>
  <c r="Q9" i="31"/>
  <c r="Q8" i="31" s="1"/>
  <c r="Q16" i="31" s="1"/>
  <c r="Q17" i="31" s="1"/>
  <c r="AQ116" i="31"/>
  <c r="AS99" i="31"/>
  <c r="AV99" i="31"/>
  <c r="AT99" i="31"/>
  <c r="AU99" i="31"/>
  <c r="AT43" i="31"/>
  <c r="AU43" i="31"/>
  <c r="AV43" i="31"/>
  <c r="AS43" i="31"/>
  <c r="AS100" i="31"/>
  <c r="AT100" i="31"/>
  <c r="AU100" i="31"/>
  <c r="AV100" i="31"/>
  <c r="AV45" i="31"/>
  <c r="AT45" i="31"/>
  <c r="AU45" i="31"/>
  <c r="AS45" i="31"/>
  <c r="AU101" i="31"/>
  <c r="AV101" i="31"/>
  <c r="AS101" i="31"/>
  <c r="AT101" i="31"/>
  <c r="AS98" i="31"/>
  <c r="AT98" i="31"/>
  <c r="AU98" i="31"/>
  <c r="AV98" i="31"/>
  <c r="AS102" i="31"/>
  <c r="AT102" i="31"/>
  <c r="AU102" i="31"/>
  <c r="AV102" i="31"/>
  <c r="AE5" i="31"/>
  <c r="AY59" i="31" s="1"/>
  <c r="T28" i="31"/>
  <c r="I11" i="31"/>
  <c r="V22" i="31"/>
  <c r="S26" i="31"/>
  <c r="U28" i="31"/>
  <c r="V26" i="31"/>
  <c r="U27" i="31"/>
  <c r="M13" i="31"/>
  <c r="S23" i="31"/>
  <c r="V23" i="31"/>
  <c r="U25" i="31"/>
  <c r="U24" i="31"/>
  <c r="S27" i="31"/>
  <c r="S22" i="31"/>
  <c r="V24" i="31"/>
  <c r="T27" i="31"/>
  <c r="V25" i="31"/>
  <c r="V27" i="31"/>
  <c r="T23" i="31"/>
  <c r="T26" i="31"/>
  <c r="V28" i="31"/>
  <c r="U23" i="31"/>
  <c r="U26" i="31"/>
  <c r="I13" i="31"/>
  <c r="I19" i="31" s="1"/>
  <c r="K13" i="31"/>
  <c r="J13" i="31"/>
  <c r="J19" i="31" s="1"/>
  <c r="L13" i="31"/>
  <c r="C5" i="31"/>
  <c r="B19" i="31" s="1"/>
  <c r="D5" i="31"/>
  <c r="C19" i="31" s="1"/>
  <c r="F38" i="31"/>
  <c r="AY99" i="31"/>
  <c r="AY100" i="31"/>
  <c r="AY101" i="31"/>
  <c r="AY102" i="31"/>
  <c r="AY98" i="31"/>
  <c r="V12" i="31"/>
  <c r="T13" i="31"/>
  <c r="E11" i="31"/>
  <c r="F11" i="31" s="1"/>
  <c r="C38" i="31"/>
  <c r="T22" i="31"/>
  <c r="S24" i="31"/>
  <c r="S25" i="31"/>
  <c r="S28" i="31"/>
  <c r="U22" i="31"/>
  <c r="T24" i="31"/>
  <c r="T25" i="31"/>
  <c r="K14" i="8"/>
  <c r="K13" i="8"/>
  <c r="K12" i="8"/>
  <c r="C40" i="31"/>
  <c r="F40" i="31"/>
  <c r="E40" i="31"/>
  <c r="D40" i="31"/>
  <c r="AB17" i="31" l="1"/>
  <c r="AZ59" i="31" s="1"/>
  <c r="BE59" i="31" s="1"/>
  <c r="BA113" i="31"/>
  <c r="BB113" i="31" s="1"/>
  <c r="BD113" i="31" s="1"/>
  <c r="BA109" i="31"/>
  <c r="BB109" i="31" s="1"/>
  <c r="BC109" i="31"/>
  <c r="BE109" i="31"/>
  <c r="BE112" i="31"/>
  <c r="BC112" i="31"/>
  <c r="BA112" i="31"/>
  <c r="BB112" i="31" s="1"/>
  <c r="BA114" i="31"/>
  <c r="BB114" i="31" s="1"/>
  <c r="BE114" i="31"/>
  <c r="BC114" i="31"/>
  <c r="BE113" i="31"/>
  <c r="BC113" i="31"/>
  <c r="BA110" i="31"/>
  <c r="BB110" i="31" s="1"/>
  <c r="BC110" i="31"/>
  <c r="BE110" i="31"/>
  <c r="BC111" i="31"/>
  <c r="BA111" i="31"/>
  <c r="BB111" i="31" s="1"/>
  <c r="BE111" i="31"/>
  <c r="BA107" i="31"/>
  <c r="BB107" i="31" s="1"/>
  <c r="BC107" i="31"/>
  <c r="BE107" i="31"/>
  <c r="BA108" i="31"/>
  <c r="BB108" i="31" s="1"/>
  <c r="BE108" i="31"/>
  <c r="BC108" i="31"/>
  <c r="BE104" i="31"/>
  <c r="BC104" i="31"/>
  <c r="BA104" i="31"/>
  <c r="BB104" i="31" s="1"/>
  <c r="BE106" i="31"/>
  <c r="BA106" i="31"/>
  <c r="BB106" i="31" s="1"/>
  <c r="BC106" i="31"/>
  <c r="BC103" i="31"/>
  <c r="BA103" i="31"/>
  <c r="BB103" i="31" s="1"/>
  <c r="BE103" i="31"/>
  <c r="BA105" i="31"/>
  <c r="BB105" i="31" s="1"/>
  <c r="BC105" i="31"/>
  <c r="BE105" i="31"/>
  <c r="BF44" i="31"/>
  <c r="BC44" i="31"/>
  <c r="BE44" i="31"/>
  <c r="BC51" i="31"/>
  <c r="BE51" i="31"/>
  <c r="BE45" i="31"/>
  <c r="BC45" i="31"/>
  <c r="BC50" i="31"/>
  <c r="BE50" i="31"/>
  <c r="BC101" i="31"/>
  <c r="BE101" i="31"/>
  <c r="BC43" i="31"/>
  <c r="BE43" i="31"/>
  <c r="BC53" i="31"/>
  <c r="BE53" i="31"/>
  <c r="BC102" i="31"/>
  <c r="BE102" i="31"/>
  <c r="AY53" i="31"/>
  <c r="BA53" i="31" s="1"/>
  <c r="BB53" i="31" s="1"/>
  <c r="AY51" i="31"/>
  <c r="BA51" i="31" s="1"/>
  <c r="BB51" i="31" s="1"/>
  <c r="AY45" i="31"/>
  <c r="BA45" i="31" s="1"/>
  <c r="BB45" i="31" s="1"/>
  <c r="AY50" i="31"/>
  <c r="BA50" i="31" s="1"/>
  <c r="BB50" i="31" s="1"/>
  <c r="Q12" i="31"/>
  <c r="BA43" i="31"/>
  <c r="BB43" i="31" s="1"/>
  <c r="AQ118" i="31"/>
  <c r="AQ117" i="31"/>
  <c r="J5" i="31"/>
  <c r="J7" i="31" s="1"/>
  <c r="J9" i="31" s="1"/>
  <c r="J17" i="31" s="1"/>
  <c r="I5" i="31"/>
  <c r="I7" i="31" s="1"/>
  <c r="I9" i="31" s="1"/>
  <c r="I17" i="31" s="1"/>
  <c r="K5" i="31"/>
  <c r="K7" i="31" s="1"/>
  <c r="K9" i="31" s="1"/>
  <c r="I21" i="31" s="1"/>
  <c r="L5" i="31"/>
  <c r="L7" i="31" s="1"/>
  <c r="L9" i="31" s="1"/>
  <c r="J21" i="31" s="1"/>
  <c r="AC17" i="33"/>
  <c r="BA102" i="31"/>
  <c r="BB102" i="31" s="1"/>
  <c r="BA101" i="31"/>
  <c r="BB101" i="31" s="1"/>
  <c r="K19" i="31"/>
  <c r="I116" i="31"/>
  <c r="K11" i="31"/>
  <c r="L11" i="31" s="1"/>
  <c r="V13" i="31"/>
  <c r="B40" i="31"/>
  <c r="D38" i="31"/>
  <c r="B39" i="31"/>
  <c r="D19" i="31"/>
  <c r="E39" i="31"/>
  <c r="D39" i="31"/>
  <c r="F39" i="31"/>
  <c r="C39" i="31"/>
  <c r="AZ54" i="31" l="1"/>
  <c r="AZ100" i="31"/>
  <c r="AZ98" i="31"/>
  <c r="AZ99" i="31"/>
  <c r="AZ66" i="31"/>
  <c r="AZ79" i="31"/>
  <c r="BA79" i="31" s="1"/>
  <c r="BB79" i="31" s="1"/>
  <c r="BD79" i="31" s="1"/>
  <c r="T8" i="31"/>
  <c r="T14" i="31" s="1"/>
  <c r="V8" i="31"/>
  <c r="V16" i="31" s="1"/>
  <c r="BF113" i="31"/>
  <c r="BD111" i="31"/>
  <c r="BF111" i="31"/>
  <c r="BD114" i="31"/>
  <c r="BF114" i="31"/>
  <c r="BF112" i="31"/>
  <c r="BD112" i="31"/>
  <c r="BD110" i="31"/>
  <c r="BF110" i="31"/>
  <c r="BD109" i="31"/>
  <c r="BF109" i="31"/>
  <c r="AE111" i="31"/>
  <c r="AE110" i="31"/>
  <c r="AE114" i="31"/>
  <c r="AE109" i="31"/>
  <c r="AE112" i="31"/>
  <c r="AE113" i="31"/>
  <c r="O111" i="31"/>
  <c r="O114" i="31"/>
  <c r="O109" i="31"/>
  <c r="O110" i="31"/>
  <c r="O113" i="31"/>
  <c r="O112" i="31"/>
  <c r="BD108" i="31"/>
  <c r="BF108" i="31"/>
  <c r="BD107" i="31"/>
  <c r="BF107" i="31"/>
  <c r="O108" i="31"/>
  <c r="O107" i="31"/>
  <c r="AE108" i="31"/>
  <c r="AE107" i="31"/>
  <c r="BA59" i="31"/>
  <c r="BB59" i="31" s="1"/>
  <c r="BD59" i="31" s="1"/>
  <c r="BC59" i="31"/>
  <c r="BD105" i="31"/>
  <c r="BF105" i="31"/>
  <c r="BD103" i="31"/>
  <c r="BF103" i="31"/>
  <c r="BD106" i="31"/>
  <c r="BF106" i="31"/>
  <c r="BD104" i="31"/>
  <c r="BF104" i="31"/>
  <c r="AE105" i="31"/>
  <c r="AE104" i="31"/>
  <c r="AE106" i="31"/>
  <c r="AE103" i="31"/>
  <c r="O105" i="31"/>
  <c r="O104" i="31"/>
  <c r="O106" i="31"/>
  <c r="O103" i="31"/>
  <c r="BD50" i="31"/>
  <c r="BF50" i="31"/>
  <c r="BD51" i="31"/>
  <c r="BF51" i="31"/>
  <c r="BD45" i="31"/>
  <c r="BF45" i="31"/>
  <c r="BD53" i="31"/>
  <c r="BF53" i="31"/>
  <c r="BD101" i="31"/>
  <c r="BF101" i="31"/>
  <c r="BD43" i="31"/>
  <c r="BF43" i="31"/>
  <c r="BD102" i="31"/>
  <c r="BF102" i="31"/>
  <c r="AE79" i="31"/>
  <c r="O79" i="31"/>
  <c r="BC100" i="31"/>
  <c r="BE100" i="31"/>
  <c r="BE99" i="31"/>
  <c r="BC99" i="31"/>
  <c r="BA99" i="31"/>
  <c r="BB99" i="31" s="1"/>
  <c r="BA100" i="31"/>
  <c r="BB100" i="31" s="1"/>
  <c r="K17" i="31"/>
  <c r="AE98" i="31"/>
  <c r="AE99" i="31"/>
  <c r="AE100" i="31"/>
  <c r="AE101" i="31"/>
  <c r="AE102" i="31"/>
  <c r="N19" i="31"/>
  <c r="I22" i="31"/>
  <c r="J22" i="31"/>
  <c r="K21" i="31"/>
  <c r="C7" i="31"/>
  <c r="C9" i="31" s="1"/>
  <c r="AD70" i="33"/>
  <c r="AE70" i="33" s="1"/>
  <c r="AF70" i="33" s="1"/>
  <c r="AD63" i="33"/>
  <c r="AE63" i="33" s="1"/>
  <c r="AF63" i="33" s="1"/>
  <c r="AD69" i="33"/>
  <c r="AE69" i="33" s="1"/>
  <c r="AF69" i="33" s="1"/>
  <c r="AD60" i="33"/>
  <c r="AE60" i="33" s="1"/>
  <c r="AF60" i="33" s="1"/>
  <c r="AD61" i="33"/>
  <c r="AE61" i="33" s="1"/>
  <c r="AF61" i="33" s="1"/>
  <c r="AD71" i="33"/>
  <c r="AE71" i="33" s="1"/>
  <c r="AF71" i="33" s="1"/>
  <c r="AD62" i="33"/>
  <c r="AE62" i="33" s="1"/>
  <c r="AF62" i="33" s="1"/>
  <c r="AD66" i="33"/>
  <c r="AE66" i="33" s="1"/>
  <c r="AF66" i="33" s="1"/>
  <c r="AD68" i="33"/>
  <c r="AE68" i="33" s="1"/>
  <c r="AF68" i="33" s="1"/>
  <c r="AD64" i="33"/>
  <c r="AE64" i="33" s="1"/>
  <c r="AF64" i="33" s="1"/>
  <c r="AD65" i="33"/>
  <c r="AE65" i="33" s="1"/>
  <c r="AF65" i="33" s="1"/>
  <c r="AD67" i="33"/>
  <c r="AE67" i="33" s="1"/>
  <c r="AF67" i="33" s="1"/>
  <c r="AD72" i="33"/>
  <c r="AE72" i="33" s="1"/>
  <c r="AF72" i="33" s="1"/>
  <c r="I118" i="31"/>
  <c r="I117" i="31"/>
  <c r="F7" i="31"/>
  <c r="L19" i="31"/>
  <c r="M19" i="31"/>
  <c r="E7" i="31"/>
  <c r="E9" i="31" s="1"/>
  <c r="B21" i="31" s="1"/>
  <c r="D7" i="31"/>
  <c r="O101" i="31"/>
  <c r="O102" i="31"/>
  <c r="O98" i="31"/>
  <c r="O100" i="31"/>
  <c r="O99" i="31"/>
  <c r="E19" i="31"/>
  <c r="F19" i="31"/>
  <c r="V14" i="31" l="1"/>
  <c r="V15" i="31" s="1"/>
  <c r="BE79" i="31"/>
  <c r="O59" i="31"/>
  <c r="BF79" i="31"/>
  <c r="BA98" i="31"/>
  <c r="BB98" i="31" s="1"/>
  <c r="BC98" i="31"/>
  <c r="BE98" i="31"/>
  <c r="BC79" i="31"/>
  <c r="BF59" i="31"/>
  <c r="AJ110" i="31"/>
  <c r="AJ114" i="31"/>
  <c r="AJ112" i="31"/>
  <c r="AJ109" i="31"/>
  <c r="AJ113" i="31"/>
  <c r="AJ111" i="31"/>
  <c r="P112" i="31"/>
  <c r="Q112" i="31" s="1"/>
  <c r="R112" i="31" s="1"/>
  <c r="S112" i="31" s="1"/>
  <c r="P110" i="31"/>
  <c r="Q110" i="31" s="1"/>
  <c r="R110" i="31" s="1"/>
  <c r="S110" i="31" s="1"/>
  <c r="P114" i="31"/>
  <c r="Q114" i="31" s="1"/>
  <c r="R114" i="31" s="1"/>
  <c r="S114" i="31" s="1"/>
  <c r="P111" i="31"/>
  <c r="Q111" i="31" s="1"/>
  <c r="R111" i="31" s="1"/>
  <c r="S111" i="31" s="1"/>
  <c r="P109" i="31"/>
  <c r="Q109" i="31" s="1"/>
  <c r="R109" i="31" s="1"/>
  <c r="S109" i="31" s="1"/>
  <c r="P113" i="31"/>
  <c r="Q113" i="31" s="1"/>
  <c r="R113" i="31" s="1"/>
  <c r="S113" i="31" s="1"/>
  <c r="AF112" i="31"/>
  <c r="AG112" i="31" s="1"/>
  <c r="AH112" i="31" s="1"/>
  <c r="AI112" i="31" s="1"/>
  <c r="AF114" i="31"/>
  <c r="AG114" i="31" s="1"/>
  <c r="AH114" i="31" s="1"/>
  <c r="AI114" i="31" s="1"/>
  <c r="AF110" i="31"/>
  <c r="AG110" i="31" s="1"/>
  <c r="AH110" i="31" s="1"/>
  <c r="AI110" i="31" s="1"/>
  <c r="AF111" i="31"/>
  <c r="AG111" i="31" s="1"/>
  <c r="AH111" i="31" s="1"/>
  <c r="AI111" i="31" s="1"/>
  <c r="AF113" i="31"/>
  <c r="AG113" i="31" s="1"/>
  <c r="AH113" i="31" s="1"/>
  <c r="AI113" i="31" s="1"/>
  <c r="AF109" i="31"/>
  <c r="AG109" i="31" s="1"/>
  <c r="AH109" i="31" s="1"/>
  <c r="AI109" i="31" s="1"/>
  <c r="Z109" i="31"/>
  <c r="Z113" i="31"/>
  <c r="Z111" i="31"/>
  <c r="Z112" i="31"/>
  <c r="Z114" i="31"/>
  <c r="Z110" i="31"/>
  <c r="AJ108" i="31"/>
  <c r="AJ107" i="31"/>
  <c r="P108" i="31"/>
  <c r="Q108" i="31" s="1"/>
  <c r="R108" i="31" s="1"/>
  <c r="S108" i="31" s="1"/>
  <c r="P107" i="31"/>
  <c r="Q107" i="31" s="1"/>
  <c r="R107" i="31" s="1"/>
  <c r="S107" i="31" s="1"/>
  <c r="Z107" i="31"/>
  <c r="Z108" i="31"/>
  <c r="AF107" i="31"/>
  <c r="AG107" i="31" s="1"/>
  <c r="AH107" i="31" s="1"/>
  <c r="AI107" i="31" s="1"/>
  <c r="AF108" i="31"/>
  <c r="AG108" i="31" s="1"/>
  <c r="AH108" i="31" s="1"/>
  <c r="AI108" i="31" s="1"/>
  <c r="AJ104" i="31"/>
  <c r="AJ103" i="31"/>
  <c r="AJ105" i="31"/>
  <c r="AJ106" i="31"/>
  <c r="P44" i="31"/>
  <c r="P106" i="31"/>
  <c r="Q106" i="31" s="1"/>
  <c r="R106" i="31" s="1"/>
  <c r="S106" i="31" s="1"/>
  <c r="P105" i="31"/>
  <c r="Q105" i="31" s="1"/>
  <c r="R105" i="31" s="1"/>
  <c r="S105" i="31" s="1"/>
  <c r="P103" i="31"/>
  <c r="Q103" i="31" s="1"/>
  <c r="R103" i="31" s="1"/>
  <c r="S103" i="31" s="1"/>
  <c r="P104" i="31"/>
  <c r="Q104" i="31" s="1"/>
  <c r="R104" i="31" s="1"/>
  <c r="S104" i="31" s="1"/>
  <c r="Z103" i="31"/>
  <c r="Z106" i="31"/>
  <c r="Z104" i="31"/>
  <c r="Z105" i="31"/>
  <c r="AF106" i="31"/>
  <c r="AG106" i="31" s="1"/>
  <c r="AH106" i="31" s="1"/>
  <c r="AI106" i="31" s="1"/>
  <c r="AF105" i="31"/>
  <c r="AG105" i="31" s="1"/>
  <c r="AH105" i="31" s="1"/>
  <c r="AI105" i="31" s="1"/>
  <c r="AF103" i="31"/>
  <c r="AG103" i="31" s="1"/>
  <c r="AH103" i="31" s="1"/>
  <c r="AI103" i="31" s="1"/>
  <c r="AF104" i="31"/>
  <c r="AG104" i="31" s="1"/>
  <c r="AH104" i="31" s="1"/>
  <c r="AI104" i="31" s="1"/>
  <c r="BD100" i="31"/>
  <c r="BF100" i="31"/>
  <c r="BD99" i="31"/>
  <c r="BF99" i="31"/>
  <c r="AE44" i="31"/>
  <c r="AJ79" i="31"/>
  <c r="Z79" i="31"/>
  <c r="AF79" i="31"/>
  <c r="AG79" i="31" s="1"/>
  <c r="AH79" i="31" s="1"/>
  <c r="AI79" i="31" s="1"/>
  <c r="AF44" i="31"/>
  <c r="O44" i="31"/>
  <c r="AE50" i="31"/>
  <c r="P59" i="31"/>
  <c r="P79" i="31"/>
  <c r="Q79" i="31" s="1"/>
  <c r="R79" i="31" s="1"/>
  <c r="S79" i="31" s="1"/>
  <c r="AF51" i="31"/>
  <c r="AF59" i="31"/>
  <c r="AE59" i="31"/>
  <c r="P53" i="31"/>
  <c r="P51" i="31"/>
  <c r="AE51" i="31"/>
  <c r="O51" i="31"/>
  <c r="O50" i="31"/>
  <c r="O53" i="31"/>
  <c r="AF50" i="31"/>
  <c r="AF53" i="31"/>
  <c r="AE53" i="31"/>
  <c r="B27" i="31"/>
  <c r="P50" i="31"/>
  <c r="Z99" i="31"/>
  <c r="M17" i="31"/>
  <c r="Z98" i="31"/>
  <c r="M11" i="31"/>
  <c r="Z102" i="31"/>
  <c r="L17" i="31"/>
  <c r="Z101" i="31"/>
  <c r="Z100" i="31"/>
  <c r="N17" i="31"/>
  <c r="AJ98" i="31"/>
  <c r="AJ99" i="31"/>
  <c r="AJ100" i="31"/>
  <c r="AJ101" i="31"/>
  <c r="AJ102" i="31"/>
  <c r="L21" i="31"/>
  <c r="AF102" i="31"/>
  <c r="AG102" i="31" s="1"/>
  <c r="AH102" i="31" s="1"/>
  <c r="AI102" i="31" s="1"/>
  <c r="AF98" i="31"/>
  <c r="AG98" i="31" s="1"/>
  <c r="AH98" i="31" s="1"/>
  <c r="AI98" i="31" s="1"/>
  <c r="AF45" i="31"/>
  <c r="AF99" i="31"/>
  <c r="AG99" i="31" s="1"/>
  <c r="AH99" i="31" s="1"/>
  <c r="AI99" i="31" s="1"/>
  <c r="AF100" i="31"/>
  <c r="AG100" i="31" s="1"/>
  <c r="AH100" i="31" s="1"/>
  <c r="AI100" i="31" s="1"/>
  <c r="AF101" i="31"/>
  <c r="AG101" i="31" s="1"/>
  <c r="AH101" i="31" s="1"/>
  <c r="AI101" i="31" s="1"/>
  <c r="I27" i="31"/>
  <c r="N27" i="31" s="1"/>
  <c r="AF43" i="31"/>
  <c r="AE43" i="31"/>
  <c r="AE45" i="31"/>
  <c r="I25" i="31"/>
  <c r="N25" i="31" s="1"/>
  <c r="T15" i="31"/>
  <c r="T16" i="31" s="1"/>
  <c r="M21" i="31"/>
  <c r="AJ59" i="31" s="1"/>
  <c r="N21" i="31"/>
  <c r="B17" i="31"/>
  <c r="B22" i="31" s="1"/>
  <c r="AG66" i="33"/>
  <c r="AH66" i="33"/>
  <c r="AH63" i="33"/>
  <c r="AG63" i="33"/>
  <c r="AH72" i="33"/>
  <c r="AG72" i="33"/>
  <c r="AG67" i="33"/>
  <c r="AH67" i="33"/>
  <c r="AG71" i="33"/>
  <c r="AH71" i="33"/>
  <c r="AG62" i="33"/>
  <c r="AH62" i="33"/>
  <c r="AG65" i="33"/>
  <c r="AH65" i="33"/>
  <c r="AG61" i="33"/>
  <c r="AH61" i="33"/>
  <c r="AG70" i="33"/>
  <c r="AH70" i="33"/>
  <c r="AH64" i="33"/>
  <c r="AG64" i="33"/>
  <c r="AG60" i="33"/>
  <c r="AH60" i="33"/>
  <c r="AH68" i="33"/>
  <c r="AG68" i="33"/>
  <c r="AG69" i="33"/>
  <c r="AH69" i="33"/>
  <c r="J27" i="31"/>
  <c r="C27" i="31"/>
  <c r="J29" i="31"/>
  <c r="J25" i="31"/>
  <c r="D9" i="31"/>
  <c r="C17" i="31" s="1"/>
  <c r="F9" i="31"/>
  <c r="C21" i="31" s="1"/>
  <c r="O27" i="31"/>
  <c r="O45" i="31"/>
  <c r="O43" i="31"/>
  <c r="P102" i="31"/>
  <c r="Q102" i="31" s="1"/>
  <c r="R102" i="31" s="1"/>
  <c r="S102" i="31" s="1"/>
  <c r="P98" i="31"/>
  <c r="Q98" i="31" s="1"/>
  <c r="R98" i="31" s="1"/>
  <c r="S98" i="31" s="1"/>
  <c r="P99" i="31"/>
  <c r="Q99" i="31" s="1"/>
  <c r="R99" i="31" s="1"/>
  <c r="S99" i="31" s="1"/>
  <c r="P101" i="31"/>
  <c r="Q101" i="31" s="1"/>
  <c r="R101" i="31" s="1"/>
  <c r="S101" i="31" s="1"/>
  <c r="P100" i="31"/>
  <c r="Q100" i="31" s="1"/>
  <c r="R100" i="31" s="1"/>
  <c r="S100" i="31" s="1"/>
  <c r="P43" i="31"/>
  <c r="P45" i="31"/>
  <c r="Q59" i="31" l="1"/>
  <c r="R59" i="31" s="1"/>
  <c r="S59" i="31" s="1"/>
  <c r="BD98" i="31"/>
  <c r="BF98" i="31"/>
  <c r="AA109" i="31"/>
  <c r="AA113" i="31"/>
  <c r="AA112" i="31"/>
  <c r="AA111" i="31"/>
  <c r="AA114" i="31"/>
  <c r="AA110" i="31"/>
  <c r="AK110" i="31"/>
  <c r="AK114" i="31"/>
  <c r="AK109" i="31"/>
  <c r="AK113" i="31"/>
  <c r="AK111" i="31"/>
  <c r="AK112" i="31"/>
  <c r="AA108" i="31"/>
  <c r="AA107" i="31"/>
  <c r="AK108" i="31"/>
  <c r="AK107" i="31"/>
  <c r="AK104" i="31"/>
  <c r="AK103" i="31"/>
  <c r="AK105" i="31"/>
  <c r="AK106" i="31"/>
  <c r="Q44" i="31"/>
  <c r="R44" i="31" s="1"/>
  <c r="S44" i="31" s="1"/>
  <c r="AA44" i="31"/>
  <c r="BG44" i="31" s="1"/>
  <c r="AA103" i="31"/>
  <c r="AA104" i="31"/>
  <c r="AA105" i="31"/>
  <c r="AA106" i="31"/>
  <c r="AG44" i="31"/>
  <c r="AH44" i="31" s="1"/>
  <c r="AI44" i="31" s="1"/>
  <c r="AG50" i="31"/>
  <c r="AH50" i="31" s="1"/>
  <c r="AI50" i="31" s="1"/>
  <c r="Z44" i="31"/>
  <c r="AJ44" i="31"/>
  <c r="AK79" i="31"/>
  <c r="AK44" i="31"/>
  <c r="BH44" i="31" s="1"/>
  <c r="AA59" i="31"/>
  <c r="BG59" i="31" s="1"/>
  <c r="AA79" i="31"/>
  <c r="Z51" i="31"/>
  <c r="AK51" i="31"/>
  <c r="BH51" i="31" s="1"/>
  <c r="AK59" i="31"/>
  <c r="AG59" i="31"/>
  <c r="AH59" i="31" s="1"/>
  <c r="AI59" i="31" s="1"/>
  <c r="Q53" i="31"/>
  <c r="R53" i="31" s="1"/>
  <c r="S53" i="31" s="1"/>
  <c r="Z59" i="31"/>
  <c r="AG51" i="31"/>
  <c r="AH51" i="31" s="1"/>
  <c r="AI51" i="31" s="1"/>
  <c r="AJ51" i="31"/>
  <c r="Q51" i="31"/>
  <c r="R51" i="31" s="1"/>
  <c r="S51" i="31" s="1"/>
  <c r="Z53" i="31"/>
  <c r="AA51" i="31"/>
  <c r="D27" i="31"/>
  <c r="E27" i="31" s="1"/>
  <c r="B33" i="31" s="1"/>
  <c r="AG53" i="31"/>
  <c r="AH53" i="31" s="1"/>
  <c r="AI53" i="31" s="1"/>
  <c r="Q50" i="31"/>
  <c r="R50" i="31" s="1"/>
  <c r="S50" i="31" s="1"/>
  <c r="AK50" i="31"/>
  <c r="BH50" i="31" s="1"/>
  <c r="AK53" i="31"/>
  <c r="BH53" i="31" s="1"/>
  <c r="AA50" i="31"/>
  <c r="BG50" i="31" s="1"/>
  <c r="AA53" i="31"/>
  <c r="BG53" i="31" s="1"/>
  <c r="AJ53" i="31"/>
  <c r="Z50" i="31"/>
  <c r="AJ50" i="31"/>
  <c r="Z43" i="31"/>
  <c r="Z45" i="31"/>
  <c r="O25" i="31"/>
  <c r="P25" i="31" s="1"/>
  <c r="M25" i="31" s="1"/>
  <c r="O31" i="31" s="1"/>
  <c r="AA102" i="31"/>
  <c r="AA45" i="31"/>
  <c r="BG45" i="31" s="1"/>
  <c r="AA101" i="31"/>
  <c r="AA100" i="31"/>
  <c r="AA99" i="31"/>
  <c r="AA98" i="31"/>
  <c r="AA43" i="31"/>
  <c r="BG43" i="31" s="1"/>
  <c r="AK98" i="31"/>
  <c r="AK45" i="31"/>
  <c r="BH45" i="31" s="1"/>
  <c r="AK99" i="31"/>
  <c r="AK100" i="31"/>
  <c r="AK101" i="31"/>
  <c r="AK102" i="31"/>
  <c r="I29" i="31"/>
  <c r="N29" i="31" s="1"/>
  <c r="AK43" i="31"/>
  <c r="BH43" i="31" s="1"/>
  <c r="O29" i="31"/>
  <c r="AJ45" i="31"/>
  <c r="AJ43" i="31"/>
  <c r="K27" i="31"/>
  <c r="L27" i="31" s="1"/>
  <c r="I33" i="31" s="1"/>
  <c r="AG43" i="31"/>
  <c r="AH43" i="31" s="1"/>
  <c r="AI43" i="31" s="1"/>
  <c r="AG45" i="31"/>
  <c r="AH45" i="31" s="1"/>
  <c r="AI45" i="31" s="1"/>
  <c r="K25" i="31"/>
  <c r="L25" i="31" s="1"/>
  <c r="I31" i="31" s="1"/>
  <c r="C22" i="31"/>
  <c r="D21" i="31"/>
  <c r="Q45" i="31"/>
  <c r="R45" i="31" s="1"/>
  <c r="S45" i="31" s="1"/>
  <c r="P27" i="31"/>
  <c r="M27" i="31" s="1"/>
  <c r="O33" i="31" s="1"/>
  <c r="Q43" i="31"/>
  <c r="R43" i="31" s="1"/>
  <c r="S43" i="31" s="1"/>
  <c r="D17" i="31"/>
  <c r="I64" i="31" l="1"/>
  <c r="I65" i="31" s="1"/>
  <c r="I63" i="31"/>
  <c r="BH112" i="31"/>
  <c r="AL112" i="31"/>
  <c r="AM112" i="31" s="1"/>
  <c r="AN112" i="31" s="1"/>
  <c r="AL111" i="31"/>
  <c r="AM111" i="31" s="1"/>
  <c r="AN111" i="31" s="1"/>
  <c r="BH111" i="31"/>
  <c r="BG111" i="31"/>
  <c r="AB111" i="31"/>
  <c r="AC111" i="31" s="1"/>
  <c r="AD111" i="31" s="1"/>
  <c r="BH109" i="31"/>
  <c r="AL109" i="31"/>
  <c r="AM109" i="31" s="1"/>
  <c r="AN109" i="31" s="1"/>
  <c r="AB112" i="31"/>
  <c r="AC112" i="31" s="1"/>
  <c r="AD112" i="31" s="1"/>
  <c r="BG112" i="31"/>
  <c r="BH113" i="31"/>
  <c r="AL113" i="31"/>
  <c r="AM113" i="31" s="1"/>
  <c r="AN113" i="31" s="1"/>
  <c r="T110" i="31"/>
  <c r="T114" i="31"/>
  <c r="T112" i="31"/>
  <c r="T109" i="31"/>
  <c r="T113" i="31"/>
  <c r="T111" i="31"/>
  <c r="AB110" i="31"/>
  <c r="AC110" i="31" s="1"/>
  <c r="AD110" i="31" s="1"/>
  <c r="BG110" i="31"/>
  <c r="J109" i="31"/>
  <c r="J113" i="31"/>
  <c r="J111" i="31"/>
  <c r="J112" i="31"/>
  <c r="J110" i="31"/>
  <c r="J114" i="31"/>
  <c r="AB114" i="31"/>
  <c r="AC114" i="31" s="1"/>
  <c r="AD114" i="31" s="1"/>
  <c r="BG114" i="31"/>
  <c r="AL114" i="31"/>
  <c r="AM114" i="31" s="1"/>
  <c r="AN114" i="31" s="1"/>
  <c r="BH114" i="31"/>
  <c r="BG113" i="31"/>
  <c r="AB113" i="31"/>
  <c r="AC113" i="31" s="1"/>
  <c r="AD113" i="31" s="1"/>
  <c r="AL110" i="31"/>
  <c r="AM110" i="31" s="1"/>
  <c r="AN110" i="31" s="1"/>
  <c r="BH110" i="31"/>
  <c r="BG109" i="31"/>
  <c r="AB109" i="31"/>
  <c r="AC109" i="31" s="1"/>
  <c r="AD109" i="31" s="1"/>
  <c r="J107" i="31"/>
  <c r="J108" i="31"/>
  <c r="T108" i="31"/>
  <c r="T107" i="31"/>
  <c r="AL107" i="31"/>
  <c r="AM107" i="31" s="1"/>
  <c r="AN107" i="31" s="1"/>
  <c r="BH107" i="31"/>
  <c r="BH108" i="31"/>
  <c r="AL108" i="31"/>
  <c r="AM108" i="31" s="1"/>
  <c r="AN108" i="31" s="1"/>
  <c r="BG107" i="31"/>
  <c r="AB107" i="31"/>
  <c r="AC107" i="31" s="1"/>
  <c r="AD107" i="31" s="1"/>
  <c r="AB108" i="31"/>
  <c r="AC108" i="31" s="1"/>
  <c r="AD108" i="31" s="1"/>
  <c r="BG108" i="31"/>
  <c r="J103" i="31"/>
  <c r="J106" i="31"/>
  <c r="J104" i="31"/>
  <c r="J105" i="31"/>
  <c r="BH106" i="31"/>
  <c r="AL106" i="31"/>
  <c r="AM106" i="31" s="1"/>
  <c r="AN106" i="31" s="1"/>
  <c r="BG103" i="31"/>
  <c r="AB103" i="31"/>
  <c r="AC103" i="31" s="1"/>
  <c r="AD103" i="31" s="1"/>
  <c r="AL105" i="31"/>
  <c r="AM105" i="31" s="1"/>
  <c r="AN105" i="31" s="1"/>
  <c r="BH105" i="31"/>
  <c r="BG106" i="31"/>
  <c r="AB106" i="31"/>
  <c r="AC106" i="31" s="1"/>
  <c r="AD106" i="31" s="1"/>
  <c r="BH103" i="31"/>
  <c r="AL103" i="31"/>
  <c r="AM103" i="31" s="1"/>
  <c r="AN103" i="31" s="1"/>
  <c r="AB104" i="31"/>
  <c r="AC104" i="31" s="1"/>
  <c r="AD104" i="31" s="1"/>
  <c r="BG104" i="31"/>
  <c r="AB44" i="31"/>
  <c r="AC44" i="31" s="1"/>
  <c r="AD44" i="31" s="1"/>
  <c r="T104" i="31"/>
  <c r="T103" i="31"/>
  <c r="T105" i="31"/>
  <c r="T106" i="31"/>
  <c r="AB105" i="31"/>
  <c r="AC105" i="31" s="1"/>
  <c r="AD105" i="31" s="1"/>
  <c r="BG105" i="31"/>
  <c r="AL104" i="31"/>
  <c r="AM104" i="31" s="1"/>
  <c r="AN104" i="31" s="1"/>
  <c r="BH104" i="31"/>
  <c r="AL102" i="31"/>
  <c r="AM102" i="31" s="1"/>
  <c r="AN102" i="31" s="1"/>
  <c r="BH102" i="31"/>
  <c r="AL101" i="31"/>
  <c r="AM101" i="31" s="1"/>
  <c r="AN101" i="31" s="1"/>
  <c r="BH101" i="31"/>
  <c r="AL100" i="31"/>
  <c r="AM100" i="31" s="1"/>
  <c r="AN100" i="31" s="1"/>
  <c r="BH100" i="31"/>
  <c r="AL79" i="31"/>
  <c r="AM79" i="31" s="1"/>
  <c r="AN79" i="31" s="1"/>
  <c r="BH79" i="31"/>
  <c r="AL99" i="31"/>
  <c r="AM99" i="31" s="1"/>
  <c r="AN99" i="31" s="1"/>
  <c r="BH99" i="31"/>
  <c r="AL59" i="31"/>
  <c r="AM59" i="31" s="1"/>
  <c r="AN59" i="31" s="1"/>
  <c r="BH59" i="31"/>
  <c r="AL98" i="31"/>
  <c r="AM98" i="31" s="1"/>
  <c r="AN98" i="31" s="1"/>
  <c r="BH98" i="31"/>
  <c r="AL44" i="31"/>
  <c r="AM44" i="31" s="1"/>
  <c r="AN44" i="31" s="1"/>
  <c r="T79" i="31"/>
  <c r="J79" i="31"/>
  <c r="AB100" i="31"/>
  <c r="AC100" i="31" s="1"/>
  <c r="AD100" i="31" s="1"/>
  <c r="BG100" i="31"/>
  <c r="AB102" i="31"/>
  <c r="AC102" i="31" s="1"/>
  <c r="AD102" i="31" s="1"/>
  <c r="BG102" i="31"/>
  <c r="AB99" i="31"/>
  <c r="AC99" i="31" s="1"/>
  <c r="AD99" i="31" s="1"/>
  <c r="BG99" i="31"/>
  <c r="AB51" i="31"/>
  <c r="AC51" i="31" s="1"/>
  <c r="AD51" i="31" s="1"/>
  <c r="BG51" i="31"/>
  <c r="AB79" i="31"/>
  <c r="AC79" i="31" s="1"/>
  <c r="AD79" i="31" s="1"/>
  <c r="BG79" i="31"/>
  <c r="AB101" i="31"/>
  <c r="AC101" i="31" s="1"/>
  <c r="AD101" i="31" s="1"/>
  <c r="BG101" i="31"/>
  <c r="AB98" i="31"/>
  <c r="AC98" i="31" s="1"/>
  <c r="AD98" i="31" s="1"/>
  <c r="BG98" i="31"/>
  <c r="AB53" i="31"/>
  <c r="AC53" i="31" s="1"/>
  <c r="AD53" i="31" s="1"/>
  <c r="AL51" i="31"/>
  <c r="AM51" i="31" s="1"/>
  <c r="AN51" i="31" s="1"/>
  <c r="AB59" i="31"/>
  <c r="AC59" i="31" s="1"/>
  <c r="AD59" i="31" s="1"/>
  <c r="AB50" i="31"/>
  <c r="AC50" i="31" s="1"/>
  <c r="AD50" i="31" s="1"/>
  <c r="AL53" i="31"/>
  <c r="AM53" i="31" s="1"/>
  <c r="AN53" i="31" s="1"/>
  <c r="AL50" i="31"/>
  <c r="AM50" i="31" s="1"/>
  <c r="AN50" i="31" s="1"/>
  <c r="F12" i="31"/>
  <c r="AB43" i="31"/>
  <c r="AC43" i="31" s="1"/>
  <c r="AD43" i="31" s="1"/>
  <c r="AB45" i="31"/>
  <c r="AC45" i="31" s="1"/>
  <c r="AD45" i="31" s="1"/>
  <c r="K29" i="31"/>
  <c r="L29" i="31" s="1"/>
  <c r="I35" i="31" s="1"/>
  <c r="I36" i="31" s="1"/>
  <c r="AL45" i="31"/>
  <c r="AM45" i="31" s="1"/>
  <c r="P29" i="31"/>
  <c r="M29" i="31" s="1"/>
  <c r="O35" i="31" s="1"/>
  <c r="O36" i="31" s="1"/>
  <c r="AL43" i="31"/>
  <c r="AM43" i="31" s="1"/>
  <c r="AN43" i="31" s="1"/>
  <c r="I62" i="31"/>
  <c r="T102" i="31"/>
  <c r="F21" i="31"/>
  <c r="T99" i="31"/>
  <c r="T98" i="31"/>
  <c r="T101" i="31"/>
  <c r="T100" i="31"/>
  <c r="E21" i="31"/>
  <c r="E17" i="31"/>
  <c r="F17" i="31"/>
  <c r="J101" i="31"/>
  <c r="J100" i="31"/>
  <c r="J102" i="31"/>
  <c r="J99" i="31"/>
  <c r="J98" i="31"/>
  <c r="I48" i="31" l="1"/>
  <c r="I47" i="31"/>
  <c r="AZ64" i="31"/>
  <c r="AO104" i="31"/>
  <c r="BI104" i="31" s="1"/>
  <c r="AO108" i="31"/>
  <c r="BI108" i="31" s="1"/>
  <c r="AO111" i="31"/>
  <c r="BI111" i="31" s="1"/>
  <c r="AO107" i="31"/>
  <c r="BI107" i="31" s="1"/>
  <c r="AO110" i="31"/>
  <c r="BI110" i="31" s="1"/>
  <c r="K109" i="31"/>
  <c r="L109" i="31" s="1"/>
  <c r="M109" i="31" s="1"/>
  <c r="N109" i="31" s="1"/>
  <c r="K113" i="31"/>
  <c r="L113" i="31" s="1"/>
  <c r="M113" i="31" s="1"/>
  <c r="N113" i="31" s="1"/>
  <c r="K112" i="31"/>
  <c r="L112" i="31" s="1"/>
  <c r="M112" i="31" s="1"/>
  <c r="N112" i="31" s="1"/>
  <c r="K111" i="31"/>
  <c r="L111" i="31" s="1"/>
  <c r="M111" i="31" s="1"/>
  <c r="N111" i="31" s="1"/>
  <c r="K110" i="31"/>
  <c r="L110" i="31" s="1"/>
  <c r="M110" i="31" s="1"/>
  <c r="N110" i="31" s="1"/>
  <c r="K114" i="31"/>
  <c r="L114" i="31" s="1"/>
  <c r="M114" i="31" s="1"/>
  <c r="N114" i="31" s="1"/>
  <c r="U110" i="31"/>
  <c r="V110" i="31" s="1"/>
  <c r="W110" i="31" s="1"/>
  <c r="X110" i="31" s="1"/>
  <c r="U114" i="31"/>
  <c r="V114" i="31" s="1"/>
  <c r="W114" i="31" s="1"/>
  <c r="X114" i="31" s="1"/>
  <c r="U109" i="31"/>
  <c r="V109" i="31" s="1"/>
  <c r="W109" i="31" s="1"/>
  <c r="X109" i="31" s="1"/>
  <c r="U113" i="31"/>
  <c r="V113" i="31" s="1"/>
  <c r="W113" i="31" s="1"/>
  <c r="X113" i="31" s="1"/>
  <c r="U112" i="31"/>
  <c r="V112" i="31" s="1"/>
  <c r="W112" i="31" s="1"/>
  <c r="X112" i="31" s="1"/>
  <c r="U111" i="31"/>
  <c r="V111" i="31" s="1"/>
  <c r="W111" i="31" s="1"/>
  <c r="X111" i="31" s="1"/>
  <c r="AO109" i="31"/>
  <c r="BI109" i="31" s="1"/>
  <c r="AO113" i="31"/>
  <c r="BI113" i="31" s="1"/>
  <c r="AO112" i="31"/>
  <c r="BI112" i="31" s="1"/>
  <c r="AO114" i="31"/>
  <c r="BI114" i="31" s="1"/>
  <c r="K108" i="31"/>
  <c r="L108" i="31" s="1"/>
  <c r="M108" i="31" s="1"/>
  <c r="N108" i="31" s="1"/>
  <c r="K107" i="31"/>
  <c r="L107" i="31" s="1"/>
  <c r="M107" i="31" s="1"/>
  <c r="N107" i="31" s="1"/>
  <c r="AO44" i="31"/>
  <c r="BI44" i="31" s="1"/>
  <c r="U108" i="31"/>
  <c r="V108" i="31" s="1"/>
  <c r="W108" i="31" s="1"/>
  <c r="X108" i="31" s="1"/>
  <c r="U107" i="31"/>
  <c r="V107" i="31" s="1"/>
  <c r="W107" i="31" s="1"/>
  <c r="X107" i="31" s="1"/>
  <c r="AO106" i="31"/>
  <c r="BI106" i="31" s="1"/>
  <c r="AO103" i="31"/>
  <c r="BI103" i="31" s="1"/>
  <c r="K103" i="31"/>
  <c r="L103" i="31" s="1"/>
  <c r="M103" i="31" s="1"/>
  <c r="N103" i="31" s="1"/>
  <c r="K104" i="31"/>
  <c r="L104" i="31" s="1"/>
  <c r="M104" i="31" s="1"/>
  <c r="N104" i="31" s="1"/>
  <c r="K105" i="31"/>
  <c r="L105" i="31" s="1"/>
  <c r="M105" i="31" s="1"/>
  <c r="N105" i="31" s="1"/>
  <c r="K106" i="31"/>
  <c r="L106" i="31" s="1"/>
  <c r="M106" i="31" s="1"/>
  <c r="N106" i="31" s="1"/>
  <c r="U44" i="31"/>
  <c r="U104" i="31"/>
  <c r="V104" i="31" s="1"/>
  <c r="W104" i="31" s="1"/>
  <c r="X104" i="31" s="1"/>
  <c r="U103" i="31"/>
  <c r="V103" i="31" s="1"/>
  <c r="W103" i="31" s="1"/>
  <c r="X103" i="31" s="1"/>
  <c r="U105" i="31"/>
  <c r="V105" i="31" s="1"/>
  <c r="W105" i="31" s="1"/>
  <c r="X105" i="31" s="1"/>
  <c r="U106" i="31"/>
  <c r="V106" i="31" s="1"/>
  <c r="W106" i="31" s="1"/>
  <c r="X106" i="31" s="1"/>
  <c r="AO105" i="31"/>
  <c r="BI105" i="31" s="1"/>
  <c r="AO79" i="31"/>
  <c r="BI79" i="31" s="1"/>
  <c r="AO59" i="31"/>
  <c r="BI59" i="31" s="1"/>
  <c r="T44" i="31"/>
  <c r="J44" i="31"/>
  <c r="AP63" i="31"/>
  <c r="AZ63" i="31"/>
  <c r="AP62" i="31"/>
  <c r="AZ62" i="31"/>
  <c r="AO98" i="31"/>
  <c r="BI98" i="31" s="1"/>
  <c r="AO51" i="31"/>
  <c r="BI51" i="31" s="1"/>
  <c r="K79" i="31"/>
  <c r="L79" i="31" s="1"/>
  <c r="M79" i="31" s="1"/>
  <c r="N79" i="31" s="1"/>
  <c r="K44" i="31"/>
  <c r="AO101" i="31"/>
  <c r="BI101" i="31" s="1"/>
  <c r="AO102" i="31"/>
  <c r="BI102" i="31" s="1"/>
  <c r="J51" i="31"/>
  <c r="AO99" i="31"/>
  <c r="BI99" i="31" s="1"/>
  <c r="AO50" i="31"/>
  <c r="BI50" i="31" s="1"/>
  <c r="AO100" i="31"/>
  <c r="BI100" i="31" s="1"/>
  <c r="AO53" i="31"/>
  <c r="BI53" i="31" s="1"/>
  <c r="AP64" i="31"/>
  <c r="T51" i="31"/>
  <c r="U59" i="31"/>
  <c r="U79" i="31"/>
  <c r="V79" i="31" s="1"/>
  <c r="W79" i="31" s="1"/>
  <c r="X79" i="31" s="1"/>
  <c r="K51" i="31"/>
  <c r="K59" i="31"/>
  <c r="T59" i="31"/>
  <c r="J59" i="31"/>
  <c r="U53" i="31"/>
  <c r="U51" i="31"/>
  <c r="J53" i="31"/>
  <c r="T53" i="31"/>
  <c r="K50" i="31"/>
  <c r="K53" i="31"/>
  <c r="J50" i="31"/>
  <c r="T50" i="31"/>
  <c r="U102" i="31"/>
  <c r="V102" i="31" s="1"/>
  <c r="W102" i="31" s="1"/>
  <c r="X102" i="31" s="1"/>
  <c r="U50" i="31"/>
  <c r="Z62" i="31"/>
  <c r="Z63" i="31"/>
  <c r="Z64" i="31"/>
  <c r="L36" i="31"/>
  <c r="AN45" i="31"/>
  <c r="AO45" i="31" s="1"/>
  <c r="BI45" i="31" s="1"/>
  <c r="AO43" i="31"/>
  <c r="BI43" i="31" s="1"/>
  <c r="AJ64" i="31"/>
  <c r="AK64" i="31"/>
  <c r="BH64" i="31" s="1"/>
  <c r="AJ62" i="31"/>
  <c r="AK62" i="31"/>
  <c r="BH62" i="31" s="1"/>
  <c r="AJ63" i="31"/>
  <c r="AK63" i="31"/>
  <c r="BH63" i="31" s="1"/>
  <c r="AE64" i="31"/>
  <c r="AF64" i="31"/>
  <c r="AE62" i="31"/>
  <c r="AF62" i="31"/>
  <c r="AE63" i="31"/>
  <c r="AF63" i="31"/>
  <c r="AA64" i="31"/>
  <c r="BG64" i="31" s="1"/>
  <c r="AA62" i="31"/>
  <c r="BG62" i="31" s="1"/>
  <c r="AA63" i="31"/>
  <c r="BG63" i="31" s="1"/>
  <c r="AP66" i="31"/>
  <c r="AQ62" i="31"/>
  <c r="AR62" i="31" s="1"/>
  <c r="C29" i="31"/>
  <c r="I56" i="31"/>
  <c r="O62" i="31"/>
  <c r="AY62" i="31"/>
  <c r="P62" i="31"/>
  <c r="BK62" i="31"/>
  <c r="I55" i="31"/>
  <c r="C25" i="31"/>
  <c r="Q14" i="31" s="1"/>
  <c r="I57" i="31"/>
  <c r="AZ49" i="31"/>
  <c r="I46" i="31"/>
  <c r="J64" i="31"/>
  <c r="U62" i="31"/>
  <c r="B29" i="31"/>
  <c r="U43" i="31"/>
  <c r="U100" i="31"/>
  <c r="V100" i="31" s="1"/>
  <c r="W100" i="31" s="1"/>
  <c r="X100" i="31" s="1"/>
  <c r="U99" i="31"/>
  <c r="V99" i="31" s="1"/>
  <c r="W99" i="31" s="1"/>
  <c r="X99" i="31" s="1"/>
  <c r="U98" i="31"/>
  <c r="V98" i="31" s="1"/>
  <c r="W98" i="31" s="1"/>
  <c r="X98" i="31" s="1"/>
  <c r="O64" i="31"/>
  <c r="T62" i="31"/>
  <c r="T43" i="31"/>
  <c r="T45" i="31"/>
  <c r="U45" i="31"/>
  <c r="U101" i="31"/>
  <c r="V101" i="31" s="1"/>
  <c r="W101" i="31" s="1"/>
  <c r="X101" i="31" s="1"/>
  <c r="AQ64" i="31"/>
  <c r="AR64" i="31" s="1"/>
  <c r="AY64" i="31"/>
  <c r="BK64" i="31"/>
  <c r="T64" i="31"/>
  <c r="U64" i="31"/>
  <c r="P64" i="31"/>
  <c r="B25" i="31"/>
  <c r="T63" i="31"/>
  <c r="BK63" i="31"/>
  <c r="J43" i="31"/>
  <c r="J62" i="31"/>
  <c r="AQ63" i="31"/>
  <c r="AR63" i="31" s="1"/>
  <c r="J45" i="31"/>
  <c r="O63" i="31"/>
  <c r="U63" i="31"/>
  <c r="P63" i="31"/>
  <c r="J63" i="31"/>
  <c r="K45" i="31"/>
  <c r="AY63" i="31"/>
  <c r="K102" i="31"/>
  <c r="L102" i="31" s="1"/>
  <c r="M102" i="31" s="1"/>
  <c r="N102" i="31" s="1"/>
  <c r="K98" i="31"/>
  <c r="L98" i="31" s="1"/>
  <c r="M98" i="31" s="1"/>
  <c r="N98" i="31" s="1"/>
  <c r="K101" i="31"/>
  <c r="L101" i="31" s="1"/>
  <c r="M101" i="31" s="1"/>
  <c r="N101" i="31" s="1"/>
  <c r="K64" i="31"/>
  <c r="K62" i="31"/>
  <c r="K43" i="31"/>
  <c r="K63" i="31"/>
  <c r="K99" i="31"/>
  <c r="L99" i="31" s="1"/>
  <c r="M99" i="31" s="1"/>
  <c r="N99" i="31" s="1"/>
  <c r="K100" i="31"/>
  <c r="L100" i="31" s="1"/>
  <c r="M100" i="31" s="1"/>
  <c r="N100" i="31" s="1"/>
  <c r="AX63" i="31" l="1"/>
  <c r="AW63" i="31"/>
  <c r="AX62" i="31"/>
  <c r="AW62" i="31"/>
  <c r="AX64" i="31"/>
  <c r="AW64" i="31"/>
  <c r="AZ65" i="31"/>
  <c r="AZ57" i="31"/>
  <c r="AZ47" i="31"/>
  <c r="AZ48" i="31"/>
  <c r="AZ46" i="31"/>
  <c r="V44" i="31"/>
  <c r="W44" i="31" s="1"/>
  <c r="X44" i="31" s="1"/>
  <c r="Y112" i="31"/>
  <c r="BJ112" i="31" s="1"/>
  <c r="BL112" i="31" s="1"/>
  <c r="Y113" i="31"/>
  <c r="BJ113" i="31" s="1"/>
  <c r="BL113" i="31" s="1"/>
  <c r="Y111" i="31"/>
  <c r="BJ111" i="31" s="1"/>
  <c r="BL111" i="31" s="1"/>
  <c r="Y109" i="31"/>
  <c r="BJ109" i="31" s="1"/>
  <c r="BL109" i="31" s="1"/>
  <c r="Y107" i="31"/>
  <c r="BJ107" i="31" s="1"/>
  <c r="BL107" i="31" s="1"/>
  <c r="Y108" i="31"/>
  <c r="BJ108" i="31" s="1"/>
  <c r="BL108" i="31" s="1"/>
  <c r="Y114" i="31"/>
  <c r="BJ114" i="31" s="1"/>
  <c r="BL114" i="31" s="1"/>
  <c r="Y104" i="31"/>
  <c r="BJ104" i="31" s="1"/>
  <c r="BL104" i="31" s="1"/>
  <c r="Y110" i="31"/>
  <c r="BJ110" i="31" s="1"/>
  <c r="BL110" i="31" s="1"/>
  <c r="Y103" i="31"/>
  <c r="BJ103" i="31" s="1"/>
  <c r="BL103" i="31" s="1"/>
  <c r="Y105" i="31"/>
  <c r="BJ105" i="31" s="1"/>
  <c r="BL105" i="31" s="1"/>
  <c r="Y106" i="31"/>
  <c r="BJ106" i="31" s="1"/>
  <c r="BL106" i="31" s="1"/>
  <c r="L44" i="31"/>
  <c r="M44" i="31" s="1"/>
  <c r="N44" i="31" s="1"/>
  <c r="AP55" i="31"/>
  <c r="AZ55" i="31"/>
  <c r="AP56" i="31"/>
  <c r="AZ56" i="31"/>
  <c r="AP48" i="31"/>
  <c r="AP47" i="31"/>
  <c r="AP46" i="31"/>
  <c r="Y79" i="31"/>
  <c r="BJ79" i="31" s="1"/>
  <c r="BL79" i="31" s="1"/>
  <c r="L51" i="31"/>
  <c r="M51" i="31" s="1"/>
  <c r="N51" i="31" s="1"/>
  <c r="V51" i="31"/>
  <c r="W51" i="31" s="1"/>
  <c r="X51" i="31" s="1"/>
  <c r="V59" i="31"/>
  <c r="W59" i="31" s="1"/>
  <c r="X59" i="31" s="1"/>
  <c r="BK65" i="31"/>
  <c r="AY65" i="31"/>
  <c r="J65" i="31"/>
  <c r="Z65" i="31"/>
  <c r="AP65" i="31"/>
  <c r="K65" i="31"/>
  <c r="AA65" i="31"/>
  <c r="BG65" i="31" s="1"/>
  <c r="AQ65" i="31"/>
  <c r="AR65" i="31" s="1"/>
  <c r="AE65" i="31"/>
  <c r="P65" i="31"/>
  <c r="AF65" i="31"/>
  <c r="T65" i="31"/>
  <c r="AJ65" i="31"/>
  <c r="U65" i="31"/>
  <c r="AK65" i="31"/>
  <c r="BH65" i="31" s="1"/>
  <c r="O65" i="31"/>
  <c r="AP57" i="31"/>
  <c r="I58" i="31"/>
  <c r="BC63" i="31"/>
  <c r="BE63" i="31"/>
  <c r="BC64" i="31"/>
  <c r="BE64" i="31"/>
  <c r="BC62" i="31"/>
  <c r="BE62" i="31"/>
  <c r="L53" i="31"/>
  <c r="M53" i="31" s="1"/>
  <c r="N53" i="31" s="1"/>
  <c r="V53" i="31"/>
  <c r="W53" i="31" s="1"/>
  <c r="X53" i="31" s="1"/>
  <c r="L59" i="31"/>
  <c r="M59" i="31" s="1"/>
  <c r="N59" i="31" s="1"/>
  <c r="L50" i="31"/>
  <c r="M50" i="31" s="1"/>
  <c r="N50" i="31" s="1"/>
  <c r="V50" i="31"/>
  <c r="W50" i="31" s="1"/>
  <c r="X50" i="31" s="1"/>
  <c r="Z46" i="31"/>
  <c r="Z48" i="31"/>
  <c r="Z57" i="31"/>
  <c r="Z47" i="31"/>
  <c r="Z55" i="31"/>
  <c r="Z56" i="31"/>
  <c r="Z66" i="31"/>
  <c r="AS63" i="31"/>
  <c r="AT63" i="31"/>
  <c r="AU63" i="31"/>
  <c r="AV63" i="31"/>
  <c r="AS62" i="31"/>
  <c r="AT62" i="31"/>
  <c r="AV62" i="31"/>
  <c r="AU62" i="31"/>
  <c r="AV64" i="31"/>
  <c r="AS64" i="31"/>
  <c r="AT64" i="31"/>
  <c r="AU64" i="31"/>
  <c r="AJ55" i="31"/>
  <c r="AK55" i="31"/>
  <c r="BH55" i="31" s="1"/>
  <c r="AJ56" i="31"/>
  <c r="AK56" i="31"/>
  <c r="BH56" i="31" s="1"/>
  <c r="AJ47" i="31"/>
  <c r="AK47" i="31"/>
  <c r="BH47" i="31" s="1"/>
  <c r="AJ46" i="31"/>
  <c r="AK46" i="31"/>
  <c r="BH46" i="31" s="1"/>
  <c r="AJ48" i="31"/>
  <c r="AK48" i="31"/>
  <c r="BH48" i="31" s="1"/>
  <c r="AJ57" i="31"/>
  <c r="AK57" i="31"/>
  <c r="BH57" i="31" s="1"/>
  <c r="AJ66" i="31"/>
  <c r="AK66" i="31"/>
  <c r="BH66" i="31" s="1"/>
  <c r="AE55" i="31"/>
  <c r="AF55" i="31"/>
  <c r="AE56" i="31"/>
  <c r="AF56" i="31"/>
  <c r="AE47" i="31"/>
  <c r="AF47" i="31"/>
  <c r="AE46" i="31"/>
  <c r="AF46" i="31"/>
  <c r="AE48" i="31"/>
  <c r="AF48" i="31"/>
  <c r="AE57" i="31"/>
  <c r="AF57" i="31"/>
  <c r="AE66" i="31"/>
  <c r="AF66" i="31"/>
  <c r="AA55" i="31"/>
  <c r="BG55" i="31" s="1"/>
  <c r="AA56" i="31"/>
  <c r="BG56" i="31" s="1"/>
  <c r="AA47" i="31"/>
  <c r="BG47" i="31" s="1"/>
  <c r="AA46" i="31"/>
  <c r="BG46" i="31" s="1"/>
  <c r="AA48" i="31"/>
  <c r="BG48" i="31" s="1"/>
  <c r="AA57" i="31"/>
  <c r="BG57" i="31" s="1"/>
  <c r="AY66" i="31"/>
  <c r="AA66" i="31"/>
  <c r="BG66" i="31" s="1"/>
  <c r="P66" i="31"/>
  <c r="J66" i="31"/>
  <c r="T66" i="31"/>
  <c r="AQ66" i="31"/>
  <c r="AR66" i="31" s="1"/>
  <c r="U66" i="31"/>
  <c r="BK66" i="31"/>
  <c r="AB64" i="31"/>
  <c r="AC64" i="31" s="1"/>
  <c r="AD64" i="31" s="1"/>
  <c r="BA63" i="31"/>
  <c r="BB63" i="31" s="1"/>
  <c r="AG63" i="31"/>
  <c r="AH63" i="31" s="1"/>
  <c r="AI63" i="31" s="1"/>
  <c r="AB62" i="31"/>
  <c r="AC62" i="31" s="1"/>
  <c r="AD62" i="31" s="1"/>
  <c r="U46" i="31"/>
  <c r="O66" i="31"/>
  <c r="K66" i="31"/>
  <c r="J56" i="31"/>
  <c r="AB63" i="31"/>
  <c r="AC63" i="31" s="1"/>
  <c r="AD63" i="31" s="1"/>
  <c r="AQ47" i="31"/>
  <c r="AR47" i="31" s="1"/>
  <c r="AL62" i="31"/>
  <c r="AM62" i="31" s="1"/>
  <c r="AG64" i="31"/>
  <c r="AH64" i="31" s="1"/>
  <c r="AI64" i="31" s="1"/>
  <c r="AL63" i="31"/>
  <c r="AM63" i="31" s="1"/>
  <c r="AG62" i="31"/>
  <c r="AH62" i="31" s="1"/>
  <c r="AI62" i="31" s="1"/>
  <c r="AL64" i="31"/>
  <c r="AM64" i="31" s="1"/>
  <c r="I67" i="31"/>
  <c r="D29" i="31"/>
  <c r="E29" i="31" s="1"/>
  <c r="B35" i="31" s="1"/>
  <c r="I52" i="31"/>
  <c r="BK57" i="31"/>
  <c r="I60" i="31"/>
  <c r="I61" i="31" s="1"/>
  <c r="U48" i="31"/>
  <c r="BA62" i="31"/>
  <c r="BB62" i="31" s="1"/>
  <c r="BF62" i="31" s="1"/>
  <c r="Q62" i="31"/>
  <c r="R62" i="31" s="1"/>
  <c r="S62" i="31" s="1"/>
  <c r="L64" i="31"/>
  <c r="M64" i="31" s="1"/>
  <c r="N64" i="31" s="1"/>
  <c r="K55" i="31"/>
  <c r="D25" i="31"/>
  <c r="E25" i="31" s="1"/>
  <c r="B31" i="31" s="1"/>
  <c r="P55" i="31"/>
  <c r="U55" i="31"/>
  <c r="AY55" i="31"/>
  <c r="O55" i="31"/>
  <c r="T55" i="31"/>
  <c r="BK55" i="31"/>
  <c r="J55" i="31"/>
  <c r="AQ55" i="31"/>
  <c r="AR55" i="31" s="1"/>
  <c r="J46" i="31"/>
  <c r="K46" i="31"/>
  <c r="T46" i="31"/>
  <c r="BK46" i="31"/>
  <c r="AY46" i="31"/>
  <c r="P46" i="31"/>
  <c r="O46" i="31"/>
  <c r="AQ46" i="31"/>
  <c r="AR46" i="31" s="1"/>
  <c r="Y102" i="31"/>
  <c r="V43" i="31"/>
  <c r="W43" i="31" s="1"/>
  <c r="X43" i="31" s="1"/>
  <c r="V62" i="31"/>
  <c r="W62" i="31" s="1"/>
  <c r="X62" i="31" s="1"/>
  <c r="K57" i="31"/>
  <c r="Q64" i="31"/>
  <c r="R64" i="31" s="1"/>
  <c r="S64" i="31" s="1"/>
  <c r="O57" i="31"/>
  <c r="P57" i="31"/>
  <c r="J48" i="31"/>
  <c r="AY48" i="31"/>
  <c r="AQ48" i="31"/>
  <c r="AR48" i="31" s="1"/>
  <c r="Y98" i="31"/>
  <c r="P48" i="31"/>
  <c r="Y99" i="31"/>
  <c r="K48" i="31"/>
  <c r="Y100" i="31"/>
  <c r="BK48" i="31"/>
  <c r="T48" i="31"/>
  <c r="O48" i="31"/>
  <c r="AQ57" i="31"/>
  <c r="AR57" i="31" s="1"/>
  <c r="T57" i="31"/>
  <c r="J57" i="31"/>
  <c r="U57" i="31"/>
  <c r="AY57" i="31"/>
  <c r="BA64" i="31"/>
  <c r="BB64" i="31" s="1"/>
  <c r="V64" i="31"/>
  <c r="W64" i="31" s="1"/>
  <c r="X64" i="31" s="1"/>
  <c r="V45" i="31"/>
  <c r="W45" i="31" s="1"/>
  <c r="X45" i="31" s="1"/>
  <c r="Y101" i="31"/>
  <c r="V63" i="31"/>
  <c r="W63" i="31" s="1"/>
  <c r="X63" i="31" s="1"/>
  <c r="L45" i="31"/>
  <c r="M45" i="31" s="1"/>
  <c r="N45" i="31" s="1"/>
  <c r="AY47" i="31"/>
  <c r="BK47" i="31"/>
  <c r="T47" i="31"/>
  <c r="L43" i="31"/>
  <c r="U56" i="31"/>
  <c r="J47" i="31"/>
  <c r="L62" i="31"/>
  <c r="M62" i="31" s="1"/>
  <c r="N62" i="31" s="1"/>
  <c r="K47" i="31"/>
  <c r="K56" i="31"/>
  <c r="BK56" i="31"/>
  <c r="P56" i="31"/>
  <c r="T56" i="31"/>
  <c r="O56" i="31"/>
  <c r="AQ56" i="31"/>
  <c r="AR56" i="31" s="1"/>
  <c r="AY56" i="31"/>
  <c r="L63" i="31"/>
  <c r="M63" i="31" s="1"/>
  <c r="N63" i="31" s="1"/>
  <c r="Q63" i="31"/>
  <c r="R63" i="31" s="1"/>
  <c r="S63" i="31" s="1"/>
  <c r="O47" i="31"/>
  <c r="U47" i="31"/>
  <c r="P47" i="31"/>
  <c r="AX56" i="31" l="1"/>
  <c r="AW56" i="31"/>
  <c r="AX57" i="31"/>
  <c r="AW57" i="31"/>
  <c r="AX55" i="31"/>
  <c r="AW55" i="31"/>
  <c r="AX47" i="31"/>
  <c r="AW47" i="31"/>
  <c r="AX48" i="31"/>
  <c r="AW48" i="31"/>
  <c r="AX65" i="31"/>
  <c r="AW65" i="31"/>
  <c r="AX46" i="31"/>
  <c r="AW46" i="31"/>
  <c r="AZ58" i="31"/>
  <c r="Y44" i="31"/>
  <c r="BJ44" i="31" s="1"/>
  <c r="BL44" i="31" s="1"/>
  <c r="AX66" i="31"/>
  <c r="BD63" i="31"/>
  <c r="BF63" i="31"/>
  <c r="BD64" i="31"/>
  <c r="BF64" i="31"/>
  <c r="BD62" i="31"/>
  <c r="AP67" i="31"/>
  <c r="AZ67" i="31"/>
  <c r="AP60" i="31"/>
  <c r="AZ60" i="31"/>
  <c r="AP52" i="31"/>
  <c r="AZ52" i="31"/>
  <c r="Y59" i="31"/>
  <c r="BJ59" i="31" s="1"/>
  <c r="BL59" i="31" s="1"/>
  <c r="Y51" i="31"/>
  <c r="BJ51" i="31" s="1"/>
  <c r="BL51" i="31" s="1"/>
  <c r="L65" i="31"/>
  <c r="M65" i="31" s="1"/>
  <c r="N65" i="31" s="1"/>
  <c r="AL65" i="31"/>
  <c r="AM65" i="31" s="1"/>
  <c r="AN65" i="31" s="1"/>
  <c r="AB65" i="31"/>
  <c r="AC65" i="31" s="1"/>
  <c r="AD65" i="31" s="1"/>
  <c r="V65" i="31"/>
  <c r="W65" i="31" s="1"/>
  <c r="X65" i="31" s="1"/>
  <c r="Q65" i="31"/>
  <c r="R65" i="31" s="1"/>
  <c r="S65" i="31" s="1"/>
  <c r="BE65" i="31"/>
  <c r="BC65" i="31"/>
  <c r="BA65" i="31"/>
  <c r="BB65" i="31" s="1"/>
  <c r="AT65" i="31"/>
  <c r="AV65" i="31"/>
  <c r="AS65" i="31"/>
  <c r="AU65" i="31"/>
  <c r="AG65" i="31"/>
  <c r="AH65" i="31" s="1"/>
  <c r="AI65" i="31" s="1"/>
  <c r="BC66" i="31"/>
  <c r="BE66" i="31"/>
  <c r="Y53" i="31"/>
  <c r="BJ53" i="31" s="1"/>
  <c r="BL53" i="31" s="1"/>
  <c r="BC48" i="31"/>
  <c r="BE48" i="31"/>
  <c r="BC46" i="31"/>
  <c r="BE46" i="31"/>
  <c r="BC56" i="31"/>
  <c r="BE56" i="31"/>
  <c r="BC47" i="31"/>
  <c r="BE47" i="31"/>
  <c r="BC57" i="31"/>
  <c r="BE57" i="31"/>
  <c r="BC55" i="31"/>
  <c r="BE55" i="31"/>
  <c r="Y50" i="31"/>
  <c r="BJ50" i="31" s="1"/>
  <c r="BL50" i="31" s="1"/>
  <c r="AB66" i="31"/>
  <c r="AC66" i="31" s="1"/>
  <c r="AD66" i="31" s="1"/>
  <c r="Z52" i="31"/>
  <c r="Z67" i="31"/>
  <c r="Z60" i="31"/>
  <c r="AV48" i="31"/>
  <c r="AS48" i="31"/>
  <c r="AT48" i="31"/>
  <c r="AU48" i="31"/>
  <c r="AS66" i="31"/>
  <c r="AT66" i="31"/>
  <c r="AU66" i="31"/>
  <c r="AV66" i="31"/>
  <c r="AS56" i="31"/>
  <c r="AT56" i="31"/>
  <c r="AU56" i="31"/>
  <c r="AV56" i="31"/>
  <c r="AS46" i="31"/>
  <c r="AV46" i="31"/>
  <c r="AT46" i="31"/>
  <c r="AU46" i="31"/>
  <c r="AV55" i="31"/>
  <c r="AS55" i="31"/>
  <c r="AT55" i="31"/>
  <c r="AU55" i="31"/>
  <c r="AV57" i="31"/>
  <c r="AS57" i="31"/>
  <c r="AT57" i="31"/>
  <c r="AU57" i="31"/>
  <c r="AS47" i="31"/>
  <c r="AT47" i="31"/>
  <c r="AU47" i="31"/>
  <c r="AV47" i="31"/>
  <c r="BJ100" i="31"/>
  <c r="BL100" i="31" s="1"/>
  <c r="BJ99" i="31"/>
  <c r="BL99" i="31" s="1"/>
  <c r="BJ98" i="31"/>
  <c r="BL98" i="31" s="1"/>
  <c r="BJ102" i="31"/>
  <c r="BL102" i="31" s="1"/>
  <c r="V66" i="31"/>
  <c r="W66" i="31" s="1"/>
  <c r="X66" i="31" s="1"/>
  <c r="AN63" i="31"/>
  <c r="AO63" i="31" s="1"/>
  <c r="BI63" i="31" s="1"/>
  <c r="AN62" i="31"/>
  <c r="AO62" i="31" s="1"/>
  <c r="BI62" i="31" s="1"/>
  <c r="AN64" i="31"/>
  <c r="AO64" i="31" s="1"/>
  <c r="BI64" i="31" s="1"/>
  <c r="AJ60" i="31"/>
  <c r="AK60" i="31"/>
  <c r="BH60" i="31" s="1"/>
  <c r="AJ52" i="31"/>
  <c r="AK52" i="31"/>
  <c r="BH52" i="31" s="1"/>
  <c r="AJ67" i="31"/>
  <c r="AK67" i="31"/>
  <c r="BH67" i="31" s="1"/>
  <c r="AE52" i="31"/>
  <c r="AF52" i="31"/>
  <c r="AE60" i="31"/>
  <c r="AF60" i="31"/>
  <c r="AE67" i="31"/>
  <c r="AF67" i="31"/>
  <c r="L66" i="31"/>
  <c r="M66" i="31" s="1"/>
  <c r="N66" i="31" s="1"/>
  <c r="L56" i="31"/>
  <c r="M56" i="31" s="1"/>
  <c r="N56" i="31" s="1"/>
  <c r="AA67" i="31"/>
  <c r="BG67" i="31" s="1"/>
  <c r="Q66" i="31"/>
  <c r="R66" i="31" s="1"/>
  <c r="S66" i="31" s="1"/>
  <c r="BA66" i="31"/>
  <c r="BB66" i="31" s="1"/>
  <c r="AA52" i="31"/>
  <c r="BG52" i="31" s="1"/>
  <c r="AA60" i="31"/>
  <c r="BG60" i="31" s="1"/>
  <c r="BA55" i="31"/>
  <c r="BB55" i="31" s="1"/>
  <c r="BF55" i="31" s="1"/>
  <c r="V46" i="31"/>
  <c r="W46" i="31" s="1"/>
  <c r="X46" i="31" s="1"/>
  <c r="AG46" i="31"/>
  <c r="AH46" i="31" s="1"/>
  <c r="AI46" i="31" s="1"/>
  <c r="AG48" i="31"/>
  <c r="AH48" i="31" s="1"/>
  <c r="AI48" i="31" s="1"/>
  <c r="AG66" i="31"/>
  <c r="AH66" i="31" s="1"/>
  <c r="AI66" i="31" s="1"/>
  <c r="AG55" i="31"/>
  <c r="AH55" i="31" s="1"/>
  <c r="AI55" i="31" s="1"/>
  <c r="AB47" i="31"/>
  <c r="AC47" i="31" s="1"/>
  <c r="AD47" i="31" s="1"/>
  <c r="AG56" i="31"/>
  <c r="AH56" i="31" s="1"/>
  <c r="AI56" i="31" s="1"/>
  <c r="AL46" i="31"/>
  <c r="AM46" i="31" s="1"/>
  <c r="AL48" i="31"/>
  <c r="AM48" i="31" s="1"/>
  <c r="AL56" i="31"/>
  <c r="AM56" i="31" s="1"/>
  <c r="AB55" i="31"/>
  <c r="AC55" i="31" s="1"/>
  <c r="AD55" i="31" s="1"/>
  <c r="AL57" i="31"/>
  <c r="AM57" i="31" s="1"/>
  <c r="I68" i="31"/>
  <c r="BK67" i="31"/>
  <c r="T67" i="31"/>
  <c r="AY67" i="31"/>
  <c r="O67" i="31"/>
  <c r="U67" i="31"/>
  <c r="P67" i="31"/>
  <c r="AQ67" i="31"/>
  <c r="AR67" i="31" s="1"/>
  <c r="J67" i="31"/>
  <c r="K67" i="31"/>
  <c r="AB57" i="31"/>
  <c r="AC57" i="31" s="1"/>
  <c r="AD57" i="31" s="1"/>
  <c r="AL47" i="31"/>
  <c r="AM47" i="31" s="1"/>
  <c r="AP54" i="31"/>
  <c r="AL66" i="31"/>
  <c r="AM66" i="31" s="1"/>
  <c r="AB48" i="31"/>
  <c r="AC48" i="31" s="1"/>
  <c r="AD48" i="31" s="1"/>
  <c r="AL55" i="31"/>
  <c r="AM55" i="31" s="1"/>
  <c r="AG47" i="31"/>
  <c r="AH47" i="31" s="1"/>
  <c r="AI47" i="31" s="1"/>
  <c r="AB56" i="31"/>
  <c r="AC56" i="31" s="1"/>
  <c r="AD56" i="31" s="1"/>
  <c r="AG57" i="31"/>
  <c r="AH57" i="31" s="1"/>
  <c r="AI57" i="31" s="1"/>
  <c r="AB46" i="31"/>
  <c r="AC46" i="31" s="1"/>
  <c r="AD46" i="31" s="1"/>
  <c r="B36" i="31"/>
  <c r="AP49" i="31"/>
  <c r="AP58" i="31"/>
  <c r="V48" i="31"/>
  <c r="W48" i="31" s="1"/>
  <c r="X48" i="31" s="1"/>
  <c r="J60" i="31"/>
  <c r="AY60" i="31"/>
  <c r="K60" i="31"/>
  <c r="BK60" i="31"/>
  <c r="T60" i="31"/>
  <c r="U60" i="31"/>
  <c r="AQ60" i="31"/>
  <c r="AR60" i="31" s="1"/>
  <c r="O60" i="31"/>
  <c r="P60" i="31"/>
  <c r="AQ52" i="31"/>
  <c r="AR52" i="31" s="1"/>
  <c r="BK52" i="31"/>
  <c r="AY52" i="31"/>
  <c r="O52" i="31"/>
  <c r="P52" i="31"/>
  <c r="J52" i="31"/>
  <c r="K52" i="31"/>
  <c r="T52" i="31"/>
  <c r="U52" i="31"/>
  <c r="L46" i="31"/>
  <c r="M46" i="31" s="1"/>
  <c r="N46" i="31" s="1"/>
  <c r="Q55" i="31"/>
  <c r="R55" i="31" s="1"/>
  <c r="S55" i="31" s="1"/>
  <c r="L55" i="31"/>
  <c r="M55" i="31" s="1"/>
  <c r="N55" i="31" s="1"/>
  <c r="V55" i="31"/>
  <c r="W55" i="31" s="1"/>
  <c r="X55" i="31" s="1"/>
  <c r="BA46" i="31"/>
  <c r="BB46" i="31" s="1"/>
  <c r="BF46" i="31" s="1"/>
  <c r="Q46" i="31"/>
  <c r="R46" i="31" s="1"/>
  <c r="S46" i="31" s="1"/>
  <c r="M43" i="31"/>
  <c r="N43" i="31" s="1"/>
  <c r="Y62" i="31"/>
  <c r="L57" i="31"/>
  <c r="M57" i="31" s="1"/>
  <c r="N57" i="31" s="1"/>
  <c r="Y64" i="31"/>
  <c r="Q57" i="31"/>
  <c r="R57" i="31" s="1"/>
  <c r="S57" i="31" s="1"/>
  <c r="L48" i="31"/>
  <c r="M48" i="31" s="1"/>
  <c r="N48" i="31" s="1"/>
  <c r="BA48" i="31"/>
  <c r="BB48" i="31" s="1"/>
  <c r="BF48" i="31" s="1"/>
  <c r="BA57" i="31"/>
  <c r="BB57" i="31" s="1"/>
  <c r="BF57" i="31" s="1"/>
  <c r="V57" i="31"/>
  <c r="W57" i="31" s="1"/>
  <c r="X57" i="31" s="1"/>
  <c r="Q48" i="31"/>
  <c r="R48" i="31" s="1"/>
  <c r="S48" i="31" s="1"/>
  <c r="BJ101" i="31"/>
  <c r="BL101" i="31" s="1"/>
  <c r="Y45" i="31"/>
  <c r="BA47" i="31"/>
  <c r="BB47" i="31" s="1"/>
  <c r="V56" i="31"/>
  <c r="W56" i="31" s="1"/>
  <c r="X56" i="31" s="1"/>
  <c r="BA56" i="31"/>
  <c r="BB56" i="31" s="1"/>
  <c r="BF56" i="31" s="1"/>
  <c r="Y63" i="31"/>
  <c r="L47" i="31"/>
  <c r="M47" i="31" s="1"/>
  <c r="N47" i="31" s="1"/>
  <c r="V47" i="31"/>
  <c r="W47" i="31" s="1"/>
  <c r="X47" i="31" s="1"/>
  <c r="Q56" i="31"/>
  <c r="R56" i="31" s="1"/>
  <c r="S56" i="31" s="1"/>
  <c r="Q47" i="31"/>
  <c r="R47" i="31" s="1"/>
  <c r="S47" i="31" s="1"/>
  <c r="AX60" i="31" l="1"/>
  <c r="AW60" i="31"/>
  <c r="AX52" i="31"/>
  <c r="AW52" i="31"/>
  <c r="AX67" i="31"/>
  <c r="BD66" i="31"/>
  <c r="BF66" i="31"/>
  <c r="BD65" i="31"/>
  <c r="BF65" i="31"/>
  <c r="BD47" i="31"/>
  <c r="BF47" i="31"/>
  <c r="BD56" i="31"/>
  <c r="BD48" i="31"/>
  <c r="BD57" i="31"/>
  <c r="BD46" i="31"/>
  <c r="BD55" i="31"/>
  <c r="AP68" i="31"/>
  <c r="AZ68" i="31"/>
  <c r="AO65" i="31"/>
  <c r="BI65" i="31" s="1"/>
  <c r="Y65" i="31"/>
  <c r="BJ65" i="31" s="1"/>
  <c r="BL65" i="31" s="1"/>
  <c r="BE67" i="31"/>
  <c r="BC67" i="31"/>
  <c r="BC52" i="31"/>
  <c r="BE52" i="31"/>
  <c r="BC60" i="31"/>
  <c r="BE60" i="31"/>
  <c r="Z68" i="31"/>
  <c r="Z58" i="31"/>
  <c r="Z49" i="31"/>
  <c r="AV60" i="31"/>
  <c r="AS60" i="31"/>
  <c r="AT60" i="31"/>
  <c r="AU60" i="31"/>
  <c r="AS67" i="31"/>
  <c r="AV67" i="31"/>
  <c r="AT67" i="31"/>
  <c r="AU67" i="31"/>
  <c r="AS52" i="31"/>
  <c r="AT52" i="31"/>
  <c r="AU52" i="31"/>
  <c r="AV52" i="31"/>
  <c r="E36" i="31"/>
  <c r="BJ64" i="31"/>
  <c r="BL64" i="31" s="1"/>
  <c r="BJ62" i="31"/>
  <c r="BL62" i="31" s="1"/>
  <c r="AK54" i="31"/>
  <c r="BH54" i="31" s="1"/>
  <c r="Z54" i="31"/>
  <c r="Y66" i="31"/>
  <c r="AN66" i="31"/>
  <c r="AO66" i="31" s="1"/>
  <c r="BI66" i="31" s="1"/>
  <c r="AN47" i="31"/>
  <c r="AO47" i="31" s="1"/>
  <c r="BI47" i="31" s="1"/>
  <c r="AN46" i="31"/>
  <c r="AO46" i="31" s="1"/>
  <c r="BI46" i="31" s="1"/>
  <c r="AN55" i="31"/>
  <c r="AO55" i="31" s="1"/>
  <c r="BI55" i="31" s="1"/>
  <c r="AN57" i="31"/>
  <c r="AO57" i="31" s="1"/>
  <c r="BI57" i="31" s="1"/>
  <c r="AN56" i="31"/>
  <c r="AO56" i="31" s="1"/>
  <c r="BI56" i="31" s="1"/>
  <c r="AN48" i="31"/>
  <c r="AO48" i="31" s="1"/>
  <c r="BI48" i="31" s="1"/>
  <c r="AJ68" i="31"/>
  <c r="AK68" i="31"/>
  <c r="BH68" i="31" s="1"/>
  <c r="AJ58" i="31"/>
  <c r="AK58" i="31"/>
  <c r="BH58" i="31" s="1"/>
  <c r="AJ49" i="31"/>
  <c r="AK49" i="31"/>
  <c r="BH49" i="31" s="1"/>
  <c r="AF54" i="31"/>
  <c r="AJ54" i="31"/>
  <c r="AE58" i="31"/>
  <c r="AF58" i="31"/>
  <c r="AE68" i="31"/>
  <c r="AF68" i="31"/>
  <c r="AE49" i="31"/>
  <c r="AF49" i="31"/>
  <c r="AA54" i="31"/>
  <c r="BG54" i="31" s="1"/>
  <c r="AE54" i="31"/>
  <c r="K54" i="31"/>
  <c r="AA49" i="31"/>
  <c r="BG49" i="31" s="1"/>
  <c r="AA58" i="31"/>
  <c r="BG58" i="31" s="1"/>
  <c r="AA68" i="31"/>
  <c r="BG68" i="31" s="1"/>
  <c r="BK54" i="31"/>
  <c r="AL60" i="31"/>
  <c r="AM60" i="31" s="1"/>
  <c r="O54" i="31"/>
  <c r="Q67" i="31"/>
  <c r="R67" i="31" s="1"/>
  <c r="S67" i="31" s="1"/>
  <c r="AG67" i="31"/>
  <c r="AH67" i="31" s="1"/>
  <c r="AI67" i="31" s="1"/>
  <c r="AQ54" i="31"/>
  <c r="AR54" i="31" s="1"/>
  <c r="AX54" i="31" s="1"/>
  <c r="AY54" i="31"/>
  <c r="U54" i="31"/>
  <c r="J54" i="31"/>
  <c r="AG52" i="31"/>
  <c r="AH52" i="31" s="1"/>
  <c r="AI52" i="31" s="1"/>
  <c r="T54" i="31"/>
  <c r="P54" i="31"/>
  <c r="AL52" i="31"/>
  <c r="AM52" i="31" s="1"/>
  <c r="V67" i="31"/>
  <c r="W67" i="31" s="1"/>
  <c r="X67" i="31" s="1"/>
  <c r="I69" i="31"/>
  <c r="O68" i="31"/>
  <c r="K68" i="31"/>
  <c r="P68" i="31"/>
  <c r="AQ68" i="31"/>
  <c r="AR68" i="31" s="1"/>
  <c r="T68" i="31"/>
  <c r="BK68" i="31"/>
  <c r="J68" i="31"/>
  <c r="AY68" i="31"/>
  <c r="U68" i="31"/>
  <c r="AB67" i="31"/>
  <c r="AC67" i="31" s="1"/>
  <c r="AD67" i="31" s="1"/>
  <c r="L67" i="31"/>
  <c r="M67" i="31" s="1"/>
  <c r="N67" i="31" s="1"/>
  <c r="BA67" i="31"/>
  <c r="BB67" i="31" s="1"/>
  <c r="AL67" i="31"/>
  <c r="AM67" i="31" s="1"/>
  <c r="AG60" i="31"/>
  <c r="AH60" i="31" s="1"/>
  <c r="AI60" i="31" s="1"/>
  <c r="AB52" i="31"/>
  <c r="AC52" i="31" s="1"/>
  <c r="AD52" i="31" s="1"/>
  <c r="AB60" i="31"/>
  <c r="AC60" i="31" s="1"/>
  <c r="AD60" i="31" s="1"/>
  <c r="Y43" i="31"/>
  <c r="BJ43" i="31" s="1"/>
  <c r="BL43" i="31" s="1"/>
  <c r="BA60" i="31"/>
  <c r="BB60" i="31" s="1"/>
  <c r="J49" i="31"/>
  <c r="AY49" i="31"/>
  <c r="K49" i="31"/>
  <c r="BK49" i="31"/>
  <c r="T49" i="31"/>
  <c r="U49" i="31"/>
  <c r="AQ49" i="31"/>
  <c r="AR49" i="31" s="1"/>
  <c r="O49" i="31"/>
  <c r="P49" i="31"/>
  <c r="J58" i="31"/>
  <c r="AY58" i="31"/>
  <c r="K58" i="31"/>
  <c r="BK58" i="31"/>
  <c r="T58" i="31"/>
  <c r="U58" i="31"/>
  <c r="AQ58" i="31"/>
  <c r="AR58" i="31" s="1"/>
  <c r="O58" i="31"/>
  <c r="P58" i="31"/>
  <c r="Q52" i="31"/>
  <c r="R52" i="31" s="1"/>
  <c r="S52" i="31" s="1"/>
  <c r="V52" i="31"/>
  <c r="W52" i="31" s="1"/>
  <c r="X52" i="31" s="1"/>
  <c r="Y46" i="31"/>
  <c r="BA52" i="31"/>
  <c r="BB52" i="31" s="1"/>
  <c r="BF52" i="31" s="1"/>
  <c r="V60" i="31"/>
  <c r="W60" i="31" s="1"/>
  <c r="X60" i="31" s="1"/>
  <c r="L60" i="31"/>
  <c r="M60" i="31" s="1"/>
  <c r="N60" i="31" s="1"/>
  <c r="Q60" i="31"/>
  <c r="R60" i="31" s="1"/>
  <c r="S60" i="31" s="1"/>
  <c r="L52" i="31"/>
  <c r="M52" i="31" s="1"/>
  <c r="N52" i="31" s="1"/>
  <c r="Y55" i="31"/>
  <c r="Y57" i="31"/>
  <c r="Y48" i="31"/>
  <c r="BJ45" i="31"/>
  <c r="BL45" i="31" s="1"/>
  <c r="Y56" i="31"/>
  <c r="Y47" i="31"/>
  <c r="BJ63" i="31"/>
  <c r="BL63" i="31" s="1"/>
  <c r="AX49" i="31" l="1"/>
  <c r="AW49" i="31"/>
  <c r="AX58" i="31"/>
  <c r="AW58" i="31"/>
  <c r="BD67" i="31"/>
  <c r="BF67" i="31"/>
  <c r="AX68" i="31"/>
  <c r="BD60" i="31"/>
  <c r="BF60" i="31"/>
  <c r="BD52" i="31"/>
  <c r="AP69" i="31"/>
  <c r="AZ69" i="31"/>
  <c r="BC68" i="31"/>
  <c r="BE68" i="31"/>
  <c r="BE54" i="31"/>
  <c r="BC54" i="31"/>
  <c r="BE49" i="31"/>
  <c r="BC49" i="31"/>
  <c r="BC58" i="31"/>
  <c r="BE58" i="31"/>
  <c r="Z69" i="31"/>
  <c r="AS54" i="31"/>
  <c r="AT54" i="31"/>
  <c r="AU54" i="31"/>
  <c r="AV54" i="31"/>
  <c r="AS58" i="31"/>
  <c r="AT58" i="31"/>
  <c r="AU58" i="31"/>
  <c r="AV58" i="31"/>
  <c r="AS68" i="31"/>
  <c r="AT68" i="31"/>
  <c r="AU68" i="31"/>
  <c r="AV68" i="31"/>
  <c r="AS49" i="31"/>
  <c r="AT49" i="31"/>
  <c r="AU49" i="31"/>
  <c r="AV49" i="31"/>
  <c r="BJ57" i="31"/>
  <c r="BL57" i="31" s="1"/>
  <c r="BJ66" i="31"/>
  <c r="BL66" i="31" s="1"/>
  <c r="BJ55" i="31"/>
  <c r="BL55" i="31" s="1"/>
  <c r="BJ46" i="31"/>
  <c r="BL46" i="31" s="1"/>
  <c r="AN67" i="31"/>
  <c r="AO67" i="31" s="1"/>
  <c r="BI67" i="31" s="1"/>
  <c r="AN60" i="31"/>
  <c r="AO60" i="31" s="1"/>
  <c r="BI60" i="31" s="1"/>
  <c r="AN52" i="31"/>
  <c r="AO52" i="31" s="1"/>
  <c r="BI52" i="31" s="1"/>
  <c r="AJ69" i="31"/>
  <c r="AK69" i="31"/>
  <c r="BH69" i="31" s="1"/>
  <c r="AE69" i="31"/>
  <c r="AF69" i="31"/>
  <c r="L54" i="31"/>
  <c r="M54" i="31" s="1"/>
  <c r="N54" i="31" s="1"/>
  <c r="AA69" i="31"/>
  <c r="BG69" i="31" s="1"/>
  <c r="Q54" i="31"/>
  <c r="R54" i="31" s="1"/>
  <c r="S54" i="31" s="1"/>
  <c r="BA54" i="31"/>
  <c r="BB54" i="31" s="1"/>
  <c r="AG49" i="31"/>
  <c r="AH49" i="31" s="1"/>
  <c r="AI49" i="31" s="1"/>
  <c r="Q68" i="31"/>
  <c r="R68" i="31" s="1"/>
  <c r="S68" i="31" s="1"/>
  <c r="V54" i="31"/>
  <c r="W54" i="31" s="1"/>
  <c r="X54" i="31" s="1"/>
  <c r="AL49" i="31"/>
  <c r="AM49" i="31" s="1"/>
  <c r="AG54" i="31"/>
  <c r="AH54" i="31" s="1"/>
  <c r="AI54" i="31" s="1"/>
  <c r="AB49" i="31"/>
  <c r="AC49" i="31" s="1"/>
  <c r="AD49" i="31" s="1"/>
  <c r="AL54" i="31"/>
  <c r="AM54" i="31" s="1"/>
  <c r="BA68" i="31"/>
  <c r="BB68" i="31" s="1"/>
  <c r="AG68" i="31"/>
  <c r="AH68" i="31" s="1"/>
  <c r="AI68" i="31" s="1"/>
  <c r="AG58" i="31"/>
  <c r="AH58" i="31" s="1"/>
  <c r="AI58" i="31" s="1"/>
  <c r="AL58" i="31"/>
  <c r="AM58" i="31" s="1"/>
  <c r="V68" i="31"/>
  <c r="W68" i="31" s="1"/>
  <c r="X68" i="31" s="1"/>
  <c r="AB58" i="31"/>
  <c r="AC58" i="31" s="1"/>
  <c r="AD58" i="31" s="1"/>
  <c r="L68" i="31"/>
  <c r="M68" i="31" s="1"/>
  <c r="N68" i="31" s="1"/>
  <c r="AL68" i="31"/>
  <c r="AM68" i="31" s="1"/>
  <c r="AB68" i="31"/>
  <c r="AC68" i="31" s="1"/>
  <c r="AD68" i="31" s="1"/>
  <c r="I70" i="31"/>
  <c r="J69" i="31"/>
  <c r="P69" i="31"/>
  <c r="U69" i="31"/>
  <c r="K69" i="31"/>
  <c r="AQ69" i="31"/>
  <c r="AR69" i="31" s="1"/>
  <c r="BK69" i="31"/>
  <c r="T69" i="31"/>
  <c r="AY69" i="31"/>
  <c r="O69" i="31"/>
  <c r="AB54" i="31"/>
  <c r="AC54" i="31" s="1"/>
  <c r="AD54" i="31" s="1"/>
  <c r="Y67" i="31"/>
  <c r="BA49" i="31"/>
  <c r="BB49" i="31" s="1"/>
  <c r="BA58" i="31"/>
  <c r="BB58" i="31" s="1"/>
  <c r="BF58" i="31" s="1"/>
  <c r="V49" i="31"/>
  <c r="W49" i="31" s="1"/>
  <c r="X49" i="31" s="1"/>
  <c r="L49" i="31"/>
  <c r="M49" i="31" s="1"/>
  <c r="N49" i="31" s="1"/>
  <c r="Q49" i="31"/>
  <c r="R49" i="31" s="1"/>
  <c r="S49" i="31" s="1"/>
  <c r="V58" i="31"/>
  <c r="W58" i="31" s="1"/>
  <c r="X58" i="31" s="1"/>
  <c r="L58" i="31"/>
  <c r="Q58" i="31"/>
  <c r="R58" i="31" s="1"/>
  <c r="S58" i="31" s="1"/>
  <c r="Y52" i="31"/>
  <c r="Y60" i="31"/>
  <c r="BJ48" i="31"/>
  <c r="BL48" i="31" s="1"/>
  <c r="BJ47" i="31"/>
  <c r="BL47" i="31" s="1"/>
  <c r="BJ56" i="31"/>
  <c r="BL56" i="31" s="1"/>
  <c r="BD68" i="31" l="1"/>
  <c r="BF68" i="31"/>
  <c r="BD54" i="31"/>
  <c r="BF54" i="31"/>
  <c r="AX69" i="31"/>
  <c r="BD49" i="31"/>
  <c r="BF49" i="31"/>
  <c r="BD58" i="31"/>
  <c r="BM60" i="31"/>
  <c r="AP70" i="31"/>
  <c r="AZ70" i="31"/>
  <c r="BC69" i="31"/>
  <c r="BE69" i="31"/>
  <c r="Z70" i="31"/>
  <c r="AS69" i="31"/>
  <c r="AV69" i="31"/>
  <c r="AT69" i="31"/>
  <c r="AU69" i="31"/>
  <c r="BJ52" i="31"/>
  <c r="BL52" i="31" s="1"/>
  <c r="BJ60" i="31"/>
  <c r="BL60" i="31" s="1"/>
  <c r="M58" i="31"/>
  <c r="N58" i="31" s="1"/>
  <c r="Y58" i="31" s="1"/>
  <c r="AN49" i="31"/>
  <c r="AO49" i="31" s="1"/>
  <c r="BI49" i="31" s="1"/>
  <c r="AN54" i="31"/>
  <c r="AO54" i="31" s="1"/>
  <c r="BI54" i="31" s="1"/>
  <c r="AN58" i="31"/>
  <c r="AO58" i="31" s="1"/>
  <c r="BI58" i="31" s="1"/>
  <c r="AN68" i="31"/>
  <c r="AO68" i="31" s="1"/>
  <c r="BI68" i="31" s="1"/>
  <c r="AJ70" i="31"/>
  <c r="AK70" i="31"/>
  <c r="BH70" i="31" s="1"/>
  <c r="AE70" i="31"/>
  <c r="AF70" i="31"/>
  <c r="AA70" i="31"/>
  <c r="BG70" i="31" s="1"/>
  <c r="Y54" i="31"/>
  <c r="BA69" i="31"/>
  <c r="BB69" i="31" s="1"/>
  <c r="AB69" i="31"/>
  <c r="AC69" i="31" s="1"/>
  <c r="AD69" i="31" s="1"/>
  <c r="AG69" i="31"/>
  <c r="AH69" i="31" s="1"/>
  <c r="AI69" i="31" s="1"/>
  <c r="Q69" i="31"/>
  <c r="R69" i="31" s="1"/>
  <c r="S69" i="31" s="1"/>
  <c r="BJ67" i="31"/>
  <c r="BL67" i="31" s="1"/>
  <c r="L69" i="31"/>
  <c r="M69" i="31" s="1"/>
  <c r="N69" i="31" s="1"/>
  <c r="AL69" i="31"/>
  <c r="AM69" i="31" s="1"/>
  <c r="Y68" i="31"/>
  <c r="I71" i="31"/>
  <c r="AQ70" i="31"/>
  <c r="AR70" i="31" s="1"/>
  <c r="T70" i="31"/>
  <c r="BK70" i="31"/>
  <c r="AY70" i="31"/>
  <c r="J70" i="31"/>
  <c r="O70" i="31"/>
  <c r="K70" i="31"/>
  <c r="P70" i="31"/>
  <c r="U70" i="31"/>
  <c r="V69" i="31"/>
  <c r="W69" i="31" s="1"/>
  <c r="X69" i="31" s="1"/>
  <c r="Y49" i="31"/>
  <c r="AX70" i="31" l="1"/>
  <c r="BD69" i="31"/>
  <c r="BF69" i="31"/>
  <c r="AP71" i="31"/>
  <c r="AZ71" i="31"/>
  <c r="BC70" i="31"/>
  <c r="BE70" i="31"/>
  <c r="Z71" i="31"/>
  <c r="AS70" i="31"/>
  <c r="AT70" i="31"/>
  <c r="AU70" i="31"/>
  <c r="AV70" i="31"/>
  <c r="BJ49" i="31"/>
  <c r="BL49" i="31" s="1"/>
  <c r="BJ54" i="31"/>
  <c r="BL54" i="31" s="1"/>
  <c r="AN69" i="31"/>
  <c r="AO69" i="31" s="1"/>
  <c r="BI69" i="31" s="1"/>
  <c r="AJ71" i="31"/>
  <c r="AK71" i="31"/>
  <c r="BH71" i="31" s="1"/>
  <c r="AE71" i="31"/>
  <c r="AF71" i="31"/>
  <c r="AA71" i="31"/>
  <c r="BG71" i="31" s="1"/>
  <c r="Q70" i="31"/>
  <c r="R70" i="31" s="1"/>
  <c r="S70" i="31" s="1"/>
  <c r="L70" i="31"/>
  <c r="M70" i="31" s="1"/>
  <c r="N70" i="31" s="1"/>
  <c r="V70" i="31"/>
  <c r="W70" i="31" s="1"/>
  <c r="X70" i="31" s="1"/>
  <c r="BA70" i="31"/>
  <c r="BB70" i="31" s="1"/>
  <c r="BJ68" i="31"/>
  <c r="BL68" i="31" s="1"/>
  <c r="AG70" i="31"/>
  <c r="AH70" i="31" s="1"/>
  <c r="AI70" i="31" s="1"/>
  <c r="Y69" i="31"/>
  <c r="AB70" i="31"/>
  <c r="AC70" i="31" s="1"/>
  <c r="AD70" i="31" s="1"/>
  <c r="AL70" i="31"/>
  <c r="AM70" i="31" s="1"/>
  <c r="I72" i="31"/>
  <c r="AQ71" i="31"/>
  <c r="AR71" i="31" s="1"/>
  <c r="J71" i="31"/>
  <c r="BK71" i="31"/>
  <c r="U71" i="31"/>
  <c r="K71" i="31"/>
  <c r="AY71" i="31"/>
  <c r="O71" i="31"/>
  <c r="T71" i="31"/>
  <c r="P71" i="31"/>
  <c r="BJ58" i="31"/>
  <c r="BL58" i="31" s="1"/>
  <c r="BD70" i="31" l="1"/>
  <c r="BF70" i="31"/>
  <c r="AX71" i="31"/>
  <c r="AP72" i="31"/>
  <c r="AZ72" i="31"/>
  <c r="BC71" i="31"/>
  <c r="BE71" i="31"/>
  <c r="Z72" i="31"/>
  <c r="AS71" i="31"/>
  <c r="AV71" i="31"/>
  <c r="AT71" i="31"/>
  <c r="AU71" i="31"/>
  <c r="AN70" i="31"/>
  <c r="AO70" i="31" s="1"/>
  <c r="BI70" i="31" s="1"/>
  <c r="AJ72" i="31"/>
  <c r="AK72" i="31"/>
  <c r="BH72" i="31" s="1"/>
  <c r="AE72" i="31"/>
  <c r="AF72" i="31"/>
  <c r="AA72" i="31"/>
  <c r="BG72" i="31" s="1"/>
  <c r="AG71" i="31"/>
  <c r="AH71" i="31" s="1"/>
  <c r="AI71" i="31" s="1"/>
  <c r="Y70" i="31"/>
  <c r="AL71" i="31"/>
  <c r="AM71" i="31" s="1"/>
  <c r="AB71" i="31"/>
  <c r="AC71" i="31" s="1"/>
  <c r="AD71" i="31" s="1"/>
  <c r="L71" i="31"/>
  <c r="M71" i="31" s="1"/>
  <c r="N71" i="31" s="1"/>
  <c r="V71" i="31"/>
  <c r="W71" i="31" s="1"/>
  <c r="X71" i="31" s="1"/>
  <c r="Q71" i="31"/>
  <c r="R71" i="31" s="1"/>
  <c r="S71" i="31" s="1"/>
  <c r="BA71" i="31"/>
  <c r="BB71" i="31" s="1"/>
  <c r="I73" i="31"/>
  <c r="AQ72" i="31"/>
  <c r="AR72" i="31" s="1"/>
  <c r="BK72" i="31"/>
  <c r="T72" i="31"/>
  <c r="U72" i="31"/>
  <c r="AY72" i="31"/>
  <c r="K72" i="31"/>
  <c r="O72" i="31"/>
  <c r="J72" i="31"/>
  <c r="P72" i="31"/>
  <c r="BJ69" i="31"/>
  <c r="BL69" i="31" s="1"/>
  <c r="AX72" i="31" l="1"/>
  <c r="BD71" i="31"/>
  <c r="BF71" i="31"/>
  <c r="AP73" i="31"/>
  <c r="AZ73" i="31"/>
  <c r="BE72" i="31"/>
  <c r="BC72" i="31"/>
  <c r="Z73" i="31"/>
  <c r="AS72" i="31"/>
  <c r="AT72" i="31"/>
  <c r="AU72" i="31"/>
  <c r="AV72" i="31"/>
  <c r="AN71" i="31"/>
  <c r="AO71" i="31" s="1"/>
  <c r="BI71" i="31" s="1"/>
  <c r="AJ73" i="31"/>
  <c r="AK73" i="31"/>
  <c r="BH73" i="31" s="1"/>
  <c r="AE73" i="31"/>
  <c r="AF73" i="31"/>
  <c r="AA73" i="31"/>
  <c r="BG73" i="31" s="1"/>
  <c r="BJ70" i="31"/>
  <c r="BL70" i="31" s="1"/>
  <c r="Y71" i="31"/>
  <c r="AG72" i="31"/>
  <c r="AH72" i="31" s="1"/>
  <c r="AI72" i="31" s="1"/>
  <c r="L72" i="31"/>
  <c r="M72" i="31" s="1"/>
  <c r="N72" i="31" s="1"/>
  <c r="V72" i="31"/>
  <c r="W72" i="31" s="1"/>
  <c r="X72" i="31" s="1"/>
  <c r="Q72" i="31"/>
  <c r="R72" i="31" s="1"/>
  <c r="S72" i="31" s="1"/>
  <c r="AB72" i="31"/>
  <c r="AC72" i="31" s="1"/>
  <c r="AD72" i="31" s="1"/>
  <c r="BA72" i="31"/>
  <c r="BB72" i="31" s="1"/>
  <c r="AL72" i="31"/>
  <c r="AM72" i="31" s="1"/>
  <c r="I74" i="31"/>
  <c r="O73" i="31"/>
  <c r="P73" i="31"/>
  <c r="AQ73" i="31"/>
  <c r="AR73" i="31" s="1"/>
  <c r="BK73" i="31"/>
  <c r="T73" i="31"/>
  <c r="K73" i="31"/>
  <c r="J73" i="31"/>
  <c r="U73" i="31"/>
  <c r="AY73" i="31"/>
  <c r="AX73" i="31" l="1"/>
  <c r="BD72" i="31"/>
  <c r="BF72" i="31"/>
  <c r="AP74" i="31"/>
  <c r="AZ74" i="31"/>
  <c r="BC73" i="31"/>
  <c r="BE73" i="31"/>
  <c r="Z74" i="31"/>
  <c r="AV73" i="31"/>
  <c r="AS73" i="31"/>
  <c r="AT73" i="31"/>
  <c r="AU73" i="31"/>
  <c r="AN72" i="31"/>
  <c r="AO72" i="31" s="1"/>
  <c r="BI72" i="31" s="1"/>
  <c r="AB73" i="31"/>
  <c r="AC73" i="31" s="1"/>
  <c r="AD73" i="31" s="1"/>
  <c r="AJ74" i="31"/>
  <c r="AK74" i="31"/>
  <c r="BH74" i="31" s="1"/>
  <c r="AE74" i="31"/>
  <c r="AF74" i="31"/>
  <c r="BJ71" i="31"/>
  <c r="BL71" i="31" s="1"/>
  <c r="AA74" i="31"/>
  <c r="BG74" i="31" s="1"/>
  <c r="Y72" i="31"/>
  <c r="AL73" i="31"/>
  <c r="AM73" i="31" s="1"/>
  <c r="Q73" i="31"/>
  <c r="R73" i="31" s="1"/>
  <c r="S73" i="31" s="1"/>
  <c r="L73" i="31"/>
  <c r="M73" i="31" s="1"/>
  <c r="N73" i="31" s="1"/>
  <c r="AG73" i="31"/>
  <c r="AH73" i="31" s="1"/>
  <c r="AI73" i="31" s="1"/>
  <c r="V73" i="31"/>
  <c r="W73" i="31" s="1"/>
  <c r="X73" i="31" s="1"/>
  <c r="BA73" i="31"/>
  <c r="BB73" i="31" s="1"/>
  <c r="I75" i="31"/>
  <c r="U74" i="31"/>
  <c r="O74" i="31"/>
  <c r="T74" i="31"/>
  <c r="P74" i="31"/>
  <c r="K74" i="31"/>
  <c r="AQ74" i="31"/>
  <c r="AR74" i="31" s="1"/>
  <c r="J74" i="31"/>
  <c r="BK74" i="31"/>
  <c r="AY74" i="31"/>
  <c r="BD73" i="31" l="1"/>
  <c r="BF73" i="31"/>
  <c r="AX74" i="31"/>
  <c r="AP75" i="31"/>
  <c r="AZ75" i="31"/>
  <c r="BC74" i="31"/>
  <c r="BE74" i="31"/>
  <c r="Z75" i="31"/>
  <c r="AS74" i="31"/>
  <c r="AT74" i="31"/>
  <c r="AU74" i="31"/>
  <c r="AV74" i="31"/>
  <c r="AN73" i="31"/>
  <c r="AO73" i="31" s="1"/>
  <c r="BI73" i="31" s="1"/>
  <c r="AJ75" i="31"/>
  <c r="AK75" i="31"/>
  <c r="BH75" i="31" s="1"/>
  <c r="AE75" i="31"/>
  <c r="AF75" i="31"/>
  <c r="AA75" i="31"/>
  <c r="BG75" i="31" s="1"/>
  <c r="Y73" i="31"/>
  <c r="BJ72" i="31"/>
  <c r="BL72" i="31" s="1"/>
  <c r="AB74" i="31"/>
  <c r="AC74" i="31" s="1"/>
  <c r="AD74" i="31" s="1"/>
  <c r="L74" i="31"/>
  <c r="M74" i="31" s="1"/>
  <c r="N74" i="31" s="1"/>
  <c r="V74" i="31"/>
  <c r="W74" i="31" s="1"/>
  <c r="X74" i="31" s="1"/>
  <c r="AG74" i="31"/>
  <c r="AH74" i="31" s="1"/>
  <c r="AI74" i="31" s="1"/>
  <c r="BA74" i="31"/>
  <c r="BB74" i="31" s="1"/>
  <c r="AL74" i="31"/>
  <c r="AM74" i="31" s="1"/>
  <c r="I76" i="31"/>
  <c r="O75" i="31"/>
  <c r="P75" i="31"/>
  <c r="BK75" i="31"/>
  <c r="J75" i="31"/>
  <c r="AQ75" i="31"/>
  <c r="AR75" i="31" s="1"/>
  <c r="U75" i="31"/>
  <c r="AY75" i="31"/>
  <c r="T75" i="31"/>
  <c r="K75" i="31"/>
  <c r="Q74" i="31"/>
  <c r="R74" i="31" s="1"/>
  <c r="S74" i="31" s="1"/>
  <c r="BD74" i="31" l="1"/>
  <c r="BF74" i="31"/>
  <c r="AX75" i="31"/>
  <c r="AP76" i="31"/>
  <c r="AZ76" i="31"/>
  <c r="BE75" i="31"/>
  <c r="BC75" i="31"/>
  <c r="Z76" i="31"/>
  <c r="AS75" i="31"/>
  <c r="AT75" i="31"/>
  <c r="AU75" i="31"/>
  <c r="AV75" i="31"/>
  <c r="AN74" i="31"/>
  <c r="AO74" i="31" s="1"/>
  <c r="BI74" i="31" s="1"/>
  <c r="AJ76" i="31"/>
  <c r="AK76" i="31"/>
  <c r="BH76" i="31" s="1"/>
  <c r="AE76" i="31"/>
  <c r="AF76" i="31"/>
  <c r="AA76" i="31"/>
  <c r="BG76" i="31" s="1"/>
  <c r="BJ73" i="31"/>
  <c r="BL73" i="31" s="1"/>
  <c r="L75" i="31"/>
  <c r="M75" i="31" s="1"/>
  <c r="N75" i="31" s="1"/>
  <c r="Q75" i="31"/>
  <c r="R75" i="31" s="1"/>
  <c r="S75" i="31" s="1"/>
  <c r="Y74" i="31"/>
  <c r="AB75" i="31"/>
  <c r="AC75" i="31" s="1"/>
  <c r="AD75" i="31" s="1"/>
  <c r="BA75" i="31"/>
  <c r="BB75" i="31" s="1"/>
  <c r="AG75" i="31"/>
  <c r="AH75" i="31" s="1"/>
  <c r="AI75" i="31" s="1"/>
  <c r="AL75" i="31"/>
  <c r="AM75" i="31" s="1"/>
  <c r="V75" i="31"/>
  <c r="W75" i="31" s="1"/>
  <c r="X75" i="31" s="1"/>
  <c r="I77" i="31"/>
  <c r="AY76" i="31"/>
  <c r="O76" i="31"/>
  <c r="K76" i="31"/>
  <c r="P76" i="31"/>
  <c r="AQ76" i="31"/>
  <c r="AR76" i="31" s="1"/>
  <c r="J76" i="31"/>
  <c r="BK76" i="31"/>
  <c r="T76" i="31"/>
  <c r="U76" i="31"/>
  <c r="AX76" i="31" l="1"/>
  <c r="BD75" i="31"/>
  <c r="BF75" i="31"/>
  <c r="AP77" i="31"/>
  <c r="AZ77" i="31"/>
  <c r="BE76" i="31"/>
  <c r="BC76" i="31"/>
  <c r="Z77" i="31"/>
  <c r="AS76" i="31"/>
  <c r="AT76" i="31"/>
  <c r="AU76" i="31"/>
  <c r="AV76" i="31"/>
  <c r="BJ74" i="31"/>
  <c r="BL74" i="31" s="1"/>
  <c r="AN75" i="31"/>
  <c r="AO75" i="31" s="1"/>
  <c r="BI75" i="31" s="1"/>
  <c r="AJ77" i="31"/>
  <c r="AK77" i="31"/>
  <c r="BH77" i="31" s="1"/>
  <c r="AE77" i="31"/>
  <c r="AF77" i="31"/>
  <c r="AA77" i="31"/>
  <c r="BG77" i="31" s="1"/>
  <c r="Y75" i="31"/>
  <c r="V76" i="31"/>
  <c r="W76" i="31" s="1"/>
  <c r="X76" i="31" s="1"/>
  <c r="L76" i="31"/>
  <c r="M76" i="31" s="1"/>
  <c r="N76" i="31" s="1"/>
  <c r="AB76" i="31"/>
  <c r="AC76" i="31" s="1"/>
  <c r="AD76" i="31" s="1"/>
  <c r="AL76" i="31"/>
  <c r="AM76" i="31" s="1"/>
  <c r="I78" i="31"/>
  <c r="U77" i="31"/>
  <c r="K77" i="31"/>
  <c r="BK77" i="31"/>
  <c r="J77" i="31"/>
  <c r="AQ77" i="31"/>
  <c r="AR77" i="31" s="1"/>
  <c r="T77" i="31"/>
  <c r="AY77" i="31"/>
  <c r="O77" i="31"/>
  <c r="P77" i="31"/>
  <c r="BA76" i="31"/>
  <c r="BB76" i="31" s="1"/>
  <c r="Q76" i="31"/>
  <c r="R76" i="31" s="1"/>
  <c r="S76" i="31" s="1"/>
  <c r="AG76" i="31"/>
  <c r="AH76" i="31" s="1"/>
  <c r="AI76" i="31" s="1"/>
  <c r="AX77" i="31" l="1"/>
  <c r="BD76" i="31"/>
  <c r="BF76" i="31"/>
  <c r="AP78" i="31"/>
  <c r="AZ78" i="31"/>
  <c r="BE77" i="31"/>
  <c r="BC77" i="31"/>
  <c r="Z78" i="31"/>
  <c r="AS77" i="31"/>
  <c r="AV77" i="31"/>
  <c r="AT77" i="31"/>
  <c r="AU77" i="31"/>
  <c r="BJ75" i="31"/>
  <c r="BL75" i="31" s="1"/>
  <c r="AN76" i="31"/>
  <c r="AO76" i="31" s="1"/>
  <c r="BI76" i="31" s="1"/>
  <c r="AJ78" i="31"/>
  <c r="AK78" i="31"/>
  <c r="BH78" i="31" s="1"/>
  <c r="AE78" i="31"/>
  <c r="AF78" i="31"/>
  <c r="AA78" i="31"/>
  <c r="BG78" i="31" s="1"/>
  <c r="BA77" i="31"/>
  <c r="BB77" i="31" s="1"/>
  <c r="V77" i="31"/>
  <c r="W77" i="31" s="1"/>
  <c r="X77" i="31" s="1"/>
  <c r="Y76" i="31"/>
  <c r="Q77" i="31"/>
  <c r="R77" i="31" s="1"/>
  <c r="S77" i="31" s="1"/>
  <c r="L77" i="31"/>
  <c r="M77" i="31" s="1"/>
  <c r="N77" i="31" s="1"/>
  <c r="AL77" i="31"/>
  <c r="AM77" i="31" s="1"/>
  <c r="I80" i="31"/>
  <c r="K78" i="31"/>
  <c r="T78" i="31"/>
  <c r="P78" i="31"/>
  <c r="BK78" i="31"/>
  <c r="J78" i="31"/>
  <c r="AY78" i="31"/>
  <c r="U78" i="31"/>
  <c r="O78" i="31"/>
  <c r="AQ78" i="31"/>
  <c r="AR78" i="31" s="1"/>
  <c r="AB77" i="31"/>
  <c r="AC77" i="31" s="1"/>
  <c r="AD77" i="31" s="1"/>
  <c r="AG77" i="31"/>
  <c r="AH77" i="31" s="1"/>
  <c r="AI77" i="31" s="1"/>
  <c r="AX78" i="31" l="1"/>
  <c r="BD77" i="31"/>
  <c r="BF77" i="31"/>
  <c r="AP80" i="31"/>
  <c r="AZ80" i="31"/>
  <c r="BC78" i="31"/>
  <c r="BE78" i="31"/>
  <c r="Z80" i="31"/>
  <c r="AS78" i="31"/>
  <c r="AT78" i="31"/>
  <c r="AU78" i="31"/>
  <c r="AV78" i="31"/>
  <c r="BJ76" i="31"/>
  <c r="BL76" i="31" s="1"/>
  <c r="AN77" i="31"/>
  <c r="AO77" i="31" s="1"/>
  <c r="BI77" i="31" s="1"/>
  <c r="AJ80" i="31"/>
  <c r="AK80" i="31"/>
  <c r="BH80" i="31" s="1"/>
  <c r="AE80" i="31"/>
  <c r="AF80" i="31"/>
  <c r="AA80" i="31"/>
  <c r="BG80" i="31" s="1"/>
  <c r="BA78" i="31"/>
  <c r="BB78" i="31" s="1"/>
  <c r="Y77" i="31"/>
  <c r="V78" i="31"/>
  <c r="W78" i="31" s="1"/>
  <c r="X78" i="31" s="1"/>
  <c r="L78" i="31"/>
  <c r="M78" i="31" s="1"/>
  <c r="N78" i="31" s="1"/>
  <c r="Q78" i="31"/>
  <c r="R78" i="31" s="1"/>
  <c r="S78" i="31" s="1"/>
  <c r="AL78" i="31"/>
  <c r="AM78" i="31" s="1"/>
  <c r="AG78" i="31"/>
  <c r="AH78" i="31" s="1"/>
  <c r="AI78" i="31" s="1"/>
  <c r="I81" i="31"/>
  <c r="O80" i="31"/>
  <c r="P80" i="31"/>
  <c r="T80" i="31"/>
  <c r="J80" i="31"/>
  <c r="BK80" i="31"/>
  <c r="U80" i="31"/>
  <c r="AY80" i="31"/>
  <c r="K80" i="31"/>
  <c r="AQ80" i="31"/>
  <c r="AR80" i="31" s="1"/>
  <c r="AB78" i="31"/>
  <c r="AC78" i="31" s="1"/>
  <c r="AD78" i="31" s="1"/>
  <c r="BD78" i="31" l="1"/>
  <c r="BF78" i="31"/>
  <c r="AX80" i="31"/>
  <c r="AP81" i="31"/>
  <c r="AZ81" i="31"/>
  <c r="BE80" i="31"/>
  <c r="BC80" i="31"/>
  <c r="Z81" i="31"/>
  <c r="AS80" i="31"/>
  <c r="AT80" i="31"/>
  <c r="AV80" i="31"/>
  <c r="AU80" i="31"/>
  <c r="AN78" i="31"/>
  <c r="AO78" i="31" s="1"/>
  <c r="BI78" i="31" s="1"/>
  <c r="AJ81" i="31"/>
  <c r="AK81" i="31"/>
  <c r="BH81" i="31" s="1"/>
  <c r="AE81" i="31"/>
  <c r="AF81" i="31"/>
  <c r="AA81" i="31"/>
  <c r="BG81" i="31" s="1"/>
  <c r="BJ77" i="31"/>
  <c r="BL77" i="31" s="1"/>
  <c r="Y78" i="31"/>
  <c r="Q80" i="31"/>
  <c r="R80" i="31" s="1"/>
  <c r="S80" i="31" s="1"/>
  <c r="BA80" i="31"/>
  <c r="BB80" i="31" s="1"/>
  <c r="AL80" i="31"/>
  <c r="AM80" i="31" s="1"/>
  <c r="I82" i="31"/>
  <c r="AQ81" i="31"/>
  <c r="AR81" i="31" s="1"/>
  <c r="T81" i="31"/>
  <c r="BK81" i="31"/>
  <c r="J81" i="31"/>
  <c r="O81" i="31"/>
  <c r="P81" i="31"/>
  <c r="K81" i="31"/>
  <c r="AY81" i="31"/>
  <c r="U81" i="31"/>
  <c r="AG80" i="31"/>
  <c r="AH80" i="31" s="1"/>
  <c r="AI80" i="31" s="1"/>
  <c r="L80" i="31"/>
  <c r="M80" i="31" s="1"/>
  <c r="N80" i="31" s="1"/>
  <c r="V80" i="31"/>
  <c r="W80" i="31" s="1"/>
  <c r="X80" i="31" s="1"/>
  <c r="AB80" i="31"/>
  <c r="AC80" i="31" s="1"/>
  <c r="AD80" i="31" s="1"/>
  <c r="BD80" i="31" l="1"/>
  <c r="BF80" i="31"/>
  <c r="AX81" i="31"/>
  <c r="AP82" i="31"/>
  <c r="AZ82" i="31"/>
  <c r="BE81" i="31"/>
  <c r="BC81" i="31"/>
  <c r="Z82" i="31"/>
  <c r="AS81" i="31"/>
  <c r="AT81" i="31"/>
  <c r="AU81" i="31"/>
  <c r="AV81" i="31"/>
  <c r="BJ78" i="31"/>
  <c r="BL78" i="31" s="1"/>
  <c r="AN80" i="31"/>
  <c r="AO80" i="31" s="1"/>
  <c r="BI80" i="31" s="1"/>
  <c r="AJ82" i="31"/>
  <c r="AK82" i="31"/>
  <c r="BH82" i="31" s="1"/>
  <c r="AE82" i="31"/>
  <c r="AF82" i="31"/>
  <c r="AA82" i="31"/>
  <c r="BG82" i="31" s="1"/>
  <c r="V81" i="31"/>
  <c r="W81" i="31" s="1"/>
  <c r="X81" i="31" s="1"/>
  <c r="Q81" i="31"/>
  <c r="R81" i="31" s="1"/>
  <c r="S81" i="31" s="1"/>
  <c r="Y80" i="31"/>
  <c r="BA81" i="31"/>
  <c r="BB81" i="31" s="1"/>
  <c r="AB81" i="31"/>
  <c r="AC81" i="31" s="1"/>
  <c r="AD81" i="31" s="1"/>
  <c r="L81" i="31"/>
  <c r="M81" i="31" s="1"/>
  <c r="N81" i="31" s="1"/>
  <c r="AL81" i="31"/>
  <c r="AM81" i="31" s="1"/>
  <c r="I83" i="31"/>
  <c r="P82" i="31"/>
  <c r="AQ82" i="31"/>
  <c r="AR82" i="31" s="1"/>
  <c r="J82" i="31"/>
  <c r="O82" i="31"/>
  <c r="BK82" i="31"/>
  <c r="T82" i="31"/>
  <c r="AY82" i="31"/>
  <c r="U82" i="31"/>
  <c r="K82" i="31"/>
  <c r="AG81" i="31"/>
  <c r="AH81" i="31" s="1"/>
  <c r="AI81" i="31" s="1"/>
  <c r="BD81" i="31" l="1"/>
  <c r="BF81" i="31"/>
  <c r="AX82" i="31"/>
  <c r="AP83" i="31"/>
  <c r="AZ83" i="31"/>
  <c r="BC82" i="31"/>
  <c r="BE82" i="31"/>
  <c r="Z83" i="31"/>
  <c r="AV82" i="31"/>
  <c r="AS82" i="31"/>
  <c r="AT82" i="31"/>
  <c r="AU82" i="31"/>
  <c r="BJ80" i="31"/>
  <c r="BL80" i="31" s="1"/>
  <c r="AN81" i="31"/>
  <c r="AO81" i="31" s="1"/>
  <c r="BI81" i="31" s="1"/>
  <c r="AJ83" i="31"/>
  <c r="AK83" i="31"/>
  <c r="BH83" i="31" s="1"/>
  <c r="AE83" i="31"/>
  <c r="AF83" i="31"/>
  <c r="AA83" i="31"/>
  <c r="BG83" i="31" s="1"/>
  <c r="Y81" i="31"/>
  <c r="V82" i="31"/>
  <c r="W82" i="31" s="1"/>
  <c r="X82" i="31" s="1"/>
  <c r="Q82" i="31"/>
  <c r="R82" i="31" s="1"/>
  <c r="S82" i="31" s="1"/>
  <c r="AL82" i="31"/>
  <c r="AM82" i="31" s="1"/>
  <c r="AB82" i="31"/>
  <c r="AC82" i="31" s="1"/>
  <c r="AD82" i="31" s="1"/>
  <c r="I84" i="31"/>
  <c r="AQ83" i="31"/>
  <c r="AR83" i="31" s="1"/>
  <c r="T83" i="31"/>
  <c r="BK83" i="31"/>
  <c r="J83" i="31"/>
  <c r="AY83" i="31"/>
  <c r="O83" i="31"/>
  <c r="K83" i="31"/>
  <c r="U83" i="31"/>
  <c r="P83" i="31"/>
  <c r="L82" i="31"/>
  <c r="M82" i="31" s="1"/>
  <c r="N82" i="31" s="1"/>
  <c r="BA82" i="31"/>
  <c r="BB82" i="31" s="1"/>
  <c r="AG82" i="31"/>
  <c r="AH82" i="31" s="1"/>
  <c r="AI82" i="31" s="1"/>
  <c r="AX83" i="31" l="1"/>
  <c r="BD82" i="31"/>
  <c r="BF82" i="31"/>
  <c r="AP84" i="31"/>
  <c r="AZ84" i="31"/>
  <c r="BE83" i="31"/>
  <c r="BC83" i="31"/>
  <c r="Z84" i="31"/>
  <c r="AS83" i="31"/>
  <c r="AT83" i="31"/>
  <c r="AU83" i="31"/>
  <c r="AV83" i="31"/>
  <c r="AN82" i="31"/>
  <c r="AO82" i="31" s="1"/>
  <c r="BI82" i="31" s="1"/>
  <c r="AJ84" i="31"/>
  <c r="AK84" i="31"/>
  <c r="BH84" i="31" s="1"/>
  <c r="AE84" i="31"/>
  <c r="AF84" i="31"/>
  <c r="BJ81" i="31"/>
  <c r="BL81" i="31" s="1"/>
  <c r="AA84" i="31"/>
  <c r="BG84" i="31" s="1"/>
  <c r="V83" i="31"/>
  <c r="W83" i="31" s="1"/>
  <c r="X83" i="31" s="1"/>
  <c r="AL83" i="31"/>
  <c r="AM83" i="31" s="1"/>
  <c r="BA83" i="31"/>
  <c r="BB83" i="31" s="1"/>
  <c r="AB83" i="31"/>
  <c r="AC83" i="31" s="1"/>
  <c r="AD83" i="31" s="1"/>
  <c r="I85" i="31"/>
  <c r="AQ84" i="31"/>
  <c r="AR84" i="31" s="1"/>
  <c r="T84" i="31"/>
  <c r="BK84" i="31"/>
  <c r="J84" i="31"/>
  <c r="K84" i="31"/>
  <c r="AY84" i="31"/>
  <c r="U84" i="31"/>
  <c r="O84" i="31"/>
  <c r="P84" i="31"/>
  <c r="AG83" i="31"/>
  <c r="AH83" i="31" s="1"/>
  <c r="AI83" i="31" s="1"/>
  <c r="Q83" i="31"/>
  <c r="R83" i="31" s="1"/>
  <c r="S83" i="31" s="1"/>
  <c r="L83" i="31"/>
  <c r="M83" i="31" s="1"/>
  <c r="N83" i="31" s="1"/>
  <c r="Y82" i="31"/>
  <c r="AX84" i="31" l="1"/>
  <c r="BD83" i="31"/>
  <c r="BF83" i="31"/>
  <c r="AP85" i="31"/>
  <c r="AZ85" i="31"/>
  <c r="BC84" i="31"/>
  <c r="BE84" i="31"/>
  <c r="Z85" i="31"/>
  <c r="AV84" i="31"/>
  <c r="AS84" i="31"/>
  <c r="AT84" i="31"/>
  <c r="AU84" i="31"/>
  <c r="AN83" i="31"/>
  <c r="AO83" i="31" s="1"/>
  <c r="BI83" i="31" s="1"/>
  <c r="AJ85" i="31"/>
  <c r="AK85" i="31"/>
  <c r="BH85" i="31" s="1"/>
  <c r="AE85" i="31"/>
  <c r="AF85" i="31"/>
  <c r="AB84" i="31"/>
  <c r="AC84" i="31" s="1"/>
  <c r="AD84" i="31" s="1"/>
  <c r="Q84" i="31"/>
  <c r="R84" i="31" s="1"/>
  <c r="S84" i="31" s="1"/>
  <c r="AA85" i="31"/>
  <c r="BG85" i="31" s="1"/>
  <c r="Y83" i="31"/>
  <c r="L84" i="31"/>
  <c r="M84" i="31" s="1"/>
  <c r="N84" i="31" s="1"/>
  <c r="AL84" i="31"/>
  <c r="AM84" i="31" s="1"/>
  <c r="I86" i="31"/>
  <c r="U85" i="31"/>
  <c r="K85" i="31"/>
  <c r="O85" i="31"/>
  <c r="AQ85" i="31"/>
  <c r="AR85" i="31" s="1"/>
  <c r="J85" i="31"/>
  <c r="BK85" i="31"/>
  <c r="T85" i="31"/>
  <c r="P85" i="31"/>
  <c r="AY85" i="31"/>
  <c r="BA84" i="31"/>
  <c r="BB84" i="31" s="1"/>
  <c r="BJ82" i="31"/>
  <c r="BL82" i="31" s="1"/>
  <c r="V84" i="31"/>
  <c r="W84" i="31" s="1"/>
  <c r="X84" i="31" s="1"/>
  <c r="AG84" i="31"/>
  <c r="AH84" i="31" s="1"/>
  <c r="AI84" i="31" s="1"/>
  <c r="AX85" i="31" l="1"/>
  <c r="BD84" i="31"/>
  <c r="BF84" i="31"/>
  <c r="AP86" i="31"/>
  <c r="AZ86" i="31"/>
  <c r="BC85" i="31"/>
  <c r="BE85" i="31"/>
  <c r="Z86" i="31"/>
  <c r="AS85" i="31"/>
  <c r="AT85" i="31"/>
  <c r="AU85" i="31"/>
  <c r="AV85" i="31"/>
  <c r="AN84" i="31"/>
  <c r="AO84" i="31" s="1"/>
  <c r="BI84" i="31" s="1"/>
  <c r="AJ86" i="31"/>
  <c r="AK86" i="31"/>
  <c r="BH86" i="31" s="1"/>
  <c r="AE86" i="31"/>
  <c r="AF86" i="31"/>
  <c r="AA86" i="31"/>
  <c r="BG86" i="31" s="1"/>
  <c r="BJ83" i="31"/>
  <c r="BL83" i="31" s="1"/>
  <c r="Y84" i="31"/>
  <c r="AB85" i="31"/>
  <c r="AC85" i="31" s="1"/>
  <c r="AD85" i="31" s="1"/>
  <c r="L85" i="31"/>
  <c r="M85" i="31" s="1"/>
  <c r="N85" i="31" s="1"/>
  <c r="AG85" i="31"/>
  <c r="AH85" i="31" s="1"/>
  <c r="AI85" i="31" s="1"/>
  <c r="BA85" i="31"/>
  <c r="BB85" i="31" s="1"/>
  <c r="Q85" i="31"/>
  <c r="R85" i="31" s="1"/>
  <c r="S85" i="31" s="1"/>
  <c r="V85" i="31"/>
  <c r="W85" i="31" s="1"/>
  <c r="X85" i="31" s="1"/>
  <c r="AL85" i="31"/>
  <c r="AM85" i="31" s="1"/>
  <c r="I87" i="31"/>
  <c r="BK86" i="31"/>
  <c r="AY86" i="31"/>
  <c r="U86" i="31"/>
  <c r="K86" i="31"/>
  <c r="O86" i="31"/>
  <c r="P86" i="31"/>
  <c r="AQ86" i="31"/>
  <c r="AR86" i="31" s="1"/>
  <c r="T86" i="31"/>
  <c r="J86" i="31"/>
  <c r="AX86" i="31" l="1"/>
  <c r="BD85" i="31"/>
  <c r="BF85" i="31"/>
  <c r="AP87" i="31"/>
  <c r="AZ87" i="31"/>
  <c r="BC86" i="31"/>
  <c r="BE86" i="31"/>
  <c r="Z87" i="31"/>
  <c r="AS86" i="31"/>
  <c r="AT86" i="31"/>
  <c r="AV86" i="31"/>
  <c r="AU86" i="31"/>
  <c r="BJ84" i="31"/>
  <c r="BL84" i="31" s="1"/>
  <c r="AN85" i="31"/>
  <c r="AO85" i="31" s="1"/>
  <c r="BI85" i="31" s="1"/>
  <c r="AJ87" i="31"/>
  <c r="AK87" i="31"/>
  <c r="BH87" i="31" s="1"/>
  <c r="AE87" i="31"/>
  <c r="AF87" i="31"/>
  <c r="BA86" i="31"/>
  <c r="BB86" i="31" s="1"/>
  <c r="AA87" i="31"/>
  <c r="BG87" i="31" s="1"/>
  <c r="L86" i="31"/>
  <c r="M86" i="31" s="1"/>
  <c r="N86" i="31" s="1"/>
  <c r="AG86" i="31"/>
  <c r="AH86" i="31" s="1"/>
  <c r="AI86" i="31" s="1"/>
  <c r="Y85" i="31"/>
  <c r="V86" i="31"/>
  <c r="W86" i="31" s="1"/>
  <c r="X86" i="31" s="1"/>
  <c r="AL86" i="31"/>
  <c r="AM86" i="31" s="1"/>
  <c r="I88" i="31"/>
  <c r="BK87" i="31"/>
  <c r="J87" i="31"/>
  <c r="AY87" i="31"/>
  <c r="U87" i="31"/>
  <c r="AQ87" i="31"/>
  <c r="AR87" i="31" s="1"/>
  <c r="K87" i="31"/>
  <c r="O87" i="31"/>
  <c r="P87" i="31"/>
  <c r="T87" i="31"/>
  <c r="Q86" i="31"/>
  <c r="R86" i="31" s="1"/>
  <c r="S86" i="31" s="1"/>
  <c r="AB86" i="31"/>
  <c r="AC86" i="31" s="1"/>
  <c r="AD86" i="31" s="1"/>
  <c r="AX87" i="31" l="1"/>
  <c r="BD86" i="31"/>
  <c r="BF86" i="31"/>
  <c r="AP88" i="31"/>
  <c r="AZ88" i="31"/>
  <c r="BC87" i="31"/>
  <c r="BE87" i="31"/>
  <c r="Z88" i="31"/>
  <c r="AS87" i="31"/>
  <c r="AU87" i="31"/>
  <c r="AT87" i="31"/>
  <c r="AV87" i="31"/>
  <c r="AN86" i="31"/>
  <c r="AO86" i="31" s="1"/>
  <c r="BI86" i="31" s="1"/>
  <c r="AJ88" i="31"/>
  <c r="AK88" i="31"/>
  <c r="BH88" i="31" s="1"/>
  <c r="AE88" i="31"/>
  <c r="AF88" i="31"/>
  <c r="AB87" i="31"/>
  <c r="AC87" i="31" s="1"/>
  <c r="AD87" i="31" s="1"/>
  <c r="Q87" i="31"/>
  <c r="R87" i="31" s="1"/>
  <c r="S87" i="31" s="1"/>
  <c r="AA88" i="31"/>
  <c r="BG88" i="31" s="1"/>
  <c r="BJ85" i="31"/>
  <c r="BL85" i="31" s="1"/>
  <c r="V87" i="31"/>
  <c r="W87" i="31" s="1"/>
  <c r="X87" i="31" s="1"/>
  <c r="AL87" i="31"/>
  <c r="AM87" i="31" s="1"/>
  <c r="Y86" i="31"/>
  <c r="L87" i="31"/>
  <c r="M87" i="31" s="1"/>
  <c r="N87" i="31" s="1"/>
  <c r="AG87" i="31"/>
  <c r="AH87" i="31" s="1"/>
  <c r="AI87" i="31" s="1"/>
  <c r="BA87" i="31"/>
  <c r="BB87" i="31" s="1"/>
  <c r="I89" i="31"/>
  <c r="BK88" i="31"/>
  <c r="J88" i="31"/>
  <c r="AY88" i="31"/>
  <c r="K88" i="31"/>
  <c r="U88" i="31"/>
  <c r="AQ88" i="31"/>
  <c r="AR88" i="31" s="1"/>
  <c r="T88" i="31"/>
  <c r="P88" i="31"/>
  <c r="O88" i="31"/>
  <c r="AX88" i="31" l="1"/>
  <c r="BD87" i="31"/>
  <c r="BF87" i="31"/>
  <c r="AP89" i="31"/>
  <c r="AZ89" i="31"/>
  <c r="BE88" i="31"/>
  <c r="BC88" i="31"/>
  <c r="Z89" i="31"/>
  <c r="AS88" i="31"/>
  <c r="AT88" i="31"/>
  <c r="AV88" i="31"/>
  <c r="AU88" i="31"/>
  <c r="AN87" i="31"/>
  <c r="AO87" i="31" s="1"/>
  <c r="BI87" i="31" s="1"/>
  <c r="AJ89" i="31"/>
  <c r="AK89" i="31"/>
  <c r="BH89" i="31" s="1"/>
  <c r="AE89" i="31"/>
  <c r="AF89" i="31"/>
  <c r="AG88" i="31"/>
  <c r="AH88" i="31" s="1"/>
  <c r="AI88" i="31" s="1"/>
  <c r="AA89" i="31"/>
  <c r="BG89" i="31" s="1"/>
  <c r="L88" i="31"/>
  <c r="M88" i="31" s="1"/>
  <c r="N88" i="31" s="1"/>
  <c r="Y87" i="31"/>
  <c r="I90" i="31"/>
  <c r="U89" i="31"/>
  <c r="K89" i="31"/>
  <c r="O89" i="31"/>
  <c r="AY89" i="31"/>
  <c r="P89" i="31"/>
  <c r="BK89" i="31"/>
  <c r="J89" i="31"/>
  <c r="AQ89" i="31"/>
  <c r="AR89" i="31" s="1"/>
  <c r="T89" i="31"/>
  <c r="AB88" i="31"/>
  <c r="AC88" i="31" s="1"/>
  <c r="AD88" i="31" s="1"/>
  <c r="AL88" i="31"/>
  <c r="AM88" i="31" s="1"/>
  <c r="V88" i="31"/>
  <c r="W88" i="31" s="1"/>
  <c r="X88" i="31" s="1"/>
  <c r="Q88" i="31"/>
  <c r="R88" i="31" s="1"/>
  <c r="S88" i="31" s="1"/>
  <c r="BA88" i="31"/>
  <c r="BB88" i="31" s="1"/>
  <c r="BJ86" i="31"/>
  <c r="BL86" i="31" s="1"/>
  <c r="BD88" i="31" l="1"/>
  <c r="BF88" i="31"/>
  <c r="AX89" i="31"/>
  <c r="AP90" i="31"/>
  <c r="AZ90" i="31"/>
  <c r="BE89" i="31"/>
  <c r="BC89" i="31"/>
  <c r="Z90" i="31"/>
  <c r="AS89" i="31"/>
  <c r="AT89" i="31"/>
  <c r="AU89" i="31"/>
  <c r="AV89" i="31"/>
  <c r="AN88" i="31"/>
  <c r="AO88" i="31" s="1"/>
  <c r="BI88" i="31" s="1"/>
  <c r="AJ90" i="31"/>
  <c r="AK90" i="31"/>
  <c r="BH90" i="31" s="1"/>
  <c r="AE90" i="31"/>
  <c r="AF90" i="31"/>
  <c r="AA90" i="31"/>
  <c r="BG90" i="31" s="1"/>
  <c r="BJ87" i="31"/>
  <c r="BL87" i="31" s="1"/>
  <c r="BA89" i="31"/>
  <c r="BB89" i="31" s="1"/>
  <c r="AB89" i="31"/>
  <c r="AC89" i="31" s="1"/>
  <c r="AD89" i="31" s="1"/>
  <c r="Q89" i="31"/>
  <c r="R89" i="31" s="1"/>
  <c r="S89" i="31" s="1"/>
  <c r="AL89" i="31"/>
  <c r="AM89" i="31" s="1"/>
  <c r="I91" i="31"/>
  <c r="AQ90" i="31"/>
  <c r="AR90" i="31" s="1"/>
  <c r="T90" i="31"/>
  <c r="BK90" i="31"/>
  <c r="J90" i="31"/>
  <c r="AY90" i="31"/>
  <c r="K90" i="31"/>
  <c r="U90" i="31"/>
  <c r="O90" i="31"/>
  <c r="P90" i="31"/>
  <c r="V89" i="31"/>
  <c r="W89" i="31" s="1"/>
  <c r="X89" i="31" s="1"/>
  <c r="Y88" i="31"/>
  <c r="L89" i="31"/>
  <c r="M89" i="31" s="1"/>
  <c r="N89" i="31" s="1"/>
  <c r="AG89" i="31"/>
  <c r="AH89" i="31" s="1"/>
  <c r="AI89" i="31" s="1"/>
  <c r="BD89" i="31" l="1"/>
  <c r="BF89" i="31"/>
  <c r="AX90" i="31"/>
  <c r="AP91" i="31"/>
  <c r="AZ91" i="31"/>
  <c r="BC90" i="31"/>
  <c r="BE90" i="31"/>
  <c r="Z91" i="31"/>
  <c r="AS90" i="31"/>
  <c r="AT90" i="31"/>
  <c r="AU90" i="31"/>
  <c r="AV90" i="31"/>
  <c r="AN89" i="31"/>
  <c r="AO89" i="31" s="1"/>
  <c r="BI89" i="31" s="1"/>
  <c r="AJ91" i="31"/>
  <c r="AK91" i="31"/>
  <c r="BH91" i="31" s="1"/>
  <c r="AE91" i="31"/>
  <c r="AF91" i="31"/>
  <c r="AA91" i="31"/>
  <c r="BG91" i="31" s="1"/>
  <c r="V90" i="31"/>
  <c r="W90" i="31" s="1"/>
  <c r="X90" i="31" s="1"/>
  <c r="Q90" i="31"/>
  <c r="R90" i="31" s="1"/>
  <c r="S90" i="31" s="1"/>
  <c r="BJ88" i="31"/>
  <c r="BL88" i="31" s="1"/>
  <c r="L90" i="31"/>
  <c r="M90" i="31" s="1"/>
  <c r="N90" i="31" s="1"/>
  <c r="I92" i="31"/>
  <c r="AQ91" i="31"/>
  <c r="AR91" i="31" s="1"/>
  <c r="J91" i="31"/>
  <c r="BK91" i="31"/>
  <c r="T91" i="31"/>
  <c r="U91" i="31"/>
  <c r="AY91" i="31"/>
  <c r="K91" i="31"/>
  <c r="O91" i="31"/>
  <c r="P91" i="31"/>
  <c r="Y89" i="31"/>
  <c r="AB90" i="31"/>
  <c r="AC90" i="31" s="1"/>
  <c r="AD90" i="31" s="1"/>
  <c r="AL90" i="31"/>
  <c r="AM90" i="31" s="1"/>
  <c r="BA90" i="31"/>
  <c r="BB90" i="31" s="1"/>
  <c r="AG90" i="31"/>
  <c r="AH90" i="31" s="1"/>
  <c r="AI90" i="31" s="1"/>
  <c r="BD90" i="31" l="1"/>
  <c r="BF90" i="31"/>
  <c r="AX91" i="31"/>
  <c r="AP92" i="31"/>
  <c r="AZ92" i="31"/>
  <c r="BE91" i="31"/>
  <c r="BC91" i="31"/>
  <c r="Z92" i="31"/>
  <c r="AS91" i="31"/>
  <c r="AT91" i="31"/>
  <c r="AU91" i="31"/>
  <c r="AV91" i="31"/>
  <c r="L91" i="31"/>
  <c r="M91" i="31" s="1"/>
  <c r="N91" i="31" s="1"/>
  <c r="AN90" i="31"/>
  <c r="AO90" i="31" s="1"/>
  <c r="BI90" i="31" s="1"/>
  <c r="AJ92" i="31"/>
  <c r="AK92" i="31"/>
  <c r="BH92" i="31" s="1"/>
  <c r="AE92" i="31"/>
  <c r="AF92" i="31"/>
  <c r="AA92" i="31"/>
  <c r="BG92" i="31" s="1"/>
  <c r="AG91" i="31"/>
  <c r="AH91" i="31" s="1"/>
  <c r="AI91" i="31" s="1"/>
  <c r="Q91" i="31"/>
  <c r="R91" i="31" s="1"/>
  <c r="S91" i="31" s="1"/>
  <c r="V91" i="31"/>
  <c r="W91" i="31" s="1"/>
  <c r="X91" i="31" s="1"/>
  <c r="AB91" i="31"/>
  <c r="AC91" i="31" s="1"/>
  <c r="AD91" i="31" s="1"/>
  <c r="Y90" i="31"/>
  <c r="AL91" i="31"/>
  <c r="AM91" i="31" s="1"/>
  <c r="I93" i="31"/>
  <c r="K92" i="31"/>
  <c r="J92" i="31"/>
  <c r="AY92" i="31"/>
  <c r="U92" i="31"/>
  <c r="O92" i="31"/>
  <c r="P92" i="31"/>
  <c r="AQ92" i="31"/>
  <c r="AR92" i="31" s="1"/>
  <c r="BK92" i="31"/>
  <c r="T92" i="31"/>
  <c r="BJ89" i="31"/>
  <c r="BL89" i="31" s="1"/>
  <c r="BA91" i="31"/>
  <c r="BB91" i="31" s="1"/>
  <c r="BD91" i="31" l="1"/>
  <c r="BF91" i="31"/>
  <c r="AX92" i="31"/>
  <c r="AP93" i="31"/>
  <c r="AZ93" i="31"/>
  <c r="BE92" i="31"/>
  <c r="BC92" i="31"/>
  <c r="Z93" i="31"/>
  <c r="AT92" i="31"/>
  <c r="AV92" i="31"/>
  <c r="AS92" i="31"/>
  <c r="AU92" i="31"/>
  <c r="BJ90" i="31"/>
  <c r="BL90" i="31" s="1"/>
  <c r="AN91" i="31"/>
  <c r="AO91" i="31" s="1"/>
  <c r="BI91" i="31" s="1"/>
  <c r="AJ93" i="31"/>
  <c r="AK93" i="31"/>
  <c r="BH93" i="31" s="1"/>
  <c r="AE93" i="31"/>
  <c r="AF93" i="31"/>
  <c r="Y91" i="31"/>
  <c r="AG92" i="31"/>
  <c r="AH92" i="31" s="1"/>
  <c r="AI92" i="31" s="1"/>
  <c r="AA93" i="31"/>
  <c r="BG93" i="31" s="1"/>
  <c r="V92" i="31"/>
  <c r="W92" i="31" s="1"/>
  <c r="X92" i="31" s="1"/>
  <c r="L92" i="31"/>
  <c r="M92" i="31" s="1"/>
  <c r="N92" i="31" s="1"/>
  <c r="BA92" i="31"/>
  <c r="BB92" i="31" s="1"/>
  <c r="Q92" i="31"/>
  <c r="R92" i="31" s="1"/>
  <c r="S92" i="31" s="1"/>
  <c r="AB92" i="31"/>
  <c r="AC92" i="31" s="1"/>
  <c r="AD92" i="31" s="1"/>
  <c r="I94" i="31"/>
  <c r="AQ93" i="31"/>
  <c r="AR93" i="31" s="1"/>
  <c r="T93" i="31"/>
  <c r="K93" i="31"/>
  <c r="BK93" i="31"/>
  <c r="J93" i="31"/>
  <c r="U93" i="31"/>
  <c r="AY93" i="31"/>
  <c r="O93" i="31"/>
  <c r="P93" i="31"/>
  <c r="AL92" i="31"/>
  <c r="AM92" i="31" s="1"/>
  <c r="AX93" i="31" l="1"/>
  <c r="BD92" i="31"/>
  <c r="BF92" i="31"/>
  <c r="AP94" i="31"/>
  <c r="AZ94" i="31"/>
  <c r="BE93" i="31"/>
  <c r="BC93" i="31"/>
  <c r="Z94" i="31"/>
  <c r="AS93" i="31"/>
  <c r="AT93" i="31"/>
  <c r="AU93" i="31"/>
  <c r="AV93" i="31"/>
  <c r="BJ91" i="31"/>
  <c r="BL91" i="31" s="1"/>
  <c r="AN92" i="31"/>
  <c r="AO92" i="31" s="1"/>
  <c r="BI92" i="31" s="1"/>
  <c r="AJ94" i="31"/>
  <c r="AK94" i="31"/>
  <c r="BH94" i="31" s="1"/>
  <c r="AE94" i="31"/>
  <c r="AF94" i="31"/>
  <c r="Y92" i="31"/>
  <c r="AA94" i="31"/>
  <c r="BG94" i="31" s="1"/>
  <c r="BA93" i="31"/>
  <c r="BB93" i="31" s="1"/>
  <c r="AG93" i="31"/>
  <c r="AH93" i="31" s="1"/>
  <c r="AI93" i="31" s="1"/>
  <c r="Q93" i="31"/>
  <c r="R93" i="31" s="1"/>
  <c r="S93" i="31" s="1"/>
  <c r="L93" i="31"/>
  <c r="M93" i="31" s="1"/>
  <c r="N93" i="31" s="1"/>
  <c r="AL93" i="31"/>
  <c r="AM93" i="31" s="1"/>
  <c r="V93" i="31"/>
  <c r="W93" i="31" s="1"/>
  <c r="X93" i="31" s="1"/>
  <c r="AB93" i="31"/>
  <c r="AC93" i="31" s="1"/>
  <c r="AD93" i="31" s="1"/>
  <c r="I95" i="31"/>
  <c r="P94" i="31"/>
  <c r="U94" i="31"/>
  <c r="K94" i="31"/>
  <c r="BK94" i="31"/>
  <c r="T94" i="31"/>
  <c r="AQ94" i="31"/>
  <c r="AR94" i="31" s="1"/>
  <c r="J94" i="31"/>
  <c r="AY94" i="31"/>
  <c r="O94" i="31"/>
  <c r="BD93" i="31" l="1"/>
  <c r="BF93" i="31"/>
  <c r="AX94" i="31"/>
  <c r="AP95" i="31"/>
  <c r="AZ95" i="31"/>
  <c r="BC94" i="31"/>
  <c r="BE94" i="31"/>
  <c r="Z95" i="31"/>
  <c r="AT94" i="31"/>
  <c r="AS94" i="31"/>
  <c r="AV94" i="31"/>
  <c r="AU94" i="31"/>
  <c r="BJ92" i="31"/>
  <c r="BL92" i="31" s="1"/>
  <c r="AN93" i="31"/>
  <c r="AO93" i="31" s="1"/>
  <c r="BI93" i="31" s="1"/>
  <c r="AJ95" i="31"/>
  <c r="AK95" i="31"/>
  <c r="BH95" i="31" s="1"/>
  <c r="AE95" i="31"/>
  <c r="AF95" i="31"/>
  <c r="AA95" i="31"/>
  <c r="BG95" i="31" s="1"/>
  <c r="BA94" i="31"/>
  <c r="BB94" i="31" s="1"/>
  <c r="L94" i="31"/>
  <c r="M94" i="31" s="1"/>
  <c r="N94" i="31" s="1"/>
  <c r="AG94" i="31"/>
  <c r="AH94" i="31" s="1"/>
  <c r="AI94" i="31" s="1"/>
  <c r="AB94" i="31"/>
  <c r="AC94" i="31" s="1"/>
  <c r="AD94" i="31" s="1"/>
  <c r="I96" i="31"/>
  <c r="O95" i="31"/>
  <c r="U95" i="31"/>
  <c r="J95" i="31"/>
  <c r="AQ95" i="31"/>
  <c r="AR95" i="31" s="1"/>
  <c r="AY95" i="31"/>
  <c r="K95" i="31"/>
  <c r="T95" i="31"/>
  <c r="BK95" i="31"/>
  <c r="P95" i="31"/>
  <c r="V94" i="31"/>
  <c r="W94" i="31" s="1"/>
  <c r="X94" i="31" s="1"/>
  <c r="Q94" i="31"/>
  <c r="R94" i="31" s="1"/>
  <c r="S94" i="31" s="1"/>
  <c r="AL94" i="31"/>
  <c r="AM94" i="31" s="1"/>
  <c r="Y93" i="31"/>
  <c r="BD94" i="31" l="1"/>
  <c r="BF94" i="31"/>
  <c r="AX95" i="31"/>
  <c r="AP96" i="31"/>
  <c r="AZ96" i="31"/>
  <c r="BC95" i="31"/>
  <c r="BE95" i="31"/>
  <c r="Z96" i="31"/>
  <c r="AS95" i="31"/>
  <c r="AU95" i="31"/>
  <c r="AV95" i="31"/>
  <c r="AT95" i="31"/>
  <c r="AN94" i="31"/>
  <c r="AO94" i="31" s="1"/>
  <c r="BI94" i="31" s="1"/>
  <c r="AJ96" i="31"/>
  <c r="AK96" i="31"/>
  <c r="BH96" i="31" s="1"/>
  <c r="AE96" i="31"/>
  <c r="AF96" i="31"/>
  <c r="AA96" i="31"/>
  <c r="BG96" i="31" s="1"/>
  <c r="BA95" i="31"/>
  <c r="BB95" i="31" s="1"/>
  <c r="Y94" i="31"/>
  <c r="L95" i="31"/>
  <c r="M95" i="31" s="1"/>
  <c r="N95" i="31" s="1"/>
  <c r="AB95" i="31"/>
  <c r="AC95" i="31" s="1"/>
  <c r="AD95" i="31" s="1"/>
  <c r="I97" i="31"/>
  <c r="J96" i="31"/>
  <c r="AQ96" i="31"/>
  <c r="AR96" i="31" s="1"/>
  <c r="AY96" i="31"/>
  <c r="O96" i="31"/>
  <c r="K96" i="31"/>
  <c r="T96" i="31"/>
  <c r="P96" i="31"/>
  <c r="BK96" i="31"/>
  <c r="U96" i="31"/>
  <c r="BJ93" i="31"/>
  <c r="BL93" i="31" s="1"/>
  <c r="AG95" i="31"/>
  <c r="AH95" i="31" s="1"/>
  <c r="AI95" i="31" s="1"/>
  <c r="Q95" i="31"/>
  <c r="R95" i="31" s="1"/>
  <c r="S95" i="31" s="1"/>
  <c r="AL95" i="31"/>
  <c r="AM95" i="31" s="1"/>
  <c r="V95" i="31"/>
  <c r="W95" i="31" s="1"/>
  <c r="X95" i="31" s="1"/>
  <c r="BD95" i="31" l="1"/>
  <c r="BF95" i="31"/>
  <c r="AX96" i="31"/>
  <c r="AP97" i="31"/>
  <c r="AZ97" i="31"/>
  <c r="BE96" i="31"/>
  <c r="BC96" i="31"/>
  <c r="Z97" i="31"/>
  <c r="AS96" i="31"/>
  <c r="AV96" i="31"/>
  <c r="AT96" i="31"/>
  <c r="AU96" i="31"/>
  <c r="AN95" i="31"/>
  <c r="AO95" i="31" s="1"/>
  <c r="BI95" i="31" s="1"/>
  <c r="AJ97" i="31"/>
  <c r="AK97" i="31"/>
  <c r="BH97" i="31" s="1"/>
  <c r="AE97" i="31"/>
  <c r="AF97" i="31"/>
  <c r="BA96" i="31"/>
  <c r="BB96" i="31" s="1"/>
  <c r="AA97" i="31"/>
  <c r="BG97" i="31" s="1"/>
  <c r="BJ94" i="31"/>
  <c r="BL94" i="31" s="1"/>
  <c r="AG96" i="31"/>
  <c r="AH96" i="31" s="1"/>
  <c r="AI96" i="31" s="1"/>
  <c r="V96" i="31"/>
  <c r="W96" i="31" s="1"/>
  <c r="X96" i="31" s="1"/>
  <c r="Q96" i="31"/>
  <c r="R96" i="31" s="1"/>
  <c r="S96" i="31" s="1"/>
  <c r="AL96" i="31"/>
  <c r="AM96" i="31" s="1"/>
  <c r="U97" i="31"/>
  <c r="AY97" i="31"/>
  <c r="O97" i="31"/>
  <c r="K97" i="31"/>
  <c r="T97" i="31"/>
  <c r="BK97" i="31"/>
  <c r="P97" i="31"/>
  <c r="J97" i="31"/>
  <c r="AQ97" i="31"/>
  <c r="AR97" i="31" s="1"/>
  <c r="Y95" i="31"/>
  <c r="L96" i="31"/>
  <c r="M96" i="31" s="1"/>
  <c r="N96" i="31" s="1"/>
  <c r="AB96" i="31"/>
  <c r="AC96" i="31" s="1"/>
  <c r="AD96" i="31" s="1"/>
  <c r="BD96" i="31" l="1"/>
  <c r="BF96" i="31"/>
  <c r="AX97" i="31"/>
  <c r="BE97" i="31"/>
  <c r="BC97" i="31"/>
  <c r="AS97" i="31"/>
  <c r="AT97" i="31"/>
  <c r="AU97" i="31"/>
  <c r="AV97" i="31"/>
  <c r="AN96" i="31"/>
  <c r="AO96" i="31" s="1"/>
  <c r="BI96" i="31" s="1"/>
  <c r="AG97" i="31"/>
  <c r="AH97" i="31" s="1"/>
  <c r="AI97" i="31" s="1"/>
  <c r="Y96" i="31"/>
  <c r="AB97" i="31"/>
  <c r="AC97" i="31" s="1"/>
  <c r="AD97" i="31" s="1"/>
  <c r="BJ95" i="31"/>
  <c r="BL95" i="31" s="1"/>
  <c r="Q97" i="31"/>
  <c r="R97" i="31" s="1"/>
  <c r="S97" i="31" s="1"/>
  <c r="V97" i="31"/>
  <c r="W97" i="31" s="1"/>
  <c r="X97" i="31" s="1"/>
  <c r="L97" i="31"/>
  <c r="M97" i="31" s="1"/>
  <c r="N97" i="31" s="1"/>
  <c r="BA97" i="31"/>
  <c r="BB97" i="31" s="1"/>
  <c r="AL97" i="31"/>
  <c r="AM97" i="31" s="1"/>
  <c r="BD97" i="31" l="1"/>
  <c r="BF97" i="31"/>
  <c r="BJ96" i="31"/>
  <c r="BL96" i="31" s="1"/>
  <c r="AN97" i="31"/>
  <c r="AO97" i="31" s="1"/>
  <c r="BI97" i="31" s="1"/>
  <c r="Y97" i="31"/>
  <c r="BJ97" i="31" l="1"/>
  <c r="BL97" i="31" s="1"/>
  <c r="T61" i="31" l="1"/>
  <c r="T118" i="31" s="1"/>
  <c r="J61" i="31"/>
  <c r="J118" i="31" s="1"/>
  <c r="AK61" i="31"/>
  <c r="BH61" i="31" s="1"/>
  <c r="AF61" i="31"/>
  <c r="AE61" i="31"/>
  <c r="AA61" i="31"/>
  <c r="BG61" i="31" s="1"/>
  <c r="K61" i="31"/>
  <c r="K118" i="31" s="1"/>
  <c r="U61" i="31"/>
  <c r="U118" i="31" s="1"/>
  <c r="P61" i="31"/>
  <c r="P118" i="31" s="1"/>
  <c r="O61" i="31"/>
  <c r="AQ61" i="31"/>
  <c r="AR61" i="31" s="1"/>
  <c r="AR118" i="31" s="1"/>
  <c r="AZ61" i="31"/>
  <c r="BE61" i="31" s="1"/>
  <c r="BK61" i="31"/>
  <c r="Z61" i="31"/>
  <c r="AP61" i="31"/>
  <c r="AY61" i="31"/>
  <c r="AJ61" i="31"/>
  <c r="BC61" i="31" l="1"/>
  <c r="Q61" i="31"/>
  <c r="R61" i="31" s="1"/>
  <c r="S61" i="31" s="1"/>
  <c r="AB61" i="31"/>
  <c r="AC61" i="31" s="1"/>
  <c r="AD61" i="31" s="1"/>
  <c r="BA61" i="31"/>
  <c r="BB61" i="31" s="1"/>
  <c r="BF61" i="31" s="1"/>
  <c r="V61" i="31"/>
  <c r="W61" i="31" s="1"/>
  <c r="X61" i="31" s="1"/>
  <c r="X118" i="31" s="1"/>
  <c r="AG61" i="31"/>
  <c r="AH61" i="31" s="1"/>
  <c r="AI61" i="31" s="1"/>
  <c r="AV61" i="31"/>
  <c r="L61" i="31"/>
  <c r="M61" i="31" s="1"/>
  <c r="N61" i="31" s="1"/>
  <c r="AX61" i="31"/>
  <c r="AT61" i="31"/>
  <c r="AL61" i="31"/>
  <c r="AM61" i="31" s="1"/>
  <c r="AN61" i="31" s="1"/>
  <c r="AS61" i="31"/>
  <c r="AS118" i="31" s="1"/>
  <c r="AU61" i="31"/>
  <c r="AW61" i="31"/>
  <c r="BD61" i="31" l="1"/>
  <c r="Y61" i="31"/>
  <c r="BJ61" i="31" s="1"/>
  <c r="BL61" i="31" s="1"/>
  <c r="AO61" i="31"/>
  <c r="BI61" i="3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justins</author>
  </authors>
  <commentList>
    <comment ref="K14" authorId="0" shapeId="0" xr:uid="{54AA932F-98D1-4660-BFBA-0F44CD7F691B}">
      <text>
        <r>
          <rPr>
            <sz val="9"/>
            <color indexed="81"/>
            <rFont val="細明體"/>
            <family val="3"/>
            <charset val="136"/>
          </rPr>
          <t>一、僅具韌性立體剛構架，並由其扺禦全部橫力者，</t>
        </r>
        <r>
          <rPr>
            <sz val="9"/>
            <color indexed="81"/>
            <rFont val="Tahoma"/>
            <family val="2"/>
          </rPr>
          <t>K=0.67</t>
        </r>
        <r>
          <rPr>
            <sz val="9"/>
            <color indexed="81"/>
            <rFont val="細明體"/>
            <family val="3"/>
            <charset val="136"/>
          </rPr>
          <t>。
二、韌性立體剛構架與剪力牆</t>
        </r>
        <r>
          <rPr>
            <sz val="9"/>
            <color indexed="81"/>
            <rFont val="Tahoma"/>
            <family val="2"/>
          </rPr>
          <t>(</t>
        </r>
        <r>
          <rPr>
            <sz val="9"/>
            <color indexed="81"/>
            <rFont val="細明體"/>
            <family val="3"/>
            <charset val="136"/>
          </rPr>
          <t>或斜撐剛架</t>
        </r>
        <r>
          <rPr>
            <sz val="9"/>
            <color indexed="81"/>
            <rFont val="Tahoma"/>
            <family val="2"/>
          </rPr>
          <t>)</t>
        </r>
        <r>
          <rPr>
            <sz val="9"/>
            <color indexed="81"/>
            <rFont val="細明體"/>
            <family val="3"/>
            <charset val="136"/>
          </rPr>
          <t>共同存在，並依下列規定者，</t>
        </r>
        <r>
          <rPr>
            <sz val="9"/>
            <color indexed="81"/>
            <rFont val="Tahoma"/>
            <family val="2"/>
          </rPr>
          <t>K=0.80</t>
        </r>
        <r>
          <rPr>
            <sz val="9"/>
            <color indexed="81"/>
            <rFont val="細明體"/>
            <family val="3"/>
            <charset val="136"/>
          </rPr>
          <t xml:space="preserve">。
</t>
        </r>
        <r>
          <rPr>
            <sz val="9"/>
            <color indexed="81"/>
            <rFont val="Tahoma"/>
            <family val="2"/>
          </rPr>
          <t xml:space="preserve">    (</t>
        </r>
        <r>
          <rPr>
            <sz val="9"/>
            <color indexed="81"/>
            <rFont val="細明體"/>
            <family val="3"/>
            <charset val="136"/>
          </rPr>
          <t>一</t>
        </r>
        <r>
          <rPr>
            <sz val="9"/>
            <color indexed="81"/>
            <rFont val="Tahoma"/>
            <family val="2"/>
          </rPr>
          <t>)</t>
        </r>
        <r>
          <rPr>
            <sz val="9"/>
            <color indexed="81"/>
            <rFont val="細明體"/>
            <family val="3"/>
            <charset val="136"/>
          </rPr>
          <t>剛構架與剪力牆</t>
        </r>
        <r>
          <rPr>
            <sz val="9"/>
            <color indexed="81"/>
            <rFont val="Tahoma"/>
            <family val="2"/>
          </rPr>
          <t>(</t>
        </r>
        <r>
          <rPr>
            <sz val="9"/>
            <color indexed="81"/>
            <rFont val="細明體"/>
            <family val="3"/>
            <charset val="136"/>
          </rPr>
          <t>或斜撐剛架</t>
        </r>
        <r>
          <rPr>
            <sz val="9"/>
            <color indexed="81"/>
            <rFont val="Tahoma"/>
            <family val="2"/>
          </rPr>
          <t>)</t>
        </r>
        <r>
          <rPr>
            <sz val="9"/>
            <color indexed="81"/>
            <rFont val="細明體"/>
            <family val="3"/>
            <charset val="136"/>
          </rPr>
          <t xml:space="preserve">具互制作用，且依其剛度比，共同抵禦全部橫力。
</t>
        </r>
        <r>
          <rPr>
            <sz val="9"/>
            <color indexed="81"/>
            <rFont val="Tahoma"/>
            <family val="2"/>
          </rPr>
          <t xml:space="preserve">    (</t>
        </r>
        <r>
          <rPr>
            <sz val="9"/>
            <color indexed="81"/>
            <rFont val="細明體"/>
            <family val="3"/>
            <charset val="136"/>
          </rPr>
          <t>二</t>
        </r>
        <r>
          <rPr>
            <sz val="9"/>
            <color indexed="81"/>
            <rFont val="Tahoma"/>
            <family val="2"/>
          </rPr>
          <t>)</t>
        </r>
        <r>
          <rPr>
            <sz val="9"/>
            <color indexed="81"/>
            <rFont val="細明體"/>
            <family val="3"/>
            <charset val="136"/>
          </rPr>
          <t>剪力牆</t>
        </r>
        <r>
          <rPr>
            <sz val="9"/>
            <color indexed="81"/>
            <rFont val="Tahoma"/>
            <family val="2"/>
          </rPr>
          <t>(</t>
        </r>
        <r>
          <rPr>
            <sz val="9"/>
            <color indexed="81"/>
            <rFont val="細明體"/>
            <family val="3"/>
            <charset val="136"/>
          </rPr>
          <t>或斜撐剛架</t>
        </r>
        <r>
          <rPr>
            <sz val="9"/>
            <color indexed="81"/>
            <rFont val="Tahoma"/>
            <family val="2"/>
          </rPr>
          <t>)</t>
        </r>
        <r>
          <rPr>
            <sz val="9"/>
            <color indexed="81"/>
            <rFont val="細明體"/>
            <family val="3"/>
            <charset val="136"/>
          </rPr>
          <t>與韌性立體剛構架分開作用，剪力牆</t>
        </r>
        <r>
          <rPr>
            <sz val="9"/>
            <color indexed="81"/>
            <rFont val="Tahoma"/>
            <family val="2"/>
          </rPr>
          <t>(</t>
        </r>
        <r>
          <rPr>
            <sz val="9"/>
            <color indexed="81"/>
            <rFont val="細明體"/>
            <family val="3"/>
            <charset val="136"/>
          </rPr>
          <t>或斜撐剛架</t>
        </r>
        <r>
          <rPr>
            <sz val="9"/>
            <color indexed="81"/>
            <rFont val="Tahoma"/>
            <family val="2"/>
          </rPr>
          <t>)</t>
        </r>
        <r>
          <rPr>
            <sz val="9"/>
            <color indexed="81"/>
            <rFont val="細明體"/>
            <family val="3"/>
            <charset val="136"/>
          </rPr>
          <t xml:space="preserve">應扺禦全部橫力。
</t>
        </r>
        <r>
          <rPr>
            <sz val="9"/>
            <color indexed="81"/>
            <rFont val="Tahoma"/>
            <family val="2"/>
          </rPr>
          <t xml:space="preserve">    (</t>
        </r>
        <r>
          <rPr>
            <sz val="9"/>
            <color indexed="81"/>
            <rFont val="細明體"/>
            <family val="3"/>
            <charset val="136"/>
          </rPr>
          <t>三</t>
        </r>
        <r>
          <rPr>
            <sz val="9"/>
            <color indexed="81"/>
            <rFont val="Tahoma"/>
            <family val="2"/>
          </rPr>
          <t>)</t>
        </r>
        <r>
          <rPr>
            <sz val="9"/>
            <color indexed="81"/>
            <rFont val="細明體"/>
            <family val="3"/>
            <charset val="136"/>
          </rPr>
          <t>韌性立體剛構架應扺禦全部橫力四分之一以上。
三、不具完整豎向承重之立體剛構架</t>
        </r>
        <r>
          <rPr>
            <sz val="9"/>
            <color indexed="81"/>
            <rFont val="Tahoma"/>
            <family val="2"/>
          </rPr>
          <t>(</t>
        </r>
        <r>
          <rPr>
            <sz val="9"/>
            <color indexed="81"/>
            <rFont val="細明體"/>
            <family val="3"/>
            <charset val="136"/>
          </rPr>
          <t>箱式構造物</t>
        </r>
        <r>
          <rPr>
            <sz val="9"/>
            <color indexed="81"/>
            <rFont val="Tahoma"/>
            <family val="2"/>
          </rPr>
          <t>)</t>
        </r>
        <r>
          <rPr>
            <sz val="9"/>
            <color indexed="81"/>
            <rFont val="細明體"/>
            <family val="3"/>
            <charset val="136"/>
          </rPr>
          <t>，由剪力牆</t>
        </r>
        <r>
          <rPr>
            <sz val="9"/>
            <color indexed="81"/>
            <rFont val="Tahoma"/>
            <family val="2"/>
          </rPr>
          <t>(</t>
        </r>
        <r>
          <rPr>
            <sz val="9"/>
            <color indexed="81"/>
            <rFont val="細明體"/>
            <family val="3"/>
            <charset val="136"/>
          </rPr>
          <t>或斜撐剛架</t>
        </r>
        <r>
          <rPr>
            <sz val="9"/>
            <color indexed="81"/>
            <rFont val="Tahoma"/>
            <family val="2"/>
          </rPr>
          <t>)</t>
        </r>
        <r>
          <rPr>
            <sz val="9"/>
            <color indexed="81"/>
            <rFont val="細明體"/>
            <family val="3"/>
            <charset val="136"/>
          </rPr>
          <t>扺禦全部橫力者，</t>
        </r>
        <r>
          <rPr>
            <sz val="9"/>
            <color indexed="81"/>
            <rFont val="Tahoma"/>
            <family val="2"/>
          </rPr>
          <t>K=1.33</t>
        </r>
        <r>
          <rPr>
            <sz val="9"/>
            <color indexed="81"/>
            <rFont val="細明體"/>
            <family val="3"/>
            <charset val="136"/>
          </rPr>
          <t>。
四、前列以外之構造物，</t>
        </r>
        <r>
          <rPr>
            <sz val="9"/>
            <color indexed="81"/>
            <rFont val="Tahoma"/>
            <family val="2"/>
          </rPr>
          <t>K=1.00</t>
        </r>
        <r>
          <rPr>
            <sz val="9"/>
            <color indexed="81"/>
            <rFont val="細明體"/>
            <family val="3"/>
            <charset val="136"/>
          </rPr>
          <t xml:space="preserve">。
</t>
        </r>
      </text>
    </comment>
    <comment ref="N14" authorId="0" shapeId="0" xr:uid="{F327DD29-0EDF-4D5C-9C8E-16ABC4BBFB12}">
      <text>
        <r>
          <rPr>
            <sz val="9"/>
            <color indexed="81"/>
            <rFont val="細明體"/>
            <family val="3"/>
            <charset val="136"/>
          </rPr>
          <t>一、僅具韌性立體剛構架，並由其扺禦全部橫力者，</t>
        </r>
        <r>
          <rPr>
            <sz val="9"/>
            <color indexed="81"/>
            <rFont val="Tahoma"/>
            <family val="2"/>
          </rPr>
          <t>K=0.67</t>
        </r>
        <r>
          <rPr>
            <sz val="9"/>
            <color indexed="81"/>
            <rFont val="細明體"/>
            <family val="3"/>
            <charset val="136"/>
          </rPr>
          <t>。
二、韌性立體剛構架與剪力牆</t>
        </r>
        <r>
          <rPr>
            <sz val="9"/>
            <color indexed="81"/>
            <rFont val="Tahoma"/>
            <family val="2"/>
          </rPr>
          <t>(</t>
        </r>
        <r>
          <rPr>
            <sz val="9"/>
            <color indexed="81"/>
            <rFont val="細明體"/>
            <family val="3"/>
            <charset val="136"/>
          </rPr>
          <t>或斜撐剛架</t>
        </r>
        <r>
          <rPr>
            <sz val="9"/>
            <color indexed="81"/>
            <rFont val="Tahoma"/>
            <family val="2"/>
          </rPr>
          <t>)</t>
        </r>
        <r>
          <rPr>
            <sz val="9"/>
            <color indexed="81"/>
            <rFont val="細明體"/>
            <family val="3"/>
            <charset val="136"/>
          </rPr>
          <t>共同存在，並依下列規定者，</t>
        </r>
        <r>
          <rPr>
            <sz val="9"/>
            <color indexed="81"/>
            <rFont val="Tahoma"/>
            <family val="2"/>
          </rPr>
          <t>K=0.80</t>
        </r>
        <r>
          <rPr>
            <sz val="9"/>
            <color indexed="81"/>
            <rFont val="細明體"/>
            <family val="3"/>
            <charset val="136"/>
          </rPr>
          <t xml:space="preserve">。
</t>
        </r>
        <r>
          <rPr>
            <sz val="9"/>
            <color indexed="81"/>
            <rFont val="Tahoma"/>
            <family val="2"/>
          </rPr>
          <t xml:space="preserve">    (</t>
        </r>
        <r>
          <rPr>
            <sz val="9"/>
            <color indexed="81"/>
            <rFont val="細明體"/>
            <family val="3"/>
            <charset val="136"/>
          </rPr>
          <t>一</t>
        </r>
        <r>
          <rPr>
            <sz val="9"/>
            <color indexed="81"/>
            <rFont val="Tahoma"/>
            <family val="2"/>
          </rPr>
          <t>)</t>
        </r>
        <r>
          <rPr>
            <sz val="9"/>
            <color indexed="81"/>
            <rFont val="細明體"/>
            <family val="3"/>
            <charset val="136"/>
          </rPr>
          <t>剛構架與剪力牆</t>
        </r>
        <r>
          <rPr>
            <sz val="9"/>
            <color indexed="81"/>
            <rFont val="Tahoma"/>
            <family val="2"/>
          </rPr>
          <t>(</t>
        </r>
        <r>
          <rPr>
            <sz val="9"/>
            <color indexed="81"/>
            <rFont val="細明體"/>
            <family val="3"/>
            <charset val="136"/>
          </rPr>
          <t>或斜撐剛架</t>
        </r>
        <r>
          <rPr>
            <sz val="9"/>
            <color indexed="81"/>
            <rFont val="Tahoma"/>
            <family val="2"/>
          </rPr>
          <t>)</t>
        </r>
        <r>
          <rPr>
            <sz val="9"/>
            <color indexed="81"/>
            <rFont val="細明體"/>
            <family val="3"/>
            <charset val="136"/>
          </rPr>
          <t xml:space="preserve">具互制作用，且依其剛度比，共同抵禦全部橫力。
</t>
        </r>
        <r>
          <rPr>
            <sz val="9"/>
            <color indexed="81"/>
            <rFont val="Tahoma"/>
            <family val="2"/>
          </rPr>
          <t xml:space="preserve">    (</t>
        </r>
        <r>
          <rPr>
            <sz val="9"/>
            <color indexed="81"/>
            <rFont val="細明體"/>
            <family val="3"/>
            <charset val="136"/>
          </rPr>
          <t>二</t>
        </r>
        <r>
          <rPr>
            <sz val="9"/>
            <color indexed="81"/>
            <rFont val="Tahoma"/>
            <family val="2"/>
          </rPr>
          <t>)</t>
        </r>
        <r>
          <rPr>
            <sz val="9"/>
            <color indexed="81"/>
            <rFont val="細明體"/>
            <family val="3"/>
            <charset val="136"/>
          </rPr>
          <t>剪力牆</t>
        </r>
        <r>
          <rPr>
            <sz val="9"/>
            <color indexed="81"/>
            <rFont val="Tahoma"/>
            <family val="2"/>
          </rPr>
          <t>(</t>
        </r>
        <r>
          <rPr>
            <sz val="9"/>
            <color indexed="81"/>
            <rFont val="細明體"/>
            <family val="3"/>
            <charset val="136"/>
          </rPr>
          <t>或斜撐剛架</t>
        </r>
        <r>
          <rPr>
            <sz val="9"/>
            <color indexed="81"/>
            <rFont val="Tahoma"/>
            <family val="2"/>
          </rPr>
          <t>)</t>
        </r>
        <r>
          <rPr>
            <sz val="9"/>
            <color indexed="81"/>
            <rFont val="細明體"/>
            <family val="3"/>
            <charset val="136"/>
          </rPr>
          <t>與韌性立體剛構架分開作用，剪力牆</t>
        </r>
        <r>
          <rPr>
            <sz val="9"/>
            <color indexed="81"/>
            <rFont val="Tahoma"/>
            <family val="2"/>
          </rPr>
          <t>(</t>
        </r>
        <r>
          <rPr>
            <sz val="9"/>
            <color indexed="81"/>
            <rFont val="細明體"/>
            <family val="3"/>
            <charset val="136"/>
          </rPr>
          <t>或斜撐剛架</t>
        </r>
        <r>
          <rPr>
            <sz val="9"/>
            <color indexed="81"/>
            <rFont val="Tahoma"/>
            <family val="2"/>
          </rPr>
          <t>)</t>
        </r>
        <r>
          <rPr>
            <sz val="9"/>
            <color indexed="81"/>
            <rFont val="細明體"/>
            <family val="3"/>
            <charset val="136"/>
          </rPr>
          <t xml:space="preserve">應扺禦全部橫力。
</t>
        </r>
        <r>
          <rPr>
            <sz val="9"/>
            <color indexed="81"/>
            <rFont val="Tahoma"/>
            <family val="2"/>
          </rPr>
          <t xml:space="preserve">    (</t>
        </r>
        <r>
          <rPr>
            <sz val="9"/>
            <color indexed="81"/>
            <rFont val="細明體"/>
            <family val="3"/>
            <charset val="136"/>
          </rPr>
          <t>三</t>
        </r>
        <r>
          <rPr>
            <sz val="9"/>
            <color indexed="81"/>
            <rFont val="Tahoma"/>
            <family val="2"/>
          </rPr>
          <t>)</t>
        </r>
        <r>
          <rPr>
            <sz val="9"/>
            <color indexed="81"/>
            <rFont val="細明體"/>
            <family val="3"/>
            <charset val="136"/>
          </rPr>
          <t>韌性立體剛構架應扺禦全部橫力四分之一以上。
三、不具完整豎向承重之立體剛構架</t>
        </r>
        <r>
          <rPr>
            <sz val="9"/>
            <color indexed="81"/>
            <rFont val="Tahoma"/>
            <family val="2"/>
          </rPr>
          <t>(</t>
        </r>
        <r>
          <rPr>
            <sz val="9"/>
            <color indexed="81"/>
            <rFont val="細明體"/>
            <family val="3"/>
            <charset val="136"/>
          </rPr>
          <t>箱式構造物</t>
        </r>
        <r>
          <rPr>
            <sz val="9"/>
            <color indexed="81"/>
            <rFont val="Tahoma"/>
            <family val="2"/>
          </rPr>
          <t>)</t>
        </r>
        <r>
          <rPr>
            <sz val="9"/>
            <color indexed="81"/>
            <rFont val="細明體"/>
            <family val="3"/>
            <charset val="136"/>
          </rPr>
          <t>，由剪力牆</t>
        </r>
        <r>
          <rPr>
            <sz val="9"/>
            <color indexed="81"/>
            <rFont val="Tahoma"/>
            <family val="2"/>
          </rPr>
          <t>(</t>
        </r>
        <r>
          <rPr>
            <sz val="9"/>
            <color indexed="81"/>
            <rFont val="細明體"/>
            <family val="3"/>
            <charset val="136"/>
          </rPr>
          <t>或斜撐剛架</t>
        </r>
        <r>
          <rPr>
            <sz val="9"/>
            <color indexed="81"/>
            <rFont val="Tahoma"/>
            <family val="2"/>
          </rPr>
          <t>)</t>
        </r>
        <r>
          <rPr>
            <sz val="9"/>
            <color indexed="81"/>
            <rFont val="細明體"/>
            <family val="3"/>
            <charset val="136"/>
          </rPr>
          <t>扺禦全部橫力者，</t>
        </r>
        <r>
          <rPr>
            <sz val="9"/>
            <color indexed="81"/>
            <rFont val="Tahoma"/>
            <family val="2"/>
          </rPr>
          <t>K=1.33</t>
        </r>
        <r>
          <rPr>
            <sz val="9"/>
            <color indexed="81"/>
            <rFont val="細明體"/>
            <family val="3"/>
            <charset val="136"/>
          </rPr>
          <t>。
四、前列以外之構造物，</t>
        </r>
        <r>
          <rPr>
            <sz val="9"/>
            <color indexed="81"/>
            <rFont val="Tahoma"/>
            <family val="2"/>
          </rPr>
          <t>K=1.00</t>
        </r>
        <r>
          <rPr>
            <sz val="9"/>
            <color indexed="81"/>
            <rFont val="細明體"/>
            <family val="3"/>
            <charset val="136"/>
          </rPr>
          <t xml:space="preserve">。
</t>
        </r>
      </text>
    </comment>
  </commentList>
</comments>
</file>

<file path=xl/sharedStrings.xml><?xml version="1.0" encoding="utf-8"?>
<sst xmlns="http://schemas.openxmlformats.org/spreadsheetml/2006/main" count="7466" uniqueCount="1828">
  <si>
    <t>T</t>
    <phoneticPr fontId="7" type="noConversion"/>
  </si>
  <si>
    <t>RS</t>
    <phoneticPr fontId="7" type="noConversion"/>
  </si>
  <si>
    <t>表2-2(a)</t>
  </si>
  <si>
    <t>短週期結構之工址放大係數Fa</t>
  </si>
  <si>
    <t>(線性內插求值)</t>
  </si>
  <si>
    <t>地盤分類</t>
  </si>
  <si>
    <t>SS&lt;=0.5</t>
  </si>
  <si>
    <t>SS=0.6</t>
  </si>
  <si>
    <t>SS=0.7</t>
  </si>
  <si>
    <t>SS=0.8</t>
  </si>
  <si>
    <t>SS&gt;=0.9</t>
  </si>
  <si>
    <t>第一類地盤</t>
  </si>
  <si>
    <t>第二類地盤</t>
  </si>
  <si>
    <t>第三類地盤</t>
  </si>
  <si>
    <t>表2-2(b)</t>
  </si>
  <si>
    <t>長週期結構之工址放大係數Fv</t>
  </si>
  <si>
    <t>S1&lt;=0.30</t>
  </si>
  <si>
    <t>S1=0.35</t>
  </si>
  <si>
    <t>S1=0.40</t>
  </si>
  <si>
    <t>S1=0.45</t>
  </si>
  <si>
    <t>S1&gt;=0.50</t>
  </si>
  <si>
    <r>
      <rPr>
        <sz val="12"/>
        <rFont val="Arial"/>
        <family val="2"/>
      </rPr>
      <t>縣市</t>
    </r>
    <phoneticPr fontId="7" type="noConversion"/>
  </si>
  <si>
    <r>
      <rPr>
        <sz val="12"/>
        <rFont val="Arial"/>
        <family val="2"/>
      </rPr>
      <t>行政區</t>
    </r>
    <phoneticPr fontId="7" type="noConversion"/>
  </si>
  <si>
    <r>
      <t>V</t>
    </r>
    <r>
      <rPr>
        <vertAlign val="subscript"/>
        <sz val="12"/>
        <rFont val="Times New Roman"/>
        <family val="1"/>
      </rPr>
      <t>10</t>
    </r>
    <r>
      <rPr>
        <sz val="12"/>
        <rFont val="Times New Roman"/>
        <family val="1"/>
      </rPr>
      <t>(C)</t>
    </r>
    <phoneticPr fontId="7" type="noConversion"/>
  </si>
  <si>
    <r>
      <rPr>
        <sz val="12"/>
        <rFont val="Arial"/>
        <family val="2"/>
      </rPr>
      <t>郵遞區號</t>
    </r>
    <phoneticPr fontId="7" type="noConversion"/>
  </si>
  <si>
    <r>
      <rPr>
        <b/>
        <sz val="12"/>
        <rFont val="新細明體"/>
        <family val="1"/>
        <charset val="136"/>
      </rPr>
      <t>大同區</t>
    </r>
    <phoneticPr fontId="7" type="noConversion"/>
  </si>
  <si>
    <r>
      <rPr>
        <b/>
        <sz val="12"/>
        <rFont val="新細明體"/>
        <family val="1"/>
        <charset val="136"/>
      </rPr>
      <t>新北市</t>
    </r>
    <phoneticPr fontId="7" type="noConversion"/>
  </si>
  <si>
    <r>
      <rPr>
        <b/>
        <sz val="12"/>
        <rFont val="新細明體"/>
        <family val="1"/>
        <charset val="136"/>
      </rPr>
      <t>南港區</t>
    </r>
    <phoneticPr fontId="7" type="noConversion"/>
  </si>
  <si>
    <r>
      <rPr>
        <b/>
        <sz val="12"/>
        <rFont val="新細明體"/>
        <family val="1"/>
        <charset val="136"/>
      </rPr>
      <t>文山區</t>
    </r>
    <phoneticPr fontId="7" type="noConversion"/>
  </si>
  <si>
    <r>
      <rPr>
        <b/>
        <sz val="12"/>
        <rFont val="新細明體"/>
        <family val="1"/>
        <charset val="136"/>
      </rPr>
      <t>新店區</t>
    </r>
    <phoneticPr fontId="7" type="noConversion"/>
  </si>
  <si>
    <r>
      <rPr>
        <b/>
        <sz val="12"/>
        <rFont val="新細明體"/>
        <family val="1"/>
        <charset val="136"/>
      </rPr>
      <t>永和區</t>
    </r>
    <phoneticPr fontId="7" type="noConversion"/>
  </si>
  <si>
    <r>
      <rPr>
        <b/>
        <sz val="12"/>
        <rFont val="新細明體"/>
        <family val="1"/>
        <charset val="136"/>
      </rPr>
      <t>中和區</t>
    </r>
    <phoneticPr fontId="7" type="noConversion"/>
  </si>
  <si>
    <r>
      <rPr>
        <b/>
        <sz val="12"/>
        <rFont val="新細明體"/>
        <family val="1"/>
        <charset val="136"/>
      </rPr>
      <t>土城區</t>
    </r>
    <phoneticPr fontId="7" type="noConversion"/>
  </si>
  <si>
    <r>
      <rPr>
        <b/>
        <sz val="12"/>
        <rFont val="新細明體"/>
        <family val="1"/>
        <charset val="136"/>
      </rPr>
      <t>樹林區</t>
    </r>
    <phoneticPr fontId="7" type="noConversion"/>
  </si>
  <si>
    <r>
      <rPr>
        <b/>
        <sz val="12"/>
        <rFont val="新細明體"/>
        <family val="1"/>
        <charset val="136"/>
      </rPr>
      <t>三重區</t>
    </r>
    <phoneticPr fontId="7" type="noConversion"/>
  </si>
  <si>
    <r>
      <rPr>
        <b/>
        <sz val="12"/>
        <rFont val="新細明體"/>
        <family val="1"/>
        <charset val="136"/>
      </rPr>
      <t>新莊區</t>
    </r>
    <phoneticPr fontId="7" type="noConversion"/>
  </si>
  <si>
    <r>
      <rPr>
        <b/>
        <sz val="12"/>
        <rFont val="新細明體"/>
        <family val="1"/>
        <charset val="136"/>
      </rPr>
      <t>泰山區</t>
    </r>
    <phoneticPr fontId="7" type="noConversion"/>
  </si>
  <si>
    <r>
      <rPr>
        <b/>
        <sz val="12"/>
        <rFont val="新細明體"/>
        <family val="1"/>
        <charset val="136"/>
      </rPr>
      <t>蘆洲區</t>
    </r>
    <phoneticPr fontId="7" type="noConversion"/>
  </si>
  <si>
    <r>
      <rPr>
        <b/>
        <sz val="12"/>
        <rFont val="新細明體"/>
        <family val="1"/>
        <charset val="136"/>
      </rPr>
      <t>五股區</t>
    </r>
    <phoneticPr fontId="7" type="noConversion"/>
  </si>
  <si>
    <t>縣市</t>
    <phoneticPr fontId="7" type="noConversion"/>
  </si>
  <si>
    <t>鄉鎮市區</t>
    <phoneticPr fontId="7" type="noConversion"/>
  </si>
  <si>
    <t>斷層名稱</t>
    <phoneticPr fontId="7" type="noConversion"/>
  </si>
  <si>
    <t>Z(建技78)</t>
    <phoneticPr fontId="7" type="noConversion"/>
  </si>
  <si>
    <t>基隆市</t>
    <phoneticPr fontId="7" type="noConversion"/>
  </si>
  <si>
    <t>中正區</t>
    <phoneticPr fontId="7" type="noConversion"/>
  </si>
  <si>
    <t>七堵區</t>
    <phoneticPr fontId="7" type="noConversion"/>
  </si>
  <si>
    <t>暖暖區</t>
    <phoneticPr fontId="7" type="noConversion"/>
  </si>
  <si>
    <t>仁愛區</t>
    <phoneticPr fontId="7" type="noConversion"/>
  </si>
  <si>
    <t>中山區</t>
    <phoneticPr fontId="7" type="noConversion"/>
  </si>
  <si>
    <t>安樂區</t>
    <phoneticPr fontId="7" type="noConversion"/>
  </si>
  <si>
    <t>信義區</t>
    <phoneticPr fontId="7" type="noConversion"/>
  </si>
  <si>
    <t>宜蘭縣</t>
    <phoneticPr fontId="7" type="noConversion"/>
  </si>
  <si>
    <t>宜蘭市</t>
    <phoneticPr fontId="7" type="noConversion"/>
  </si>
  <si>
    <t>羅東鎮</t>
    <phoneticPr fontId="7" type="noConversion"/>
  </si>
  <si>
    <t>蘇澳鎮</t>
    <phoneticPr fontId="7" type="noConversion"/>
  </si>
  <si>
    <t>頭城鎮</t>
    <phoneticPr fontId="7" type="noConversion"/>
  </si>
  <si>
    <t>礁溪鎮</t>
    <phoneticPr fontId="7" type="noConversion"/>
  </si>
  <si>
    <t>壯圍鄉</t>
    <phoneticPr fontId="7" type="noConversion"/>
  </si>
  <si>
    <t>員山鄉</t>
    <phoneticPr fontId="7" type="noConversion"/>
  </si>
  <si>
    <t>冬山鄉</t>
    <phoneticPr fontId="7" type="noConversion"/>
  </si>
  <si>
    <t>五結鄉</t>
    <phoneticPr fontId="7" type="noConversion"/>
  </si>
  <si>
    <t>三星鄉</t>
    <phoneticPr fontId="7" type="noConversion"/>
  </si>
  <si>
    <t>大同鄉</t>
    <phoneticPr fontId="7" type="noConversion"/>
  </si>
  <si>
    <t>南澳鄉</t>
    <phoneticPr fontId="7" type="noConversion"/>
  </si>
  <si>
    <t>新竹縣</t>
    <phoneticPr fontId="7" type="noConversion"/>
  </si>
  <si>
    <t>竹北市</t>
    <phoneticPr fontId="7" type="noConversion"/>
  </si>
  <si>
    <t>竹東鎮</t>
    <phoneticPr fontId="7" type="noConversion"/>
  </si>
  <si>
    <t>新埔鎮</t>
    <phoneticPr fontId="7" type="noConversion"/>
  </si>
  <si>
    <t>關西鎮</t>
    <phoneticPr fontId="7" type="noConversion"/>
  </si>
  <si>
    <t>湖口鄉</t>
    <phoneticPr fontId="7" type="noConversion"/>
  </si>
  <si>
    <t>新豐鄉</t>
    <phoneticPr fontId="7" type="noConversion"/>
  </si>
  <si>
    <t>芎林鄉</t>
    <phoneticPr fontId="7" type="noConversion"/>
  </si>
  <si>
    <t>橫山鄉</t>
    <phoneticPr fontId="7" type="noConversion"/>
  </si>
  <si>
    <t>北埔鄉</t>
    <phoneticPr fontId="7" type="noConversion"/>
  </si>
  <si>
    <t>獅潭與神卓山斷層</t>
    <phoneticPr fontId="7" type="noConversion"/>
  </si>
  <si>
    <t>寶山鄉</t>
    <phoneticPr fontId="7" type="noConversion"/>
  </si>
  <si>
    <t>峨嵋鄉</t>
    <phoneticPr fontId="7" type="noConversion"/>
  </si>
  <si>
    <t>尖石鄉</t>
    <phoneticPr fontId="7" type="noConversion"/>
  </si>
  <si>
    <t>五峰鄉</t>
    <phoneticPr fontId="7" type="noConversion"/>
  </si>
  <si>
    <t>苗栗縣</t>
    <phoneticPr fontId="7" type="noConversion"/>
  </si>
  <si>
    <t>苗栗市</t>
    <phoneticPr fontId="7" type="noConversion"/>
  </si>
  <si>
    <t>苑裡鎮</t>
    <phoneticPr fontId="7" type="noConversion"/>
  </si>
  <si>
    <t>車籠埔斷層</t>
    <phoneticPr fontId="7" type="noConversion"/>
  </si>
  <si>
    <t>通宵鎮</t>
    <phoneticPr fontId="7" type="noConversion"/>
  </si>
  <si>
    <t>竹南鎮</t>
    <phoneticPr fontId="7" type="noConversion"/>
  </si>
  <si>
    <t>頭份鎮</t>
    <phoneticPr fontId="7" type="noConversion"/>
  </si>
  <si>
    <t>後龍鎮</t>
    <phoneticPr fontId="7" type="noConversion"/>
  </si>
  <si>
    <t>卓蘭鎮</t>
    <phoneticPr fontId="7" type="noConversion"/>
  </si>
  <si>
    <t>大湖鄉</t>
    <phoneticPr fontId="7" type="noConversion"/>
  </si>
  <si>
    <t>公館鄉</t>
    <phoneticPr fontId="7" type="noConversion"/>
  </si>
  <si>
    <t>銅鑼鄉</t>
    <phoneticPr fontId="7" type="noConversion"/>
  </si>
  <si>
    <t>南庄鄉</t>
    <phoneticPr fontId="7" type="noConversion"/>
  </si>
  <si>
    <t>頭屋鄉</t>
    <phoneticPr fontId="7" type="noConversion"/>
  </si>
  <si>
    <t>三義鄉</t>
    <phoneticPr fontId="7" type="noConversion"/>
  </si>
  <si>
    <t>西湖鄉</t>
    <phoneticPr fontId="7" type="noConversion"/>
  </si>
  <si>
    <t>造橋鄉</t>
    <phoneticPr fontId="7" type="noConversion"/>
  </si>
  <si>
    <t>三灣鄉</t>
    <phoneticPr fontId="7" type="noConversion"/>
  </si>
  <si>
    <t>獅潭鄉</t>
    <phoneticPr fontId="7" type="noConversion"/>
  </si>
  <si>
    <t>泰安鄉</t>
    <phoneticPr fontId="7" type="noConversion"/>
  </si>
  <si>
    <t>台中市</t>
    <phoneticPr fontId="7" type="noConversion"/>
  </si>
  <si>
    <t>豐原區</t>
    <phoneticPr fontId="7" type="noConversion"/>
  </si>
  <si>
    <t>東勢區</t>
    <phoneticPr fontId="7" type="noConversion"/>
  </si>
  <si>
    <t>大甲區</t>
    <phoneticPr fontId="7" type="noConversion"/>
  </si>
  <si>
    <t>清水區</t>
    <phoneticPr fontId="7" type="noConversion"/>
  </si>
  <si>
    <t>沙鹿區</t>
    <phoneticPr fontId="7" type="noConversion"/>
  </si>
  <si>
    <t>梧棲區</t>
    <phoneticPr fontId="7" type="noConversion"/>
  </si>
  <si>
    <t>后里區</t>
    <phoneticPr fontId="7" type="noConversion"/>
  </si>
  <si>
    <t>神岡區</t>
    <phoneticPr fontId="7" type="noConversion"/>
  </si>
  <si>
    <t>潭子區</t>
    <phoneticPr fontId="7" type="noConversion"/>
  </si>
  <si>
    <t>大雅區</t>
    <phoneticPr fontId="7" type="noConversion"/>
  </si>
  <si>
    <t>新社區</t>
    <phoneticPr fontId="7" type="noConversion"/>
  </si>
  <si>
    <t>石岡區</t>
    <phoneticPr fontId="7" type="noConversion"/>
  </si>
  <si>
    <t>外埔區</t>
    <phoneticPr fontId="7" type="noConversion"/>
  </si>
  <si>
    <t>大安區</t>
    <phoneticPr fontId="7" type="noConversion"/>
  </si>
  <si>
    <t>烏日區</t>
    <phoneticPr fontId="7" type="noConversion"/>
  </si>
  <si>
    <t>大肚區</t>
    <phoneticPr fontId="7" type="noConversion"/>
  </si>
  <si>
    <t>龍井區</t>
    <phoneticPr fontId="7" type="noConversion"/>
  </si>
  <si>
    <t>霧峰區</t>
    <phoneticPr fontId="7" type="noConversion"/>
  </si>
  <si>
    <t>太平區</t>
    <phoneticPr fontId="7" type="noConversion"/>
  </si>
  <si>
    <t>大里區</t>
    <phoneticPr fontId="7" type="noConversion"/>
  </si>
  <si>
    <t>和平區</t>
    <phoneticPr fontId="7" type="noConversion"/>
  </si>
  <si>
    <t>中區</t>
    <phoneticPr fontId="7" type="noConversion"/>
  </si>
  <si>
    <t>西屯區</t>
    <phoneticPr fontId="7" type="noConversion"/>
  </si>
  <si>
    <t>南屯區</t>
    <phoneticPr fontId="7" type="noConversion"/>
  </si>
  <si>
    <t>北屯區</t>
    <phoneticPr fontId="7" type="noConversion"/>
  </si>
  <si>
    <t>彰化縣</t>
    <phoneticPr fontId="7" type="noConversion"/>
  </si>
  <si>
    <t>彰化市</t>
    <phoneticPr fontId="7" type="noConversion"/>
  </si>
  <si>
    <t>鹿港鎮</t>
    <phoneticPr fontId="7" type="noConversion"/>
  </si>
  <si>
    <t>和美鎮</t>
    <phoneticPr fontId="7" type="noConversion"/>
  </si>
  <si>
    <t>線西鄉</t>
    <phoneticPr fontId="7" type="noConversion"/>
  </si>
  <si>
    <t>伸港鄉</t>
    <phoneticPr fontId="7" type="noConversion"/>
  </si>
  <si>
    <t>福興鄉</t>
    <phoneticPr fontId="7" type="noConversion"/>
  </si>
  <si>
    <t>秀水鄉</t>
    <phoneticPr fontId="7" type="noConversion"/>
  </si>
  <si>
    <t>花壇鄉</t>
    <phoneticPr fontId="7" type="noConversion"/>
  </si>
  <si>
    <t>芬園鄉</t>
    <phoneticPr fontId="7" type="noConversion"/>
  </si>
  <si>
    <t>溪湖鎮</t>
    <phoneticPr fontId="7" type="noConversion"/>
  </si>
  <si>
    <t>田中鎮</t>
    <phoneticPr fontId="7" type="noConversion"/>
  </si>
  <si>
    <t>大村鄉</t>
    <phoneticPr fontId="7" type="noConversion"/>
  </si>
  <si>
    <t>埔鹽鄉</t>
    <phoneticPr fontId="7" type="noConversion"/>
  </si>
  <si>
    <t>埔心鄉</t>
    <phoneticPr fontId="7" type="noConversion"/>
  </si>
  <si>
    <t>永靖鄉</t>
    <phoneticPr fontId="7" type="noConversion"/>
  </si>
  <si>
    <t>社頭鄉</t>
    <phoneticPr fontId="7" type="noConversion"/>
  </si>
  <si>
    <t>二水鄉</t>
    <phoneticPr fontId="7" type="noConversion"/>
  </si>
  <si>
    <t>北斗鎮</t>
    <phoneticPr fontId="7" type="noConversion"/>
  </si>
  <si>
    <t>二林鎮</t>
    <phoneticPr fontId="7" type="noConversion"/>
  </si>
  <si>
    <t>田尾鄉</t>
    <phoneticPr fontId="7" type="noConversion"/>
  </si>
  <si>
    <t>埤頭鄉</t>
    <phoneticPr fontId="7" type="noConversion"/>
  </si>
  <si>
    <t>芳苑鄉</t>
    <phoneticPr fontId="7" type="noConversion"/>
  </si>
  <si>
    <t>大城鄉</t>
    <phoneticPr fontId="7" type="noConversion"/>
  </si>
  <si>
    <t>竹塘鄉</t>
    <phoneticPr fontId="7" type="noConversion"/>
  </si>
  <si>
    <t>溪州鄉</t>
    <phoneticPr fontId="7" type="noConversion"/>
  </si>
  <si>
    <t>南投縣</t>
    <phoneticPr fontId="7" type="noConversion"/>
  </si>
  <si>
    <t>南投市</t>
    <phoneticPr fontId="7" type="noConversion"/>
  </si>
  <si>
    <t>埔里鎮</t>
    <phoneticPr fontId="7" type="noConversion"/>
  </si>
  <si>
    <t>草屯鎮</t>
    <phoneticPr fontId="7" type="noConversion"/>
  </si>
  <si>
    <t>竹山鎮</t>
    <phoneticPr fontId="7" type="noConversion"/>
  </si>
  <si>
    <t>大尖山與觸口斷層</t>
  </si>
  <si>
    <t>集集鎮</t>
    <phoneticPr fontId="7" type="noConversion"/>
  </si>
  <si>
    <t>名間鄉</t>
    <phoneticPr fontId="7" type="noConversion"/>
  </si>
  <si>
    <t>鹿谷鄉</t>
    <phoneticPr fontId="7" type="noConversion"/>
  </si>
  <si>
    <t>中寮鄉</t>
    <phoneticPr fontId="7" type="noConversion"/>
  </si>
  <si>
    <t>魚池鄉</t>
    <phoneticPr fontId="7" type="noConversion"/>
  </si>
  <si>
    <t>國姓鄉</t>
    <phoneticPr fontId="7" type="noConversion"/>
  </si>
  <si>
    <t>水里鄉</t>
    <phoneticPr fontId="7" type="noConversion"/>
  </si>
  <si>
    <t>信義鄉</t>
    <phoneticPr fontId="7" type="noConversion"/>
  </si>
  <si>
    <t>仁愛鄉</t>
    <phoneticPr fontId="7" type="noConversion"/>
  </si>
  <si>
    <t>雲林縣</t>
    <phoneticPr fontId="7" type="noConversion"/>
  </si>
  <si>
    <t>斗六市</t>
    <phoneticPr fontId="7" type="noConversion"/>
  </si>
  <si>
    <t>斗南鎮</t>
    <phoneticPr fontId="7" type="noConversion"/>
  </si>
  <si>
    <t>梅山斷層</t>
    <phoneticPr fontId="7" type="noConversion"/>
  </si>
  <si>
    <t>虎尾鎮</t>
    <phoneticPr fontId="7" type="noConversion"/>
  </si>
  <si>
    <t>西螺鎮</t>
    <phoneticPr fontId="7" type="noConversion"/>
  </si>
  <si>
    <t>土庫鎮</t>
    <phoneticPr fontId="7" type="noConversion"/>
  </si>
  <si>
    <t>北港鎮</t>
    <phoneticPr fontId="7" type="noConversion"/>
  </si>
  <si>
    <t>古坑鄉</t>
    <phoneticPr fontId="7" type="noConversion"/>
  </si>
  <si>
    <t>大埤鄉</t>
    <phoneticPr fontId="7" type="noConversion"/>
  </si>
  <si>
    <t>莿桐鄉</t>
    <phoneticPr fontId="7" type="noConversion"/>
  </si>
  <si>
    <t>林內鄉</t>
    <phoneticPr fontId="7" type="noConversion"/>
  </si>
  <si>
    <t>二崙鄉</t>
    <phoneticPr fontId="7" type="noConversion"/>
  </si>
  <si>
    <t>崙背鄉</t>
    <phoneticPr fontId="7" type="noConversion"/>
  </si>
  <si>
    <t>麥寮鄉</t>
    <phoneticPr fontId="7" type="noConversion"/>
  </si>
  <si>
    <t>東勢鄉</t>
    <phoneticPr fontId="7" type="noConversion"/>
  </si>
  <si>
    <t>褒忠鄉</t>
    <phoneticPr fontId="7" type="noConversion"/>
  </si>
  <si>
    <t>台西鄉</t>
    <phoneticPr fontId="7" type="noConversion"/>
  </si>
  <si>
    <t>元長鄉</t>
    <phoneticPr fontId="7" type="noConversion"/>
  </si>
  <si>
    <t>四湖鄉</t>
    <phoneticPr fontId="7" type="noConversion"/>
  </si>
  <si>
    <t>口湖鄉</t>
    <phoneticPr fontId="7" type="noConversion"/>
  </si>
  <si>
    <t>水林鄉</t>
    <phoneticPr fontId="7" type="noConversion"/>
  </si>
  <si>
    <t>嘉義縣</t>
    <phoneticPr fontId="7" type="noConversion"/>
  </si>
  <si>
    <t>太保市</t>
    <phoneticPr fontId="7" type="noConversion"/>
  </si>
  <si>
    <t>朴子市</t>
    <phoneticPr fontId="7" type="noConversion"/>
  </si>
  <si>
    <t>布袋鎮</t>
    <phoneticPr fontId="7" type="noConversion"/>
  </si>
  <si>
    <t>大林鎮</t>
    <phoneticPr fontId="7" type="noConversion"/>
  </si>
  <si>
    <t>民雄鄉</t>
    <phoneticPr fontId="7" type="noConversion"/>
  </si>
  <si>
    <t>溪口鄉</t>
    <phoneticPr fontId="7" type="noConversion"/>
  </si>
  <si>
    <t>新港鄉</t>
    <phoneticPr fontId="7" type="noConversion"/>
  </si>
  <si>
    <t>六腳鄉</t>
    <phoneticPr fontId="7" type="noConversion"/>
  </si>
  <si>
    <t>東石鄉</t>
    <phoneticPr fontId="7" type="noConversion"/>
  </si>
  <si>
    <t>義竹鄉</t>
    <phoneticPr fontId="7" type="noConversion"/>
  </si>
  <si>
    <t>鹿草鄉</t>
    <phoneticPr fontId="7" type="noConversion"/>
  </si>
  <si>
    <t>水上鄉</t>
    <phoneticPr fontId="7" type="noConversion"/>
  </si>
  <si>
    <t>中埔鄉</t>
    <phoneticPr fontId="7" type="noConversion"/>
  </si>
  <si>
    <t>竹崎鄉</t>
    <phoneticPr fontId="7" type="noConversion"/>
  </si>
  <si>
    <t>梅山鄉</t>
    <phoneticPr fontId="7" type="noConversion"/>
  </si>
  <si>
    <t>番路鄉</t>
    <phoneticPr fontId="7" type="noConversion"/>
  </si>
  <si>
    <t>大埔鄉</t>
    <phoneticPr fontId="7" type="noConversion"/>
  </si>
  <si>
    <t>阿里山鄉</t>
    <phoneticPr fontId="7" type="noConversion"/>
  </si>
  <si>
    <t>嘉義市</t>
    <phoneticPr fontId="7" type="noConversion"/>
  </si>
  <si>
    <t>台南市</t>
    <phoneticPr fontId="7" type="noConversion"/>
  </si>
  <si>
    <t>新營區</t>
    <phoneticPr fontId="7" type="noConversion"/>
  </si>
  <si>
    <t>鹽水區</t>
    <phoneticPr fontId="7" type="noConversion"/>
  </si>
  <si>
    <t>白河區</t>
    <phoneticPr fontId="7" type="noConversion"/>
  </si>
  <si>
    <t>柳營區</t>
    <phoneticPr fontId="7" type="noConversion"/>
  </si>
  <si>
    <t>後壁區</t>
    <phoneticPr fontId="7" type="noConversion"/>
  </si>
  <si>
    <t>東山區</t>
    <phoneticPr fontId="7" type="noConversion"/>
  </si>
  <si>
    <t>麻豆區</t>
    <phoneticPr fontId="7" type="noConversion"/>
  </si>
  <si>
    <t>下營區</t>
    <phoneticPr fontId="7" type="noConversion"/>
  </si>
  <si>
    <t>六甲區</t>
    <phoneticPr fontId="7" type="noConversion"/>
  </si>
  <si>
    <t>官田區</t>
    <phoneticPr fontId="7" type="noConversion"/>
  </si>
  <si>
    <t>大內區</t>
    <phoneticPr fontId="7" type="noConversion"/>
  </si>
  <si>
    <t>新化斷層</t>
    <phoneticPr fontId="7" type="noConversion"/>
  </si>
  <si>
    <t>佳里區</t>
    <phoneticPr fontId="7" type="noConversion"/>
  </si>
  <si>
    <t>學甲區</t>
    <phoneticPr fontId="7" type="noConversion"/>
  </si>
  <si>
    <t>西港區</t>
    <phoneticPr fontId="7" type="noConversion"/>
  </si>
  <si>
    <t>七股區</t>
    <phoneticPr fontId="7" type="noConversion"/>
  </si>
  <si>
    <t>將軍區</t>
    <phoneticPr fontId="7" type="noConversion"/>
  </si>
  <si>
    <t>北門區</t>
    <phoneticPr fontId="7" type="noConversion"/>
  </si>
  <si>
    <t>新化區</t>
    <phoneticPr fontId="7" type="noConversion"/>
  </si>
  <si>
    <t>善化區</t>
    <phoneticPr fontId="7" type="noConversion"/>
  </si>
  <si>
    <t>新市區</t>
    <phoneticPr fontId="7" type="noConversion"/>
  </si>
  <si>
    <t>安定區</t>
    <phoneticPr fontId="7" type="noConversion"/>
  </si>
  <si>
    <t>山上區</t>
    <phoneticPr fontId="7" type="noConversion"/>
  </si>
  <si>
    <t>玉井區</t>
    <phoneticPr fontId="7" type="noConversion"/>
  </si>
  <si>
    <t>楠西區</t>
    <phoneticPr fontId="7" type="noConversion"/>
  </si>
  <si>
    <t>南化區</t>
    <phoneticPr fontId="7" type="noConversion"/>
  </si>
  <si>
    <t>左鎮區</t>
    <phoneticPr fontId="7" type="noConversion"/>
  </si>
  <si>
    <t>仁德區</t>
    <phoneticPr fontId="7" type="noConversion"/>
  </si>
  <si>
    <t>歸仁區</t>
    <phoneticPr fontId="7" type="noConversion"/>
  </si>
  <si>
    <t>關廟區</t>
    <phoneticPr fontId="7" type="noConversion"/>
  </si>
  <si>
    <t>龍崎區</t>
    <phoneticPr fontId="7" type="noConversion"/>
  </si>
  <si>
    <t>永康區</t>
    <phoneticPr fontId="7" type="noConversion"/>
  </si>
  <si>
    <t>中西區</t>
    <phoneticPr fontId="7" type="noConversion"/>
  </si>
  <si>
    <t>安南區</t>
    <phoneticPr fontId="7" type="noConversion"/>
  </si>
  <si>
    <t>安平區</t>
    <phoneticPr fontId="7" type="noConversion"/>
  </si>
  <si>
    <t>高雄市</t>
    <phoneticPr fontId="7" type="noConversion"/>
  </si>
  <si>
    <t>鳳山區</t>
    <phoneticPr fontId="7" type="noConversion"/>
  </si>
  <si>
    <t>林園區</t>
    <phoneticPr fontId="7" type="noConversion"/>
  </si>
  <si>
    <t>大寮區</t>
    <phoneticPr fontId="7" type="noConversion"/>
  </si>
  <si>
    <t>大樹區</t>
    <phoneticPr fontId="7" type="noConversion"/>
  </si>
  <si>
    <t>大社區</t>
    <phoneticPr fontId="7" type="noConversion"/>
  </si>
  <si>
    <t>仁武區</t>
    <phoneticPr fontId="7" type="noConversion"/>
  </si>
  <si>
    <t>鳥松區</t>
    <phoneticPr fontId="7" type="noConversion"/>
  </si>
  <si>
    <t>岡山區</t>
    <phoneticPr fontId="7" type="noConversion"/>
  </si>
  <si>
    <t>橋頭區</t>
    <phoneticPr fontId="7" type="noConversion"/>
  </si>
  <si>
    <t>燕巢區</t>
    <phoneticPr fontId="7" type="noConversion"/>
  </si>
  <si>
    <t>田寮區</t>
    <phoneticPr fontId="7" type="noConversion"/>
  </si>
  <si>
    <t>阿蓮區</t>
    <phoneticPr fontId="7" type="noConversion"/>
  </si>
  <si>
    <t>路竹區</t>
    <phoneticPr fontId="7" type="noConversion"/>
  </si>
  <si>
    <t>湖內區</t>
    <phoneticPr fontId="7" type="noConversion"/>
  </si>
  <si>
    <t>茄萣區</t>
    <phoneticPr fontId="7" type="noConversion"/>
  </si>
  <si>
    <t>永安區</t>
    <phoneticPr fontId="7" type="noConversion"/>
  </si>
  <si>
    <t>彌陀區</t>
    <phoneticPr fontId="7" type="noConversion"/>
  </si>
  <si>
    <t>梓官區</t>
    <phoneticPr fontId="7" type="noConversion"/>
  </si>
  <si>
    <t>旗山區</t>
    <phoneticPr fontId="7" type="noConversion"/>
  </si>
  <si>
    <t>美濃區</t>
    <phoneticPr fontId="7" type="noConversion"/>
  </si>
  <si>
    <t>六龜區</t>
    <phoneticPr fontId="7" type="noConversion"/>
  </si>
  <si>
    <t>甲仙區</t>
    <phoneticPr fontId="7" type="noConversion"/>
  </si>
  <si>
    <t>杉林區</t>
    <phoneticPr fontId="7" type="noConversion"/>
  </si>
  <si>
    <t>內門區</t>
    <phoneticPr fontId="7" type="noConversion"/>
  </si>
  <si>
    <t>茂林區</t>
    <phoneticPr fontId="7" type="noConversion"/>
  </si>
  <si>
    <t>桃源區</t>
    <phoneticPr fontId="7" type="noConversion"/>
  </si>
  <si>
    <t>那瑪夏區</t>
    <phoneticPr fontId="7" type="noConversion"/>
  </si>
  <si>
    <t>鹽埕區</t>
    <phoneticPr fontId="7" type="noConversion"/>
  </si>
  <si>
    <t>鼓山區</t>
    <phoneticPr fontId="7" type="noConversion"/>
  </si>
  <si>
    <t>左營區</t>
    <phoneticPr fontId="7" type="noConversion"/>
  </si>
  <si>
    <t>楠梓區</t>
    <phoneticPr fontId="7" type="noConversion"/>
  </si>
  <si>
    <t>三民區</t>
    <phoneticPr fontId="7" type="noConversion"/>
  </si>
  <si>
    <t>新興區</t>
    <phoneticPr fontId="7" type="noConversion"/>
  </si>
  <si>
    <t>前金區</t>
    <phoneticPr fontId="7" type="noConversion"/>
  </si>
  <si>
    <t>苓雅區</t>
    <phoneticPr fontId="7" type="noConversion"/>
  </si>
  <si>
    <t>前鎮區</t>
    <phoneticPr fontId="7" type="noConversion"/>
  </si>
  <si>
    <t>旗津區</t>
    <phoneticPr fontId="7" type="noConversion"/>
  </si>
  <si>
    <t>小港區</t>
    <phoneticPr fontId="7" type="noConversion"/>
  </si>
  <si>
    <t>屏東縣</t>
    <phoneticPr fontId="7" type="noConversion"/>
  </si>
  <si>
    <t>屏東市</t>
    <phoneticPr fontId="7" type="noConversion"/>
  </si>
  <si>
    <t>潮州鎮</t>
    <phoneticPr fontId="7" type="noConversion"/>
  </si>
  <si>
    <t>東港鎮</t>
    <phoneticPr fontId="7" type="noConversion"/>
  </si>
  <si>
    <t>恆春鎮</t>
    <phoneticPr fontId="7" type="noConversion"/>
  </si>
  <si>
    <t>萬丹鄉</t>
    <phoneticPr fontId="7" type="noConversion"/>
  </si>
  <si>
    <t>長治鄉</t>
    <phoneticPr fontId="7" type="noConversion"/>
  </si>
  <si>
    <t>麟洛鄉</t>
    <phoneticPr fontId="7" type="noConversion"/>
  </si>
  <si>
    <t>九如鄉</t>
    <phoneticPr fontId="7" type="noConversion"/>
  </si>
  <si>
    <t>里港鄉</t>
    <phoneticPr fontId="7" type="noConversion"/>
  </si>
  <si>
    <t>鹽埔鄉</t>
    <phoneticPr fontId="7" type="noConversion"/>
  </si>
  <si>
    <t>高樹鄉</t>
    <phoneticPr fontId="7" type="noConversion"/>
  </si>
  <si>
    <t>萬巒鄉</t>
    <phoneticPr fontId="7" type="noConversion"/>
  </si>
  <si>
    <t>內埔鄉</t>
    <phoneticPr fontId="7" type="noConversion"/>
  </si>
  <si>
    <t>竹田鄉</t>
    <phoneticPr fontId="7" type="noConversion"/>
  </si>
  <si>
    <t>新埤鄉</t>
    <phoneticPr fontId="7" type="noConversion"/>
  </si>
  <si>
    <t>枋寮鄉</t>
    <phoneticPr fontId="7" type="noConversion"/>
  </si>
  <si>
    <t>新園鄉</t>
    <phoneticPr fontId="7" type="noConversion"/>
  </si>
  <si>
    <t>崁頂鄉</t>
    <phoneticPr fontId="7" type="noConversion"/>
  </si>
  <si>
    <t>林邊鄉</t>
    <phoneticPr fontId="7" type="noConversion"/>
  </si>
  <si>
    <t>南州鄉</t>
    <phoneticPr fontId="7" type="noConversion"/>
  </si>
  <si>
    <t>佳冬鄉</t>
    <phoneticPr fontId="7" type="noConversion"/>
  </si>
  <si>
    <t>琉球鄉</t>
    <phoneticPr fontId="7" type="noConversion"/>
  </si>
  <si>
    <t>車城鄉</t>
    <phoneticPr fontId="7" type="noConversion"/>
  </si>
  <si>
    <t>滿州鄉</t>
    <phoneticPr fontId="7" type="noConversion"/>
  </si>
  <si>
    <t>枋山鄉</t>
    <phoneticPr fontId="7" type="noConversion"/>
  </si>
  <si>
    <t>三地門鄉</t>
    <phoneticPr fontId="7" type="noConversion"/>
  </si>
  <si>
    <t>霧台鄉</t>
    <phoneticPr fontId="7" type="noConversion"/>
  </si>
  <si>
    <t>瑪家鄉</t>
    <phoneticPr fontId="7" type="noConversion"/>
  </si>
  <si>
    <t>泰武鄉</t>
    <phoneticPr fontId="7" type="noConversion"/>
  </si>
  <si>
    <t>來義鄉</t>
    <phoneticPr fontId="7" type="noConversion"/>
  </si>
  <si>
    <t>春日鄉</t>
    <phoneticPr fontId="7" type="noConversion"/>
  </si>
  <si>
    <t>獅子鄉</t>
    <phoneticPr fontId="7" type="noConversion"/>
  </si>
  <si>
    <t>牡丹鄉</t>
    <phoneticPr fontId="7" type="noConversion"/>
  </si>
  <si>
    <t>澎湖縣</t>
    <phoneticPr fontId="7" type="noConversion"/>
  </si>
  <si>
    <t>馬公市</t>
    <phoneticPr fontId="7" type="noConversion"/>
  </si>
  <si>
    <t>湖西鄉</t>
    <phoneticPr fontId="7" type="noConversion"/>
  </si>
  <si>
    <t>白沙鄉</t>
    <phoneticPr fontId="7" type="noConversion"/>
  </si>
  <si>
    <t>西嶼鄉</t>
    <phoneticPr fontId="7" type="noConversion"/>
  </si>
  <si>
    <t>望安鄉</t>
    <phoneticPr fontId="7" type="noConversion"/>
  </si>
  <si>
    <t>台東縣</t>
    <phoneticPr fontId="7" type="noConversion"/>
  </si>
  <si>
    <t>台東市</t>
    <phoneticPr fontId="7" type="noConversion"/>
  </si>
  <si>
    <t>成功鎮</t>
    <phoneticPr fontId="7" type="noConversion"/>
  </si>
  <si>
    <t>花東地區斷層</t>
    <phoneticPr fontId="7" type="noConversion"/>
  </si>
  <si>
    <t>關山鎮</t>
    <phoneticPr fontId="7" type="noConversion"/>
  </si>
  <si>
    <t>卑南鄉</t>
    <phoneticPr fontId="7" type="noConversion"/>
  </si>
  <si>
    <t>鹿野鄉</t>
    <phoneticPr fontId="7" type="noConversion"/>
  </si>
  <si>
    <t>池上鄉</t>
    <phoneticPr fontId="7" type="noConversion"/>
  </si>
  <si>
    <t>東河鄉</t>
    <phoneticPr fontId="7" type="noConversion"/>
  </si>
  <si>
    <t>長濱鄉</t>
    <phoneticPr fontId="7" type="noConversion"/>
  </si>
  <si>
    <t>太麻里鄉</t>
    <phoneticPr fontId="7" type="noConversion"/>
  </si>
  <si>
    <t>大武鄉</t>
    <phoneticPr fontId="7" type="noConversion"/>
  </si>
  <si>
    <t>綠島鄉</t>
    <phoneticPr fontId="7" type="noConversion"/>
  </si>
  <si>
    <t>海端鄉</t>
    <phoneticPr fontId="7" type="noConversion"/>
  </si>
  <si>
    <t>延平鄉</t>
    <phoneticPr fontId="7" type="noConversion"/>
  </si>
  <si>
    <t>金峰鄉</t>
    <phoneticPr fontId="7" type="noConversion"/>
  </si>
  <si>
    <t>達仁鄉</t>
    <phoneticPr fontId="7" type="noConversion"/>
  </si>
  <si>
    <t>蘭嶼鄉</t>
    <phoneticPr fontId="7" type="noConversion"/>
  </si>
  <si>
    <t>花蓮縣</t>
    <phoneticPr fontId="7" type="noConversion"/>
  </si>
  <si>
    <t>花蓮市</t>
    <phoneticPr fontId="7" type="noConversion"/>
  </si>
  <si>
    <t>鳳林鎮</t>
    <phoneticPr fontId="7" type="noConversion"/>
  </si>
  <si>
    <t>玉里鎮</t>
    <phoneticPr fontId="7" type="noConversion"/>
  </si>
  <si>
    <t>新城鄉</t>
    <phoneticPr fontId="7" type="noConversion"/>
  </si>
  <si>
    <t>吉安鄉</t>
    <phoneticPr fontId="7" type="noConversion"/>
  </si>
  <si>
    <t>壽豐鄉</t>
    <phoneticPr fontId="7" type="noConversion"/>
  </si>
  <si>
    <t>光復鄉</t>
    <phoneticPr fontId="7" type="noConversion"/>
  </si>
  <si>
    <t>豐濱鄉</t>
    <phoneticPr fontId="7" type="noConversion"/>
  </si>
  <si>
    <t>瑞穗鄉</t>
    <phoneticPr fontId="7" type="noConversion"/>
  </si>
  <si>
    <t>富里鄉</t>
    <phoneticPr fontId="7" type="noConversion"/>
  </si>
  <si>
    <t>秀林鄉</t>
    <phoneticPr fontId="7" type="noConversion"/>
  </si>
  <si>
    <t>萬榮鄉</t>
    <phoneticPr fontId="7" type="noConversion"/>
  </si>
  <si>
    <t>卓溪鄉</t>
    <phoneticPr fontId="7" type="noConversion"/>
  </si>
  <si>
    <t>金馬</t>
    <phoneticPr fontId="7" type="noConversion"/>
  </si>
  <si>
    <t>金門縣</t>
    <phoneticPr fontId="7" type="noConversion"/>
  </si>
  <si>
    <t>無</t>
    <phoneticPr fontId="7" type="noConversion"/>
  </si>
  <si>
    <t>連江縣</t>
    <phoneticPr fontId="7" type="noConversion"/>
  </si>
  <si>
    <t>屯子腳、車籠埔斷層</t>
    <phoneticPr fontId="13" type="noConversion"/>
  </si>
  <si>
    <t>屯子腳斷層</t>
    <phoneticPr fontId="13" type="noConversion"/>
  </si>
  <si>
    <t>獅潭與神卓山、屯子腳、車籠埔斷層</t>
    <phoneticPr fontId="7" type="noConversion"/>
  </si>
  <si>
    <t>屯子腳、車籠埔斷層</t>
    <phoneticPr fontId="7" type="noConversion"/>
  </si>
  <si>
    <t>獅潭與神卓山、車籠埔斷層</t>
    <phoneticPr fontId="7" type="noConversion"/>
  </si>
  <si>
    <t>車籠埔、大尖山與觸口斷層</t>
    <phoneticPr fontId="7" type="noConversion"/>
  </si>
  <si>
    <t>大尖山與觸口、梅山斷層</t>
    <phoneticPr fontId="13" type="noConversion"/>
  </si>
  <si>
    <t>梅山、大尖山與觸口斷層</t>
    <phoneticPr fontId="7" type="noConversion"/>
  </si>
  <si>
    <t>大尖山與觸口、車籠埔斷層</t>
    <phoneticPr fontId="13" type="noConversion"/>
  </si>
  <si>
    <t>梅山、車籠埔斷層</t>
    <phoneticPr fontId="7" type="noConversion"/>
  </si>
  <si>
    <t>第二類</t>
    <phoneticPr fontId="24" type="noConversion"/>
  </si>
  <si>
    <t>第三類</t>
    <phoneticPr fontId="24" type="noConversion"/>
  </si>
  <si>
    <t>獅潭斷層</t>
    <phoneticPr fontId="7" type="noConversion"/>
  </si>
  <si>
    <t>屯子腳斷層</t>
    <phoneticPr fontId="7" type="noConversion"/>
  </si>
  <si>
    <t>堅實</t>
    <phoneticPr fontId="10" type="noConversion"/>
  </si>
  <si>
    <t>普通</t>
    <phoneticPr fontId="10" type="noConversion"/>
  </si>
  <si>
    <t>軟弱</t>
    <phoneticPr fontId="10" type="noConversion"/>
  </si>
  <si>
    <t>第一類</t>
    <phoneticPr fontId="24" type="noConversion"/>
  </si>
  <si>
    <r>
      <t>T</t>
    </r>
    <r>
      <rPr>
        <vertAlign val="subscript"/>
        <sz val="12"/>
        <rFont val="Times New Roman"/>
        <family val="1"/>
      </rPr>
      <t>0</t>
    </r>
    <r>
      <rPr>
        <vertAlign val="superscript"/>
        <sz val="12"/>
        <rFont val="Times New Roman"/>
        <family val="1"/>
      </rPr>
      <t>D</t>
    </r>
    <phoneticPr fontId="7" type="noConversion"/>
  </si>
  <si>
    <t>構造</t>
    <phoneticPr fontId="24" type="noConversion"/>
  </si>
  <si>
    <t>RC</t>
    <phoneticPr fontId="24" type="noConversion"/>
  </si>
  <si>
    <t>鋼構</t>
    <phoneticPr fontId="24" type="noConversion"/>
  </si>
  <si>
    <t>其他</t>
    <phoneticPr fontId="24" type="noConversion"/>
  </si>
  <si>
    <t>地盤分類</t>
    <phoneticPr fontId="13" type="noConversion"/>
  </si>
  <si>
    <t>地盤分類</t>
    <phoneticPr fontId="10" type="noConversion"/>
  </si>
  <si>
    <t>Z</t>
    <phoneticPr fontId="10" type="noConversion"/>
  </si>
  <si>
    <t>78~85</t>
    <phoneticPr fontId="10" type="noConversion"/>
  </si>
  <si>
    <t>T =</t>
    <phoneticPr fontId="10" type="noConversion"/>
  </si>
  <si>
    <t>K =</t>
    <phoneticPr fontId="10" type="noConversion"/>
  </si>
  <si>
    <t>C =</t>
    <phoneticPr fontId="10" type="noConversion"/>
  </si>
  <si>
    <t>I =</t>
    <phoneticPr fontId="10" type="noConversion"/>
  </si>
  <si>
    <t>Cs =</t>
    <phoneticPr fontId="10" type="noConversion"/>
  </si>
  <si>
    <t>中震區</t>
    <phoneticPr fontId="10" type="noConversion"/>
  </si>
  <si>
    <t>地震二區</t>
    <phoneticPr fontId="10" type="noConversion"/>
  </si>
  <si>
    <t>86~88</t>
    <phoneticPr fontId="10" type="noConversion"/>
  </si>
  <si>
    <t>強震區</t>
    <phoneticPr fontId="10" type="noConversion"/>
  </si>
  <si>
    <t>地震一甲區</t>
    <phoneticPr fontId="10" type="noConversion"/>
  </si>
  <si>
    <t>地震一乙區</t>
    <phoneticPr fontId="10" type="noConversion"/>
  </si>
  <si>
    <t>地震三區</t>
    <phoneticPr fontId="10" type="noConversion"/>
  </si>
  <si>
    <t>89~94</t>
    <phoneticPr fontId="10" type="noConversion"/>
  </si>
  <si>
    <t>甲區</t>
    <phoneticPr fontId="10" type="noConversion"/>
  </si>
  <si>
    <t>乙區</t>
    <phoneticPr fontId="10" type="noConversion"/>
  </si>
  <si>
    <t>輕震區</t>
    <phoneticPr fontId="10" type="noConversion"/>
  </si>
  <si>
    <t>Z =</t>
    <phoneticPr fontId="10" type="noConversion"/>
  </si>
  <si>
    <t xml:space="preserve"> I =</t>
    <phoneticPr fontId="10" type="noConversion"/>
  </si>
  <si>
    <t>用途係數</t>
  </si>
  <si>
    <t xml:space="preserve"> C =</t>
    <phoneticPr fontId="10" type="noConversion"/>
  </si>
  <si>
    <t>震力係數</t>
    <phoneticPr fontId="13" type="noConversion"/>
  </si>
  <si>
    <t>震區係數</t>
    <phoneticPr fontId="13" type="noConversion"/>
  </si>
  <si>
    <t>組構係數</t>
    <phoneticPr fontId="13" type="noConversion"/>
  </si>
  <si>
    <t>基本振動周期</t>
    <phoneticPr fontId="13" type="noConversion"/>
  </si>
  <si>
    <t>1/8/T^0.5</t>
    <phoneticPr fontId="10" type="noConversion"/>
  </si>
  <si>
    <t>C</t>
    <phoneticPr fontId="13" type="noConversion"/>
  </si>
  <si>
    <t>Fu</t>
    <phoneticPr fontId="13" type="noConversion"/>
  </si>
  <si>
    <t>(2*Ra-1)^0.5</t>
    <phoneticPr fontId="10" type="noConversion"/>
  </si>
  <si>
    <t>結構系統地震力折減係數</t>
    <phoneticPr fontId="13" type="noConversion"/>
  </si>
  <si>
    <t>容許韌性容量</t>
    <phoneticPr fontId="13" type="noConversion"/>
  </si>
  <si>
    <t>用途係數</t>
    <phoneticPr fontId="13" type="noConversion"/>
  </si>
  <si>
    <t>震區水平加速度係數</t>
    <phoneticPr fontId="13" type="noConversion"/>
  </si>
  <si>
    <t>起始降伏地震力放大倍數</t>
    <phoneticPr fontId="13" type="noConversion"/>
  </si>
  <si>
    <t>工址正規化水平加速度反應譜係數</t>
    <phoneticPr fontId="13" type="noConversion"/>
  </si>
  <si>
    <t>(C/Fu)m</t>
    <phoneticPr fontId="13" type="noConversion"/>
  </si>
  <si>
    <t>C/Fu</t>
    <phoneticPr fontId="13" type="noConversion"/>
  </si>
  <si>
    <t>K</t>
    <phoneticPr fontId="13" type="noConversion"/>
  </si>
  <si>
    <t>D</t>
    <phoneticPr fontId="13" type="noConversion"/>
  </si>
  <si>
    <t>L</t>
    <phoneticPr fontId="13" type="noConversion"/>
  </si>
  <si>
    <t>E</t>
    <phoneticPr fontId="13" type="noConversion"/>
  </si>
  <si>
    <t>95~99</t>
    <phoneticPr fontId="13" type="noConversion"/>
  </si>
  <si>
    <t>距離</t>
    <phoneticPr fontId="24" type="noConversion"/>
  </si>
  <si>
    <t>大安區</t>
    <phoneticPr fontId="7" type="noConversion"/>
  </si>
  <si>
    <t>內湖區</t>
    <phoneticPr fontId="7" type="noConversion"/>
  </si>
  <si>
    <t>南港區</t>
    <phoneticPr fontId="7" type="noConversion"/>
  </si>
  <si>
    <t>興珍里</t>
    <phoneticPr fontId="7" type="noConversion"/>
  </si>
  <si>
    <t>三愛里</t>
    <phoneticPr fontId="7" type="noConversion"/>
  </si>
  <si>
    <t>更寮里</t>
    <phoneticPr fontId="7" type="noConversion"/>
  </si>
  <si>
    <t>幸市里</t>
    <phoneticPr fontId="7" type="noConversion"/>
  </si>
  <si>
    <t>集福里</t>
    <phoneticPr fontId="7" type="noConversion"/>
  </si>
  <si>
    <t>梅花里</t>
    <phoneticPr fontId="7" type="noConversion"/>
  </si>
  <si>
    <t>台北微分區</t>
    <phoneticPr fontId="7" type="noConversion"/>
  </si>
  <si>
    <t>成州里</t>
    <phoneticPr fontId="7" type="noConversion"/>
  </si>
  <si>
    <t>水源里</t>
    <phoneticPr fontId="7" type="noConversion"/>
  </si>
  <si>
    <t>成功里</t>
    <phoneticPr fontId="7" type="noConversion"/>
  </si>
  <si>
    <t>富水里</t>
    <phoneticPr fontId="7" type="noConversion"/>
  </si>
  <si>
    <t>工址水平譜加速度係數</t>
    <phoneticPr fontId="7" type="noConversion"/>
  </si>
  <si>
    <t>五股里</t>
    <phoneticPr fontId="7" type="noConversion"/>
  </si>
  <si>
    <t>文盛里</t>
    <phoneticPr fontId="7" type="noConversion"/>
  </si>
  <si>
    <t>五福里</t>
    <phoneticPr fontId="7" type="noConversion"/>
  </si>
  <si>
    <t>林興里</t>
    <phoneticPr fontId="7" type="noConversion"/>
  </si>
  <si>
    <t>德音里</t>
    <phoneticPr fontId="7" type="noConversion"/>
  </si>
  <si>
    <t>河堤里</t>
    <phoneticPr fontId="7" type="noConversion"/>
  </si>
  <si>
    <t>結構系統</t>
    <phoneticPr fontId="7" type="noConversion"/>
  </si>
  <si>
    <t>陸一里</t>
    <phoneticPr fontId="7" type="noConversion"/>
  </si>
  <si>
    <t>頂東里</t>
    <phoneticPr fontId="7" type="noConversion"/>
  </si>
  <si>
    <t>貿商里</t>
    <phoneticPr fontId="7" type="noConversion"/>
  </si>
  <si>
    <t>網溪里</t>
    <phoneticPr fontId="7" type="noConversion"/>
  </si>
  <si>
    <t>經驗公式分類</t>
    <phoneticPr fontId="7" type="noConversion"/>
  </si>
  <si>
    <t>徳泰里</t>
    <phoneticPr fontId="7" type="noConversion"/>
  </si>
  <si>
    <t>板溪里</t>
    <phoneticPr fontId="7" type="noConversion"/>
  </si>
  <si>
    <t>成德里</t>
    <phoneticPr fontId="7" type="noConversion"/>
  </si>
  <si>
    <t>螢圃里</t>
    <phoneticPr fontId="7" type="noConversion"/>
  </si>
  <si>
    <t>用途係數 I</t>
    <phoneticPr fontId="7" type="noConversion"/>
  </si>
  <si>
    <t>螢雪里</t>
    <phoneticPr fontId="7" type="noConversion"/>
  </si>
  <si>
    <t>系統韌性容量R</t>
    <phoneticPr fontId="7" type="noConversion"/>
  </si>
  <si>
    <t>福興里</t>
    <phoneticPr fontId="7" type="noConversion"/>
  </si>
  <si>
    <t>永功里</t>
    <phoneticPr fontId="7" type="noConversion"/>
  </si>
  <si>
    <t>永昌里</t>
    <phoneticPr fontId="7" type="noConversion"/>
  </si>
  <si>
    <t>福德里</t>
    <phoneticPr fontId="7" type="noConversion"/>
  </si>
  <si>
    <t>龍興里</t>
    <phoneticPr fontId="7" type="noConversion"/>
  </si>
  <si>
    <t>工址設計水平譜加速度係數</t>
    <phoneticPr fontId="7" type="noConversion"/>
  </si>
  <si>
    <t>忠勤里</t>
    <phoneticPr fontId="7" type="noConversion"/>
  </si>
  <si>
    <t>廈安里</t>
    <phoneticPr fontId="7" type="noConversion"/>
  </si>
  <si>
    <t>愛國里</t>
    <phoneticPr fontId="7" type="noConversion"/>
  </si>
  <si>
    <t>南門里</t>
    <phoneticPr fontId="7" type="noConversion"/>
  </si>
  <si>
    <t>龍光里</t>
    <phoneticPr fontId="7" type="noConversion"/>
  </si>
  <si>
    <t>南福里</t>
    <phoneticPr fontId="7" type="noConversion"/>
  </si>
  <si>
    <t>龍福里</t>
    <phoneticPr fontId="7" type="noConversion"/>
  </si>
  <si>
    <t>新營里</t>
    <phoneticPr fontId="7" type="noConversion"/>
  </si>
  <si>
    <t>避免中小度地震下降伏之設計地震力 V*</t>
    <phoneticPr fontId="7" type="noConversion"/>
  </si>
  <si>
    <t>建國里</t>
    <phoneticPr fontId="7" type="noConversion"/>
  </si>
  <si>
    <t>光復里</t>
    <phoneticPr fontId="7" type="noConversion"/>
  </si>
  <si>
    <t>黎明里</t>
    <phoneticPr fontId="7" type="noConversion"/>
  </si>
  <si>
    <t>幸福里</t>
    <phoneticPr fontId="7" type="noConversion"/>
  </si>
  <si>
    <t>東門里</t>
    <phoneticPr fontId="7" type="noConversion"/>
  </si>
  <si>
    <t>文北里</t>
    <phoneticPr fontId="7" type="noConversion"/>
  </si>
  <si>
    <t>文祥里</t>
    <phoneticPr fontId="7" type="noConversion"/>
  </si>
  <si>
    <t>震區</t>
    <phoneticPr fontId="7" type="noConversion"/>
  </si>
  <si>
    <t>中震區</t>
    <phoneticPr fontId="7" type="noConversion"/>
  </si>
  <si>
    <t>震力係數Z</t>
    <phoneticPr fontId="7" type="noConversion"/>
  </si>
  <si>
    <t>橫力係數C</t>
    <phoneticPr fontId="7" type="noConversion"/>
  </si>
  <si>
    <t>最小設計水平總橫力 V=ZKCIW</t>
    <phoneticPr fontId="7" type="noConversion"/>
  </si>
  <si>
    <t>台北三區</t>
    <phoneticPr fontId="7" type="noConversion"/>
  </si>
  <si>
    <t>台北一區</t>
    <phoneticPr fontId="7" type="noConversion"/>
  </si>
  <si>
    <t>台北二區</t>
    <phoneticPr fontId="7" type="noConversion"/>
  </si>
  <si>
    <t>R</t>
    <phoneticPr fontId="7" type="noConversion"/>
  </si>
  <si>
    <t>Ra</t>
    <phoneticPr fontId="7" type="noConversion"/>
  </si>
  <si>
    <t>I</t>
    <phoneticPr fontId="7" type="noConversion"/>
  </si>
  <si>
    <t>αy</t>
    <phoneticPr fontId="7" type="noConversion"/>
  </si>
  <si>
    <t>1989~1996建技</t>
    <phoneticPr fontId="7" type="noConversion"/>
  </si>
  <si>
    <t>Sds</t>
    <phoneticPr fontId="7" type="noConversion"/>
  </si>
  <si>
    <r>
      <t>S</t>
    </r>
    <r>
      <rPr>
        <vertAlign val="subscript"/>
        <sz val="12"/>
        <color indexed="8"/>
        <rFont val="新細明體"/>
        <family val="1"/>
        <charset val="136"/>
      </rPr>
      <t>M</t>
    </r>
    <r>
      <rPr>
        <sz val="12"/>
        <color theme="1"/>
        <rFont val="新細明體"/>
        <family val="1"/>
        <charset val="136"/>
        <scheme val="minor"/>
      </rPr>
      <t>s</t>
    </r>
    <phoneticPr fontId="7" type="noConversion"/>
  </si>
  <si>
    <t>Z</t>
    <phoneticPr fontId="7" type="noConversion"/>
  </si>
  <si>
    <t>K</t>
    <phoneticPr fontId="7" type="noConversion"/>
  </si>
  <si>
    <t>0.2T0</t>
    <phoneticPr fontId="7" type="noConversion"/>
  </si>
  <si>
    <t>T0</t>
    <phoneticPr fontId="7" type="noConversion"/>
  </si>
  <si>
    <t>2.5T0</t>
    <phoneticPr fontId="7" type="noConversion"/>
  </si>
  <si>
    <t>自振週期標示線</t>
    <phoneticPr fontId="7" type="noConversion"/>
  </si>
  <si>
    <t>Sa(g)</t>
    <phoneticPr fontId="7" type="noConversion"/>
  </si>
  <si>
    <t>Sd(cm)</t>
    <phoneticPr fontId="7" type="noConversion"/>
  </si>
  <si>
    <t>Fu</t>
    <phoneticPr fontId="7" type="noConversion"/>
  </si>
  <si>
    <t>(SaD/Fu)m</t>
    <phoneticPr fontId="7" type="noConversion"/>
  </si>
  <si>
    <t>SaM(g)</t>
    <phoneticPr fontId="7" type="noConversion"/>
  </si>
  <si>
    <t>SdM(cm)</t>
    <phoneticPr fontId="7" type="noConversion"/>
  </si>
  <si>
    <t>FuM</t>
    <phoneticPr fontId="7" type="noConversion"/>
  </si>
  <si>
    <t>(SaM/Fu)m</t>
    <phoneticPr fontId="7" type="noConversion"/>
  </si>
  <si>
    <t>V*</t>
    <phoneticPr fontId="7" type="noConversion"/>
  </si>
  <si>
    <t>VM</t>
    <phoneticPr fontId="7" type="noConversion"/>
  </si>
  <si>
    <t>Cs</t>
    <phoneticPr fontId="7" type="noConversion"/>
  </si>
  <si>
    <t>y</t>
    <phoneticPr fontId="7" type="noConversion"/>
  </si>
  <si>
    <t>x</t>
    <phoneticPr fontId="7" type="noConversion"/>
  </si>
  <si>
    <t>C</t>
    <phoneticPr fontId="7" type="noConversion"/>
  </si>
  <si>
    <t>基本振動週期T=</t>
    <phoneticPr fontId="7" type="noConversion"/>
  </si>
  <si>
    <t>s</t>
    <phoneticPr fontId="7" type="noConversion"/>
  </si>
  <si>
    <t>正守里</t>
  </si>
  <si>
    <t>正義里</t>
  </si>
  <si>
    <t>康樂里</t>
  </si>
  <si>
    <t>中山里</t>
  </si>
  <si>
    <t>聚盛里</t>
  </si>
  <si>
    <t>聚葉里</t>
  </si>
  <si>
    <t>恆安里</t>
  </si>
  <si>
    <t>晴光里</t>
  </si>
  <si>
    <t>圓山里</t>
  </si>
  <si>
    <t>劍潭里</t>
  </si>
  <si>
    <t>大直里</t>
  </si>
  <si>
    <t>成功里</t>
  </si>
  <si>
    <t>永安里</t>
  </si>
  <si>
    <t>大佳里</t>
  </si>
  <si>
    <t>新喜里</t>
  </si>
  <si>
    <t>新庄里</t>
  </si>
  <si>
    <t>新福里</t>
  </si>
  <si>
    <t>松江里</t>
  </si>
  <si>
    <t>新生里</t>
  </si>
  <si>
    <t>中庄里</t>
  </si>
  <si>
    <t>行政里</t>
  </si>
  <si>
    <t>行仁里</t>
  </si>
  <si>
    <t>行孝里</t>
  </si>
  <si>
    <t>下埤里</t>
  </si>
  <si>
    <t>江寧里</t>
  </si>
  <si>
    <t>江山里</t>
  </si>
  <si>
    <t>中吉里</t>
  </si>
  <si>
    <t>中原里</t>
  </si>
  <si>
    <t>興亞里</t>
  </si>
  <si>
    <t>中央里</t>
  </si>
  <si>
    <t>朱馥里</t>
  </si>
  <si>
    <t>龍洲里</t>
  </si>
  <si>
    <t>朱園里</t>
  </si>
  <si>
    <t>埤頭里</t>
  </si>
  <si>
    <t>朱崙里</t>
  </si>
  <si>
    <t>力行里</t>
  </si>
  <si>
    <t>復華里</t>
  </si>
  <si>
    <t>北安里</t>
  </si>
  <si>
    <t>中山區</t>
    <phoneticPr fontId="13" type="noConversion"/>
  </si>
  <si>
    <t>正得里</t>
    <phoneticPr fontId="7" type="noConversion"/>
  </si>
  <si>
    <t>民安里</t>
    <phoneticPr fontId="7" type="noConversion"/>
  </si>
  <si>
    <t>集英里</t>
    <phoneticPr fontId="7" type="noConversion"/>
  </si>
  <si>
    <t>金泰里</t>
    <phoneticPr fontId="7" type="noConversion"/>
  </si>
  <si>
    <t>榮華里</t>
    <phoneticPr fontId="7" type="noConversion"/>
  </si>
  <si>
    <t>裕民里</t>
    <phoneticPr fontId="7" type="noConversion"/>
  </si>
  <si>
    <t>振華里</t>
    <phoneticPr fontId="7" type="noConversion"/>
  </si>
  <si>
    <t>永明里</t>
    <phoneticPr fontId="7" type="noConversion"/>
  </si>
  <si>
    <t>吉利里</t>
    <phoneticPr fontId="7" type="noConversion"/>
  </si>
  <si>
    <t>尊賢里</t>
    <phoneticPr fontId="7" type="noConversion"/>
  </si>
  <si>
    <t>立農里</t>
    <phoneticPr fontId="7" type="noConversion"/>
  </si>
  <si>
    <t>八仙里</t>
    <phoneticPr fontId="7" type="noConversion"/>
  </si>
  <si>
    <t>一德里</t>
    <phoneticPr fontId="7" type="noConversion"/>
  </si>
  <si>
    <t>永欣里</t>
    <phoneticPr fontId="7" type="noConversion"/>
  </si>
  <si>
    <t>東華里</t>
    <phoneticPr fontId="7" type="noConversion"/>
  </si>
  <si>
    <t>奇岩里</t>
    <phoneticPr fontId="7" type="noConversion"/>
  </si>
  <si>
    <t>清江里</t>
    <phoneticPr fontId="7" type="noConversion"/>
  </si>
  <si>
    <t>中央里</t>
    <phoneticPr fontId="7" type="noConversion"/>
  </si>
  <si>
    <t>長安里</t>
    <phoneticPr fontId="7" type="noConversion"/>
  </si>
  <si>
    <t>大同里</t>
    <phoneticPr fontId="7" type="noConversion"/>
  </si>
  <si>
    <t>溫泉里</t>
    <phoneticPr fontId="7" type="noConversion"/>
  </si>
  <si>
    <t>中心里</t>
    <phoneticPr fontId="7" type="noConversion"/>
  </si>
  <si>
    <t>中庸里</t>
    <phoneticPr fontId="7" type="noConversion"/>
  </si>
  <si>
    <t>智仁里</t>
    <phoneticPr fontId="7" type="noConversion"/>
  </si>
  <si>
    <t>文化里</t>
    <phoneticPr fontId="7" type="noConversion"/>
  </si>
  <si>
    <t>豐年里</t>
    <phoneticPr fontId="7" type="noConversion"/>
  </si>
  <si>
    <t>稻香里</t>
    <phoneticPr fontId="7" type="noConversion"/>
  </si>
  <si>
    <t>桃源里</t>
    <phoneticPr fontId="7" type="noConversion"/>
  </si>
  <si>
    <t>建民里</t>
    <phoneticPr fontId="7" type="noConversion"/>
  </si>
  <si>
    <t>文林里</t>
    <phoneticPr fontId="7" type="noConversion"/>
  </si>
  <si>
    <t>石牌里</t>
    <phoneticPr fontId="7" type="noConversion"/>
  </si>
  <si>
    <t>榮光里</t>
    <phoneticPr fontId="7" type="noConversion"/>
  </si>
  <si>
    <t>吉慶里</t>
    <phoneticPr fontId="7" type="noConversion"/>
  </si>
  <si>
    <t>立賢里</t>
    <phoneticPr fontId="7" type="noConversion"/>
  </si>
  <si>
    <t>洲美里</t>
    <phoneticPr fontId="7" type="noConversion"/>
  </si>
  <si>
    <t>關渡里</t>
    <phoneticPr fontId="7" type="noConversion"/>
  </si>
  <si>
    <t>北投區</t>
    <phoneticPr fontId="7" type="noConversion"/>
  </si>
  <si>
    <t>中山區</t>
    <phoneticPr fontId="7" type="noConversion"/>
  </si>
  <si>
    <t>中正區</t>
    <phoneticPr fontId="7" type="noConversion"/>
  </si>
  <si>
    <t>臺北盆地</t>
    <phoneticPr fontId="24" type="noConversion"/>
  </si>
  <si>
    <r>
      <t>S</t>
    </r>
    <r>
      <rPr>
        <vertAlign val="subscript"/>
        <sz val="12"/>
        <rFont val="華康仿宋體W6(P)"/>
        <family val="1"/>
        <charset val="136"/>
      </rPr>
      <t>DS</t>
    </r>
    <phoneticPr fontId="7" type="noConversion"/>
  </si>
  <si>
    <r>
      <t>S</t>
    </r>
    <r>
      <rPr>
        <vertAlign val="subscript"/>
        <sz val="12"/>
        <rFont val="華康仿宋體W6(P)"/>
        <family val="1"/>
        <charset val="136"/>
      </rPr>
      <t>MS</t>
    </r>
    <phoneticPr fontId="7" type="noConversion"/>
  </si>
  <si>
    <t>微分區</t>
    <phoneticPr fontId="7" type="noConversion"/>
  </si>
  <si>
    <t>里</t>
    <phoneticPr fontId="13" type="noConversion"/>
  </si>
  <si>
    <t>景行里</t>
    <phoneticPr fontId="7" type="noConversion"/>
  </si>
  <si>
    <t>景東里</t>
    <phoneticPr fontId="7" type="noConversion"/>
  </si>
  <si>
    <t>景美里</t>
    <phoneticPr fontId="7" type="noConversion"/>
  </si>
  <si>
    <t>景慶里</t>
    <phoneticPr fontId="7" type="noConversion"/>
  </si>
  <si>
    <t>景仁里</t>
    <phoneticPr fontId="7" type="noConversion"/>
  </si>
  <si>
    <t>景華里</t>
    <phoneticPr fontId="7" type="noConversion"/>
  </si>
  <si>
    <t>萬有里</t>
    <phoneticPr fontId="7" type="noConversion"/>
  </si>
  <si>
    <t>萬祥里</t>
    <phoneticPr fontId="7" type="noConversion"/>
  </si>
  <si>
    <t>萬隆里</t>
    <phoneticPr fontId="7" type="noConversion"/>
  </si>
  <si>
    <t>萬年里</t>
    <phoneticPr fontId="7" type="noConversion"/>
  </si>
  <si>
    <t>萬和里</t>
    <phoneticPr fontId="7" type="noConversion"/>
  </si>
  <si>
    <t>萬盛里</t>
    <phoneticPr fontId="7" type="noConversion"/>
  </si>
  <si>
    <t>興豐里</t>
    <phoneticPr fontId="7" type="noConversion"/>
  </si>
  <si>
    <t>興光里</t>
    <phoneticPr fontId="7" type="noConversion"/>
  </si>
  <si>
    <t>興家里</t>
    <phoneticPr fontId="7" type="noConversion"/>
  </si>
  <si>
    <t>興得里</t>
    <phoneticPr fontId="7" type="noConversion"/>
  </si>
  <si>
    <t>興業里</t>
    <phoneticPr fontId="7" type="noConversion"/>
  </si>
  <si>
    <t>興安里</t>
    <phoneticPr fontId="7" type="noConversion"/>
  </si>
  <si>
    <t>興福里</t>
    <phoneticPr fontId="7" type="noConversion"/>
  </si>
  <si>
    <t>興旺里</t>
    <phoneticPr fontId="7" type="noConversion"/>
  </si>
  <si>
    <t>興泰里</t>
    <phoneticPr fontId="7" type="noConversion"/>
  </si>
  <si>
    <t>興昌里</t>
    <phoneticPr fontId="7" type="noConversion"/>
  </si>
  <si>
    <t>試院里</t>
    <phoneticPr fontId="7" type="noConversion"/>
  </si>
  <si>
    <t>華興里</t>
    <phoneticPr fontId="7" type="noConversion"/>
  </si>
  <si>
    <t>明義里</t>
    <phoneticPr fontId="7" type="noConversion"/>
  </si>
  <si>
    <t>明興里</t>
    <phoneticPr fontId="7" type="noConversion"/>
  </si>
  <si>
    <t>木柵里</t>
    <phoneticPr fontId="7" type="noConversion"/>
  </si>
  <si>
    <t>木新里</t>
    <phoneticPr fontId="7" type="noConversion"/>
  </si>
  <si>
    <t>順興里</t>
    <phoneticPr fontId="7" type="noConversion"/>
  </si>
  <si>
    <t>樟林里</t>
    <phoneticPr fontId="7" type="noConversion"/>
  </si>
  <si>
    <t>樟新里</t>
    <phoneticPr fontId="7" type="noConversion"/>
  </si>
  <si>
    <t>樟腳里</t>
    <phoneticPr fontId="7" type="noConversion"/>
  </si>
  <si>
    <t>萬興里</t>
    <phoneticPr fontId="7" type="noConversion"/>
  </si>
  <si>
    <t>忠順里</t>
    <phoneticPr fontId="7" type="noConversion"/>
  </si>
  <si>
    <t>大同區</t>
    <phoneticPr fontId="13" type="noConversion"/>
  </si>
  <si>
    <t>臺北市　</t>
    <phoneticPr fontId="7" type="noConversion"/>
  </si>
  <si>
    <t>所有里</t>
    <phoneticPr fontId="7" type="noConversion"/>
  </si>
  <si>
    <t>精忠里</t>
    <phoneticPr fontId="7" type="noConversion"/>
  </si>
  <si>
    <t>龍田里</t>
    <phoneticPr fontId="7" type="noConversion"/>
  </si>
  <si>
    <t>東昌里</t>
    <phoneticPr fontId="7" type="noConversion"/>
  </si>
  <si>
    <t>東勢里</t>
    <phoneticPr fontId="7" type="noConversion"/>
  </si>
  <si>
    <t>中華里</t>
    <phoneticPr fontId="7" type="noConversion"/>
  </si>
  <si>
    <t>民有里</t>
    <phoneticPr fontId="7" type="noConversion"/>
  </si>
  <si>
    <t>民福里</t>
    <phoneticPr fontId="7" type="noConversion"/>
  </si>
  <si>
    <t>中正里</t>
    <phoneticPr fontId="7" type="noConversion"/>
  </si>
  <si>
    <t>中崙里</t>
    <phoneticPr fontId="7" type="noConversion"/>
  </si>
  <si>
    <t>美仁里</t>
    <phoneticPr fontId="7" type="noConversion"/>
  </si>
  <si>
    <t>吉仁里</t>
    <phoneticPr fontId="7" type="noConversion"/>
  </si>
  <si>
    <t>敦化里</t>
    <phoneticPr fontId="7" type="noConversion"/>
  </si>
  <si>
    <t>福成里</t>
    <phoneticPr fontId="7" type="noConversion"/>
  </si>
  <si>
    <t>松基里</t>
    <phoneticPr fontId="7" type="noConversion"/>
  </si>
  <si>
    <r>
      <rPr>
        <b/>
        <sz val="12"/>
        <rFont val="新細明體"/>
        <family val="1"/>
        <charset val="136"/>
      </rPr>
      <t>松山區</t>
    </r>
    <phoneticPr fontId="7" type="noConversion"/>
  </si>
  <si>
    <r>
      <rPr>
        <b/>
        <sz val="12"/>
        <rFont val="新細明體"/>
        <family val="1"/>
        <charset val="136"/>
      </rPr>
      <t>萬華區</t>
    </r>
    <phoneticPr fontId="7" type="noConversion"/>
  </si>
  <si>
    <r>
      <rPr>
        <b/>
        <sz val="12"/>
        <rFont val="新細明體"/>
        <family val="1"/>
        <charset val="136"/>
      </rPr>
      <t>大安區</t>
    </r>
    <phoneticPr fontId="7" type="noConversion"/>
  </si>
  <si>
    <t>莊敬里</t>
    <phoneticPr fontId="7" type="noConversion"/>
  </si>
  <si>
    <t>東榮里</t>
    <phoneticPr fontId="7" type="noConversion"/>
  </si>
  <si>
    <t>三民里</t>
    <phoneticPr fontId="7" type="noConversion"/>
  </si>
  <si>
    <t>新益里</t>
    <phoneticPr fontId="7" type="noConversion"/>
  </si>
  <si>
    <t>富錦里</t>
    <phoneticPr fontId="7" type="noConversion"/>
  </si>
  <si>
    <t>新東里</t>
    <phoneticPr fontId="7" type="noConversion"/>
  </si>
  <si>
    <t>富泰里</t>
    <phoneticPr fontId="7" type="noConversion"/>
  </si>
  <si>
    <t>介壽里</t>
    <phoneticPr fontId="7" type="noConversion"/>
  </si>
  <si>
    <t>東光里</t>
    <phoneticPr fontId="7" type="noConversion"/>
  </si>
  <si>
    <t>安平里</t>
    <phoneticPr fontId="7" type="noConversion"/>
  </si>
  <si>
    <t>鵬程里</t>
    <phoneticPr fontId="7" type="noConversion"/>
  </si>
  <si>
    <t>自強里</t>
    <phoneticPr fontId="7" type="noConversion"/>
  </si>
  <si>
    <t>吉祥里</t>
    <phoneticPr fontId="7" type="noConversion"/>
  </si>
  <si>
    <t>新聚里</t>
    <phoneticPr fontId="7" type="noConversion"/>
  </si>
  <si>
    <t>復盛里</t>
    <phoneticPr fontId="7" type="noConversion"/>
  </si>
  <si>
    <t>復源里</t>
    <phoneticPr fontId="7" type="noConversion"/>
  </si>
  <si>
    <t>復建里</t>
    <phoneticPr fontId="7" type="noConversion"/>
  </si>
  <si>
    <t>復勢里</t>
    <phoneticPr fontId="7" type="noConversion"/>
  </si>
  <si>
    <t>慈祐里</t>
    <phoneticPr fontId="7" type="noConversion"/>
  </si>
  <si>
    <t>德安里</t>
    <phoneticPr fontId="7" type="noConversion"/>
  </si>
  <si>
    <t>仁慈里</t>
    <phoneticPr fontId="7" type="noConversion"/>
  </si>
  <si>
    <t>和安里</t>
    <phoneticPr fontId="7" type="noConversion"/>
  </si>
  <si>
    <t>民炤里</t>
    <phoneticPr fontId="7" type="noConversion"/>
  </si>
  <si>
    <t>仁愛里</t>
    <phoneticPr fontId="7" type="noConversion"/>
  </si>
  <si>
    <t>義村里</t>
    <phoneticPr fontId="7" type="noConversion"/>
  </si>
  <si>
    <t>民輝里</t>
    <phoneticPr fontId="7" type="noConversion"/>
  </si>
  <si>
    <t>昌隆里</t>
    <phoneticPr fontId="7" type="noConversion"/>
  </si>
  <si>
    <t>誠安里</t>
    <phoneticPr fontId="7" type="noConversion"/>
  </si>
  <si>
    <t>光武里</t>
    <phoneticPr fontId="7" type="noConversion"/>
  </si>
  <si>
    <t>龍圖里</t>
    <phoneticPr fontId="7" type="noConversion"/>
  </si>
  <si>
    <t>住安里</t>
    <phoneticPr fontId="7" type="noConversion"/>
  </si>
  <si>
    <t>建安里</t>
    <phoneticPr fontId="7" type="noConversion"/>
  </si>
  <si>
    <t>建倫里</t>
    <phoneticPr fontId="7" type="noConversion"/>
  </si>
  <si>
    <t>龍坡里</t>
    <phoneticPr fontId="7" type="noConversion"/>
  </si>
  <si>
    <t>龍泉里</t>
    <phoneticPr fontId="7" type="noConversion"/>
  </si>
  <si>
    <t>古風里</t>
    <phoneticPr fontId="7" type="noConversion"/>
  </si>
  <si>
    <t>古莊里</t>
    <phoneticPr fontId="7" type="noConversion"/>
  </si>
  <si>
    <t>龍安里</t>
    <phoneticPr fontId="7" type="noConversion"/>
  </si>
  <si>
    <t>錦安里</t>
    <phoneticPr fontId="7" type="noConversion"/>
  </si>
  <si>
    <t>福住里</t>
    <phoneticPr fontId="7" type="noConversion"/>
  </si>
  <si>
    <t>永康里</t>
    <phoneticPr fontId="7" type="noConversion"/>
  </si>
  <si>
    <t>光明里</t>
    <phoneticPr fontId="7" type="noConversion"/>
  </si>
  <si>
    <t>錦泰里</t>
    <phoneticPr fontId="7" type="noConversion"/>
  </si>
  <si>
    <t>錦華里</t>
    <phoneticPr fontId="7" type="noConversion"/>
  </si>
  <si>
    <t>新龍里</t>
    <phoneticPr fontId="7" type="noConversion"/>
  </si>
  <si>
    <t>龍陣里</t>
    <phoneticPr fontId="7" type="noConversion"/>
  </si>
  <si>
    <t>龍雲里</t>
    <phoneticPr fontId="7" type="noConversion"/>
  </si>
  <si>
    <t>龍生里</t>
    <phoneticPr fontId="7" type="noConversion"/>
  </si>
  <si>
    <t>義安里</t>
    <phoneticPr fontId="7" type="noConversion"/>
  </si>
  <si>
    <t>通化里</t>
    <phoneticPr fontId="7" type="noConversion"/>
  </si>
  <si>
    <t>通安里</t>
    <phoneticPr fontId="7" type="noConversion"/>
  </si>
  <si>
    <t>臨江里</t>
    <phoneticPr fontId="7" type="noConversion"/>
  </si>
  <si>
    <t>法治里</t>
    <phoneticPr fontId="7" type="noConversion"/>
  </si>
  <si>
    <t>全安里</t>
    <phoneticPr fontId="7" type="noConversion"/>
  </si>
  <si>
    <t>群賢里</t>
    <phoneticPr fontId="7" type="noConversion"/>
  </si>
  <si>
    <t>群英里</t>
    <phoneticPr fontId="7" type="noConversion"/>
  </si>
  <si>
    <t>虎嘯里</t>
    <phoneticPr fontId="7" type="noConversion"/>
  </si>
  <si>
    <t>臥龍里</t>
    <phoneticPr fontId="7" type="noConversion"/>
  </si>
  <si>
    <t>龍淵里</t>
    <phoneticPr fontId="7" type="noConversion"/>
  </si>
  <si>
    <t>龍門里</t>
    <phoneticPr fontId="7" type="noConversion"/>
  </si>
  <si>
    <t>大學里</t>
    <phoneticPr fontId="7" type="noConversion"/>
  </si>
  <si>
    <t>芳和里</t>
    <phoneticPr fontId="7" type="noConversion"/>
  </si>
  <si>
    <t>敦安里</t>
    <phoneticPr fontId="7" type="noConversion"/>
  </si>
  <si>
    <t>正聲里</t>
    <phoneticPr fontId="7" type="noConversion"/>
  </si>
  <si>
    <t>敦煌里</t>
    <phoneticPr fontId="7" type="noConversion"/>
  </si>
  <si>
    <t>華聲里</t>
    <phoneticPr fontId="7" type="noConversion"/>
  </si>
  <si>
    <t>車層里</t>
    <phoneticPr fontId="7" type="noConversion"/>
  </si>
  <si>
    <t>光信里</t>
    <phoneticPr fontId="7" type="noConversion"/>
  </si>
  <si>
    <t>學府里</t>
    <phoneticPr fontId="7" type="noConversion"/>
  </si>
  <si>
    <t>台北市</t>
    <phoneticPr fontId="7" type="noConversion"/>
  </si>
  <si>
    <t>新北市</t>
    <phoneticPr fontId="7" type="noConversion"/>
  </si>
  <si>
    <t>松山區</t>
    <phoneticPr fontId="7" type="noConversion"/>
  </si>
  <si>
    <t>萬華區</t>
    <phoneticPr fontId="7" type="noConversion"/>
  </si>
  <si>
    <t>信義區</t>
    <phoneticPr fontId="7" type="noConversion"/>
  </si>
  <si>
    <t>士林區</t>
    <phoneticPr fontId="13" type="noConversion"/>
  </si>
  <si>
    <t>北投區</t>
    <phoneticPr fontId="13" type="noConversion"/>
  </si>
  <si>
    <t>文山區</t>
    <phoneticPr fontId="7" type="noConversion"/>
  </si>
  <si>
    <t>黎元里</t>
    <phoneticPr fontId="7" type="noConversion"/>
  </si>
  <si>
    <t>黎孝里</t>
    <phoneticPr fontId="7" type="noConversion"/>
  </si>
  <si>
    <t>黎和里</t>
    <phoneticPr fontId="7" type="noConversion"/>
  </si>
  <si>
    <t>興雅里</t>
    <phoneticPr fontId="7" type="noConversion"/>
  </si>
  <si>
    <t>敦厚里</t>
    <phoneticPr fontId="7" type="noConversion"/>
  </si>
  <si>
    <t>廣居里</t>
    <phoneticPr fontId="7" type="noConversion"/>
  </si>
  <si>
    <t>安康里</t>
    <phoneticPr fontId="7" type="noConversion"/>
  </si>
  <si>
    <t>六藝里</t>
    <phoneticPr fontId="7" type="noConversion"/>
  </si>
  <si>
    <t>雅祥里</t>
    <phoneticPr fontId="7" type="noConversion"/>
  </si>
  <si>
    <t>五常里</t>
    <phoneticPr fontId="7" type="noConversion"/>
  </si>
  <si>
    <t>五全里</t>
    <phoneticPr fontId="7" type="noConversion"/>
  </si>
  <si>
    <t>永吉里</t>
    <phoneticPr fontId="7" type="noConversion"/>
  </si>
  <si>
    <t>長春里</t>
    <phoneticPr fontId="7" type="noConversion"/>
  </si>
  <si>
    <t>四育里</t>
    <phoneticPr fontId="7" type="noConversion"/>
  </si>
  <si>
    <t>四維里</t>
    <phoneticPr fontId="7" type="noConversion"/>
  </si>
  <si>
    <t>永春里</t>
    <phoneticPr fontId="7" type="noConversion"/>
  </si>
  <si>
    <t>富臺里</t>
    <phoneticPr fontId="7" type="noConversion"/>
  </si>
  <si>
    <t>國業里</t>
    <phoneticPr fontId="7" type="noConversion"/>
  </si>
  <si>
    <t>松隆里</t>
    <phoneticPr fontId="7" type="noConversion"/>
  </si>
  <si>
    <t>松友里</t>
    <phoneticPr fontId="7" type="noConversion"/>
  </si>
  <si>
    <t>松光里</t>
    <phoneticPr fontId="7" type="noConversion"/>
  </si>
  <si>
    <t>中坡里</t>
    <phoneticPr fontId="7" type="noConversion"/>
  </si>
  <si>
    <t>中行里</t>
    <phoneticPr fontId="7" type="noConversion"/>
  </si>
  <si>
    <t>大道里</t>
    <phoneticPr fontId="7" type="noConversion"/>
  </si>
  <si>
    <t>大仁里</t>
    <phoneticPr fontId="7" type="noConversion"/>
  </si>
  <si>
    <t>惠安里</t>
    <phoneticPr fontId="7" type="noConversion"/>
  </si>
  <si>
    <t>三犁里</t>
    <phoneticPr fontId="7" type="noConversion"/>
  </si>
  <si>
    <t>黎忠里</t>
    <phoneticPr fontId="7" type="noConversion"/>
  </si>
  <si>
    <t>六合里</t>
    <phoneticPr fontId="7" type="noConversion"/>
  </si>
  <si>
    <t>泰和里</t>
    <phoneticPr fontId="7" type="noConversion"/>
  </si>
  <si>
    <t>黎安里</t>
    <phoneticPr fontId="7" type="noConversion"/>
  </si>
  <si>
    <t>西村里</t>
    <phoneticPr fontId="7" type="noConversion"/>
  </si>
  <si>
    <t>正和里</t>
    <phoneticPr fontId="7" type="noConversion"/>
  </si>
  <si>
    <t>興隆里</t>
    <phoneticPr fontId="7" type="noConversion"/>
  </si>
  <si>
    <t>中興里</t>
    <phoneticPr fontId="7" type="noConversion"/>
  </si>
  <si>
    <t>新仁里</t>
    <phoneticPr fontId="7" type="noConversion"/>
  </si>
  <si>
    <t>景新里</t>
    <phoneticPr fontId="7" type="noConversion"/>
  </si>
  <si>
    <t>景聯里</t>
    <phoneticPr fontId="7" type="noConversion"/>
  </si>
  <si>
    <t>景勤里</t>
    <phoneticPr fontId="7" type="noConversion"/>
  </si>
  <si>
    <t>嘉興里</t>
    <phoneticPr fontId="7" type="noConversion"/>
  </si>
  <si>
    <t>黎順里</t>
    <phoneticPr fontId="7" type="noConversion"/>
  </si>
  <si>
    <t>黎平里</t>
    <phoneticPr fontId="7" type="noConversion"/>
  </si>
  <si>
    <t>三張里</t>
    <phoneticPr fontId="7" type="noConversion"/>
  </si>
  <si>
    <t>雙和里</t>
    <phoneticPr fontId="7" type="noConversion"/>
  </si>
  <si>
    <r>
      <rPr>
        <b/>
        <sz val="12"/>
        <rFont val="新細明體"/>
        <family val="1"/>
        <charset val="136"/>
      </rPr>
      <t>信義區</t>
    </r>
    <phoneticPr fontId="7" type="noConversion"/>
  </si>
  <si>
    <t>南港里</t>
    <phoneticPr fontId="7" type="noConversion"/>
  </si>
  <si>
    <t>中南里</t>
    <phoneticPr fontId="7" type="noConversion"/>
  </si>
  <si>
    <t>新富里</t>
    <phoneticPr fontId="7" type="noConversion"/>
  </si>
  <si>
    <t>三重里</t>
    <phoneticPr fontId="7" type="noConversion"/>
  </si>
  <si>
    <t>東新里</t>
    <phoneticPr fontId="7" type="noConversion"/>
  </si>
  <si>
    <t>新光里</t>
    <phoneticPr fontId="7" type="noConversion"/>
  </si>
  <si>
    <t>東明里</t>
    <phoneticPr fontId="7" type="noConversion"/>
  </si>
  <si>
    <t>西新里</t>
    <phoneticPr fontId="7" type="noConversion"/>
  </si>
  <si>
    <t>玉成里</t>
    <phoneticPr fontId="7" type="noConversion"/>
  </si>
  <si>
    <t>合成里</t>
    <phoneticPr fontId="7" type="noConversion"/>
  </si>
  <si>
    <t>成福里</t>
    <phoneticPr fontId="7" type="noConversion"/>
  </si>
  <si>
    <t>萬福里</t>
    <phoneticPr fontId="7" type="noConversion"/>
  </si>
  <si>
    <t>鴻福里</t>
    <phoneticPr fontId="7" type="noConversion"/>
  </si>
  <si>
    <t>百福里</t>
    <phoneticPr fontId="7" type="noConversion"/>
  </si>
  <si>
    <t>聯成里</t>
    <phoneticPr fontId="7" type="noConversion"/>
  </si>
  <si>
    <t>中研里</t>
    <phoneticPr fontId="7" type="noConversion"/>
  </si>
  <si>
    <t>仁福里</t>
    <phoneticPr fontId="7" type="noConversion"/>
  </si>
  <si>
    <r>
      <rPr>
        <b/>
        <sz val="12"/>
        <rFont val="新細明體"/>
        <family val="1"/>
        <charset val="136"/>
      </rPr>
      <t>士林區</t>
    </r>
    <phoneticPr fontId="7" type="noConversion"/>
  </si>
  <si>
    <t>社新里</t>
    <phoneticPr fontId="7" type="noConversion"/>
  </si>
  <si>
    <t>社園里</t>
    <phoneticPr fontId="7" type="noConversion"/>
  </si>
  <si>
    <t>永倫里</t>
    <phoneticPr fontId="7" type="noConversion"/>
  </si>
  <si>
    <t>福安里</t>
    <phoneticPr fontId="7" type="noConversion"/>
  </si>
  <si>
    <t>富洲里</t>
    <phoneticPr fontId="7" type="noConversion"/>
  </si>
  <si>
    <t>仁勇里</t>
    <phoneticPr fontId="7" type="noConversion"/>
  </si>
  <si>
    <t>義信里</t>
    <phoneticPr fontId="7" type="noConversion"/>
  </si>
  <si>
    <t>福林里</t>
    <phoneticPr fontId="7" type="noConversion"/>
  </si>
  <si>
    <t>福志里</t>
    <phoneticPr fontId="7" type="noConversion"/>
  </si>
  <si>
    <t>舊佳里</t>
    <phoneticPr fontId="7" type="noConversion"/>
  </si>
  <si>
    <t>福佳里</t>
    <phoneticPr fontId="7" type="noConversion"/>
  </si>
  <si>
    <t>後港里</t>
    <phoneticPr fontId="7" type="noConversion"/>
  </si>
  <si>
    <t>福中里</t>
    <phoneticPr fontId="7" type="noConversion"/>
  </si>
  <si>
    <t>前港里</t>
    <phoneticPr fontId="7" type="noConversion"/>
  </si>
  <si>
    <t>百齡里</t>
    <phoneticPr fontId="7" type="noConversion"/>
  </si>
  <si>
    <t>承德里</t>
    <phoneticPr fontId="7" type="noConversion"/>
  </si>
  <si>
    <t>福華里</t>
    <phoneticPr fontId="7" type="noConversion"/>
  </si>
  <si>
    <t>明勝里</t>
    <phoneticPr fontId="7" type="noConversion"/>
  </si>
  <si>
    <t>福順里</t>
    <phoneticPr fontId="7" type="noConversion"/>
  </si>
  <si>
    <t>富光里</t>
    <phoneticPr fontId="7" type="noConversion"/>
  </si>
  <si>
    <t>葫蘆里</t>
    <phoneticPr fontId="7" type="noConversion"/>
  </si>
  <si>
    <t>葫東里</t>
    <phoneticPr fontId="7" type="noConversion"/>
  </si>
  <si>
    <t>社子里</t>
    <phoneticPr fontId="7" type="noConversion"/>
  </si>
  <si>
    <t>岩山里</t>
    <phoneticPr fontId="7" type="noConversion"/>
  </si>
  <si>
    <t>名山里</t>
    <phoneticPr fontId="7" type="noConversion"/>
  </si>
  <si>
    <t>德行里</t>
    <phoneticPr fontId="7" type="noConversion"/>
  </si>
  <si>
    <t>德華里</t>
    <phoneticPr fontId="7" type="noConversion"/>
  </si>
  <si>
    <t>聖山里</t>
    <phoneticPr fontId="7" type="noConversion"/>
  </si>
  <si>
    <t>忠誠里</t>
    <phoneticPr fontId="7" type="noConversion"/>
  </si>
  <si>
    <t>芝山里</t>
    <phoneticPr fontId="7" type="noConversion"/>
  </si>
  <si>
    <t>東山里</t>
    <phoneticPr fontId="7" type="noConversion"/>
  </si>
  <si>
    <t>三玉里</t>
    <phoneticPr fontId="7" type="noConversion"/>
  </si>
  <si>
    <t>蘭雅里</t>
    <phoneticPr fontId="7" type="noConversion"/>
  </si>
  <si>
    <t>蘭興里</t>
    <phoneticPr fontId="7" type="noConversion"/>
  </si>
  <si>
    <t>天福里</t>
    <phoneticPr fontId="7" type="noConversion"/>
  </si>
  <si>
    <t>天祿里</t>
    <phoneticPr fontId="7" type="noConversion"/>
  </si>
  <si>
    <t>天壽里</t>
    <phoneticPr fontId="7" type="noConversion"/>
  </si>
  <si>
    <t>天和里</t>
    <phoneticPr fontId="7" type="noConversion"/>
  </si>
  <si>
    <t>天山里</t>
    <phoneticPr fontId="7" type="noConversion"/>
  </si>
  <si>
    <t>天玉里</t>
    <phoneticPr fontId="7" type="noConversion"/>
  </si>
  <si>
    <t>臨溪里</t>
    <phoneticPr fontId="7" type="noConversion"/>
  </si>
  <si>
    <t>西湖里</t>
    <phoneticPr fontId="7" type="noConversion"/>
  </si>
  <si>
    <t>西康里</t>
    <phoneticPr fontId="7" type="noConversion"/>
  </si>
  <si>
    <t>西安里</t>
    <phoneticPr fontId="7" type="noConversion"/>
  </si>
  <si>
    <t>港墘里</t>
  </si>
  <si>
    <t>港都里</t>
  </si>
  <si>
    <t>港富里</t>
  </si>
  <si>
    <t>港華里</t>
  </si>
  <si>
    <t>內湖里</t>
  </si>
  <si>
    <t>湖濱里</t>
  </si>
  <si>
    <t>紫星里</t>
  </si>
  <si>
    <t>金龍里</t>
  </si>
  <si>
    <t>紫雲里</t>
  </si>
  <si>
    <t>清白里</t>
  </si>
  <si>
    <t>葫洲里</t>
  </si>
  <si>
    <t>紫陽里</t>
  </si>
  <si>
    <t>瑞陽里</t>
  </si>
  <si>
    <t>瑞光里</t>
  </si>
  <si>
    <t>五分里</t>
  </si>
  <si>
    <t>東湖里</t>
  </si>
  <si>
    <t>樂康里</t>
  </si>
  <si>
    <t>週美里</t>
  </si>
  <si>
    <t>行善里</t>
  </si>
  <si>
    <t>石潭里</t>
  </si>
  <si>
    <t>湖興里</t>
  </si>
  <si>
    <t>湖元里</t>
  </si>
  <si>
    <t>安湖里</t>
  </si>
  <si>
    <t>金湖里</t>
  </si>
  <si>
    <t>康寧里</t>
  </si>
  <si>
    <t>明湖里</t>
  </si>
  <si>
    <t>蘆洲里</t>
  </si>
  <si>
    <t>麗山里</t>
  </si>
  <si>
    <r>
      <rPr>
        <b/>
        <sz val="12"/>
        <rFont val="新細明體"/>
        <family val="1"/>
        <charset val="136"/>
      </rPr>
      <t>臺北市</t>
    </r>
    <phoneticPr fontId="7" type="noConversion"/>
  </si>
  <si>
    <r>
      <rPr>
        <b/>
        <sz val="12"/>
        <rFont val="新細明體"/>
        <family val="1"/>
        <charset val="136"/>
      </rPr>
      <t>臺北市</t>
    </r>
    <phoneticPr fontId="7" type="noConversion"/>
  </si>
  <si>
    <t>臺北市</t>
    <phoneticPr fontId="7" type="noConversion"/>
  </si>
  <si>
    <t>文山區</t>
  </si>
  <si>
    <t>南港區</t>
  </si>
  <si>
    <t>內湖區</t>
    <phoneticPr fontId="24" type="noConversion"/>
  </si>
  <si>
    <t>士林區</t>
    <phoneticPr fontId="24" type="noConversion"/>
  </si>
  <si>
    <t>北投區</t>
    <phoneticPr fontId="24" type="noConversion"/>
  </si>
  <si>
    <t>中和區</t>
    <phoneticPr fontId="24" type="noConversion"/>
  </si>
  <si>
    <t>新店區</t>
    <phoneticPr fontId="24" type="noConversion"/>
  </si>
  <si>
    <t>土城區</t>
    <phoneticPr fontId="24" type="noConversion"/>
  </si>
  <si>
    <t>樹林區</t>
    <phoneticPr fontId="24" type="noConversion"/>
  </si>
  <si>
    <t>五股區</t>
    <phoneticPr fontId="24" type="noConversion"/>
  </si>
  <si>
    <t>泰山區</t>
    <phoneticPr fontId="24" type="noConversion"/>
  </si>
  <si>
    <t>山腳里</t>
    <phoneticPr fontId="7" type="noConversion"/>
  </si>
  <si>
    <t>福泰里</t>
    <phoneticPr fontId="7" type="noConversion"/>
  </si>
  <si>
    <t>楓樹里</t>
    <phoneticPr fontId="7" type="noConversion"/>
  </si>
  <si>
    <t>同榮里</t>
    <phoneticPr fontId="7" type="noConversion"/>
  </si>
  <si>
    <t>義學里</t>
    <phoneticPr fontId="7" type="noConversion"/>
  </si>
  <si>
    <t>明志里</t>
    <phoneticPr fontId="7" type="noConversion"/>
  </si>
  <si>
    <t>貴子里</t>
    <phoneticPr fontId="7" type="noConversion"/>
  </si>
  <si>
    <t>貴和里</t>
    <phoneticPr fontId="7" type="noConversion"/>
  </si>
  <si>
    <t>同興里</t>
    <phoneticPr fontId="7" type="noConversion"/>
  </si>
  <si>
    <t>義仁里</t>
    <phoneticPr fontId="7" type="noConversion"/>
  </si>
  <si>
    <t>泰友里</t>
    <phoneticPr fontId="7" type="noConversion"/>
  </si>
  <si>
    <t>新明里</t>
    <phoneticPr fontId="7" type="noConversion"/>
  </si>
  <si>
    <t>貴賢里</t>
    <phoneticPr fontId="7" type="noConversion"/>
  </si>
  <si>
    <t>埤塘里</t>
    <phoneticPr fontId="7" type="noConversion"/>
  </si>
  <si>
    <t>土城里</t>
    <phoneticPr fontId="7" type="noConversion"/>
  </si>
  <si>
    <t>員林里</t>
    <phoneticPr fontId="7" type="noConversion"/>
  </si>
  <si>
    <t>員仁里</t>
    <phoneticPr fontId="7" type="noConversion"/>
  </si>
  <si>
    <t>長風里</t>
    <phoneticPr fontId="7" type="noConversion"/>
  </si>
  <si>
    <t>日新里</t>
    <phoneticPr fontId="7" type="noConversion"/>
  </si>
  <si>
    <t>日和里</t>
    <phoneticPr fontId="7" type="noConversion"/>
  </si>
  <si>
    <t>貨饒里</t>
    <phoneticPr fontId="7" type="noConversion"/>
  </si>
  <si>
    <t>柑林里</t>
    <phoneticPr fontId="7" type="noConversion"/>
  </si>
  <si>
    <t>埤林里</t>
    <phoneticPr fontId="7" type="noConversion"/>
  </si>
  <si>
    <t>瑞興里</t>
    <phoneticPr fontId="7" type="noConversion"/>
  </si>
  <si>
    <t>清水里</t>
    <phoneticPr fontId="7" type="noConversion"/>
  </si>
  <si>
    <t>清和里</t>
    <phoneticPr fontId="7" type="noConversion"/>
  </si>
  <si>
    <t>永豐里</t>
    <phoneticPr fontId="7" type="noConversion"/>
  </si>
  <si>
    <t>清溪里</t>
    <phoneticPr fontId="7" type="noConversion"/>
  </si>
  <si>
    <t>峰廷里</t>
    <phoneticPr fontId="7" type="noConversion"/>
  </si>
  <si>
    <t>平和里</t>
    <phoneticPr fontId="7" type="noConversion"/>
  </si>
  <si>
    <t>廷寮里</t>
    <phoneticPr fontId="7" type="noConversion"/>
  </si>
  <si>
    <t>大安里</t>
    <phoneticPr fontId="7" type="noConversion"/>
  </si>
  <si>
    <t>永寧里</t>
    <phoneticPr fontId="7" type="noConversion"/>
  </si>
  <si>
    <t>沛陂里</t>
    <phoneticPr fontId="7" type="noConversion"/>
  </si>
  <si>
    <t>頂埔里</t>
    <phoneticPr fontId="7" type="noConversion"/>
  </si>
  <si>
    <t>頂福里</t>
    <phoneticPr fontId="7" type="noConversion"/>
  </si>
  <si>
    <t>頂新里</t>
    <phoneticPr fontId="7" type="noConversion"/>
  </si>
  <si>
    <t>樂利里</t>
    <phoneticPr fontId="7" type="noConversion"/>
  </si>
  <si>
    <t>廣福里</t>
    <phoneticPr fontId="7" type="noConversion"/>
  </si>
  <si>
    <t>學府里</t>
    <phoneticPr fontId="7" type="noConversion"/>
  </si>
  <si>
    <t>延壽里</t>
    <phoneticPr fontId="7" type="noConversion"/>
  </si>
  <si>
    <t>安和里</t>
    <phoneticPr fontId="7" type="noConversion"/>
  </si>
  <si>
    <t>青雲里</t>
    <phoneticPr fontId="7" type="noConversion"/>
  </si>
  <si>
    <t>員福里</t>
    <phoneticPr fontId="7" type="noConversion"/>
  </si>
  <si>
    <t>延吉里</t>
    <phoneticPr fontId="7" type="noConversion"/>
  </si>
  <si>
    <t>復興里</t>
    <phoneticPr fontId="7" type="noConversion"/>
  </si>
  <si>
    <t>裕生里</t>
    <phoneticPr fontId="7" type="noConversion"/>
  </si>
  <si>
    <t>員信里</t>
    <phoneticPr fontId="7" type="noConversion"/>
  </si>
  <si>
    <t>永富里</t>
    <phoneticPr fontId="7" type="noConversion"/>
  </si>
  <si>
    <t>學成里</t>
    <phoneticPr fontId="7" type="noConversion"/>
  </si>
  <si>
    <t>延和里</t>
    <phoneticPr fontId="7" type="noConversion"/>
  </si>
  <si>
    <t>海山里</t>
    <phoneticPr fontId="7" type="noConversion"/>
  </si>
  <si>
    <t>頭前里</t>
    <phoneticPr fontId="7" type="noConversion"/>
  </si>
  <si>
    <t>國泰里</t>
    <phoneticPr fontId="7" type="noConversion"/>
  </si>
  <si>
    <t>全安里</t>
    <phoneticPr fontId="7" type="noConversion"/>
  </si>
  <si>
    <t>福基里</t>
    <phoneticPr fontId="7" type="noConversion"/>
  </si>
  <si>
    <t>豐年里</t>
    <phoneticPr fontId="7" type="noConversion"/>
  </si>
  <si>
    <t>忠孝里</t>
    <phoneticPr fontId="7" type="noConversion"/>
  </si>
  <si>
    <t>恆安里</t>
    <phoneticPr fontId="7" type="noConversion"/>
  </si>
  <si>
    <t>後港里</t>
    <phoneticPr fontId="7" type="noConversion"/>
  </si>
  <si>
    <t>文衡里</t>
    <phoneticPr fontId="7" type="noConversion"/>
  </si>
  <si>
    <t>中美里</t>
    <phoneticPr fontId="7" type="noConversion"/>
  </si>
  <si>
    <t>興漢里</t>
    <phoneticPr fontId="7" type="noConversion"/>
  </si>
  <si>
    <t>中和里</t>
    <phoneticPr fontId="7" type="noConversion"/>
  </si>
  <si>
    <t>榮和里</t>
    <phoneticPr fontId="7" type="noConversion"/>
  </si>
  <si>
    <t>中泰里</t>
    <phoneticPr fontId="7" type="noConversion"/>
  </si>
  <si>
    <t>瓊林里</t>
    <phoneticPr fontId="7" type="noConversion"/>
  </si>
  <si>
    <t>文德里</t>
    <phoneticPr fontId="7" type="noConversion"/>
  </si>
  <si>
    <t>中誠里</t>
    <phoneticPr fontId="7" type="noConversion"/>
  </si>
  <si>
    <t>文明里</t>
    <phoneticPr fontId="7" type="noConversion"/>
  </si>
  <si>
    <t>中港里</t>
    <phoneticPr fontId="7" type="noConversion"/>
  </si>
  <si>
    <t>思源里</t>
    <phoneticPr fontId="7" type="noConversion"/>
  </si>
  <si>
    <t>立人里</t>
    <phoneticPr fontId="7" type="noConversion"/>
  </si>
  <si>
    <t>仁愛里</t>
    <phoneticPr fontId="7" type="noConversion"/>
  </si>
  <si>
    <t>立德里</t>
    <phoneticPr fontId="7" type="noConversion"/>
  </si>
  <si>
    <t>信義里</t>
    <phoneticPr fontId="7" type="noConversion"/>
  </si>
  <si>
    <t>立言里</t>
    <phoneticPr fontId="7" type="noConversion"/>
  </si>
  <si>
    <t>和平里</t>
    <phoneticPr fontId="7" type="noConversion"/>
  </si>
  <si>
    <t>立功里</t>
    <phoneticPr fontId="7" type="noConversion"/>
  </si>
  <si>
    <t>化成里</t>
    <phoneticPr fontId="7" type="noConversion"/>
  </si>
  <si>
    <t>立志里</t>
    <phoneticPr fontId="7" type="noConversion"/>
  </si>
  <si>
    <t>思賢里</t>
    <phoneticPr fontId="7" type="noConversion"/>
  </si>
  <si>
    <t>營盤里</t>
    <phoneticPr fontId="7" type="noConversion"/>
  </si>
  <si>
    <t>自強里</t>
    <phoneticPr fontId="7" type="noConversion"/>
  </si>
  <si>
    <t>自立里</t>
    <phoneticPr fontId="7" type="noConversion"/>
  </si>
  <si>
    <t>幸福里</t>
    <phoneticPr fontId="7" type="noConversion"/>
  </si>
  <si>
    <t>自信里</t>
    <phoneticPr fontId="7" type="noConversion"/>
  </si>
  <si>
    <t>中華里</t>
    <phoneticPr fontId="7" type="noConversion"/>
  </si>
  <si>
    <t>中隆里</t>
    <phoneticPr fontId="7" type="noConversion"/>
  </si>
  <si>
    <t>中原里</t>
    <phoneticPr fontId="7" type="noConversion"/>
  </si>
  <si>
    <t>中信里</t>
    <phoneticPr fontId="7" type="noConversion"/>
  </si>
  <si>
    <t>建福里</t>
    <phoneticPr fontId="7" type="noConversion"/>
  </si>
  <si>
    <t>中宏里</t>
    <phoneticPr fontId="7" type="noConversion"/>
  </si>
  <si>
    <t>中全里</t>
    <phoneticPr fontId="7" type="noConversion"/>
  </si>
  <si>
    <t>立泰里</t>
    <phoneticPr fontId="7" type="noConversion"/>
  </si>
  <si>
    <t>全泰里</t>
    <phoneticPr fontId="7" type="noConversion"/>
  </si>
  <si>
    <t>仁義里</t>
    <phoneticPr fontId="7" type="noConversion"/>
  </si>
  <si>
    <t>立基里</t>
    <phoneticPr fontId="7" type="noConversion"/>
  </si>
  <si>
    <t>昌明里</t>
    <phoneticPr fontId="7" type="noConversion"/>
  </si>
  <si>
    <t>昌平里</t>
    <phoneticPr fontId="7" type="noConversion"/>
  </si>
  <si>
    <t>文聖里</t>
    <phoneticPr fontId="7" type="noConversion"/>
  </si>
  <si>
    <t>福營里</t>
    <phoneticPr fontId="7" type="noConversion"/>
  </si>
  <si>
    <t>後德里</t>
    <phoneticPr fontId="7" type="noConversion"/>
  </si>
  <si>
    <t>建安里</t>
    <phoneticPr fontId="7" type="noConversion"/>
  </si>
  <si>
    <t>八德里</t>
    <phoneticPr fontId="7" type="noConversion"/>
  </si>
  <si>
    <t>西盛里</t>
    <phoneticPr fontId="7" type="noConversion"/>
  </si>
  <si>
    <t>裕民里</t>
    <phoneticPr fontId="7" type="noConversion"/>
  </si>
  <si>
    <t>富國里</t>
    <phoneticPr fontId="7" type="noConversion"/>
  </si>
  <si>
    <t>南港里</t>
    <phoneticPr fontId="7" type="noConversion"/>
  </si>
  <si>
    <t>民安里</t>
    <phoneticPr fontId="7" type="noConversion"/>
  </si>
  <si>
    <t>民本里</t>
    <phoneticPr fontId="7" type="noConversion"/>
  </si>
  <si>
    <t>光華里</t>
    <phoneticPr fontId="7" type="noConversion"/>
  </si>
  <si>
    <t>光榮里</t>
    <phoneticPr fontId="7" type="noConversion"/>
  </si>
  <si>
    <t>丹鳳里</t>
    <phoneticPr fontId="7" type="noConversion"/>
  </si>
  <si>
    <t>光明里</t>
    <phoneticPr fontId="7" type="noConversion"/>
  </si>
  <si>
    <t>合鳳里</t>
    <phoneticPr fontId="7" type="noConversion"/>
  </si>
  <si>
    <t>雙鳳里</t>
    <phoneticPr fontId="7" type="noConversion"/>
  </si>
  <si>
    <t>龍鳳里</t>
    <phoneticPr fontId="7" type="noConversion"/>
  </si>
  <si>
    <t>四維里</t>
    <phoneticPr fontId="7" type="noConversion"/>
  </si>
  <si>
    <t>萬安里</t>
    <phoneticPr fontId="7" type="noConversion"/>
  </si>
  <si>
    <t>龍安里</t>
    <phoneticPr fontId="7" type="noConversion"/>
  </si>
  <si>
    <t>成德里</t>
    <phoneticPr fontId="7" type="noConversion"/>
  </si>
  <si>
    <t>樹德里</t>
    <phoneticPr fontId="7" type="noConversion"/>
  </si>
  <si>
    <t>樹西里</t>
    <phoneticPr fontId="7" type="noConversion"/>
  </si>
  <si>
    <t>樹南里</t>
    <phoneticPr fontId="7" type="noConversion"/>
  </si>
  <si>
    <t>樹人里</t>
    <phoneticPr fontId="7" type="noConversion"/>
  </si>
  <si>
    <t>坡內里</t>
    <phoneticPr fontId="7" type="noConversion"/>
  </si>
  <si>
    <t>樹東里</t>
    <phoneticPr fontId="7" type="noConversion"/>
  </si>
  <si>
    <t>大同里</t>
    <phoneticPr fontId="7" type="noConversion"/>
  </si>
  <si>
    <t>彭厝里</t>
    <phoneticPr fontId="7" type="noConversion"/>
  </si>
  <si>
    <t>彭福里</t>
    <phoneticPr fontId="7" type="noConversion"/>
  </si>
  <si>
    <t>東山里</t>
    <phoneticPr fontId="7" type="noConversion"/>
  </si>
  <si>
    <t>東陽里</t>
    <phoneticPr fontId="7" type="noConversion"/>
  </si>
  <si>
    <t>東昇里</t>
    <phoneticPr fontId="7" type="noConversion"/>
  </si>
  <si>
    <t>樹北里</t>
    <phoneticPr fontId="7" type="noConversion"/>
  </si>
  <si>
    <t>樹興里</t>
    <phoneticPr fontId="7" type="noConversion"/>
  </si>
  <si>
    <t>樹福里</t>
    <phoneticPr fontId="7" type="noConversion"/>
  </si>
  <si>
    <t>彭興里</t>
    <phoneticPr fontId="7" type="noConversion"/>
  </si>
  <si>
    <t>山佳里</t>
    <phoneticPr fontId="7" type="noConversion"/>
  </si>
  <si>
    <t>育英里</t>
    <phoneticPr fontId="7" type="noConversion"/>
  </si>
  <si>
    <t>三多里</t>
    <phoneticPr fontId="7" type="noConversion"/>
  </si>
  <si>
    <t>三福里</t>
    <phoneticPr fontId="7" type="noConversion"/>
  </si>
  <si>
    <t>圳安里</t>
    <phoneticPr fontId="7" type="noConversion"/>
  </si>
  <si>
    <t>保安里</t>
    <phoneticPr fontId="7" type="noConversion"/>
  </si>
  <si>
    <t>潭底里</t>
    <phoneticPr fontId="7" type="noConversion"/>
  </si>
  <si>
    <t>羌寮里</t>
    <phoneticPr fontId="7" type="noConversion"/>
  </si>
  <si>
    <t>圳福里</t>
    <phoneticPr fontId="7" type="noConversion"/>
  </si>
  <si>
    <t>光興里</t>
    <phoneticPr fontId="7" type="noConversion"/>
  </si>
  <si>
    <t>金寮里</t>
    <phoneticPr fontId="7" type="noConversion"/>
  </si>
  <si>
    <t>文林里</t>
    <phoneticPr fontId="7" type="noConversion"/>
  </si>
  <si>
    <t>板橋區</t>
    <phoneticPr fontId="7" type="noConversion"/>
  </si>
  <si>
    <t>淡水區</t>
    <phoneticPr fontId="7" type="noConversion"/>
  </si>
  <si>
    <t>八里區</t>
    <phoneticPr fontId="7" type="noConversion"/>
  </si>
  <si>
    <t>汐止區</t>
    <phoneticPr fontId="7" type="noConversion"/>
  </si>
  <si>
    <t>中正里</t>
    <phoneticPr fontId="7" type="noConversion"/>
  </si>
  <si>
    <t>江翠里</t>
    <phoneticPr fontId="7" type="noConversion"/>
  </si>
  <si>
    <t>純翠里</t>
    <phoneticPr fontId="7" type="noConversion"/>
  </si>
  <si>
    <t>溪頭里</t>
    <phoneticPr fontId="7" type="noConversion"/>
  </si>
  <si>
    <t>宏翠里</t>
    <phoneticPr fontId="7" type="noConversion"/>
  </si>
  <si>
    <t>仁翠里</t>
    <phoneticPr fontId="7" type="noConversion"/>
  </si>
  <si>
    <t>吉翠里</t>
    <phoneticPr fontId="7" type="noConversion"/>
  </si>
  <si>
    <t>德翠里</t>
    <phoneticPr fontId="7" type="noConversion"/>
  </si>
  <si>
    <t>滿翠里</t>
    <phoneticPr fontId="7" type="noConversion"/>
  </si>
  <si>
    <t>松翠里</t>
    <phoneticPr fontId="7" type="noConversion"/>
  </si>
  <si>
    <t>柏翠里</t>
    <phoneticPr fontId="7" type="noConversion"/>
  </si>
  <si>
    <t>龍翠里</t>
    <phoneticPr fontId="7" type="noConversion"/>
  </si>
  <si>
    <t>華翠里</t>
    <phoneticPr fontId="7" type="noConversion"/>
  </si>
  <si>
    <t>忠翠里</t>
    <phoneticPr fontId="7" type="noConversion"/>
  </si>
  <si>
    <t>嵐翠里</t>
    <phoneticPr fontId="7" type="noConversion"/>
  </si>
  <si>
    <t>文翠里</t>
    <phoneticPr fontId="7" type="noConversion"/>
  </si>
  <si>
    <t>青翠里</t>
    <phoneticPr fontId="7" type="noConversion"/>
  </si>
  <si>
    <t>懷翠里</t>
    <phoneticPr fontId="7" type="noConversion"/>
  </si>
  <si>
    <t>福翠里</t>
    <phoneticPr fontId="7" type="noConversion"/>
  </si>
  <si>
    <t>港嘴里</t>
    <phoneticPr fontId="7" type="noConversion"/>
  </si>
  <si>
    <t>振興里</t>
    <phoneticPr fontId="7" type="noConversion"/>
  </si>
  <si>
    <t>振義里</t>
    <phoneticPr fontId="7" type="noConversion"/>
  </si>
  <si>
    <t>光復里</t>
    <phoneticPr fontId="7" type="noConversion"/>
  </si>
  <si>
    <t>埔墘里</t>
    <phoneticPr fontId="7" type="noConversion"/>
  </si>
  <si>
    <t>長壽里</t>
    <phoneticPr fontId="7" type="noConversion"/>
  </si>
  <si>
    <t>九如里</t>
    <phoneticPr fontId="7" type="noConversion"/>
  </si>
  <si>
    <t>光仁里</t>
    <phoneticPr fontId="7" type="noConversion"/>
  </si>
  <si>
    <t>埤墘里</t>
    <phoneticPr fontId="7" type="noConversion"/>
  </si>
  <si>
    <t>永安里</t>
    <phoneticPr fontId="7" type="noConversion"/>
  </si>
  <si>
    <t>雙玉里</t>
    <phoneticPr fontId="7" type="noConversion"/>
  </si>
  <si>
    <t>廣新里</t>
    <phoneticPr fontId="7" type="noConversion"/>
  </si>
  <si>
    <t>東丘里</t>
    <phoneticPr fontId="7" type="noConversion"/>
  </si>
  <si>
    <t>文化里</t>
    <phoneticPr fontId="7" type="noConversion"/>
  </si>
  <si>
    <t>新海里</t>
    <phoneticPr fontId="7" type="noConversion"/>
  </si>
  <si>
    <t>富貴里</t>
    <phoneticPr fontId="7" type="noConversion"/>
  </si>
  <si>
    <t>正泰里</t>
    <phoneticPr fontId="7" type="noConversion"/>
  </si>
  <si>
    <t>松柏里</t>
    <phoneticPr fontId="7" type="noConversion"/>
  </si>
  <si>
    <t>留侯里</t>
    <phoneticPr fontId="7" type="noConversion"/>
  </si>
  <si>
    <t>流芳里</t>
    <phoneticPr fontId="7" type="noConversion"/>
  </si>
  <si>
    <t>赤松里</t>
    <phoneticPr fontId="7" type="noConversion"/>
  </si>
  <si>
    <t>黃石里</t>
    <phoneticPr fontId="7" type="noConversion"/>
  </si>
  <si>
    <t>挹秀里</t>
    <phoneticPr fontId="7" type="noConversion"/>
  </si>
  <si>
    <t>湳興里</t>
    <phoneticPr fontId="7" type="noConversion"/>
  </si>
  <si>
    <t>新興里</t>
    <phoneticPr fontId="7" type="noConversion"/>
  </si>
  <si>
    <t>社後里</t>
    <phoneticPr fontId="7" type="noConversion"/>
  </si>
  <si>
    <t>香社里</t>
    <phoneticPr fontId="7" type="noConversion"/>
  </si>
  <si>
    <t>國光里</t>
    <phoneticPr fontId="7" type="noConversion"/>
  </si>
  <si>
    <t>港尾里</t>
    <phoneticPr fontId="7" type="noConversion"/>
  </si>
  <si>
    <t>金華里</t>
    <phoneticPr fontId="7" type="noConversion"/>
  </si>
  <si>
    <t>港德里</t>
    <phoneticPr fontId="7" type="noConversion"/>
  </si>
  <si>
    <t>民權里</t>
    <phoneticPr fontId="7" type="noConversion"/>
  </si>
  <si>
    <t>建國里</t>
    <phoneticPr fontId="7" type="noConversion"/>
  </si>
  <si>
    <t>漢生里</t>
    <phoneticPr fontId="7" type="noConversion"/>
  </si>
  <si>
    <t>公館里</t>
    <phoneticPr fontId="7" type="noConversion"/>
  </si>
  <si>
    <t>新民里</t>
    <phoneticPr fontId="7" type="noConversion"/>
  </si>
  <si>
    <t>忠誠里</t>
    <phoneticPr fontId="7" type="noConversion"/>
  </si>
  <si>
    <t>百壽里</t>
    <phoneticPr fontId="7" type="noConversion"/>
  </si>
  <si>
    <t>介壽里</t>
    <phoneticPr fontId="7" type="noConversion"/>
  </si>
  <si>
    <t>新埔里</t>
    <phoneticPr fontId="7" type="noConversion"/>
  </si>
  <si>
    <t>華江里</t>
    <phoneticPr fontId="7" type="noConversion"/>
  </si>
  <si>
    <t>聯翠里</t>
    <phoneticPr fontId="7" type="noConversion"/>
  </si>
  <si>
    <t>新翠里</t>
    <phoneticPr fontId="7" type="noConversion"/>
  </si>
  <si>
    <t>明翠里</t>
    <phoneticPr fontId="7" type="noConversion"/>
  </si>
  <si>
    <t>福壽里</t>
    <phoneticPr fontId="7" type="noConversion"/>
  </si>
  <si>
    <t>玉光里</t>
    <phoneticPr fontId="7" type="noConversion"/>
  </si>
  <si>
    <t>深丘里</t>
    <phoneticPr fontId="7" type="noConversion"/>
  </si>
  <si>
    <t>香丘里</t>
    <phoneticPr fontId="7" type="noConversion"/>
  </si>
  <si>
    <t>西安里</t>
    <phoneticPr fontId="7" type="noConversion"/>
  </si>
  <si>
    <t>長安里</t>
    <phoneticPr fontId="7" type="noConversion"/>
  </si>
  <si>
    <t>福丘里</t>
    <phoneticPr fontId="7" type="noConversion"/>
  </si>
  <si>
    <t>福祿里</t>
    <phoneticPr fontId="7" type="noConversion"/>
  </si>
  <si>
    <t>民族里</t>
    <phoneticPr fontId="7" type="noConversion"/>
  </si>
  <si>
    <t>福德里</t>
    <phoneticPr fontId="7" type="noConversion"/>
  </si>
  <si>
    <t>景星里</t>
    <phoneticPr fontId="7" type="noConversion"/>
  </si>
  <si>
    <t>福星里</t>
    <phoneticPr fontId="7" type="noConversion"/>
  </si>
  <si>
    <t>鄉雲里</t>
    <phoneticPr fontId="7" type="noConversion"/>
  </si>
  <si>
    <t>廣德里</t>
    <phoneticPr fontId="7" type="noConversion"/>
  </si>
  <si>
    <t>大豐里</t>
    <phoneticPr fontId="7" type="noConversion"/>
  </si>
  <si>
    <t>華興里</t>
    <phoneticPr fontId="7" type="noConversion"/>
  </si>
  <si>
    <t>華貴里</t>
    <phoneticPr fontId="7" type="noConversion"/>
  </si>
  <si>
    <t>華東里</t>
    <phoneticPr fontId="7" type="noConversion"/>
  </si>
  <si>
    <t>浮洲里</t>
    <phoneticPr fontId="7" type="noConversion"/>
  </si>
  <si>
    <t>華中里</t>
    <phoneticPr fontId="7" type="noConversion"/>
  </si>
  <si>
    <t>僑中里</t>
    <phoneticPr fontId="7" type="noConversion"/>
  </si>
  <si>
    <t>中山里</t>
    <phoneticPr fontId="7" type="noConversion"/>
  </si>
  <si>
    <t>福安里</t>
    <phoneticPr fontId="7" type="noConversion"/>
  </si>
  <si>
    <t>聚安里</t>
    <phoneticPr fontId="7" type="noConversion"/>
  </si>
  <si>
    <t>崑崙里</t>
    <phoneticPr fontId="7" type="noConversion"/>
  </si>
  <si>
    <t>香雅里</t>
    <phoneticPr fontId="7" type="noConversion"/>
  </si>
  <si>
    <t>新生里</t>
    <phoneticPr fontId="7" type="noConversion"/>
  </si>
  <si>
    <t>莒光里</t>
    <phoneticPr fontId="7" type="noConversion"/>
  </si>
  <si>
    <t>民生里</t>
    <phoneticPr fontId="7" type="noConversion"/>
  </si>
  <si>
    <t>後埔里</t>
    <phoneticPr fontId="7" type="noConversion"/>
  </si>
  <si>
    <t>華福里</t>
    <phoneticPr fontId="7" type="noConversion"/>
  </si>
  <si>
    <t>成和里</t>
    <phoneticPr fontId="7" type="noConversion"/>
  </si>
  <si>
    <t>陽明里</t>
    <phoneticPr fontId="7" type="noConversion"/>
  </si>
  <si>
    <t>朝陽里</t>
    <phoneticPr fontId="7" type="noConversion"/>
  </si>
  <si>
    <t>居仁里</t>
    <phoneticPr fontId="7" type="noConversion"/>
  </si>
  <si>
    <t>莊敬里</t>
    <phoneticPr fontId="7" type="noConversion"/>
  </si>
  <si>
    <t>東安里</t>
    <phoneticPr fontId="7" type="noConversion"/>
  </si>
  <si>
    <t>大觀里</t>
    <phoneticPr fontId="7" type="noConversion"/>
  </si>
  <si>
    <t>歡園里</t>
    <phoneticPr fontId="7" type="noConversion"/>
  </si>
  <si>
    <t>重慶里</t>
    <phoneticPr fontId="7" type="noConversion"/>
  </si>
  <si>
    <t>華德里</t>
    <phoneticPr fontId="7" type="noConversion"/>
  </si>
  <si>
    <t>溪洲里</t>
    <phoneticPr fontId="7" type="noConversion"/>
  </si>
  <si>
    <t>溪北里</t>
    <phoneticPr fontId="7" type="noConversion"/>
  </si>
  <si>
    <t>堂春里</t>
    <phoneticPr fontId="7" type="noConversion"/>
  </si>
  <si>
    <t>五權里</t>
    <phoneticPr fontId="7" type="noConversion"/>
  </si>
  <si>
    <t>溪福里</t>
    <phoneticPr fontId="7" type="noConversion"/>
  </si>
  <si>
    <t>平河里</t>
    <phoneticPr fontId="7" type="noConversion"/>
  </si>
  <si>
    <t>信和里</t>
    <phoneticPr fontId="7" type="noConversion"/>
  </si>
  <si>
    <t>仁和里</t>
    <phoneticPr fontId="7" type="noConversion"/>
  </si>
  <si>
    <t>建和里</t>
    <phoneticPr fontId="7" type="noConversion"/>
  </si>
  <si>
    <t>連和里</t>
    <phoneticPr fontId="7" type="noConversion"/>
  </si>
  <si>
    <t>連城里</t>
    <phoneticPr fontId="7" type="noConversion"/>
  </si>
  <si>
    <t>力行里</t>
    <phoneticPr fontId="7" type="noConversion"/>
  </si>
  <si>
    <t>枋寮里</t>
    <phoneticPr fontId="7" type="noConversion"/>
  </si>
  <si>
    <t>漳和里</t>
    <phoneticPr fontId="7" type="noConversion"/>
  </si>
  <si>
    <t>廟美里</t>
    <phoneticPr fontId="7" type="noConversion"/>
  </si>
  <si>
    <t>福真里</t>
    <phoneticPr fontId="7" type="noConversion"/>
  </si>
  <si>
    <t>福善里</t>
    <phoneticPr fontId="7" type="noConversion"/>
  </si>
  <si>
    <t>福美里</t>
    <phoneticPr fontId="7" type="noConversion"/>
  </si>
  <si>
    <t>福祥里</t>
    <phoneticPr fontId="7" type="noConversion"/>
  </si>
  <si>
    <t>瓦瓦里</t>
    <phoneticPr fontId="7" type="noConversion"/>
  </si>
  <si>
    <t>福和里</t>
    <phoneticPr fontId="7" type="noConversion"/>
  </si>
  <si>
    <t>佳和里</t>
    <phoneticPr fontId="7" type="noConversion"/>
  </si>
  <si>
    <t>泰安里</t>
    <phoneticPr fontId="7" type="noConversion"/>
  </si>
  <si>
    <t>新南里</t>
    <phoneticPr fontId="7" type="noConversion"/>
  </si>
  <si>
    <t>南山里</t>
    <phoneticPr fontId="7" type="noConversion"/>
  </si>
  <si>
    <t>秀景里</t>
    <phoneticPr fontId="7" type="noConversion"/>
  </si>
  <si>
    <t>秀峰里</t>
    <phoneticPr fontId="7" type="noConversion"/>
  </si>
  <si>
    <t>頂南里</t>
    <phoneticPr fontId="7" type="noConversion"/>
  </si>
  <si>
    <t>華新里</t>
    <phoneticPr fontId="7" type="noConversion"/>
  </si>
  <si>
    <t>東南里</t>
    <phoneticPr fontId="7" type="noConversion"/>
  </si>
  <si>
    <t>華南里</t>
    <phoneticPr fontId="7" type="noConversion"/>
  </si>
  <si>
    <t>崇南里</t>
    <phoneticPr fontId="7" type="noConversion"/>
  </si>
  <si>
    <t>景南里</t>
    <phoneticPr fontId="7" type="noConversion"/>
  </si>
  <si>
    <t>壽南里</t>
    <phoneticPr fontId="7" type="noConversion"/>
  </si>
  <si>
    <t>外南里</t>
    <phoneticPr fontId="7" type="noConversion"/>
  </si>
  <si>
    <t>和興里</t>
    <phoneticPr fontId="7" type="noConversion"/>
  </si>
  <si>
    <t>景平里</t>
    <phoneticPr fontId="7" type="noConversion"/>
  </si>
  <si>
    <t>景新里</t>
    <phoneticPr fontId="7" type="noConversion"/>
  </si>
  <si>
    <t>景福里</t>
    <phoneticPr fontId="7" type="noConversion"/>
  </si>
  <si>
    <t>景安里</t>
    <phoneticPr fontId="7" type="noConversion"/>
  </si>
  <si>
    <t>景文里</t>
    <phoneticPr fontId="7" type="noConversion"/>
  </si>
  <si>
    <t>錦和里</t>
    <phoneticPr fontId="7" type="noConversion"/>
  </si>
  <si>
    <t>錦昌里</t>
    <phoneticPr fontId="7" type="noConversion"/>
  </si>
  <si>
    <t>積穗里</t>
    <phoneticPr fontId="7" type="noConversion"/>
  </si>
  <si>
    <t>民享里</t>
    <phoneticPr fontId="7" type="noConversion"/>
  </si>
  <si>
    <t>員山里</t>
    <phoneticPr fontId="7" type="noConversion"/>
  </si>
  <si>
    <t>嘉穗里</t>
    <phoneticPr fontId="7" type="noConversion"/>
  </si>
  <si>
    <t>文元里</t>
    <phoneticPr fontId="7" type="noConversion"/>
  </si>
  <si>
    <t>嘉新里</t>
    <phoneticPr fontId="7" type="noConversion"/>
  </si>
  <si>
    <t>安穗里</t>
    <phoneticPr fontId="7" type="noConversion"/>
  </si>
  <si>
    <t>瑞穗里</t>
    <phoneticPr fontId="7" type="noConversion"/>
  </si>
  <si>
    <t>德穗里</t>
    <phoneticPr fontId="7" type="noConversion"/>
  </si>
  <si>
    <t>德行里</t>
    <phoneticPr fontId="7" type="noConversion"/>
  </si>
  <si>
    <t>秀士里</t>
    <phoneticPr fontId="7" type="noConversion"/>
  </si>
  <si>
    <t>興南里</t>
    <phoneticPr fontId="7" type="noConversion"/>
  </si>
  <si>
    <t>景本里</t>
    <phoneticPr fontId="7" type="noConversion"/>
  </si>
  <si>
    <t>福南里</t>
    <phoneticPr fontId="7" type="noConversion"/>
  </si>
  <si>
    <t>中興里</t>
    <phoneticPr fontId="7" type="noConversion"/>
  </si>
  <si>
    <t>吉興里</t>
    <phoneticPr fontId="7" type="noConversion"/>
  </si>
  <si>
    <t>碧河里</t>
    <phoneticPr fontId="7" type="noConversion"/>
  </si>
  <si>
    <t>錦中里</t>
    <phoneticPr fontId="7" type="noConversion"/>
  </si>
  <si>
    <t>錦盛里</t>
    <phoneticPr fontId="7" type="noConversion"/>
  </si>
  <si>
    <t>民有里</t>
    <phoneticPr fontId="7" type="noConversion"/>
  </si>
  <si>
    <t>員富里</t>
    <phoneticPr fontId="7" type="noConversion"/>
  </si>
  <si>
    <t>冠穗里</t>
    <phoneticPr fontId="7" type="noConversion"/>
  </si>
  <si>
    <t>國華里</t>
    <phoneticPr fontId="7" type="noConversion"/>
  </si>
  <si>
    <t>正南里</t>
    <phoneticPr fontId="7" type="noConversion"/>
  </si>
  <si>
    <t>正行里</t>
    <phoneticPr fontId="7" type="noConversion"/>
  </si>
  <si>
    <t>安樂里</t>
    <phoneticPr fontId="7" type="noConversion"/>
  </si>
  <si>
    <t>安平里</t>
    <phoneticPr fontId="7" type="noConversion"/>
  </si>
  <si>
    <t>中安里</t>
    <phoneticPr fontId="7" type="noConversion"/>
  </si>
  <si>
    <t>秀山里</t>
    <phoneticPr fontId="7" type="noConversion"/>
  </si>
  <si>
    <t>秀成里</t>
    <phoneticPr fontId="7" type="noConversion"/>
  </si>
  <si>
    <t>秀福里</t>
    <phoneticPr fontId="7" type="noConversion"/>
  </si>
  <si>
    <t>秀明里</t>
    <phoneticPr fontId="7" type="noConversion"/>
  </si>
  <si>
    <t>秀仁里</t>
    <phoneticPr fontId="7" type="noConversion"/>
  </si>
  <si>
    <t>秀水里</t>
    <phoneticPr fontId="7" type="noConversion"/>
  </si>
  <si>
    <t>宜安里</t>
    <phoneticPr fontId="7" type="noConversion"/>
  </si>
  <si>
    <t>安順里</t>
    <phoneticPr fontId="7" type="noConversion"/>
  </si>
  <si>
    <t>秀義里</t>
    <phoneticPr fontId="7" type="noConversion"/>
  </si>
  <si>
    <t>灰灰里</t>
    <phoneticPr fontId="7" type="noConversion"/>
  </si>
  <si>
    <t>明穗里</t>
    <phoneticPr fontId="7" type="noConversion"/>
  </si>
  <si>
    <t>清穗里</t>
    <phoneticPr fontId="7" type="noConversion"/>
  </si>
  <si>
    <t>壽德里</t>
    <phoneticPr fontId="7" type="noConversion"/>
  </si>
  <si>
    <t>明德里</t>
    <phoneticPr fontId="7" type="noConversion"/>
  </si>
  <si>
    <t>嘉慶里</t>
    <phoneticPr fontId="7" type="noConversion"/>
  </si>
  <si>
    <t>國豐里</t>
    <phoneticPr fontId="7" type="noConversion"/>
  </si>
  <si>
    <t>江陵里</t>
    <phoneticPr fontId="7" type="noConversion"/>
  </si>
  <si>
    <t>寶興里</t>
    <phoneticPr fontId="7" type="noConversion"/>
  </si>
  <si>
    <t>寶安里</t>
    <phoneticPr fontId="7" type="noConversion"/>
  </si>
  <si>
    <t>大鵬里</t>
    <phoneticPr fontId="7" type="noConversion"/>
  </si>
  <si>
    <t>頂城里</t>
    <phoneticPr fontId="7" type="noConversion"/>
  </si>
  <si>
    <t>下城里</t>
    <phoneticPr fontId="7" type="noConversion"/>
  </si>
  <si>
    <t>公崙里</t>
    <phoneticPr fontId="7" type="noConversion"/>
  </si>
  <si>
    <t>張北里</t>
    <phoneticPr fontId="7" type="noConversion"/>
  </si>
  <si>
    <t>新安里</t>
    <phoneticPr fontId="7" type="noConversion"/>
  </si>
  <si>
    <t>百忍里</t>
    <phoneticPr fontId="7" type="noConversion"/>
  </si>
  <si>
    <t>百和里</t>
    <phoneticPr fontId="7" type="noConversion"/>
  </si>
  <si>
    <t>百福里</t>
    <phoneticPr fontId="7" type="noConversion"/>
  </si>
  <si>
    <t>福民里</t>
    <phoneticPr fontId="7" type="noConversion"/>
  </si>
  <si>
    <t>中央里</t>
    <phoneticPr fontId="7" type="noConversion"/>
  </si>
  <si>
    <t>竹圍里</t>
    <phoneticPr fontId="7" type="noConversion"/>
  </si>
  <si>
    <t>八勢里</t>
    <phoneticPr fontId="7" type="noConversion"/>
  </si>
  <si>
    <t>竿蓁里</t>
    <phoneticPr fontId="7" type="noConversion"/>
  </si>
  <si>
    <t>鄧公里</t>
    <phoneticPr fontId="7" type="noConversion"/>
  </si>
  <si>
    <t>長庚里</t>
    <phoneticPr fontId="7" type="noConversion"/>
  </si>
  <si>
    <t>清文里</t>
    <phoneticPr fontId="7" type="noConversion"/>
  </si>
  <si>
    <t>草東里</t>
    <phoneticPr fontId="7" type="noConversion"/>
  </si>
  <si>
    <t>永吉里</t>
    <phoneticPr fontId="7" type="noConversion"/>
  </si>
  <si>
    <t>油車里</t>
    <phoneticPr fontId="7" type="noConversion"/>
  </si>
  <si>
    <t>沙崙里</t>
    <phoneticPr fontId="7" type="noConversion"/>
  </si>
  <si>
    <t>龍源里</t>
    <phoneticPr fontId="7" type="noConversion"/>
  </si>
  <si>
    <t>米倉里</t>
    <phoneticPr fontId="7" type="noConversion"/>
  </si>
  <si>
    <t>大崁里</t>
    <phoneticPr fontId="7" type="noConversion"/>
  </si>
  <si>
    <t>埤頭里</t>
    <phoneticPr fontId="7" type="noConversion"/>
  </si>
  <si>
    <t>頂罟里</t>
    <phoneticPr fontId="7" type="noConversion"/>
  </si>
  <si>
    <t>舊城里</t>
    <phoneticPr fontId="7" type="noConversion"/>
  </si>
  <si>
    <t>訊塘里</t>
    <phoneticPr fontId="7" type="noConversion"/>
  </si>
  <si>
    <t>荖阡里</t>
    <phoneticPr fontId="7" type="noConversion"/>
  </si>
  <si>
    <t>下罟里</t>
    <phoneticPr fontId="7" type="noConversion"/>
  </si>
  <si>
    <t>義民里</t>
    <phoneticPr fontId="7" type="noConversion"/>
  </si>
  <si>
    <t>禮門里</t>
    <phoneticPr fontId="7" type="noConversion"/>
  </si>
  <si>
    <t>智慧里</t>
    <phoneticPr fontId="7" type="noConversion"/>
  </si>
  <si>
    <t>信望里</t>
    <phoneticPr fontId="7" type="noConversion"/>
  </si>
  <si>
    <t>橋東里</t>
    <phoneticPr fontId="7" type="noConversion"/>
  </si>
  <si>
    <t>新昌里</t>
    <phoneticPr fontId="7" type="noConversion"/>
  </si>
  <si>
    <t>鄉長里</t>
    <phoneticPr fontId="7" type="noConversion"/>
  </si>
  <si>
    <t>江北里</t>
    <phoneticPr fontId="7" type="noConversion"/>
  </si>
  <si>
    <t>樟樹里</t>
    <phoneticPr fontId="7" type="noConversion"/>
  </si>
  <si>
    <t>北峰里</t>
    <phoneticPr fontId="7" type="noConversion"/>
  </si>
  <si>
    <t>北山里</t>
    <phoneticPr fontId="7" type="noConversion"/>
  </si>
  <si>
    <t>橫科里</t>
    <phoneticPr fontId="7" type="noConversion"/>
  </si>
  <si>
    <t>福山里</t>
    <phoneticPr fontId="7" type="noConversion"/>
  </si>
  <si>
    <t>宜興里</t>
    <phoneticPr fontId="7" type="noConversion"/>
  </si>
  <si>
    <t>湖光里</t>
    <phoneticPr fontId="7" type="noConversion"/>
  </si>
  <si>
    <t>仁德里</t>
    <phoneticPr fontId="7" type="noConversion"/>
  </si>
  <si>
    <t>厚德里</t>
    <phoneticPr fontId="7" type="noConversion"/>
  </si>
  <si>
    <r>
      <t>V</t>
    </r>
    <r>
      <rPr>
        <vertAlign val="subscript"/>
        <sz val="12"/>
        <color theme="1"/>
        <rFont val="新細明體"/>
        <family val="1"/>
        <charset val="136"/>
        <scheme val="minor"/>
      </rPr>
      <t>D</t>
    </r>
    <phoneticPr fontId="7" type="noConversion"/>
  </si>
  <si>
    <t>最小設計水平總橫力</t>
    <phoneticPr fontId="7" type="noConversion"/>
  </si>
  <si>
    <t>避免中小度地震下降伏之設計地震力</t>
    <phoneticPr fontId="7" type="noConversion"/>
  </si>
  <si>
    <t>避免最大考量地震下崩塌之設計地震力</t>
    <phoneticPr fontId="7" type="noConversion"/>
  </si>
  <si>
    <t>V* =</t>
    <phoneticPr fontId="7" type="noConversion"/>
  </si>
  <si>
    <t>LF</t>
    <phoneticPr fontId="10" type="noConversion"/>
  </si>
  <si>
    <t>Loading</t>
    <phoneticPr fontId="10" type="noConversion"/>
  </si>
  <si>
    <t>Factor</t>
    <phoneticPr fontId="10" type="noConversion"/>
  </si>
  <si>
    <t>避免中小度地震下降伏</t>
    <phoneticPr fontId="10" type="noConversion"/>
  </si>
  <si>
    <t>避免最大考量地震下崩塌</t>
    <phoneticPr fontId="10" type="noConversion"/>
  </si>
  <si>
    <t>W</t>
    <phoneticPr fontId="10" type="noConversion"/>
  </si>
  <si>
    <t>RC</t>
  </si>
  <si>
    <t>臺南市</t>
  </si>
  <si>
    <t>新化斷層</t>
  </si>
  <si>
    <t>1/8T^1/2</t>
    <phoneticPr fontId="10" type="noConversion"/>
  </si>
  <si>
    <t>C/Fu=</t>
    <phoneticPr fontId="10" type="noConversion"/>
  </si>
  <si>
    <t>(C/Fu)m=</t>
    <phoneticPr fontId="13" type="noConversion"/>
  </si>
  <si>
    <t>g</t>
    <phoneticPr fontId="13" type="noConversion"/>
  </si>
  <si>
    <t>台北盆地</t>
    <phoneticPr fontId="13" type="noConversion"/>
  </si>
  <si>
    <t>第一類</t>
    <phoneticPr fontId="13" type="noConversion"/>
  </si>
  <si>
    <t>第二類</t>
    <phoneticPr fontId="13" type="noConversion"/>
  </si>
  <si>
    <t>第三類</t>
    <phoneticPr fontId="13" type="noConversion"/>
  </si>
  <si>
    <t>Z</t>
    <phoneticPr fontId="13" type="noConversion"/>
  </si>
  <si>
    <t>六甲斷層</t>
    <phoneticPr fontId="24" type="noConversion"/>
  </si>
  <si>
    <t>斷層名稱</t>
  </si>
  <si>
    <t>新城斷層</t>
  </si>
  <si>
    <t>獅潭斷層</t>
    <phoneticPr fontId="13" type="noConversion"/>
  </si>
  <si>
    <t>三義斷層</t>
  </si>
  <si>
    <t>屯子腳斷層</t>
  </si>
  <si>
    <t>車籠埔斷層全段</t>
    <phoneticPr fontId="13" type="noConversion"/>
  </si>
  <si>
    <t>六甲斷層</t>
    <phoneticPr fontId="13" type="noConversion"/>
  </si>
  <si>
    <t>[嘉義縣] 水上鄉、阿里山鄉</t>
    <phoneticPr fontId="13" type="noConversion"/>
  </si>
  <si>
    <t>[臺南市] 新化區、新市區、山上區、左鎮區、永康區</t>
    <phoneticPr fontId="13" type="noConversion"/>
  </si>
  <si>
    <t>[臺南市] 大內區、善化區、歸仁區、關廟區</t>
    <phoneticPr fontId="13" type="noConversion"/>
  </si>
  <si>
    <t>[臺南市] 白河區、柳營區、東山區、六甲區、官田區</t>
    <phoneticPr fontId="13" type="noConversion"/>
  </si>
  <si>
    <t>白河區</t>
  </si>
  <si>
    <t>新化區</t>
  </si>
  <si>
    <t>大內區</t>
  </si>
  <si>
    <t>柳營區</t>
  </si>
  <si>
    <t>東山區</t>
  </si>
  <si>
    <t>六甲區</t>
  </si>
  <si>
    <t>官田區</t>
  </si>
  <si>
    <t>新市區</t>
  </si>
  <si>
    <t>山上區</t>
  </si>
  <si>
    <t>左鎮區</t>
  </si>
  <si>
    <t>永康區</t>
  </si>
  <si>
    <t>嘉義縣</t>
  </si>
  <si>
    <t>水上鄉</t>
  </si>
  <si>
    <t>阿里山鄉</t>
  </si>
  <si>
    <t>南投縣</t>
  </si>
  <si>
    <t>竹山鎮</t>
  </si>
  <si>
    <t>鹿谷鄉</t>
  </si>
  <si>
    <t>雲林縣</t>
  </si>
  <si>
    <t>斗六市</t>
  </si>
  <si>
    <t>林內鄉</t>
  </si>
  <si>
    <t>古坑鄉</t>
  </si>
  <si>
    <t>大林鎮</t>
  </si>
  <si>
    <t>民雄鄉</t>
  </si>
  <si>
    <t>中埔鄉</t>
  </si>
  <si>
    <t>竹崎鄉</t>
  </si>
  <si>
    <t>梅山鄉</t>
  </si>
  <si>
    <t>番路鄉</t>
  </si>
  <si>
    <t>大埔鄉</t>
  </si>
  <si>
    <t>[南投縣] 竹山鎮、鹿谷鄉 [雲林縣] 斗六市、林內鄉、古坑鄉 [嘉義縣] 大林鎮、民雄鄉、中埔鄉、竹崎鄉、梅山鄉、番路鄉、大埔鄉 [臺南市] 白河區、東山區</t>
    <phoneticPr fontId="13" type="noConversion"/>
  </si>
  <si>
    <t>善化區</t>
  </si>
  <si>
    <t>歸仁區</t>
  </si>
  <si>
    <t>關廟區</t>
  </si>
  <si>
    <t>通霄鎮</t>
  </si>
  <si>
    <t>新竹縣</t>
  </si>
  <si>
    <t>竹東鎮</t>
  </si>
  <si>
    <t>寶山鄉</t>
  </si>
  <si>
    <t>五峰鄉</t>
  </si>
  <si>
    <t>旗山斷層</t>
  </si>
  <si>
    <t>斷層距離(km)</t>
    <phoneticPr fontId="10" type="noConversion"/>
  </si>
  <si>
    <r>
      <t>Na</t>
    </r>
    <r>
      <rPr>
        <vertAlign val="superscript"/>
        <sz val="12"/>
        <color indexed="8"/>
        <rFont val="微軟正黑體"/>
        <family val="2"/>
        <charset val="136"/>
      </rPr>
      <t>D</t>
    </r>
    <phoneticPr fontId="7" type="noConversion"/>
  </si>
  <si>
    <r>
      <t>Nv</t>
    </r>
    <r>
      <rPr>
        <vertAlign val="superscript"/>
        <sz val="12"/>
        <color indexed="8"/>
        <rFont val="微軟正黑體"/>
        <family val="2"/>
        <charset val="136"/>
      </rPr>
      <t>D</t>
    </r>
    <phoneticPr fontId="7" type="noConversion"/>
  </si>
  <si>
    <r>
      <t>Na</t>
    </r>
    <r>
      <rPr>
        <vertAlign val="superscript"/>
        <sz val="12"/>
        <color indexed="8"/>
        <rFont val="微軟正黑體"/>
        <family val="2"/>
        <charset val="136"/>
      </rPr>
      <t>M</t>
    </r>
    <phoneticPr fontId="7" type="noConversion"/>
  </si>
  <si>
    <r>
      <t>Nv</t>
    </r>
    <r>
      <rPr>
        <vertAlign val="superscript"/>
        <sz val="12"/>
        <color indexed="8"/>
        <rFont val="微軟正黑體"/>
        <family val="2"/>
        <charset val="136"/>
      </rPr>
      <t>M</t>
    </r>
    <phoneticPr fontId="7" type="noConversion"/>
  </si>
  <si>
    <t>111年10月1日</t>
    <phoneticPr fontId="13" type="noConversion"/>
  </si>
  <si>
    <r>
      <rPr>
        <b/>
        <sz val="12"/>
        <color indexed="8"/>
        <rFont val="微軟正黑體"/>
        <family val="2"/>
        <charset val="136"/>
      </rPr>
      <t>地震分區</t>
    </r>
    <phoneticPr fontId="7" type="noConversion"/>
  </si>
  <si>
    <r>
      <t>α</t>
    </r>
    <r>
      <rPr>
        <vertAlign val="subscript"/>
        <sz val="12"/>
        <rFont val="微軟正黑體"/>
        <family val="2"/>
        <charset val="136"/>
      </rPr>
      <t>y</t>
    </r>
    <r>
      <rPr>
        <sz val="12"/>
        <rFont val="微軟正黑體"/>
        <family val="2"/>
        <charset val="136"/>
      </rPr>
      <t xml:space="preserve"> =</t>
    </r>
    <phoneticPr fontId="10" type="noConversion"/>
  </si>
  <si>
    <t xml:space="preserve">最小總橫力係數 </t>
    <phoneticPr fontId="13" type="noConversion"/>
  </si>
  <si>
    <r>
      <t>R</t>
    </r>
    <r>
      <rPr>
        <vertAlign val="subscript"/>
        <sz val="12"/>
        <rFont val="微軟正黑體"/>
        <family val="2"/>
        <charset val="136"/>
      </rPr>
      <t>a</t>
    </r>
    <r>
      <rPr>
        <sz val="12"/>
        <rFont val="微軟正黑體"/>
        <family val="2"/>
        <charset val="136"/>
      </rPr>
      <t xml:space="preserve"> =</t>
    </r>
    <phoneticPr fontId="10" type="noConversion"/>
  </si>
  <si>
    <r>
      <rPr>
        <sz val="12"/>
        <color indexed="8"/>
        <rFont val="微軟正黑體"/>
        <family val="2"/>
        <charset val="136"/>
      </rPr>
      <t>屋頂面高度 h</t>
    </r>
    <r>
      <rPr>
        <vertAlign val="subscript"/>
        <sz val="12"/>
        <color indexed="8"/>
        <rFont val="微軟正黑體"/>
        <family val="2"/>
        <charset val="136"/>
      </rPr>
      <t>n</t>
    </r>
    <r>
      <rPr>
        <sz val="12"/>
        <color indexed="8"/>
        <rFont val="微軟正黑體"/>
        <family val="2"/>
        <charset val="136"/>
      </rPr>
      <t>(m)</t>
    </r>
    <phoneticPr fontId="7" type="noConversion"/>
  </si>
  <si>
    <r>
      <t>F</t>
    </r>
    <r>
      <rPr>
        <vertAlign val="subscript"/>
        <sz val="12"/>
        <rFont val="微軟正黑體"/>
        <family val="2"/>
        <charset val="136"/>
      </rPr>
      <t xml:space="preserve">u </t>
    </r>
    <r>
      <rPr>
        <sz val="12"/>
        <rFont val="微軟正黑體"/>
        <family val="2"/>
        <charset val="136"/>
      </rPr>
      <t>=</t>
    </r>
    <phoneticPr fontId="10" type="noConversion"/>
  </si>
  <si>
    <t>系統韌性容量 R</t>
    <phoneticPr fontId="7" type="noConversion"/>
  </si>
  <si>
    <r>
      <t>容許韌性容量 R</t>
    </r>
    <r>
      <rPr>
        <vertAlign val="subscript"/>
        <sz val="12"/>
        <color indexed="8"/>
        <rFont val="微軟正黑體"/>
        <family val="2"/>
        <charset val="136"/>
      </rPr>
      <t>a</t>
    </r>
    <phoneticPr fontId="7" type="noConversion"/>
  </si>
  <si>
    <r>
      <t>S</t>
    </r>
    <r>
      <rPr>
        <vertAlign val="subscript"/>
        <sz val="12"/>
        <rFont val="微軟正黑體"/>
        <family val="2"/>
        <charset val="136"/>
      </rPr>
      <t>DS</t>
    </r>
    <phoneticPr fontId="7" type="noConversion"/>
  </si>
  <si>
    <r>
      <t>S</t>
    </r>
    <r>
      <rPr>
        <vertAlign val="subscript"/>
        <sz val="12"/>
        <rFont val="微軟正黑體"/>
        <family val="2"/>
        <charset val="136"/>
      </rPr>
      <t>D1</t>
    </r>
    <phoneticPr fontId="7" type="noConversion"/>
  </si>
  <si>
    <r>
      <t>T</t>
    </r>
    <r>
      <rPr>
        <vertAlign val="subscript"/>
        <sz val="12"/>
        <color indexed="8"/>
        <rFont val="微軟正黑體"/>
        <family val="2"/>
        <charset val="136"/>
      </rPr>
      <t>0</t>
    </r>
    <r>
      <rPr>
        <vertAlign val="superscript"/>
        <sz val="12"/>
        <color indexed="8"/>
        <rFont val="微軟正黑體"/>
        <family val="2"/>
        <charset val="136"/>
      </rPr>
      <t>D</t>
    </r>
    <phoneticPr fontId="7" type="noConversion"/>
  </si>
  <si>
    <r>
      <t>0.2T</t>
    </r>
    <r>
      <rPr>
        <vertAlign val="subscript"/>
        <sz val="12"/>
        <rFont val="微軟正黑體"/>
        <family val="2"/>
        <charset val="136"/>
      </rPr>
      <t>0</t>
    </r>
    <r>
      <rPr>
        <vertAlign val="superscript"/>
        <sz val="12"/>
        <rFont val="微軟正黑體"/>
        <family val="2"/>
        <charset val="136"/>
      </rPr>
      <t>D</t>
    </r>
    <phoneticPr fontId="7" type="noConversion"/>
  </si>
  <si>
    <r>
      <t>0.6T</t>
    </r>
    <r>
      <rPr>
        <vertAlign val="subscript"/>
        <sz val="12"/>
        <rFont val="微軟正黑體"/>
        <family val="2"/>
        <charset val="136"/>
      </rPr>
      <t>0</t>
    </r>
    <r>
      <rPr>
        <vertAlign val="superscript"/>
        <sz val="12"/>
        <rFont val="微軟正黑體"/>
        <family val="2"/>
        <charset val="136"/>
      </rPr>
      <t>D</t>
    </r>
    <phoneticPr fontId="7" type="noConversion"/>
  </si>
  <si>
    <r>
      <t>2.5T</t>
    </r>
    <r>
      <rPr>
        <vertAlign val="subscript"/>
        <sz val="12"/>
        <rFont val="微軟正黑體"/>
        <family val="2"/>
        <charset val="136"/>
      </rPr>
      <t>0</t>
    </r>
    <r>
      <rPr>
        <vertAlign val="superscript"/>
        <sz val="12"/>
        <rFont val="微軟正黑體"/>
        <family val="2"/>
        <charset val="136"/>
      </rPr>
      <t>D</t>
    </r>
    <phoneticPr fontId="7" type="noConversion"/>
  </si>
  <si>
    <r>
      <t>S</t>
    </r>
    <r>
      <rPr>
        <vertAlign val="subscript"/>
        <sz val="12"/>
        <rFont val="微軟正黑體"/>
        <family val="2"/>
        <charset val="136"/>
      </rPr>
      <t>DS</t>
    </r>
    <r>
      <rPr>
        <sz val="12"/>
        <rFont val="微軟正黑體"/>
        <family val="2"/>
        <charset val="136"/>
      </rPr>
      <t>*</t>
    </r>
    <phoneticPr fontId="7" type="noConversion"/>
  </si>
  <si>
    <r>
      <t>S</t>
    </r>
    <r>
      <rPr>
        <vertAlign val="subscript"/>
        <sz val="12"/>
        <rFont val="微軟正黑體"/>
        <family val="2"/>
        <charset val="136"/>
      </rPr>
      <t>D1</t>
    </r>
    <r>
      <rPr>
        <sz val="12"/>
        <rFont val="微軟正黑體"/>
        <family val="2"/>
        <charset val="136"/>
      </rPr>
      <t>*</t>
    </r>
    <phoneticPr fontId="7" type="noConversion"/>
  </si>
  <si>
    <r>
      <t>S</t>
    </r>
    <r>
      <rPr>
        <vertAlign val="subscript"/>
        <sz val="12"/>
        <color indexed="8"/>
        <rFont val="微軟正黑體"/>
        <family val="2"/>
        <charset val="136"/>
      </rPr>
      <t>MS</t>
    </r>
    <phoneticPr fontId="7" type="noConversion"/>
  </si>
  <si>
    <r>
      <t>S</t>
    </r>
    <r>
      <rPr>
        <vertAlign val="subscript"/>
        <sz val="12"/>
        <rFont val="微軟正黑體"/>
        <family val="2"/>
        <charset val="136"/>
      </rPr>
      <t>M1</t>
    </r>
    <phoneticPr fontId="7" type="noConversion"/>
  </si>
  <si>
    <r>
      <t>T</t>
    </r>
    <r>
      <rPr>
        <vertAlign val="subscript"/>
        <sz val="12"/>
        <color indexed="8"/>
        <rFont val="微軟正黑體"/>
        <family val="2"/>
        <charset val="136"/>
      </rPr>
      <t>0</t>
    </r>
    <r>
      <rPr>
        <vertAlign val="superscript"/>
        <sz val="12"/>
        <color indexed="8"/>
        <rFont val="微軟正黑體"/>
        <family val="2"/>
        <charset val="136"/>
      </rPr>
      <t>M</t>
    </r>
    <phoneticPr fontId="7" type="noConversion"/>
  </si>
  <si>
    <r>
      <t>0.2T</t>
    </r>
    <r>
      <rPr>
        <vertAlign val="subscript"/>
        <sz val="12"/>
        <rFont val="微軟正黑體"/>
        <family val="2"/>
        <charset val="136"/>
      </rPr>
      <t>0</t>
    </r>
    <r>
      <rPr>
        <vertAlign val="superscript"/>
        <sz val="12"/>
        <rFont val="微軟正黑體"/>
        <family val="2"/>
        <charset val="136"/>
      </rPr>
      <t>M</t>
    </r>
    <phoneticPr fontId="7" type="noConversion"/>
  </si>
  <si>
    <r>
      <t>0.6T</t>
    </r>
    <r>
      <rPr>
        <vertAlign val="subscript"/>
        <sz val="12"/>
        <rFont val="微軟正黑體"/>
        <family val="2"/>
        <charset val="136"/>
      </rPr>
      <t>0</t>
    </r>
    <r>
      <rPr>
        <vertAlign val="superscript"/>
        <sz val="12"/>
        <rFont val="微軟正黑體"/>
        <family val="2"/>
        <charset val="136"/>
      </rPr>
      <t>M</t>
    </r>
    <phoneticPr fontId="7" type="noConversion"/>
  </si>
  <si>
    <r>
      <t>S</t>
    </r>
    <r>
      <rPr>
        <vertAlign val="subscript"/>
        <sz val="12"/>
        <color indexed="8"/>
        <rFont val="微軟正黑體"/>
        <family val="2"/>
        <charset val="136"/>
      </rPr>
      <t>aD</t>
    </r>
    <phoneticPr fontId="7" type="noConversion"/>
  </si>
  <si>
    <r>
      <t>F</t>
    </r>
    <r>
      <rPr>
        <vertAlign val="subscript"/>
        <sz val="12"/>
        <color indexed="8"/>
        <rFont val="微軟正黑體"/>
        <family val="2"/>
        <charset val="136"/>
      </rPr>
      <t>u</t>
    </r>
    <phoneticPr fontId="7" type="noConversion"/>
  </si>
  <si>
    <r>
      <t>S</t>
    </r>
    <r>
      <rPr>
        <vertAlign val="subscript"/>
        <sz val="12"/>
        <color indexed="8"/>
        <rFont val="微軟正黑體"/>
        <family val="2"/>
        <charset val="136"/>
      </rPr>
      <t>aD</t>
    </r>
    <r>
      <rPr>
        <sz val="12"/>
        <color indexed="8"/>
        <rFont val="微軟正黑體"/>
        <family val="2"/>
        <charset val="136"/>
      </rPr>
      <t>/F</t>
    </r>
    <r>
      <rPr>
        <vertAlign val="subscript"/>
        <sz val="12"/>
        <color indexed="8"/>
        <rFont val="微軟正黑體"/>
        <family val="2"/>
        <charset val="136"/>
      </rPr>
      <t>u</t>
    </r>
    <phoneticPr fontId="7" type="noConversion"/>
  </si>
  <si>
    <r>
      <t>(S</t>
    </r>
    <r>
      <rPr>
        <vertAlign val="subscript"/>
        <sz val="12"/>
        <color indexed="8"/>
        <rFont val="微軟正黑體"/>
        <family val="2"/>
        <charset val="136"/>
      </rPr>
      <t>aD</t>
    </r>
    <r>
      <rPr>
        <sz val="12"/>
        <color indexed="8"/>
        <rFont val="微軟正黑體"/>
        <family val="2"/>
        <charset val="136"/>
      </rPr>
      <t>/F</t>
    </r>
    <r>
      <rPr>
        <vertAlign val="subscript"/>
        <sz val="12"/>
        <color indexed="8"/>
        <rFont val="微軟正黑體"/>
        <family val="2"/>
        <charset val="136"/>
      </rPr>
      <t>u</t>
    </r>
    <r>
      <rPr>
        <sz val="12"/>
        <color indexed="8"/>
        <rFont val="微軟正黑體"/>
        <family val="2"/>
        <charset val="136"/>
      </rPr>
      <t>)</t>
    </r>
    <r>
      <rPr>
        <vertAlign val="subscript"/>
        <sz val="12"/>
        <color indexed="8"/>
        <rFont val="微軟正黑體"/>
        <family val="2"/>
        <charset val="136"/>
      </rPr>
      <t>m</t>
    </r>
    <phoneticPr fontId="7" type="noConversion"/>
  </si>
  <si>
    <r>
      <t>S</t>
    </r>
    <r>
      <rPr>
        <vertAlign val="subscript"/>
        <sz val="12"/>
        <color indexed="8"/>
        <rFont val="微軟正黑體"/>
        <family val="2"/>
        <charset val="136"/>
      </rPr>
      <t>aD</t>
    </r>
    <r>
      <rPr>
        <sz val="12"/>
        <color indexed="8"/>
        <rFont val="微軟正黑體"/>
        <family val="2"/>
        <charset val="136"/>
      </rPr>
      <t>*</t>
    </r>
    <phoneticPr fontId="7" type="noConversion"/>
  </si>
  <si>
    <r>
      <t>S</t>
    </r>
    <r>
      <rPr>
        <vertAlign val="subscript"/>
        <sz val="12"/>
        <color indexed="8"/>
        <rFont val="微軟正黑體"/>
        <family val="2"/>
        <charset val="136"/>
      </rPr>
      <t>aD</t>
    </r>
    <r>
      <rPr>
        <sz val="12"/>
        <color indexed="8"/>
        <rFont val="微軟正黑體"/>
        <family val="2"/>
        <charset val="136"/>
      </rPr>
      <t>*/F</t>
    </r>
    <r>
      <rPr>
        <vertAlign val="subscript"/>
        <sz val="12"/>
        <color indexed="8"/>
        <rFont val="微軟正黑體"/>
        <family val="2"/>
        <charset val="136"/>
      </rPr>
      <t>u</t>
    </r>
    <phoneticPr fontId="7" type="noConversion"/>
  </si>
  <si>
    <r>
      <t>(S</t>
    </r>
    <r>
      <rPr>
        <vertAlign val="subscript"/>
        <sz val="12"/>
        <color indexed="8"/>
        <rFont val="微軟正黑體"/>
        <family val="2"/>
        <charset val="136"/>
      </rPr>
      <t>aD</t>
    </r>
    <r>
      <rPr>
        <sz val="12"/>
        <color indexed="8"/>
        <rFont val="微軟正黑體"/>
        <family val="2"/>
        <charset val="136"/>
      </rPr>
      <t>*/F</t>
    </r>
    <r>
      <rPr>
        <vertAlign val="subscript"/>
        <sz val="12"/>
        <color indexed="8"/>
        <rFont val="微軟正黑體"/>
        <family val="2"/>
        <charset val="136"/>
      </rPr>
      <t>u</t>
    </r>
    <r>
      <rPr>
        <sz val="12"/>
        <color indexed="8"/>
        <rFont val="微軟正黑體"/>
        <family val="2"/>
        <charset val="136"/>
      </rPr>
      <t>)</t>
    </r>
    <r>
      <rPr>
        <vertAlign val="subscript"/>
        <sz val="12"/>
        <color indexed="8"/>
        <rFont val="微軟正黑體"/>
        <family val="2"/>
        <charset val="136"/>
      </rPr>
      <t>m</t>
    </r>
    <phoneticPr fontId="7" type="noConversion"/>
  </si>
  <si>
    <r>
      <t>S</t>
    </r>
    <r>
      <rPr>
        <vertAlign val="subscript"/>
        <sz val="12"/>
        <color indexed="8"/>
        <rFont val="微軟正黑體"/>
        <family val="2"/>
        <charset val="136"/>
      </rPr>
      <t>aM</t>
    </r>
    <phoneticPr fontId="7" type="noConversion"/>
  </si>
  <si>
    <r>
      <t>F</t>
    </r>
    <r>
      <rPr>
        <vertAlign val="subscript"/>
        <sz val="12"/>
        <color indexed="8"/>
        <rFont val="微軟正黑體"/>
        <family val="2"/>
        <charset val="136"/>
      </rPr>
      <t>uM</t>
    </r>
    <phoneticPr fontId="7" type="noConversion"/>
  </si>
  <si>
    <r>
      <t>S</t>
    </r>
    <r>
      <rPr>
        <vertAlign val="subscript"/>
        <sz val="12"/>
        <color indexed="8"/>
        <rFont val="微軟正黑體"/>
        <family val="2"/>
        <charset val="136"/>
      </rPr>
      <t>aM</t>
    </r>
    <r>
      <rPr>
        <sz val="12"/>
        <color indexed="8"/>
        <rFont val="微軟正黑體"/>
        <family val="2"/>
        <charset val="136"/>
      </rPr>
      <t>/F</t>
    </r>
    <r>
      <rPr>
        <vertAlign val="subscript"/>
        <sz val="12"/>
        <color indexed="8"/>
        <rFont val="微軟正黑體"/>
        <family val="2"/>
        <charset val="136"/>
      </rPr>
      <t>uM</t>
    </r>
    <phoneticPr fontId="7" type="noConversion"/>
  </si>
  <si>
    <r>
      <t>(S</t>
    </r>
    <r>
      <rPr>
        <vertAlign val="subscript"/>
        <sz val="12"/>
        <color indexed="8"/>
        <rFont val="微軟正黑體"/>
        <family val="2"/>
        <charset val="136"/>
      </rPr>
      <t>aM</t>
    </r>
    <r>
      <rPr>
        <sz val="12"/>
        <color indexed="8"/>
        <rFont val="微軟正黑體"/>
        <family val="2"/>
        <charset val="136"/>
      </rPr>
      <t>/F</t>
    </r>
    <r>
      <rPr>
        <vertAlign val="subscript"/>
        <sz val="12"/>
        <color indexed="8"/>
        <rFont val="微軟正黑體"/>
        <family val="2"/>
        <charset val="136"/>
      </rPr>
      <t>uM</t>
    </r>
    <r>
      <rPr>
        <sz val="12"/>
        <color indexed="8"/>
        <rFont val="微軟正黑體"/>
        <family val="2"/>
        <charset val="136"/>
      </rPr>
      <t>)</t>
    </r>
    <r>
      <rPr>
        <vertAlign val="subscript"/>
        <sz val="12"/>
        <color indexed="8"/>
        <rFont val="微軟正黑體"/>
        <family val="2"/>
        <charset val="136"/>
      </rPr>
      <t>m</t>
    </r>
    <phoneticPr fontId="7" type="noConversion"/>
  </si>
  <si>
    <r>
      <t>V</t>
    </r>
    <r>
      <rPr>
        <vertAlign val="subscript"/>
        <sz val="12"/>
        <rFont val="微軟正黑體"/>
        <family val="2"/>
        <charset val="136"/>
      </rPr>
      <t>D</t>
    </r>
    <r>
      <rPr>
        <sz val="12"/>
        <rFont val="微軟正黑體"/>
        <family val="2"/>
        <charset val="136"/>
      </rPr>
      <t xml:space="preserve"> =</t>
    </r>
    <phoneticPr fontId="7" type="noConversion"/>
  </si>
  <si>
    <r>
      <t>Cs</t>
    </r>
    <r>
      <rPr>
        <vertAlign val="subscript"/>
        <sz val="12"/>
        <rFont val="微軟正黑體"/>
        <family val="2"/>
        <charset val="136"/>
      </rPr>
      <t>D</t>
    </r>
    <r>
      <rPr>
        <sz val="12"/>
        <rFont val="微軟正黑體"/>
        <family val="2"/>
        <charset val="136"/>
      </rPr>
      <t>=I(S</t>
    </r>
    <r>
      <rPr>
        <vertAlign val="subscript"/>
        <sz val="12"/>
        <rFont val="微軟正黑體"/>
        <family val="2"/>
        <charset val="136"/>
      </rPr>
      <t>aD</t>
    </r>
    <r>
      <rPr>
        <sz val="12"/>
        <rFont val="微軟正黑體"/>
        <family val="2"/>
        <charset val="136"/>
      </rPr>
      <t>/F</t>
    </r>
    <r>
      <rPr>
        <vertAlign val="subscript"/>
        <sz val="12"/>
        <rFont val="微軟正黑體"/>
        <family val="2"/>
        <charset val="136"/>
      </rPr>
      <t>uD</t>
    </r>
    <r>
      <rPr>
        <sz val="12"/>
        <rFont val="微軟正黑體"/>
        <family val="2"/>
        <charset val="136"/>
      </rPr>
      <t>)</t>
    </r>
    <r>
      <rPr>
        <vertAlign val="subscript"/>
        <sz val="12"/>
        <rFont val="微軟正黑體"/>
        <family val="2"/>
        <charset val="136"/>
      </rPr>
      <t>m</t>
    </r>
    <r>
      <rPr>
        <sz val="12"/>
        <rFont val="微軟正黑體"/>
        <family val="2"/>
        <charset val="136"/>
      </rPr>
      <t>/(1.4α</t>
    </r>
    <r>
      <rPr>
        <vertAlign val="subscript"/>
        <sz val="12"/>
        <rFont val="微軟正黑體"/>
        <family val="2"/>
        <charset val="136"/>
      </rPr>
      <t>y</t>
    </r>
    <r>
      <rPr>
        <sz val="12"/>
        <rFont val="微軟正黑體"/>
        <family val="2"/>
        <charset val="136"/>
      </rPr>
      <t>)</t>
    </r>
    <phoneticPr fontId="7" type="noConversion"/>
  </si>
  <si>
    <r>
      <t>Cs*=I(F</t>
    </r>
    <r>
      <rPr>
        <vertAlign val="subscript"/>
        <sz val="12"/>
        <rFont val="微軟正黑體"/>
        <family val="2"/>
        <charset val="136"/>
      </rPr>
      <t>uD</t>
    </r>
    <r>
      <rPr>
        <sz val="12"/>
        <rFont val="微軟正黑體"/>
        <family val="2"/>
        <charset val="136"/>
      </rPr>
      <t>/4.2)(S</t>
    </r>
    <r>
      <rPr>
        <vertAlign val="subscript"/>
        <sz val="12"/>
        <rFont val="微軟正黑體"/>
        <family val="2"/>
        <charset val="136"/>
      </rPr>
      <t>aD</t>
    </r>
    <r>
      <rPr>
        <sz val="12"/>
        <rFont val="微軟正黑體"/>
        <family val="2"/>
        <charset val="136"/>
      </rPr>
      <t>*/F</t>
    </r>
    <r>
      <rPr>
        <vertAlign val="subscript"/>
        <sz val="12"/>
        <rFont val="微軟正黑體"/>
        <family val="2"/>
        <charset val="136"/>
      </rPr>
      <t>uD</t>
    </r>
    <r>
      <rPr>
        <sz val="12"/>
        <rFont val="微軟正黑體"/>
        <family val="2"/>
        <charset val="136"/>
      </rPr>
      <t>)</t>
    </r>
    <r>
      <rPr>
        <vertAlign val="subscript"/>
        <sz val="12"/>
        <rFont val="微軟正黑體"/>
        <family val="2"/>
        <charset val="136"/>
      </rPr>
      <t>m</t>
    </r>
    <r>
      <rPr>
        <sz val="12"/>
        <rFont val="微軟正黑體"/>
        <family val="2"/>
        <charset val="136"/>
      </rPr>
      <t>/α</t>
    </r>
    <r>
      <rPr>
        <vertAlign val="subscript"/>
        <sz val="12"/>
        <rFont val="微軟正黑體"/>
        <family val="2"/>
        <charset val="136"/>
      </rPr>
      <t>y</t>
    </r>
    <phoneticPr fontId="7" type="noConversion"/>
  </si>
  <si>
    <r>
      <t>V</t>
    </r>
    <r>
      <rPr>
        <vertAlign val="subscript"/>
        <sz val="12"/>
        <rFont val="微軟正黑體"/>
        <family val="2"/>
        <charset val="136"/>
      </rPr>
      <t>M</t>
    </r>
    <r>
      <rPr>
        <sz val="12"/>
        <rFont val="微軟正黑體"/>
        <family val="2"/>
        <charset val="136"/>
      </rPr>
      <t xml:space="preserve"> =</t>
    </r>
    <phoneticPr fontId="7" type="noConversion"/>
  </si>
  <si>
    <r>
      <t>Cs</t>
    </r>
    <r>
      <rPr>
        <vertAlign val="subscript"/>
        <sz val="12"/>
        <rFont val="微軟正黑體"/>
        <family val="2"/>
        <charset val="136"/>
      </rPr>
      <t>M</t>
    </r>
    <r>
      <rPr>
        <sz val="12"/>
        <rFont val="微軟正黑體"/>
        <family val="2"/>
        <charset val="136"/>
      </rPr>
      <t>=I(S</t>
    </r>
    <r>
      <rPr>
        <vertAlign val="subscript"/>
        <sz val="12"/>
        <rFont val="微軟正黑體"/>
        <family val="2"/>
        <charset val="136"/>
      </rPr>
      <t>aM</t>
    </r>
    <r>
      <rPr>
        <sz val="12"/>
        <rFont val="微軟正黑體"/>
        <family val="2"/>
        <charset val="136"/>
      </rPr>
      <t>/F</t>
    </r>
    <r>
      <rPr>
        <vertAlign val="subscript"/>
        <sz val="12"/>
        <rFont val="微軟正黑體"/>
        <family val="2"/>
        <charset val="136"/>
      </rPr>
      <t>uM</t>
    </r>
    <r>
      <rPr>
        <sz val="12"/>
        <rFont val="微軟正黑體"/>
        <family val="2"/>
        <charset val="136"/>
      </rPr>
      <t>)</t>
    </r>
    <r>
      <rPr>
        <vertAlign val="subscript"/>
        <sz val="12"/>
        <rFont val="微軟正黑體"/>
        <family val="2"/>
        <charset val="136"/>
      </rPr>
      <t>m</t>
    </r>
    <r>
      <rPr>
        <sz val="12"/>
        <rFont val="微軟正黑體"/>
        <family val="2"/>
        <charset val="136"/>
      </rPr>
      <t>/(1.4α</t>
    </r>
    <r>
      <rPr>
        <vertAlign val="subscript"/>
        <sz val="12"/>
        <rFont val="微軟正黑體"/>
        <family val="2"/>
        <charset val="136"/>
      </rPr>
      <t>y</t>
    </r>
    <r>
      <rPr>
        <sz val="12"/>
        <rFont val="微軟正黑體"/>
        <family val="2"/>
        <charset val="136"/>
      </rPr>
      <t>)</t>
    </r>
    <phoneticPr fontId="7" type="noConversion"/>
  </si>
  <si>
    <r>
      <t>地震力係數 C</t>
    </r>
    <r>
      <rPr>
        <b/>
        <vertAlign val="subscript"/>
        <sz val="12"/>
        <color theme="1"/>
        <rFont val="微軟正黑體"/>
        <family val="2"/>
        <charset val="136"/>
      </rPr>
      <t>S</t>
    </r>
    <r>
      <rPr>
        <b/>
        <sz val="12"/>
        <color theme="1"/>
        <rFont val="微軟正黑體"/>
        <family val="2"/>
        <charset val="136"/>
      </rPr>
      <t xml:space="preserve"> =</t>
    </r>
    <phoneticPr fontId="7" type="noConversion"/>
  </si>
  <si>
    <r>
      <t>設計V</t>
    </r>
    <r>
      <rPr>
        <b/>
        <vertAlign val="subscript"/>
        <sz val="12"/>
        <rFont val="微軟正黑體"/>
        <family val="2"/>
        <charset val="136"/>
      </rPr>
      <t>D</t>
    </r>
    <phoneticPr fontId="10" type="noConversion"/>
  </si>
  <si>
    <t>中小V*</t>
    <phoneticPr fontId="7" type="noConversion"/>
  </si>
  <si>
    <r>
      <t>最大V</t>
    </r>
    <r>
      <rPr>
        <vertAlign val="subscript"/>
        <sz val="12"/>
        <rFont val="微軟正黑體"/>
        <family val="2"/>
        <charset val="136"/>
      </rPr>
      <t>M</t>
    </r>
    <phoneticPr fontId="7" type="noConversion"/>
  </si>
  <si>
    <r>
      <t>F</t>
    </r>
    <r>
      <rPr>
        <vertAlign val="subscript"/>
        <sz val="12"/>
        <rFont val="微軟正黑體"/>
        <family val="2"/>
        <charset val="136"/>
      </rPr>
      <t>uD</t>
    </r>
    <phoneticPr fontId="7" type="noConversion"/>
  </si>
  <si>
    <r>
      <t>S</t>
    </r>
    <r>
      <rPr>
        <vertAlign val="subscript"/>
        <sz val="12"/>
        <rFont val="微軟正黑體"/>
        <family val="2"/>
        <charset val="136"/>
      </rPr>
      <t>aD</t>
    </r>
    <phoneticPr fontId="7" type="noConversion"/>
  </si>
  <si>
    <r>
      <t>S</t>
    </r>
    <r>
      <rPr>
        <vertAlign val="subscript"/>
        <sz val="12"/>
        <rFont val="微軟正黑體"/>
        <family val="2"/>
        <charset val="136"/>
      </rPr>
      <t>aD</t>
    </r>
    <r>
      <rPr>
        <sz val="12"/>
        <rFont val="微軟正黑體"/>
        <family val="2"/>
        <charset val="136"/>
      </rPr>
      <t>/F</t>
    </r>
    <r>
      <rPr>
        <vertAlign val="subscript"/>
        <sz val="12"/>
        <rFont val="微軟正黑體"/>
        <family val="2"/>
        <charset val="136"/>
      </rPr>
      <t>uD</t>
    </r>
    <phoneticPr fontId="7" type="noConversion"/>
  </si>
  <si>
    <r>
      <t>(S</t>
    </r>
    <r>
      <rPr>
        <vertAlign val="subscript"/>
        <sz val="12"/>
        <rFont val="微軟正黑體"/>
        <family val="2"/>
        <charset val="136"/>
      </rPr>
      <t>aD</t>
    </r>
    <r>
      <rPr>
        <sz val="12"/>
        <rFont val="微軟正黑體"/>
        <family val="2"/>
        <charset val="136"/>
      </rPr>
      <t>/F</t>
    </r>
    <r>
      <rPr>
        <vertAlign val="subscript"/>
        <sz val="12"/>
        <rFont val="微軟正黑體"/>
        <family val="2"/>
        <charset val="136"/>
      </rPr>
      <t>uD</t>
    </r>
    <r>
      <rPr>
        <sz val="12"/>
        <rFont val="微軟正黑體"/>
        <family val="2"/>
        <charset val="136"/>
      </rPr>
      <t>)</t>
    </r>
    <r>
      <rPr>
        <vertAlign val="subscript"/>
        <sz val="12"/>
        <rFont val="微軟正黑體"/>
        <family val="2"/>
        <charset val="136"/>
      </rPr>
      <t>m</t>
    </r>
    <phoneticPr fontId="7" type="noConversion"/>
  </si>
  <si>
    <r>
      <t>F</t>
    </r>
    <r>
      <rPr>
        <vertAlign val="subscript"/>
        <sz val="12"/>
        <rFont val="微軟正黑體"/>
        <family val="2"/>
        <charset val="136"/>
      </rPr>
      <t>uD</t>
    </r>
    <r>
      <rPr>
        <sz val="12"/>
        <rFont val="微軟正黑體"/>
        <family val="2"/>
        <charset val="136"/>
      </rPr>
      <t>*</t>
    </r>
    <phoneticPr fontId="7" type="noConversion"/>
  </si>
  <si>
    <r>
      <t>S</t>
    </r>
    <r>
      <rPr>
        <vertAlign val="subscript"/>
        <sz val="12"/>
        <rFont val="微軟正黑體"/>
        <family val="2"/>
        <charset val="136"/>
      </rPr>
      <t>aD</t>
    </r>
    <r>
      <rPr>
        <sz val="12"/>
        <rFont val="微軟正黑體"/>
        <family val="2"/>
        <charset val="136"/>
      </rPr>
      <t>*</t>
    </r>
    <phoneticPr fontId="7" type="noConversion"/>
  </si>
  <si>
    <r>
      <t>S</t>
    </r>
    <r>
      <rPr>
        <vertAlign val="subscript"/>
        <sz val="12"/>
        <rFont val="微軟正黑體"/>
        <family val="2"/>
        <charset val="136"/>
      </rPr>
      <t>aD</t>
    </r>
    <r>
      <rPr>
        <sz val="12"/>
        <rFont val="微軟正黑體"/>
        <family val="2"/>
        <charset val="136"/>
      </rPr>
      <t>*/F</t>
    </r>
    <r>
      <rPr>
        <vertAlign val="subscript"/>
        <sz val="12"/>
        <rFont val="微軟正黑體"/>
        <family val="2"/>
        <charset val="136"/>
      </rPr>
      <t>uD</t>
    </r>
    <r>
      <rPr>
        <sz val="12"/>
        <rFont val="微軟正黑體"/>
        <family val="2"/>
        <charset val="136"/>
      </rPr>
      <t>*</t>
    </r>
    <phoneticPr fontId="7" type="noConversion"/>
  </si>
  <si>
    <r>
      <t>(S</t>
    </r>
    <r>
      <rPr>
        <vertAlign val="subscript"/>
        <sz val="12"/>
        <rFont val="微軟正黑體"/>
        <family val="2"/>
        <charset val="136"/>
      </rPr>
      <t>aD</t>
    </r>
    <r>
      <rPr>
        <sz val="12"/>
        <rFont val="微軟正黑體"/>
        <family val="2"/>
        <charset val="136"/>
      </rPr>
      <t>*/F</t>
    </r>
    <r>
      <rPr>
        <vertAlign val="subscript"/>
        <sz val="12"/>
        <rFont val="微軟正黑體"/>
        <family val="2"/>
        <charset val="136"/>
      </rPr>
      <t>uD</t>
    </r>
    <r>
      <rPr>
        <sz val="12"/>
        <rFont val="微軟正黑體"/>
        <family val="2"/>
        <charset val="136"/>
      </rPr>
      <t>*)</t>
    </r>
    <r>
      <rPr>
        <vertAlign val="subscript"/>
        <sz val="12"/>
        <rFont val="微軟正黑體"/>
        <family val="2"/>
        <charset val="136"/>
      </rPr>
      <t>m</t>
    </r>
    <phoneticPr fontId="7" type="noConversion"/>
  </si>
  <si>
    <r>
      <t>F</t>
    </r>
    <r>
      <rPr>
        <vertAlign val="subscript"/>
        <sz val="12"/>
        <rFont val="微軟正黑體"/>
        <family val="2"/>
        <charset val="136"/>
      </rPr>
      <t>uM</t>
    </r>
    <phoneticPr fontId="7" type="noConversion"/>
  </si>
  <si>
    <r>
      <t>S</t>
    </r>
    <r>
      <rPr>
        <vertAlign val="subscript"/>
        <sz val="12"/>
        <rFont val="微軟正黑體"/>
        <family val="2"/>
        <charset val="136"/>
      </rPr>
      <t>aM</t>
    </r>
    <phoneticPr fontId="7" type="noConversion"/>
  </si>
  <si>
    <r>
      <t>S</t>
    </r>
    <r>
      <rPr>
        <vertAlign val="subscript"/>
        <sz val="12"/>
        <rFont val="微軟正黑體"/>
        <family val="2"/>
        <charset val="136"/>
      </rPr>
      <t>aM</t>
    </r>
    <r>
      <rPr>
        <sz val="12"/>
        <rFont val="微軟正黑體"/>
        <family val="2"/>
        <charset val="136"/>
      </rPr>
      <t>/F</t>
    </r>
    <r>
      <rPr>
        <vertAlign val="subscript"/>
        <sz val="12"/>
        <rFont val="微軟正黑體"/>
        <family val="2"/>
        <charset val="136"/>
      </rPr>
      <t>uM</t>
    </r>
    <phoneticPr fontId="7" type="noConversion"/>
  </si>
  <si>
    <r>
      <t>(S</t>
    </r>
    <r>
      <rPr>
        <vertAlign val="subscript"/>
        <sz val="12"/>
        <rFont val="微軟正黑體"/>
        <family val="2"/>
        <charset val="136"/>
      </rPr>
      <t>aM</t>
    </r>
    <r>
      <rPr>
        <sz val="12"/>
        <rFont val="微軟正黑體"/>
        <family val="2"/>
        <charset val="136"/>
      </rPr>
      <t>/F</t>
    </r>
    <r>
      <rPr>
        <vertAlign val="subscript"/>
        <sz val="12"/>
        <rFont val="微軟正黑體"/>
        <family val="2"/>
        <charset val="136"/>
      </rPr>
      <t>uM</t>
    </r>
    <r>
      <rPr>
        <sz val="12"/>
        <rFont val="微軟正黑體"/>
        <family val="2"/>
        <charset val="136"/>
      </rPr>
      <t>)</t>
    </r>
    <r>
      <rPr>
        <vertAlign val="subscript"/>
        <sz val="12"/>
        <rFont val="微軟正黑體"/>
        <family val="2"/>
        <charset val="136"/>
      </rPr>
      <t>m</t>
    </r>
    <phoneticPr fontId="7" type="noConversion"/>
  </si>
  <si>
    <r>
      <t>C</t>
    </r>
    <r>
      <rPr>
        <vertAlign val="subscript"/>
        <sz val="12"/>
        <rFont val="微軟正黑體"/>
        <family val="2"/>
        <charset val="136"/>
      </rPr>
      <t>S</t>
    </r>
    <phoneticPr fontId="7" type="noConversion"/>
  </si>
  <si>
    <r>
      <t>cm/sec</t>
    </r>
    <r>
      <rPr>
        <vertAlign val="superscript"/>
        <sz val="12"/>
        <rFont val="微軟正黑體"/>
        <family val="2"/>
        <charset val="136"/>
      </rPr>
      <t>2</t>
    </r>
    <phoneticPr fontId="13" type="noConversion"/>
  </si>
  <si>
    <r>
      <t>C</t>
    </r>
    <r>
      <rPr>
        <vertAlign val="subscript"/>
        <sz val="12"/>
        <rFont val="微軟正黑體"/>
        <family val="2"/>
        <charset val="136"/>
      </rPr>
      <t>S</t>
    </r>
    <r>
      <rPr>
        <sz val="12"/>
        <rFont val="微軟正黑體"/>
        <family val="2"/>
        <charset val="136"/>
      </rPr>
      <t>*LF</t>
    </r>
    <phoneticPr fontId="7" type="noConversion"/>
  </si>
  <si>
    <r>
      <t>T</t>
    </r>
    <r>
      <rPr>
        <vertAlign val="subscript"/>
        <sz val="12"/>
        <rFont val="微軟正黑體"/>
        <family val="2"/>
        <charset val="136"/>
      </rPr>
      <t>0</t>
    </r>
    <r>
      <rPr>
        <vertAlign val="superscript"/>
        <sz val="12"/>
        <rFont val="微軟正黑體"/>
        <family val="2"/>
        <charset val="136"/>
      </rPr>
      <t>D</t>
    </r>
    <phoneticPr fontId="7" type="noConversion"/>
  </si>
  <si>
    <r>
      <t>A</t>
    </r>
    <r>
      <rPr>
        <vertAlign val="subscript"/>
        <sz val="12"/>
        <rFont val="微軟正黑體"/>
        <family val="2"/>
        <charset val="136"/>
      </rPr>
      <t xml:space="preserve">T </t>
    </r>
    <r>
      <rPr>
        <sz val="12"/>
        <rFont val="微軟正黑體"/>
        <family val="2"/>
        <charset val="136"/>
      </rPr>
      <t>=</t>
    </r>
    <phoneticPr fontId="10" type="noConversion"/>
  </si>
  <si>
    <r>
      <t>S</t>
    </r>
    <r>
      <rPr>
        <vertAlign val="subscript"/>
        <sz val="12"/>
        <rFont val="微軟正黑體"/>
        <family val="2"/>
        <charset val="136"/>
      </rPr>
      <t>DS</t>
    </r>
    <r>
      <rPr>
        <sz val="12"/>
        <rFont val="微軟正黑體"/>
        <family val="2"/>
        <charset val="136"/>
      </rPr>
      <t>=S</t>
    </r>
    <r>
      <rPr>
        <vertAlign val="subscript"/>
        <sz val="12"/>
        <rFont val="微軟正黑體"/>
        <family val="2"/>
        <charset val="136"/>
      </rPr>
      <t>S</t>
    </r>
    <r>
      <rPr>
        <vertAlign val="superscript"/>
        <sz val="12"/>
        <rFont val="微軟正黑體"/>
        <family val="2"/>
        <charset val="136"/>
      </rPr>
      <t>D</t>
    </r>
    <r>
      <rPr>
        <sz val="12"/>
        <rFont val="微軟正黑體"/>
        <family val="2"/>
        <charset val="136"/>
      </rPr>
      <t>*F</t>
    </r>
    <r>
      <rPr>
        <vertAlign val="subscript"/>
        <sz val="12"/>
        <rFont val="微軟正黑體"/>
        <family val="2"/>
        <charset val="136"/>
      </rPr>
      <t>a</t>
    </r>
    <r>
      <rPr>
        <vertAlign val="superscript"/>
        <sz val="12"/>
        <rFont val="微軟正黑體"/>
        <family val="2"/>
        <charset val="136"/>
      </rPr>
      <t>D</t>
    </r>
    <phoneticPr fontId="7" type="noConversion"/>
  </si>
  <si>
    <r>
      <t>S</t>
    </r>
    <r>
      <rPr>
        <vertAlign val="subscript"/>
        <sz val="12"/>
        <rFont val="微軟正黑體"/>
        <family val="2"/>
        <charset val="136"/>
      </rPr>
      <t>D1</t>
    </r>
    <r>
      <rPr>
        <sz val="12"/>
        <rFont val="微軟正黑體"/>
        <family val="2"/>
        <charset val="136"/>
      </rPr>
      <t>=S</t>
    </r>
    <r>
      <rPr>
        <vertAlign val="subscript"/>
        <sz val="12"/>
        <rFont val="微軟正黑體"/>
        <family val="2"/>
        <charset val="136"/>
      </rPr>
      <t>1</t>
    </r>
    <r>
      <rPr>
        <vertAlign val="superscript"/>
        <sz val="12"/>
        <rFont val="微軟正黑體"/>
        <family val="2"/>
        <charset val="136"/>
      </rPr>
      <t>D</t>
    </r>
    <r>
      <rPr>
        <sz val="12"/>
        <rFont val="微軟正黑體"/>
        <family val="2"/>
        <charset val="136"/>
      </rPr>
      <t>*F</t>
    </r>
    <r>
      <rPr>
        <vertAlign val="subscript"/>
        <sz val="12"/>
        <rFont val="微軟正黑體"/>
        <family val="2"/>
        <charset val="136"/>
      </rPr>
      <t>v</t>
    </r>
    <r>
      <rPr>
        <vertAlign val="superscript"/>
        <sz val="12"/>
        <rFont val="微軟正黑體"/>
        <family val="2"/>
        <charset val="136"/>
      </rPr>
      <t>D</t>
    </r>
    <phoneticPr fontId="7" type="noConversion"/>
  </si>
  <si>
    <r>
      <t>S</t>
    </r>
    <r>
      <rPr>
        <vertAlign val="subscript"/>
        <sz val="12"/>
        <rFont val="微軟正黑體"/>
        <family val="2"/>
        <charset val="136"/>
      </rPr>
      <t>MS</t>
    </r>
    <r>
      <rPr>
        <sz val="12"/>
        <rFont val="微軟正黑體"/>
        <family val="2"/>
        <charset val="136"/>
      </rPr>
      <t>=S</t>
    </r>
    <r>
      <rPr>
        <vertAlign val="subscript"/>
        <sz val="12"/>
        <rFont val="微軟正黑體"/>
        <family val="2"/>
        <charset val="136"/>
      </rPr>
      <t>S</t>
    </r>
    <r>
      <rPr>
        <vertAlign val="superscript"/>
        <sz val="12"/>
        <rFont val="微軟正黑體"/>
        <family val="2"/>
        <charset val="136"/>
      </rPr>
      <t>M</t>
    </r>
    <r>
      <rPr>
        <sz val="12"/>
        <rFont val="微軟正黑體"/>
        <family val="2"/>
        <charset val="136"/>
      </rPr>
      <t>*F</t>
    </r>
    <r>
      <rPr>
        <vertAlign val="subscript"/>
        <sz val="12"/>
        <rFont val="微軟正黑體"/>
        <family val="2"/>
        <charset val="136"/>
      </rPr>
      <t>a</t>
    </r>
    <r>
      <rPr>
        <vertAlign val="superscript"/>
        <sz val="12"/>
        <rFont val="微軟正黑體"/>
        <family val="2"/>
        <charset val="136"/>
      </rPr>
      <t>M</t>
    </r>
    <phoneticPr fontId="7" type="noConversion"/>
  </si>
  <si>
    <r>
      <t>S</t>
    </r>
    <r>
      <rPr>
        <vertAlign val="subscript"/>
        <sz val="12"/>
        <rFont val="微軟正黑體"/>
        <family val="2"/>
        <charset val="136"/>
      </rPr>
      <t>M1</t>
    </r>
    <r>
      <rPr>
        <sz val="12"/>
        <rFont val="微軟正黑體"/>
        <family val="2"/>
        <charset val="136"/>
      </rPr>
      <t>=S</t>
    </r>
    <r>
      <rPr>
        <vertAlign val="subscript"/>
        <sz val="12"/>
        <rFont val="微軟正黑體"/>
        <family val="2"/>
        <charset val="136"/>
      </rPr>
      <t>1</t>
    </r>
    <r>
      <rPr>
        <vertAlign val="superscript"/>
        <sz val="12"/>
        <rFont val="微軟正黑體"/>
        <family val="2"/>
        <charset val="136"/>
      </rPr>
      <t>M</t>
    </r>
    <r>
      <rPr>
        <sz val="12"/>
        <rFont val="微軟正黑體"/>
        <family val="2"/>
        <charset val="136"/>
      </rPr>
      <t>*F</t>
    </r>
    <r>
      <rPr>
        <vertAlign val="subscript"/>
        <sz val="12"/>
        <rFont val="微軟正黑體"/>
        <family val="2"/>
        <charset val="136"/>
      </rPr>
      <t>v</t>
    </r>
    <r>
      <rPr>
        <vertAlign val="superscript"/>
        <sz val="12"/>
        <rFont val="微軟正黑體"/>
        <family val="2"/>
        <charset val="136"/>
      </rPr>
      <t>M</t>
    </r>
    <phoneticPr fontId="7" type="noConversion"/>
  </si>
  <si>
    <t>V* / V =</t>
    <phoneticPr fontId="13" type="noConversion"/>
  </si>
  <si>
    <t>經驗公式構造分類</t>
    <phoneticPr fontId="7" type="noConversion"/>
  </si>
  <si>
    <t>內政部94.12.21台內營字第0940087319號令修正「建築物耐震設計規範及解說」，並自中華民國九十五年一月一日生效</t>
  </si>
  <si>
    <t>內政部100.1.19台內營字第0990810250號令修正「建築物耐震設計規範及解說」部分規定，自中華民國一百年七月一日生效</t>
  </si>
  <si>
    <t>內政部111.6.14台內營字第1110810765號令修正「建築物耐震設計規範及解說」部分規定，自中華民國一百十一年十月一日生效</t>
  </si>
  <si>
    <t>100年7月1日</t>
    <phoneticPr fontId="13" type="noConversion"/>
  </si>
  <si>
    <t>三義鄉</t>
  </si>
  <si>
    <t>臺中市</t>
  </si>
  <si>
    <t>中區</t>
  </si>
  <si>
    <t>西區</t>
  </si>
  <si>
    <t>南區</t>
  </si>
  <si>
    <t>西屯區</t>
  </si>
  <si>
    <t>北屯區</t>
  </si>
  <si>
    <t>南屯區</t>
  </si>
  <si>
    <t>豐原區</t>
  </si>
  <si>
    <t>大甲區</t>
  </si>
  <si>
    <t>清水區</t>
  </si>
  <si>
    <t>梧棲區</t>
  </si>
  <si>
    <t>潭子區</t>
  </si>
  <si>
    <t>大雅區</t>
  </si>
  <si>
    <t>外埔區</t>
  </si>
  <si>
    <t>大安區</t>
  </si>
  <si>
    <t>烏日區</t>
  </si>
  <si>
    <t>大肚區</t>
  </si>
  <si>
    <t>龍井區</t>
  </si>
  <si>
    <t>霧峰區</t>
  </si>
  <si>
    <t>彰化縣</t>
  </si>
  <si>
    <t>彰化市</t>
  </si>
  <si>
    <t>和美鎮</t>
  </si>
  <si>
    <t>北斗鎮</t>
  </si>
  <si>
    <t>員林市</t>
  </si>
  <si>
    <t>田中鎮</t>
    <phoneticPr fontId="13" type="noConversion"/>
  </si>
  <si>
    <t>秀水鄉</t>
    <phoneticPr fontId="13" type="noConversion"/>
  </si>
  <si>
    <t>花壇鄉</t>
    <phoneticPr fontId="13" type="noConversion"/>
  </si>
  <si>
    <t>芬園鄉</t>
    <phoneticPr fontId="13" type="noConversion"/>
  </si>
  <si>
    <t>大村鄉</t>
    <phoneticPr fontId="13" type="noConversion"/>
  </si>
  <si>
    <t>埔心鄉</t>
    <phoneticPr fontId="13" type="noConversion"/>
  </si>
  <si>
    <t>永靖鄉</t>
    <phoneticPr fontId="13" type="noConversion"/>
  </si>
  <si>
    <t>社頭鄉</t>
    <phoneticPr fontId="13" type="noConversion"/>
  </si>
  <si>
    <t>二水鄉</t>
    <phoneticPr fontId="13" type="noConversion"/>
  </si>
  <si>
    <t>田尾鄉</t>
    <phoneticPr fontId="13" type="noConversion"/>
  </si>
  <si>
    <t>溪州鄉</t>
    <phoneticPr fontId="13" type="noConversion"/>
  </si>
  <si>
    <t>線西鄉</t>
    <phoneticPr fontId="13" type="noConversion"/>
  </si>
  <si>
    <t>伸港鄉</t>
    <phoneticPr fontId="13" type="noConversion"/>
  </si>
  <si>
    <t>南投市</t>
    <phoneticPr fontId="13" type="noConversion"/>
  </si>
  <si>
    <t>草屯鎮</t>
    <phoneticPr fontId="13" type="noConversion"/>
  </si>
  <si>
    <t>竹山鎮</t>
    <phoneticPr fontId="13" type="noConversion"/>
  </si>
  <si>
    <t>名間鄉</t>
    <phoneticPr fontId="13" type="noConversion"/>
  </si>
  <si>
    <t>莿桐鄉</t>
    <phoneticPr fontId="13" type="noConversion"/>
  </si>
  <si>
    <t>鹿港鎮</t>
  </si>
  <si>
    <t>溪湖鎮</t>
    <phoneticPr fontId="13" type="noConversion"/>
  </si>
  <si>
    <t>福興鄉</t>
    <phoneticPr fontId="13" type="noConversion"/>
  </si>
  <si>
    <t>埔鹽鄉</t>
    <phoneticPr fontId="13" type="noConversion"/>
  </si>
  <si>
    <t>埤頭鄉</t>
    <phoneticPr fontId="13" type="noConversion"/>
  </si>
  <si>
    <t>銅鑼鄉</t>
    <phoneticPr fontId="13" type="noConversion"/>
  </si>
  <si>
    <t>三義鄉</t>
    <phoneticPr fontId="13" type="noConversion"/>
  </si>
  <si>
    <t>大湖鄉</t>
    <phoneticPr fontId="13" type="noConversion"/>
  </si>
  <si>
    <t>東勢區</t>
  </si>
  <si>
    <t>新社區</t>
  </si>
  <si>
    <t>石岡區</t>
  </si>
  <si>
    <t>太平區</t>
  </si>
  <si>
    <t>新社區</t>
    <phoneticPr fontId="13" type="noConversion"/>
  </si>
  <si>
    <t>石岡區</t>
    <phoneticPr fontId="13" type="noConversion"/>
  </si>
  <si>
    <t>臺中市</t>
    <phoneticPr fontId="13" type="noConversion"/>
  </si>
  <si>
    <t>和平區</t>
    <phoneticPr fontId="13" type="noConversion"/>
  </si>
  <si>
    <t>泰安鄉</t>
  </si>
  <si>
    <t>泰安鄉</t>
    <phoneticPr fontId="13" type="noConversion"/>
  </si>
  <si>
    <t>集集鎮</t>
    <phoneticPr fontId="13" type="noConversion"/>
  </si>
  <si>
    <t>國姓鄉</t>
    <phoneticPr fontId="13" type="noConversion"/>
  </si>
  <si>
    <t>東區</t>
  </si>
  <si>
    <t>梅山斷層</t>
  </si>
  <si>
    <t>大埤鄉</t>
  </si>
  <si>
    <t>新港鄉</t>
    <phoneticPr fontId="13" type="noConversion"/>
  </si>
  <si>
    <t>太保市</t>
    <phoneticPr fontId="13" type="noConversion"/>
  </si>
  <si>
    <t>民雄鄉</t>
    <phoneticPr fontId="13" type="noConversion"/>
  </si>
  <si>
    <t>溪口鄉</t>
    <phoneticPr fontId="13" type="noConversion"/>
  </si>
  <si>
    <t>竹崎鄉</t>
    <phoneticPr fontId="13" type="noConversion"/>
  </si>
  <si>
    <t>梅山鄉</t>
    <phoneticPr fontId="13" type="noConversion"/>
  </si>
  <si>
    <t>嘉義市</t>
  </si>
  <si>
    <t>魚池鄉</t>
    <phoneticPr fontId="13" type="noConversion"/>
  </si>
  <si>
    <t>信義鄉</t>
    <phoneticPr fontId="13" type="noConversion"/>
  </si>
  <si>
    <t>北埔鄉</t>
    <phoneticPr fontId="13" type="noConversion"/>
  </si>
  <si>
    <t>峨眉鄉</t>
    <phoneticPr fontId="13" type="noConversion"/>
  </si>
  <si>
    <t>頭屋鄉</t>
    <phoneticPr fontId="13" type="noConversion"/>
  </si>
  <si>
    <t>頭份市</t>
    <phoneticPr fontId="13" type="noConversion"/>
  </si>
  <si>
    <t>造橋鄉</t>
    <phoneticPr fontId="13" type="noConversion"/>
  </si>
  <si>
    <t>三灣鄉</t>
    <phoneticPr fontId="13" type="noConversion"/>
  </si>
  <si>
    <t>南庄鄉</t>
    <phoneticPr fontId="13" type="noConversion"/>
  </si>
  <si>
    <t>獅潭鄉</t>
    <phoneticPr fontId="13" type="noConversion"/>
  </si>
  <si>
    <t>關西鎮</t>
    <phoneticPr fontId="13" type="noConversion"/>
  </si>
  <si>
    <t>新埔鎮</t>
    <phoneticPr fontId="13" type="noConversion"/>
  </si>
  <si>
    <t>橫山鄉</t>
    <phoneticPr fontId="13" type="noConversion"/>
  </si>
  <si>
    <t>芎林鄉</t>
    <phoneticPr fontId="13" type="noConversion"/>
  </si>
  <si>
    <t>寶山鄉</t>
    <phoneticPr fontId="13" type="noConversion"/>
  </si>
  <si>
    <t>竹南鎮</t>
    <phoneticPr fontId="13" type="noConversion"/>
  </si>
  <si>
    <t>新竹市</t>
  </si>
  <si>
    <t>楠梓區</t>
  </si>
  <si>
    <t>高雄市</t>
  </si>
  <si>
    <t>大社區</t>
    <phoneticPr fontId="13" type="noConversion"/>
  </si>
  <si>
    <t>橋頭區</t>
    <phoneticPr fontId="13" type="noConversion"/>
  </si>
  <si>
    <t>旗山區</t>
    <phoneticPr fontId="13" type="noConversion"/>
  </si>
  <si>
    <t>燕巢區</t>
    <phoneticPr fontId="13" type="noConversion"/>
  </si>
  <si>
    <t>仁武區</t>
    <phoneticPr fontId="13" type="noConversion"/>
  </si>
  <si>
    <t>左營區</t>
    <phoneticPr fontId="13" type="noConversion"/>
  </si>
  <si>
    <t>三民區</t>
    <phoneticPr fontId="13" type="noConversion"/>
  </si>
  <si>
    <t>大樹區</t>
    <phoneticPr fontId="13" type="noConversion"/>
  </si>
  <si>
    <t>岡山區</t>
    <phoneticPr fontId="13" type="noConversion"/>
  </si>
  <si>
    <t>鳥松區</t>
    <phoneticPr fontId="13" type="noConversion"/>
  </si>
  <si>
    <t>美濃區</t>
    <phoneticPr fontId="13" type="noConversion"/>
  </si>
  <si>
    <t>杉林區</t>
    <phoneticPr fontId="13" type="noConversion"/>
  </si>
  <si>
    <t>內門區</t>
    <phoneticPr fontId="13" type="noConversion"/>
  </si>
  <si>
    <t>里港鄉</t>
  </si>
  <si>
    <t>屏東縣</t>
  </si>
  <si>
    <t>臺東縣</t>
    <phoneticPr fontId="13" type="noConversion"/>
  </si>
  <si>
    <t>臺東市</t>
    <phoneticPr fontId="13" type="noConversion"/>
  </si>
  <si>
    <t>成功鎮</t>
    <phoneticPr fontId="13" type="noConversion"/>
  </si>
  <si>
    <t>關山鎮</t>
    <phoneticPr fontId="13" type="noConversion"/>
  </si>
  <si>
    <t>卑南鄉</t>
    <phoneticPr fontId="13" type="noConversion"/>
  </si>
  <si>
    <t>東河鄉</t>
    <phoneticPr fontId="13" type="noConversion"/>
  </si>
  <si>
    <t>長濱鄉</t>
    <phoneticPr fontId="13" type="noConversion"/>
  </si>
  <si>
    <t>鹿野鄉</t>
    <phoneticPr fontId="13" type="noConversion"/>
  </si>
  <si>
    <t>池上鄉</t>
    <phoneticPr fontId="13" type="noConversion"/>
  </si>
  <si>
    <t>延平鄉</t>
    <phoneticPr fontId="13" type="noConversion"/>
  </si>
  <si>
    <t>海端鄉</t>
    <phoneticPr fontId="13" type="noConversion"/>
  </si>
  <si>
    <r>
      <rPr>
        <sz val="11"/>
        <rFont val="新細明體"/>
        <family val="1"/>
        <charset val="136"/>
      </rPr>
      <t>花蓮縣</t>
    </r>
    <phoneticPr fontId="7" type="noConversion"/>
  </si>
  <si>
    <r>
      <rPr>
        <sz val="11"/>
        <rFont val="新細明體"/>
        <family val="1"/>
        <charset val="136"/>
      </rPr>
      <t>花蓮市</t>
    </r>
    <phoneticPr fontId="7" type="noConversion"/>
  </si>
  <si>
    <r>
      <rPr>
        <sz val="11"/>
        <rFont val="新細明體"/>
        <family val="1"/>
        <charset val="136"/>
      </rPr>
      <t>秀林鄉</t>
    </r>
    <phoneticPr fontId="7" type="noConversion"/>
  </si>
  <si>
    <r>
      <rPr>
        <sz val="11"/>
        <rFont val="新細明體"/>
        <family val="1"/>
        <charset val="136"/>
      </rPr>
      <t>吉安鄉</t>
    </r>
    <phoneticPr fontId="7" type="noConversion"/>
  </si>
  <si>
    <r>
      <rPr>
        <sz val="11"/>
        <rFont val="新細明體"/>
        <family val="1"/>
        <charset val="136"/>
      </rPr>
      <t>壽豐鄉</t>
    </r>
    <phoneticPr fontId="7" type="noConversion"/>
  </si>
  <si>
    <r>
      <rPr>
        <sz val="11"/>
        <rFont val="新細明體"/>
        <family val="1"/>
        <charset val="136"/>
      </rPr>
      <t>鳳林鎮</t>
    </r>
    <phoneticPr fontId="7" type="noConversion"/>
  </si>
  <si>
    <r>
      <rPr>
        <sz val="11"/>
        <rFont val="新細明體"/>
        <family val="1"/>
        <charset val="136"/>
      </rPr>
      <t>光復鄉</t>
    </r>
    <phoneticPr fontId="7" type="noConversion"/>
  </si>
  <si>
    <r>
      <rPr>
        <sz val="11"/>
        <rFont val="新細明體"/>
        <family val="1"/>
        <charset val="136"/>
      </rPr>
      <t>豐濱鄉</t>
    </r>
    <phoneticPr fontId="7" type="noConversion"/>
  </si>
  <si>
    <r>
      <rPr>
        <sz val="11"/>
        <rFont val="新細明體"/>
        <family val="1"/>
        <charset val="136"/>
      </rPr>
      <t>瑞穗鄉</t>
    </r>
    <phoneticPr fontId="7" type="noConversion"/>
  </si>
  <si>
    <r>
      <rPr>
        <sz val="11"/>
        <rFont val="新細明體"/>
        <family val="1"/>
        <charset val="136"/>
      </rPr>
      <t>萬榮鄉</t>
    </r>
    <phoneticPr fontId="7" type="noConversion"/>
  </si>
  <si>
    <r>
      <rPr>
        <sz val="11"/>
        <rFont val="新細明體"/>
        <family val="1"/>
        <charset val="136"/>
      </rPr>
      <t>玉里鎮</t>
    </r>
    <phoneticPr fontId="7" type="noConversion"/>
  </si>
  <si>
    <r>
      <rPr>
        <sz val="11"/>
        <rFont val="新細明體"/>
        <family val="1"/>
        <charset val="136"/>
      </rPr>
      <t>卓溪鄉</t>
    </r>
    <phoneticPr fontId="7" type="noConversion"/>
  </si>
  <si>
    <r>
      <rPr>
        <sz val="11"/>
        <rFont val="新細明體"/>
        <family val="1"/>
        <charset val="136"/>
      </rPr>
      <t>富里鄉</t>
    </r>
    <phoneticPr fontId="7" type="noConversion"/>
  </si>
  <si>
    <r>
      <t>I(S</t>
    </r>
    <r>
      <rPr>
        <vertAlign val="subscript"/>
        <sz val="12"/>
        <rFont val="微軟正黑體"/>
        <family val="2"/>
        <charset val="136"/>
      </rPr>
      <t>aD</t>
    </r>
    <r>
      <rPr>
        <sz val="12"/>
        <rFont val="微軟正黑體"/>
        <family val="2"/>
        <charset val="136"/>
      </rPr>
      <t>/F</t>
    </r>
    <r>
      <rPr>
        <vertAlign val="subscript"/>
        <sz val="12"/>
        <rFont val="微軟正黑體"/>
        <family val="2"/>
        <charset val="136"/>
      </rPr>
      <t>uD</t>
    </r>
    <r>
      <rPr>
        <sz val="12"/>
        <rFont val="微軟正黑體"/>
        <family val="2"/>
        <charset val="136"/>
      </rPr>
      <t>)</t>
    </r>
    <r>
      <rPr>
        <vertAlign val="subscript"/>
        <sz val="12"/>
        <rFont val="微軟正黑體"/>
        <family val="2"/>
        <charset val="136"/>
      </rPr>
      <t>m</t>
    </r>
    <r>
      <rPr>
        <sz val="12"/>
        <rFont val="微軟正黑體"/>
        <family val="2"/>
        <charset val="136"/>
      </rPr>
      <t>/1.4α</t>
    </r>
    <r>
      <rPr>
        <vertAlign val="subscript"/>
        <sz val="12"/>
        <rFont val="微軟正黑體"/>
        <family val="2"/>
        <charset val="136"/>
      </rPr>
      <t>y</t>
    </r>
    <phoneticPr fontId="7" type="noConversion"/>
  </si>
  <si>
    <t>I(SaM/FuM)m/1.4αy</t>
    <phoneticPr fontId="7" type="noConversion"/>
  </si>
  <si>
    <t>避免中小度地震下降伏</t>
    <phoneticPr fontId="7" type="noConversion"/>
  </si>
  <si>
    <t>避免最大考量地震下崩塌</t>
    <phoneticPr fontId="7" type="noConversion"/>
  </si>
  <si>
    <r>
      <t>IF</t>
    </r>
    <r>
      <rPr>
        <vertAlign val="subscript"/>
        <sz val="12"/>
        <rFont val="微軟正黑體"/>
        <family val="2"/>
        <charset val="136"/>
      </rPr>
      <t>uD</t>
    </r>
    <r>
      <rPr>
        <sz val="12"/>
        <rFont val="微軟正黑體"/>
        <family val="2"/>
        <charset val="136"/>
      </rPr>
      <t>(S</t>
    </r>
    <r>
      <rPr>
        <vertAlign val="subscript"/>
        <sz val="12"/>
        <rFont val="微軟正黑體"/>
        <family val="2"/>
        <charset val="136"/>
      </rPr>
      <t>aD</t>
    </r>
    <r>
      <rPr>
        <vertAlign val="superscript"/>
        <sz val="12"/>
        <rFont val="微軟正黑體"/>
        <family val="2"/>
        <charset val="136"/>
      </rPr>
      <t>*</t>
    </r>
    <r>
      <rPr>
        <sz val="12"/>
        <rFont val="微軟正黑體"/>
        <family val="2"/>
        <charset val="136"/>
      </rPr>
      <t>/F</t>
    </r>
    <r>
      <rPr>
        <vertAlign val="subscript"/>
        <sz val="12"/>
        <rFont val="微軟正黑體"/>
        <family val="2"/>
        <charset val="136"/>
      </rPr>
      <t>uD</t>
    </r>
    <r>
      <rPr>
        <sz val="12"/>
        <rFont val="微軟正黑體"/>
        <family val="2"/>
        <charset val="136"/>
      </rPr>
      <t>)</t>
    </r>
    <r>
      <rPr>
        <vertAlign val="subscript"/>
        <sz val="12"/>
        <rFont val="微軟正黑體"/>
        <family val="2"/>
        <charset val="136"/>
      </rPr>
      <t>m</t>
    </r>
    <r>
      <rPr>
        <sz val="12"/>
        <rFont val="微軟正黑體"/>
        <family val="2"/>
        <charset val="136"/>
      </rPr>
      <t>/4.2α</t>
    </r>
    <r>
      <rPr>
        <vertAlign val="subscript"/>
        <sz val="12"/>
        <rFont val="微軟正黑體"/>
        <family val="2"/>
        <charset val="136"/>
      </rPr>
      <t>y</t>
    </r>
    <phoneticPr fontId="7" type="noConversion"/>
  </si>
  <si>
    <t>梅山斷層</t>
    <phoneticPr fontId="13" type="noConversion"/>
  </si>
  <si>
    <t>米崙斷層、嶺頂斷層、瑞穗斷層、玉里斷層、池上斷層、鹿野斷層、利吉斷層</t>
    <phoneticPr fontId="13" type="noConversion"/>
  </si>
  <si>
    <t>大尖山斷層、觸口斷層</t>
    <phoneticPr fontId="13" type="noConversion"/>
  </si>
  <si>
    <t>大甲斷層全段、鐵砧山斷層、彰化斷層</t>
    <phoneticPr fontId="13" type="noConversion"/>
  </si>
  <si>
    <t>大尖山斷層、觸口斷層</t>
  </si>
  <si>
    <t>大尖山斷層、觸口斷層</t>
    <phoneticPr fontId="24" type="noConversion"/>
  </si>
  <si>
    <t>行政區</t>
    <phoneticPr fontId="7" type="noConversion"/>
  </si>
  <si>
    <r>
      <t>V</t>
    </r>
    <r>
      <rPr>
        <vertAlign val="subscript"/>
        <sz val="12"/>
        <rFont val="微軟正黑體"/>
        <family val="2"/>
        <charset val="136"/>
      </rPr>
      <t>10</t>
    </r>
    <r>
      <rPr>
        <sz val="12"/>
        <rFont val="微軟正黑體"/>
        <family val="2"/>
        <charset val="136"/>
      </rPr>
      <t>(C)</t>
    </r>
    <phoneticPr fontId="7" type="noConversion"/>
  </si>
  <si>
    <t>郵遞區號</t>
    <phoneticPr fontId="7" type="noConversion"/>
  </si>
  <si>
    <r>
      <t>S</t>
    </r>
    <r>
      <rPr>
        <vertAlign val="superscript"/>
        <sz val="12"/>
        <rFont val="微軟正黑體"/>
        <family val="2"/>
        <charset val="136"/>
      </rPr>
      <t>D</t>
    </r>
    <r>
      <rPr>
        <vertAlign val="subscript"/>
        <sz val="12"/>
        <rFont val="微軟正黑體"/>
        <family val="2"/>
        <charset val="136"/>
      </rPr>
      <t>S</t>
    </r>
    <phoneticPr fontId="7" type="noConversion"/>
  </si>
  <si>
    <r>
      <t>S</t>
    </r>
    <r>
      <rPr>
        <vertAlign val="superscript"/>
        <sz val="12"/>
        <rFont val="微軟正黑體"/>
        <family val="2"/>
        <charset val="136"/>
      </rPr>
      <t>D</t>
    </r>
    <r>
      <rPr>
        <vertAlign val="subscript"/>
        <sz val="12"/>
        <rFont val="微軟正黑體"/>
        <family val="2"/>
        <charset val="136"/>
      </rPr>
      <t>1</t>
    </r>
    <phoneticPr fontId="7" type="noConversion"/>
  </si>
  <si>
    <r>
      <t>S</t>
    </r>
    <r>
      <rPr>
        <vertAlign val="superscript"/>
        <sz val="12"/>
        <rFont val="微軟正黑體"/>
        <family val="2"/>
        <charset val="136"/>
      </rPr>
      <t>M</t>
    </r>
    <r>
      <rPr>
        <vertAlign val="subscript"/>
        <sz val="12"/>
        <rFont val="微軟正黑體"/>
        <family val="2"/>
        <charset val="136"/>
      </rPr>
      <t>S</t>
    </r>
    <phoneticPr fontId="7" type="noConversion"/>
  </si>
  <si>
    <r>
      <t>S</t>
    </r>
    <r>
      <rPr>
        <vertAlign val="superscript"/>
        <sz val="12"/>
        <rFont val="微軟正黑體"/>
        <family val="2"/>
        <charset val="136"/>
      </rPr>
      <t>M</t>
    </r>
    <r>
      <rPr>
        <vertAlign val="subscript"/>
        <sz val="12"/>
        <rFont val="微軟正黑體"/>
        <family val="2"/>
        <charset val="136"/>
      </rPr>
      <t>1</t>
    </r>
    <phoneticPr fontId="7" type="noConversion"/>
  </si>
  <si>
    <t>新竹市</t>
    <phoneticPr fontId="7" type="noConversion"/>
  </si>
  <si>
    <t>桃園市</t>
    <phoneticPr fontId="7" type="noConversion"/>
  </si>
  <si>
    <t>臺中市</t>
    <phoneticPr fontId="7" type="noConversion"/>
  </si>
  <si>
    <t>彭佳嶼</t>
    <phoneticPr fontId="7" type="noConversion"/>
  </si>
  <si>
    <t>臺南市</t>
    <phoneticPr fontId="7" type="noConversion"/>
  </si>
  <si>
    <t>臺東縣</t>
    <phoneticPr fontId="7" type="noConversion"/>
  </si>
  <si>
    <t>南海諸島</t>
    <phoneticPr fontId="7" type="noConversion"/>
  </si>
  <si>
    <t>鶯歌區</t>
    <phoneticPr fontId="7" type="noConversion"/>
  </si>
  <si>
    <t>三峽區</t>
    <phoneticPr fontId="7" type="noConversion"/>
  </si>
  <si>
    <t>瑞芳區</t>
    <phoneticPr fontId="7" type="noConversion"/>
  </si>
  <si>
    <t>林口區</t>
    <phoneticPr fontId="7" type="noConversion"/>
  </si>
  <si>
    <t>深坑區</t>
    <phoneticPr fontId="7" type="noConversion"/>
  </si>
  <si>
    <t>石碇區</t>
    <phoneticPr fontId="7" type="noConversion"/>
  </si>
  <si>
    <t>坪林區</t>
    <phoneticPr fontId="7" type="noConversion"/>
  </si>
  <si>
    <t>三芝區</t>
    <phoneticPr fontId="7" type="noConversion"/>
  </si>
  <si>
    <t>石門區</t>
    <phoneticPr fontId="7" type="noConversion"/>
  </si>
  <si>
    <t>平溪區</t>
    <phoneticPr fontId="7" type="noConversion"/>
  </si>
  <si>
    <t>雙溪區</t>
    <phoneticPr fontId="7" type="noConversion"/>
  </si>
  <si>
    <t>貢寮區</t>
    <phoneticPr fontId="7" type="noConversion"/>
  </si>
  <si>
    <t>金山區</t>
    <phoneticPr fontId="7" type="noConversion"/>
  </si>
  <si>
    <t>萬里區</t>
    <phoneticPr fontId="7" type="noConversion"/>
  </si>
  <si>
    <t>烏來區</t>
    <phoneticPr fontId="7" type="noConversion"/>
  </si>
  <si>
    <t>釣魚臺列嶼</t>
    <phoneticPr fontId="7" type="noConversion"/>
  </si>
  <si>
    <t>東區</t>
    <phoneticPr fontId="7" type="noConversion"/>
  </si>
  <si>
    <t>香山區</t>
    <phoneticPr fontId="7" type="noConversion"/>
  </si>
  <si>
    <t>中壢區</t>
    <phoneticPr fontId="7" type="noConversion"/>
  </si>
  <si>
    <t>平鎮區</t>
    <phoneticPr fontId="7" type="noConversion"/>
  </si>
  <si>
    <t>龍潭區</t>
    <phoneticPr fontId="7" type="noConversion"/>
  </si>
  <si>
    <t>楊梅區</t>
    <phoneticPr fontId="7" type="noConversion"/>
  </si>
  <si>
    <t>新屋區</t>
    <phoneticPr fontId="7" type="noConversion"/>
  </si>
  <si>
    <t>觀音區</t>
    <phoneticPr fontId="7" type="noConversion"/>
  </si>
  <si>
    <t>桃園區</t>
    <phoneticPr fontId="7" type="noConversion"/>
  </si>
  <si>
    <t>龜山區</t>
    <phoneticPr fontId="7" type="noConversion"/>
  </si>
  <si>
    <t>八德區</t>
    <phoneticPr fontId="7" type="noConversion"/>
  </si>
  <si>
    <t>大溪區</t>
    <phoneticPr fontId="7" type="noConversion"/>
  </si>
  <si>
    <t>復興區</t>
    <phoneticPr fontId="7" type="noConversion"/>
  </si>
  <si>
    <t>大園區</t>
    <phoneticPr fontId="7" type="noConversion"/>
  </si>
  <si>
    <t>蘆竹區</t>
    <phoneticPr fontId="7" type="noConversion"/>
  </si>
  <si>
    <t>通霄鎮</t>
    <phoneticPr fontId="7" type="noConversion"/>
  </si>
  <si>
    <t>南區</t>
    <phoneticPr fontId="7" type="noConversion"/>
  </si>
  <si>
    <t>西區</t>
    <phoneticPr fontId="7" type="noConversion"/>
  </si>
  <si>
    <t>臺西鄉</t>
    <phoneticPr fontId="7" type="noConversion"/>
  </si>
  <si>
    <t>臺東市</t>
    <phoneticPr fontId="7" type="noConversion"/>
  </si>
  <si>
    <t>東吉島</t>
    <phoneticPr fontId="7" type="noConversion"/>
  </si>
  <si>
    <t>七美鄉</t>
    <phoneticPr fontId="7" type="noConversion"/>
  </si>
  <si>
    <t>金沙鎮</t>
    <phoneticPr fontId="7" type="noConversion"/>
  </si>
  <si>
    <t>金湖鎮</t>
    <phoneticPr fontId="7" type="noConversion"/>
  </si>
  <si>
    <t>金寧鄉</t>
    <phoneticPr fontId="7" type="noConversion"/>
  </si>
  <si>
    <t>金城鎮</t>
    <phoneticPr fontId="7" type="noConversion"/>
  </si>
  <si>
    <t>烈嶼鄉</t>
    <phoneticPr fontId="7" type="noConversion"/>
  </si>
  <si>
    <t>烏坵鄉</t>
    <phoneticPr fontId="7" type="noConversion"/>
  </si>
  <si>
    <t>東沙</t>
    <phoneticPr fontId="7" type="noConversion"/>
  </si>
  <si>
    <t>南沙</t>
    <phoneticPr fontId="7" type="noConversion"/>
  </si>
  <si>
    <t>車籠埔斷層全段</t>
    <phoneticPr fontId="7" type="noConversion"/>
  </si>
  <si>
    <t>梅山斷層</t>
    <phoneticPr fontId="24" type="noConversion"/>
  </si>
  <si>
    <t>車籠埔斷層全段</t>
    <phoneticPr fontId="24" type="noConversion"/>
  </si>
  <si>
    <r>
      <t>S</t>
    </r>
    <r>
      <rPr>
        <vertAlign val="subscript"/>
        <sz val="12"/>
        <color indexed="8"/>
        <rFont val="微軟正黑體"/>
        <family val="2"/>
        <charset val="136"/>
      </rPr>
      <t>aD</t>
    </r>
    <r>
      <rPr>
        <sz val="12"/>
        <color theme="1"/>
        <rFont val="微軟正黑體"/>
        <family val="2"/>
        <charset val="136"/>
      </rPr>
      <t>,</t>
    </r>
    <r>
      <rPr>
        <vertAlign val="subscript"/>
        <sz val="12"/>
        <color theme="1"/>
        <rFont val="微軟正黑體"/>
        <family val="2"/>
        <charset val="136"/>
      </rPr>
      <t>V</t>
    </r>
    <phoneticPr fontId="7" type="noConversion"/>
  </si>
  <si>
    <r>
      <t>F</t>
    </r>
    <r>
      <rPr>
        <vertAlign val="subscript"/>
        <sz val="12"/>
        <color indexed="8"/>
        <rFont val="微軟正黑體"/>
        <family val="2"/>
        <charset val="136"/>
      </rPr>
      <t>u</t>
    </r>
    <r>
      <rPr>
        <vertAlign val="subscript"/>
        <sz val="12"/>
        <color theme="1"/>
        <rFont val="微軟正黑體"/>
        <family val="2"/>
        <charset val="136"/>
      </rPr>
      <t>V</t>
    </r>
    <phoneticPr fontId="7" type="noConversion"/>
  </si>
  <si>
    <r>
      <t>S</t>
    </r>
    <r>
      <rPr>
        <vertAlign val="subscript"/>
        <sz val="12"/>
        <color indexed="8"/>
        <rFont val="微軟正黑體"/>
        <family val="2"/>
        <charset val="136"/>
      </rPr>
      <t>aD,V</t>
    </r>
    <r>
      <rPr>
        <sz val="12"/>
        <color indexed="8"/>
        <rFont val="微軟正黑體"/>
        <family val="2"/>
        <charset val="136"/>
      </rPr>
      <t>/F</t>
    </r>
    <r>
      <rPr>
        <vertAlign val="subscript"/>
        <sz val="12"/>
        <color indexed="8"/>
        <rFont val="微軟正黑體"/>
        <family val="2"/>
        <charset val="136"/>
      </rPr>
      <t>u</t>
    </r>
    <r>
      <rPr>
        <vertAlign val="subscript"/>
        <sz val="12"/>
        <color theme="1"/>
        <rFont val="微軟正黑體"/>
        <family val="2"/>
        <charset val="136"/>
      </rPr>
      <t>V</t>
    </r>
    <phoneticPr fontId="7" type="noConversion"/>
  </si>
  <si>
    <r>
      <t>(S</t>
    </r>
    <r>
      <rPr>
        <vertAlign val="subscript"/>
        <sz val="12"/>
        <color indexed="8"/>
        <rFont val="微軟正黑體"/>
        <family val="2"/>
        <charset val="136"/>
      </rPr>
      <t>aD,V</t>
    </r>
    <r>
      <rPr>
        <sz val="12"/>
        <color indexed="8"/>
        <rFont val="微軟正黑體"/>
        <family val="2"/>
        <charset val="136"/>
      </rPr>
      <t>/F</t>
    </r>
    <r>
      <rPr>
        <vertAlign val="subscript"/>
        <sz val="12"/>
        <color indexed="8"/>
        <rFont val="微軟正黑體"/>
        <family val="2"/>
        <charset val="136"/>
      </rPr>
      <t>uV</t>
    </r>
    <r>
      <rPr>
        <sz val="12"/>
        <color indexed="8"/>
        <rFont val="微軟正黑體"/>
        <family val="2"/>
        <charset val="136"/>
      </rPr>
      <t>)</t>
    </r>
    <r>
      <rPr>
        <vertAlign val="subscript"/>
        <sz val="12"/>
        <color indexed="8"/>
        <rFont val="微軟正黑體"/>
        <family val="2"/>
        <charset val="136"/>
      </rPr>
      <t>m</t>
    </r>
    <phoneticPr fontId="7" type="noConversion"/>
  </si>
  <si>
    <r>
      <t>地震力係數 C</t>
    </r>
    <r>
      <rPr>
        <b/>
        <vertAlign val="subscript"/>
        <sz val="12"/>
        <color theme="1"/>
        <rFont val="微軟正黑體"/>
        <family val="2"/>
        <charset val="136"/>
      </rPr>
      <t>SV</t>
    </r>
    <r>
      <rPr>
        <b/>
        <sz val="12"/>
        <color theme="1"/>
        <rFont val="微軟正黑體"/>
        <family val="2"/>
        <charset val="136"/>
      </rPr>
      <t xml:space="preserve"> =</t>
    </r>
    <phoneticPr fontId="7" type="noConversion"/>
  </si>
  <si>
    <r>
      <t>V</t>
    </r>
    <r>
      <rPr>
        <vertAlign val="subscript"/>
        <sz val="12"/>
        <rFont val="微軟正黑體"/>
        <family val="2"/>
        <charset val="136"/>
      </rPr>
      <t>MV</t>
    </r>
    <r>
      <rPr>
        <sz val="12"/>
        <rFont val="微軟正黑體"/>
        <family val="2"/>
        <charset val="136"/>
      </rPr>
      <t xml:space="preserve"> =</t>
    </r>
    <phoneticPr fontId="7" type="noConversion"/>
  </si>
  <si>
    <r>
      <t>V</t>
    </r>
    <r>
      <rPr>
        <vertAlign val="subscript"/>
        <sz val="12"/>
        <rFont val="微軟正黑體"/>
        <family val="2"/>
        <charset val="136"/>
      </rPr>
      <t>DV</t>
    </r>
    <r>
      <rPr>
        <sz val="12"/>
        <rFont val="微軟正黑體"/>
        <family val="2"/>
        <charset val="136"/>
      </rPr>
      <t xml:space="preserve"> =</t>
    </r>
    <phoneticPr fontId="7" type="noConversion"/>
  </si>
  <si>
    <r>
      <t>V</t>
    </r>
    <r>
      <rPr>
        <vertAlign val="subscript"/>
        <sz val="12"/>
        <rFont val="微軟正黑體"/>
        <family val="2"/>
        <charset val="136"/>
      </rPr>
      <t>V</t>
    </r>
    <r>
      <rPr>
        <sz val="12"/>
        <rFont val="微軟正黑體"/>
        <family val="2"/>
        <charset val="136"/>
      </rPr>
      <t>* =</t>
    </r>
    <phoneticPr fontId="7" type="noConversion"/>
  </si>
  <si>
    <t>大甲斷層全段、鐵砧山斷層、彰化斷層</t>
  </si>
  <si>
    <t>神岡區</t>
  </si>
  <si>
    <t>屯子腳斷層</t>
    <phoneticPr fontId="24" type="noConversion"/>
  </si>
  <si>
    <t>三義斷層</t>
    <phoneticPr fontId="24" type="noConversion"/>
  </si>
  <si>
    <t>潭子區</t>
    <phoneticPr fontId="13" type="noConversion"/>
  </si>
  <si>
    <t>神岡區</t>
    <phoneticPr fontId="24" type="noConversion"/>
  </si>
  <si>
    <t>獅潭斷層</t>
  </si>
  <si>
    <t>新城斷層</t>
    <phoneticPr fontId="24" type="noConversion"/>
  </si>
  <si>
    <t>新城斷層</t>
    <phoneticPr fontId="7" type="noConversion"/>
  </si>
  <si>
    <t>獅潭斷層</t>
    <phoneticPr fontId="24" type="noConversion"/>
  </si>
  <si>
    <t>旗山斷層</t>
    <phoneticPr fontId="24" type="noConversion"/>
  </si>
  <si>
    <t>南竿鄉</t>
    <phoneticPr fontId="7" type="noConversion"/>
  </si>
  <si>
    <t>北竿鄉</t>
    <phoneticPr fontId="7" type="noConversion"/>
  </si>
  <si>
    <t>莒光鄉</t>
    <phoneticPr fontId="7" type="noConversion"/>
  </si>
  <si>
    <t>東引鄉</t>
    <phoneticPr fontId="7" type="noConversion"/>
  </si>
  <si>
    <t>東區</t>
    <phoneticPr fontId="13" type="noConversion"/>
  </si>
  <si>
    <t>-</t>
    <phoneticPr fontId="10" type="noConversion"/>
  </si>
  <si>
    <r>
      <t>起始降伏地震力放大倍數α</t>
    </r>
    <r>
      <rPr>
        <vertAlign val="subscript"/>
        <sz val="12"/>
        <color theme="1"/>
        <rFont val="微軟正黑體"/>
        <family val="2"/>
        <charset val="136"/>
      </rPr>
      <t>y</t>
    </r>
    <phoneticPr fontId="7" type="noConversion"/>
  </si>
  <si>
    <t>車籠埔斷層</t>
  </si>
  <si>
    <t>第一類</t>
  </si>
  <si>
    <t>草屯鎮</t>
  </si>
  <si>
    <t>屯子腳斷層</t>
    <phoneticPr fontId="24" type="noConversion"/>
  </si>
  <si>
    <t>無</t>
    <phoneticPr fontId="13" type="noConversion"/>
  </si>
  <si>
    <t>km</t>
    <phoneticPr fontId="7" type="noConversion"/>
  </si>
  <si>
    <r>
      <t>S</t>
    </r>
    <r>
      <rPr>
        <vertAlign val="subscript"/>
        <sz val="14"/>
        <rFont val="微軟正黑體"/>
        <family val="2"/>
        <charset val="136"/>
      </rPr>
      <t>S</t>
    </r>
    <r>
      <rPr>
        <vertAlign val="superscript"/>
        <sz val="14"/>
        <rFont val="微軟正黑體"/>
        <family val="2"/>
        <charset val="136"/>
      </rPr>
      <t>D</t>
    </r>
    <phoneticPr fontId="10" type="noConversion"/>
  </si>
  <si>
    <r>
      <t>S</t>
    </r>
    <r>
      <rPr>
        <vertAlign val="subscript"/>
        <sz val="14"/>
        <rFont val="微軟正黑體"/>
        <family val="2"/>
        <charset val="136"/>
      </rPr>
      <t>1</t>
    </r>
    <r>
      <rPr>
        <vertAlign val="superscript"/>
        <sz val="14"/>
        <rFont val="微軟正黑體"/>
        <family val="2"/>
        <charset val="136"/>
      </rPr>
      <t>D</t>
    </r>
    <phoneticPr fontId="10" type="noConversion"/>
  </si>
  <si>
    <r>
      <t>S</t>
    </r>
    <r>
      <rPr>
        <vertAlign val="subscript"/>
        <sz val="14"/>
        <rFont val="微軟正黑體"/>
        <family val="2"/>
        <charset val="136"/>
      </rPr>
      <t>S</t>
    </r>
    <r>
      <rPr>
        <vertAlign val="superscript"/>
        <sz val="14"/>
        <rFont val="微軟正黑體"/>
        <family val="2"/>
        <charset val="136"/>
      </rPr>
      <t>M</t>
    </r>
    <phoneticPr fontId="10" type="noConversion"/>
  </si>
  <si>
    <r>
      <t>S</t>
    </r>
    <r>
      <rPr>
        <vertAlign val="subscript"/>
        <sz val="14"/>
        <rFont val="微軟正黑體"/>
        <family val="2"/>
        <charset val="136"/>
      </rPr>
      <t>1</t>
    </r>
    <r>
      <rPr>
        <vertAlign val="superscript"/>
        <sz val="14"/>
        <rFont val="微軟正黑體"/>
        <family val="2"/>
        <charset val="136"/>
      </rPr>
      <t>M</t>
    </r>
    <phoneticPr fontId="10" type="noConversion"/>
  </si>
  <si>
    <r>
      <t>F*</t>
    </r>
    <r>
      <rPr>
        <vertAlign val="subscript"/>
        <sz val="14"/>
        <rFont val="微軟正黑體"/>
        <family val="2"/>
        <charset val="136"/>
      </rPr>
      <t>a</t>
    </r>
    <r>
      <rPr>
        <vertAlign val="superscript"/>
        <sz val="14"/>
        <rFont val="微軟正黑體"/>
        <family val="2"/>
        <charset val="136"/>
      </rPr>
      <t>D</t>
    </r>
    <phoneticPr fontId="7" type="noConversion"/>
  </si>
  <si>
    <r>
      <t>F*</t>
    </r>
    <r>
      <rPr>
        <vertAlign val="subscript"/>
        <sz val="14"/>
        <rFont val="微軟正黑體"/>
        <family val="2"/>
        <charset val="136"/>
      </rPr>
      <t>v</t>
    </r>
    <r>
      <rPr>
        <vertAlign val="superscript"/>
        <sz val="14"/>
        <rFont val="微軟正黑體"/>
        <family val="2"/>
        <charset val="136"/>
      </rPr>
      <t>D</t>
    </r>
    <phoneticPr fontId="7" type="noConversion"/>
  </si>
  <si>
    <r>
      <t>F</t>
    </r>
    <r>
      <rPr>
        <vertAlign val="subscript"/>
        <sz val="14"/>
        <rFont val="微軟正黑體"/>
        <family val="2"/>
        <charset val="136"/>
      </rPr>
      <t>a</t>
    </r>
    <r>
      <rPr>
        <vertAlign val="superscript"/>
        <sz val="14"/>
        <rFont val="微軟正黑體"/>
        <family val="2"/>
        <charset val="136"/>
      </rPr>
      <t>M</t>
    </r>
    <phoneticPr fontId="7" type="noConversion"/>
  </si>
  <si>
    <r>
      <t>F</t>
    </r>
    <r>
      <rPr>
        <vertAlign val="subscript"/>
        <sz val="14"/>
        <rFont val="微軟正黑體"/>
        <family val="2"/>
        <charset val="136"/>
      </rPr>
      <t>v</t>
    </r>
    <r>
      <rPr>
        <vertAlign val="superscript"/>
        <sz val="14"/>
        <rFont val="微軟正黑體"/>
        <family val="2"/>
        <charset val="136"/>
      </rPr>
      <t>M</t>
    </r>
    <phoneticPr fontId="7" type="noConversion"/>
  </si>
  <si>
    <r>
      <t>S</t>
    </r>
    <r>
      <rPr>
        <b/>
        <vertAlign val="subscript"/>
        <sz val="14"/>
        <rFont val="微軟正黑體"/>
        <family val="2"/>
        <charset val="136"/>
      </rPr>
      <t>S</t>
    </r>
    <r>
      <rPr>
        <b/>
        <vertAlign val="superscript"/>
        <sz val="14"/>
        <rFont val="微軟正黑體"/>
        <family val="2"/>
        <charset val="136"/>
      </rPr>
      <t>D</t>
    </r>
    <phoneticPr fontId="10" type="noConversion"/>
  </si>
  <si>
    <r>
      <t>S</t>
    </r>
    <r>
      <rPr>
        <b/>
        <vertAlign val="subscript"/>
        <sz val="14"/>
        <rFont val="微軟正黑體"/>
        <family val="2"/>
        <charset val="136"/>
      </rPr>
      <t>1</t>
    </r>
    <r>
      <rPr>
        <b/>
        <vertAlign val="superscript"/>
        <sz val="14"/>
        <rFont val="微軟正黑體"/>
        <family val="2"/>
        <charset val="136"/>
      </rPr>
      <t>D</t>
    </r>
    <phoneticPr fontId="10" type="noConversion"/>
  </si>
  <si>
    <r>
      <t>S</t>
    </r>
    <r>
      <rPr>
        <b/>
        <vertAlign val="subscript"/>
        <sz val="14"/>
        <rFont val="微軟正黑體"/>
        <family val="2"/>
        <charset val="136"/>
      </rPr>
      <t>S</t>
    </r>
    <r>
      <rPr>
        <b/>
        <vertAlign val="superscript"/>
        <sz val="14"/>
        <rFont val="微軟正黑體"/>
        <family val="2"/>
        <charset val="136"/>
      </rPr>
      <t>M</t>
    </r>
    <phoneticPr fontId="10" type="noConversion"/>
  </si>
  <si>
    <r>
      <t>S</t>
    </r>
    <r>
      <rPr>
        <b/>
        <vertAlign val="subscript"/>
        <sz val="14"/>
        <rFont val="微軟正黑體"/>
        <family val="2"/>
        <charset val="136"/>
      </rPr>
      <t>1</t>
    </r>
    <r>
      <rPr>
        <b/>
        <vertAlign val="superscript"/>
        <sz val="14"/>
        <rFont val="微軟正黑體"/>
        <family val="2"/>
        <charset val="136"/>
      </rPr>
      <t>M</t>
    </r>
    <phoneticPr fontId="10" type="noConversion"/>
  </si>
  <si>
    <r>
      <t>F</t>
    </r>
    <r>
      <rPr>
        <vertAlign val="subscript"/>
        <sz val="14"/>
        <rFont val="微軟正黑體"/>
        <family val="2"/>
        <charset val="136"/>
      </rPr>
      <t>a</t>
    </r>
    <r>
      <rPr>
        <vertAlign val="superscript"/>
        <sz val="14"/>
        <rFont val="微軟正黑體"/>
        <family val="2"/>
        <charset val="136"/>
      </rPr>
      <t>D</t>
    </r>
    <phoneticPr fontId="7" type="noConversion"/>
  </si>
  <si>
    <r>
      <t>F</t>
    </r>
    <r>
      <rPr>
        <vertAlign val="subscript"/>
        <sz val="14"/>
        <rFont val="微軟正黑體"/>
        <family val="2"/>
        <charset val="136"/>
      </rPr>
      <t>v</t>
    </r>
    <r>
      <rPr>
        <vertAlign val="superscript"/>
        <sz val="14"/>
        <rFont val="微軟正黑體"/>
        <family val="2"/>
        <charset val="136"/>
      </rPr>
      <t>D</t>
    </r>
    <phoneticPr fontId="7" type="noConversion"/>
  </si>
  <si>
    <r>
      <t>N</t>
    </r>
    <r>
      <rPr>
        <vertAlign val="subscript"/>
        <sz val="14"/>
        <rFont val="微軟正黑體"/>
        <family val="2"/>
        <charset val="136"/>
      </rPr>
      <t>A</t>
    </r>
    <r>
      <rPr>
        <vertAlign val="superscript"/>
        <sz val="14"/>
        <rFont val="微軟正黑體"/>
        <family val="2"/>
        <charset val="136"/>
      </rPr>
      <t>D</t>
    </r>
    <phoneticPr fontId="7" type="noConversion"/>
  </si>
  <si>
    <r>
      <t>N</t>
    </r>
    <r>
      <rPr>
        <vertAlign val="subscript"/>
        <sz val="14"/>
        <rFont val="微軟正黑體"/>
        <family val="2"/>
        <charset val="136"/>
      </rPr>
      <t>V</t>
    </r>
    <r>
      <rPr>
        <vertAlign val="superscript"/>
        <sz val="14"/>
        <rFont val="微軟正黑體"/>
        <family val="2"/>
        <charset val="136"/>
      </rPr>
      <t>D</t>
    </r>
    <phoneticPr fontId="7" type="noConversion"/>
  </si>
  <si>
    <r>
      <t>N</t>
    </r>
    <r>
      <rPr>
        <vertAlign val="subscript"/>
        <sz val="14"/>
        <rFont val="微軟正黑體"/>
        <family val="2"/>
        <charset val="136"/>
      </rPr>
      <t>A</t>
    </r>
    <r>
      <rPr>
        <vertAlign val="superscript"/>
        <sz val="14"/>
        <rFont val="微軟正黑體"/>
        <family val="2"/>
        <charset val="136"/>
      </rPr>
      <t>M</t>
    </r>
    <phoneticPr fontId="7" type="noConversion"/>
  </si>
  <si>
    <r>
      <t>N</t>
    </r>
    <r>
      <rPr>
        <vertAlign val="subscript"/>
        <sz val="14"/>
        <rFont val="微軟正黑體"/>
        <family val="2"/>
        <charset val="136"/>
      </rPr>
      <t>V</t>
    </r>
    <r>
      <rPr>
        <vertAlign val="superscript"/>
        <sz val="14"/>
        <rFont val="微軟正黑體"/>
        <family val="2"/>
        <charset val="136"/>
      </rPr>
      <t>M</t>
    </r>
    <phoneticPr fontId="7" type="noConversion"/>
  </si>
  <si>
    <r>
      <t>S</t>
    </r>
    <r>
      <rPr>
        <vertAlign val="subscript"/>
        <sz val="14"/>
        <rFont val="微軟正黑體"/>
        <family val="2"/>
        <charset val="136"/>
      </rPr>
      <t>S</t>
    </r>
    <r>
      <rPr>
        <vertAlign val="superscript"/>
        <sz val="14"/>
        <rFont val="微軟正黑體"/>
        <family val="2"/>
        <charset val="136"/>
      </rPr>
      <t>D</t>
    </r>
    <r>
      <rPr>
        <sz val="14"/>
        <rFont val="微軟正黑體"/>
        <family val="2"/>
        <charset val="136"/>
      </rPr>
      <t>*N</t>
    </r>
    <r>
      <rPr>
        <vertAlign val="subscript"/>
        <sz val="14"/>
        <rFont val="微軟正黑體"/>
        <family val="2"/>
        <charset val="136"/>
      </rPr>
      <t>A</t>
    </r>
    <r>
      <rPr>
        <vertAlign val="superscript"/>
        <sz val="14"/>
        <rFont val="微軟正黑體"/>
        <family val="2"/>
        <charset val="136"/>
      </rPr>
      <t>D</t>
    </r>
    <phoneticPr fontId="7" type="noConversion"/>
  </si>
  <si>
    <r>
      <t>S</t>
    </r>
    <r>
      <rPr>
        <vertAlign val="subscript"/>
        <sz val="14"/>
        <rFont val="微軟正黑體"/>
        <family val="2"/>
        <charset val="136"/>
      </rPr>
      <t>1</t>
    </r>
    <r>
      <rPr>
        <vertAlign val="superscript"/>
        <sz val="14"/>
        <rFont val="微軟正黑體"/>
        <family val="2"/>
        <charset val="136"/>
      </rPr>
      <t>D</t>
    </r>
    <r>
      <rPr>
        <sz val="14"/>
        <rFont val="微軟正黑體"/>
        <family val="2"/>
        <charset val="136"/>
      </rPr>
      <t>*N</t>
    </r>
    <r>
      <rPr>
        <vertAlign val="subscript"/>
        <sz val="14"/>
        <rFont val="微軟正黑體"/>
        <family val="2"/>
        <charset val="136"/>
      </rPr>
      <t>V</t>
    </r>
    <r>
      <rPr>
        <vertAlign val="superscript"/>
        <sz val="14"/>
        <rFont val="微軟正黑體"/>
        <family val="2"/>
        <charset val="136"/>
      </rPr>
      <t>D</t>
    </r>
    <phoneticPr fontId="7" type="noConversion"/>
  </si>
  <si>
    <r>
      <t>S</t>
    </r>
    <r>
      <rPr>
        <vertAlign val="subscript"/>
        <sz val="14"/>
        <rFont val="微軟正黑體"/>
        <family val="2"/>
        <charset val="136"/>
      </rPr>
      <t>S</t>
    </r>
    <r>
      <rPr>
        <vertAlign val="superscript"/>
        <sz val="14"/>
        <rFont val="微軟正黑體"/>
        <family val="2"/>
        <charset val="136"/>
      </rPr>
      <t>M</t>
    </r>
    <r>
      <rPr>
        <sz val="14"/>
        <rFont val="微軟正黑體"/>
        <family val="2"/>
        <charset val="136"/>
      </rPr>
      <t>*N</t>
    </r>
    <r>
      <rPr>
        <vertAlign val="subscript"/>
        <sz val="14"/>
        <rFont val="微軟正黑體"/>
        <family val="2"/>
        <charset val="136"/>
      </rPr>
      <t>A</t>
    </r>
    <r>
      <rPr>
        <vertAlign val="superscript"/>
        <sz val="14"/>
        <rFont val="微軟正黑體"/>
        <family val="2"/>
        <charset val="136"/>
      </rPr>
      <t>M</t>
    </r>
    <phoneticPr fontId="7" type="noConversion"/>
  </si>
  <si>
    <r>
      <t>S</t>
    </r>
    <r>
      <rPr>
        <vertAlign val="subscript"/>
        <sz val="14"/>
        <rFont val="微軟正黑體"/>
        <family val="2"/>
        <charset val="136"/>
      </rPr>
      <t>1</t>
    </r>
    <r>
      <rPr>
        <vertAlign val="superscript"/>
        <sz val="14"/>
        <rFont val="微軟正黑體"/>
        <family val="2"/>
        <charset val="136"/>
      </rPr>
      <t>M</t>
    </r>
    <r>
      <rPr>
        <sz val="14"/>
        <rFont val="微軟正黑體"/>
        <family val="2"/>
        <charset val="136"/>
      </rPr>
      <t>*N</t>
    </r>
    <r>
      <rPr>
        <vertAlign val="subscript"/>
        <sz val="14"/>
        <rFont val="微軟正黑體"/>
        <family val="2"/>
        <charset val="136"/>
      </rPr>
      <t>V</t>
    </r>
    <r>
      <rPr>
        <vertAlign val="superscript"/>
        <sz val="14"/>
        <rFont val="微軟正黑體"/>
        <family val="2"/>
        <charset val="136"/>
      </rPr>
      <t>M</t>
    </r>
    <phoneticPr fontId="7" type="noConversion"/>
  </si>
  <si>
    <r>
      <t>F</t>
    </r>
    <r>
      <rPr>
        <vertAlign val="subscript"/>
        <sz val="14"/>
        <rFont val="微軟正黑體"/>
        <family val="2"/>
        <charset val="136"/>
      </rPr>
      <t>a</t>
    </r>
    <r>
      <rPr>
        <vertAlign val="superscript"/>
        <sz val="14"/>
        <rFont val="微軟正黑體"/>
        <family val="2"/>
        <charset val="136"/>
      </rPr>
      <t>D</t>
    </r>
    <r>
      <rPr>
        <sz val="14"/>
        <rFont val="微軟正黑體"/>
        <family val="2"/>
        <charset val="136"/>
      </rPr>
      <t>*</t>
    </r>
    <phoneticPr fontId="7" type="noConversion"/>
  </si>
  <si>
    <r>
      <t>F</t>
    </r>
    <r>
      <rPr>
        <vertAlign val="subscript"/>
        <sz val="14"/>
        <rFont val="微軟正黑體"/>
        <family val="2"/>
        <charset val="136"/>
      </rPr>
      <t>v</t>
    </r>
    <r>
      <rPr>
        <vertAlign val="superscript"/>
        <sz val="14"/>
        <rFont val="微軟正黑體"/>
        <family val="2"/>
        <charset val="136"/>
      </rPr>
      <t>D</t>
    </r>
    <r>
      <rPr>
        <sz val="14"/>
        <rFont val="微軟正黑體"/>
        <family val="2"/>
        <charset val="136"/>
      </rPr>
      <t>*</t>
    </r>
    <phoneticPr fontId="7" type="noConversion"/>
  </si>
  <si>
    <r>
      <t>F</t>
    </r>
    <r>
      <rPr>
        <vertAlign val="subscript"/>
        <sz val="14"/>
        <rFont val="微軟正黑體"/>
        <family val="2"/>
        <charset val="136"/>
      </rPr>
      <t>a</t>
    </r>
    <r>
      <rPr>
        <vertAlign val="superscript"/>
        <sz val="14"/>
        <rFont val="微軟正黑體"/>
        <family val="2"/>
        <charset val="136"/>
      </rPr>
      <t>M</t>
    </r>
    <r>
      <rPr>
        <sz val="14"/>
        <rFont val="微軟正黑體"/>
        <family val="2"/>
        <charset val="136"/>
      </rPr>
      <t>*</t>
    </r>
    <phoneticPr fontId="7" type="noConversion"/>
  </si>
  <si>
    <r>
      <t>F</t>
    </r>
    <r>
      <rPr>
        <vertAlign val="subscript"/>
        <sz val="14"/>
        <rFont val="微軟正黑體"/>
        <family val="2"/>
        <charset val="136"/>
      </rPr>
      <t>v</t>
    </r>
    <r>
      <rPr>
        <vertAlign val="superscript"/>
        <sz val="14"/>
        <rFont val="微軟正黑體"/>
        <family val="2"/>
        <charset val="136"/>
      </rPr>
      <t>M</t>
    </r>
    <r>
      <rPr>
        <sz val="14"/>
        <rFont val="微軟正黑體"/>
        <family val="2"/>
        <charset val="136"/>
      </rPr>
      <t>*</t>
    </r>
    <phoneticPr fontId="7" type="noConversion"/>
  </si>
  <si>
    <t>大尖山與觸口斷層</t>
    <phoneticPr fontId="7" type="noConversion"/>
  </si>
  <si>
    <r>
      <t>T</t>
    </r>
    <r>
      <rPr>
        <vertAlign val="subscript"/>
        <sz val="12"/>
        <color theme="1"/>
        <rFont val="微軟正黑體"/>
        <family val="2"/>
        <charset val="136"/>
      </rPr>
      <t>dyn</t>
    </r>
    <r>
      <rPr>
        <sz val="12"/>
        <color theme="1"/>
        <rFont val="微軟正黑體"/>
        <family val="2"/>
        <charset val="136"/>
      </rPr>
      <t>(sec)</t>
    </r>
    <phoneticPr fontId="7" type="noConversion"/>
  </si>
  <si>
    <r>
      <t>T</t>
    </r>
    <r>
      <rPr>
        <vertAlign val="subscript"/>
        <sz val="12"/>
        <color rgb="FF000000"/>
        <rFont val="微軟正黑體"/>
        <family val="2"/>
        <charset val="136"/>
      </rPr>
      <t>code</t>
    </r>
    <phoneticPr fontId="7" type="noConversion"/>
  </si>
  <si>
    <r>
      <t>T</t>
    </r>
    <r>
      <rPr>
        <vertAlign val="subscript"/>
        <sz val="12"/>
        <color rgb="FF000000"/>
        <rFont val="微軟正黑體"/>
        <family val="2"/>
        <charset val="136"/>
      </rPr>
      <t>code</t>
    </r>
    <r>
      <rPr>
        <sz val="12"/>
        <color indexed="8"/>
        <rFont val="微軟正黑體"/>
        <family val="2"/>
        <charset val="136"/>
      </rPr>
      <t>(sec)</t>
    </r>
    <phoneticPr fontId="7" type="noConversion"/>
  </si>
  <si>
    <r>
      <t>1.4T</t>
    </r>
    <r>
      <rPr>
        <vertAlign val="subscript"/>
        <sz val="12"/>
        <color rgb="FF000000"/>
        <rFont val="微軟正黑體"/>
        <family val="2"/>
        <charset val="136"/>
      </rPr>
      <t>code</t>
    </r>
    <phoneticPr fontId="7" type="noConversion"/>
  </si>
  <si>
    <r>
      <t>T</t>
    </r>
    <r>
      <rPr>
        <vertAlign val="subscript"/>
        <sz val="12"/>
        <color rgb="FF000000"/>
        <rFont val="微軟正黑體"/>
        <family val="2"/>
        <charset val="136"/>
      </rPr>
      <t>dyn</t>
    </r>
    <phoneticPr fontId="7" type="noConversion"/>
  </si>
  <si>
    <t xml:space="preserve"> T (sec)</t>
    <phoneticPr fontId="7" type="noConversion"/>
  </si>
  <si>
    <t>√(2R-1)</t>
    <phoneticPr fontId="7" type="noConversion"/>
  </si>
  <si>
    <r>
      <t>√(2R</t>
    </r>
    <r>
      <rPr>
        <vertAlign val="subscript"/>
        <sz val="14"/>
        <rFont val="微軟正黑體"/>
        <family val="2"/>
        <charset val="136"/>
      </rPr>
      <t>a</t>
    </r>
    <r>
      <rPr>
        <sz val="14"/>
        <rFont val="微軟正黑體"/>
        <family val="2"/>
        <charset val="136"/>
      </rPr>
      <t>-1)</t>
    </r>
    <phoneticPr fontId="7" type="noConversion"/>
  </si>
  <si>
    <t>工址放大係數</t>
    <phoneticPr fontId="7" type="noConversion"/>
  </si>
  <si>
    <t>111年10月1日設計地震力係數 v20220910 版權所有：施忠賢結構技師事務所，使用者應註明來源並自行驗算正確性。</t>
    <phoneticPr fontId="10" type="noConversion"/>
  </si>
  <si>
    <t>100年7月1日設計地震力係數 v20220910 版權所有：施忠賢結構技師事務所，使用者應註明來源並自行驗算正確性。</t>
    <phoneticPr fontId="10" type="noConversion"/>
  </si>
  <si>
    <r>
      <t>S</t>
    </r>
    <r>
      <rPr>
        <vertAlign val="subscript"/>
        <sz val="12"/>
        <rFont val="微軟正黑體"/>
        <family val="2"/>
        <charset val="136"/>
      </rPr>
      <t>aD,v</t>
    </r>
    <phoneticPr fontId="7" type="noConversion"/>
  </si>
  <si>
    <r>
      <t>(S</t>
    </r>
    <r>
      <rPr>
        <vertAlign val="subscript"/>
        <sz val="12"/>
        <color indexed="8"/>
        <rFont val="微軟正黑體"/>
        <family val="2"/>
        <charset val="136"/>
      </rPr>
      <t>aD,v</t>
    </r>
    <r>
      <rPr>
        <sz val="12"/>
        <color indexed="8"/>
        <rFont val="微軟正黑體"/>
        <family val="2"/>
        <charset val="136"/>
      </rPr>
      <t>/F</t>
    </r>
    <r>
      <rPr>
        <vertAlign val="subscript"/>
        <sz val="12"/>
        <color indexed="8"/>
        <rFont val="微軟正黑體"/>
        <family val="2"/>
        <charset val="136"/>
      </rPr>
      <t>u</t>
    </r>
    <r>
      <rPr>
        <sz val="12"/>
        <color indexed="8"/>
        <rFont val="微軟正黑體"/>
        <family val="2"/>
        <charset val="136"/>
      </rPr>
      <t>)</t>
    </r>
    <r>
      <rPr>
        <vertAlign val="subscript"/>
        <sz val="12"/>
        <color indexed="8"/>
        <rFont val="微軟正黑體"/>
        <family val="2"/>
        <charset val="136"/>
      </rPr>
      <t>m</t>
    </r>
    <phoneticPr fontId="7" type="noConversion"/>
  </si>
  <si>
    <t>Kz=</t>
    <phoneticPr fontId="13" type="noConversion"/>
  </si>
  <si>
    <r>
      <t>S</t>
    </r>
    <r>
      <rPr>
        <vertAlign val="subscript"/>
        <sz val="12"/>
        <color indexed="8"/>
        <rFont val="微軟正黑體"/>
        <family val="2"/>
        <charset val="136"/>
      </rPr>
      <t>aD,v</t>
    </r>
    <r>
      <rPr>
        <sz val="12"/>
        <color indexed="8"/>
        <rFont val="微軟正黑體"/>
        <family val="2"/>
        <charset val="136"/>
      </rPr>
      <t>/F</t>
    </r>
    <r>
      <rPr>
        <vertAlign val="subscript"/>
        <sz val="12"/>
        <color indexed="8"/>
        <rFont val="微軟正黑體"/>
        <family val="2"/>
        <charset val="136"/>
      </rPr>
      <t>u</t>
    </r>
    <r>
      <rPr>
        <vertAlign val="subscript"/>
        <sz val="12"/>
        <rFont val="微軟正黑體"/>
        <family val="2"/>
        <charset val="136"/>
      </rPr>
      <t>v</t>
    </r>
    <phoneticPr fontId="7" type="noConversion"/>
  </si>
  <si>
    <t xml:space="preserve"> Tz (sec)</t>
    <phoneticPr fontId="7" type="noConversion"/>
  </si>
  <si>
    <r>
      <t xml:space="preserve"> T</t>
    </r>
    <r>
      <rPr>
        <vertAlign val="subscript"/>
        <sz val="12"/>
        <color rgb="FF000000"/>
        <rFont val="微軟正黑體"/>
        <family val="2"/>
        <charset val="136"/>
      </rPr>
      <t>z</t>
    </r>
    <r>
      <rPr>
        <sz val="12"/>
        <color indexed="8"/>
        <rFont val="微軟正黑體"/>
        <family val="2"/>
        <charset val="136"/>
      </rPr>
      <t xml:space="preserve"> (sec)</t>
    </r>
    <phoneticPr fontId="7" type="noConversion"/>
  </si>
  <si>
    <t>垂直向</t>
    <phoneticPr fontId="7" type="noConversion"/>
  </si>
  <si>
    <t>Rz</t>
    <phoneticPr fontId="7" type="noConversion"/>
  </si>
  <si>
    <r>
      <t>S</t>
    </r>
    <r>
      <rPr>
        <vertAlign val="subscript"/>
        <sz val="12"/>
        <color indexed="8"/>
        <rFont val="微軟正黑體"/>
        <family val="2"/>
        <charset val="136"/>
      </rPr>
      <t>aD</t>
    </r>
    <r>
      <rPr>
        <vertAlign val="subscript"/>
        <sz val="14"/>
        <rFont val="微軟正黑體"/>
        <family val="2"/>
        <charset val="136"/>
      </rPr>
      <t>,z</t>
    </r>
    <phoneticPr fontId="7" type="noConversion"/>
  </si>
  <si>
    <r>
      <t>Rz</t>
    </r>
    <r>
      <rPr>
        <vertAlign val="subscript"/>
        <sz val="14"/>
        <rFont val="微軟正黑體"/>
        <family val="2"/>
        <charset val="136"/>
      </rPr>
      <t>a</t>
    </r>
    <phoneticPr fontId="7" type="noConversion"/>
  </si>
  <si>
    <r>
      <t>√(2Rz</t>
    </r>
    <r>
      <rPr>
        <vertAlign val="subscript"/>
        <sz val="14"/>
        <rFont val="微軟正黑體"/>
        <family val="2"/>
        <charset val="136"/>
      </rPr>
      <t>a</t>
    </r>
    <r>
      <rPr>
        <sz val="14"/>
        <rFont val="微軟正黑體"/>
        <family val="2"/>
        <charset val="136"/>
      </rPr>
      <t>-1)</t>
    </r>
    <phoneticPr fontId="7" type="noConversion"/>
  </si>
  <si>
    <r>
      <t>F</t>
    </r>
    <r>
      <rPr>
        <vertAlign val="subscript"/>
        <sz val="12"/>
        <color indexed="8"/>
        <rFont val="微軟正黑體"/>
        <family val="2"/>
        <charset val="136"/>
      </rPr>
      <t>u</t>
    </r>
    <r>
      <rPr>
        <vertAlign val="subscript"/>
        <sz val="14"/>
        <rFont val="微軟正黑體"/>
        <family val="2"/>
        <charset val="136"/>
      </rPr>
      <t>v</t>
    </r>
    <phoneticPr fontId="7" type="noConversion"/>
  </si>
  <si>
    <t>W</t>
    <phoneticPr fontId="13" type="noConversion"/>
  </si>
  <si>
    <r>
      <rPr>
        <sz val="12"/>
        <color indexed="8"/>
        <rFont val="微軟正黑體"/>
        <family val="2"/>
        <charset val="136"/>
      </rPr>
      <t>基地位置</t>
    </r>
    <phoneticPr fontId="7" type="noConversion"/>
  </si>
  <si>
    <r>
      <t>S</t>
    </r>
    <r>
      <rPr>
        <vertAlign val="subscript"/>
        <sz val="12"/>
        <color indexed="8"/>
        <rFont val="微軟正黑體"/>
        <family val="2"/>
        <charset val="136"/>
      </rPr>
      <t>DS</t>
    </r>
    <phoneticPr fontId="7" type="noConversion"/>
  </si>
  <si>
    <r>
      <rPr>
        <sz val="12"/>
        <color indexed="8"/>
        <rFont val="微軟正黑體"/>
        <family val="2"/>
        <charset val="136"/>
      </rPr>
      <t>基本振動週期T</t>
    </r>
    <phoneticPr fontId="7" type="noConversion"/>
  </si>
  <si>
    <r>
      <rPr>
        <sz val="12"/>
        <color indexed="8"/>
        <rFont val="微軟正黑體"/>
        <family val="2"/>
        <charset val="136"/>
      </rPr>
      <t>容許韌性容量R</t>
    </r>
    <r>
      <rPr>
        <vertAlign val="subscript"/>
        <sz val="12"/>
        <color indexed="8"/>
        <rFont val="微軟正黑體"/>
        <family val="2"/>
        <charset val="136"/>
      </rPr>
      <t>a</t>
    </r>
    <phoneticPr fontId="7" type="noConversion"/>
  </si>
  <si>
    <r>
      <t>起始降伏地震力放大倍數α</t>
    </r>
    <r>
      <rPr>
        <vertAlign val="subscript"/>
        <sz val="12"/>
        <color indexed="8"/>
        <rFont val="微軟正黑體"/>
        <family val="2"/>
        <charset val="136"/>
      </rPr>
      <t>y</t>
    </r>
    <phoneticPr fontId="7" type="noConversion"/>
  </si>
  <si>
    <r>
      <t>避免最大考量地震下崩塌之設計地震力 V</t>
    </r>
    <r>
      <rPr>
        <vertAlign val="subscript"/>
        <sz val="12"/>
        <color indexed="8"/>
        <rFont val="微軟正黑體"/>
        <family val="2"/>
        <charset val="136"/>
      </rPr>
      <t>M</t>
    </r>
    <phoneticPr fontId="7" type="noConversion"/>
  </si>
  <si>
    <r>
      <rPr>
        <sz val="12"/>
        <color indexed="8"/>
        <rFont val="微軟正黑體"/>
        <family val="2"/>
        <charset val="136"/>
      </rPr>
      <t>組構係數K</t>
    </r>
    <phoneticPr fontId="7" type="noConversion"/>
  </si>
  <si>
    <r>
      <rPr>
        <sz val="12"/>
        <color indexed="8"/>
        <rFont val="微軟正黑體"/>
        <family val="2"/>
        <charset val="136"/>
      </rPr>
      <t>地震分區</t>
    </r>
    <phoneticPr fontId="7" type="noConversion"/>
  </si>
  <si>
    <r>
      <t>地震力係數 C</t>
    </r>
    <r>
      <rPr>
        <vertAlign val="subscript"/>
        <sz val="12"/>
        <color theme="1"/>
        <rFont val="微軟正黑體"/>
        <family val="2"/>
        <charset val="136"/>
      </rPr>
      <t>S</t>
    </r>
    <r>
      <rPr>
        <sz val="12"/>
        <color theme="1"/>
        <rFont val="微軟正黑體"/>
        <family val="2"/>
        <charset val="136"/>
      </rPr>
      <t xml:space="preserve"> =</t>
    </r>
    <phoneticPr fontId="7" type="noConversion"/>
  </si>
  <si>
    <t>新北市微分區　</t>
    <phoneticPr fontId="7" type="noConversion"/>
  </si>
  <si>
    <r>
      <rPr>
        <sz val="12"/>
        <color indexed="8"/>
        <rFont val="微軟正黑體"/>
        <family val="2"/>
        <charset val="136"/>
      </rPr>
      <t>基本振動週期T</t>
    </r>
    <r>
      <rPr>
        <sz val="12"/>
        <color theme="1"/>
        <rFont val="微軟正黑體"/>
        <family val="2"/>
        <charset val="136"/>
      </rPr>
      <t>(sec)</t>
    </r>
    <phoneticPr fontId="7" type="noConversion"/>
  </si>
  <si>
    <r>
      <t>T</t>
    </r>
    <r>
      <rPr>
        <vertAlign val="subscript"/>
        <sz val="12"/>
        <color theme="1"/>
        <rFont val="微軟正黑體"/>
        <family val="2"/>
        <charset val="136"/>
      </rPr>
      <t>dyn</t>
    </r>
    <phoneticPr fontId="7" type="noConversion"/>
  </si>
  <si>
    <r>
      <t>最小設計水平總橫力 V</t>
    </r>
    <r>
      <rPr>
        <vertAlign val="subscript"/>
        <sz val="12"/>
        <color theme="1"/>
        <rFont val="微軟正黑體"/>
        <family val="2"/>
        <charset val="136"/>
      </rPr>
      <t>D</t>
    </r>
    <phoneticPr fontId="7" type="noConversion"/>
  </si>
  <si>
    <t>平行橫力方向造物之尺度</t>
    <phoneticPr fontId="7" type="noConversion"/>
  </si>
  <si>
    <r>
      <t>F</t>
    </r>
    <r>
      <rPr>
        <vertAlign val="subscript"/>
        <sz val="12"/>
        <rFont val="微軟正黑體"/>
        <family val="2"/>
        <charset val="136"/>
      </rPr>
      <t>u</t>
    </r>
    <r>
      <rPr>
        <sz val="12"/>
        <rFont val="微軟正黑體"/>
        <family val="2"/>
        <charset val="136"/>
      </rPr>
      <t>*</t>
    </r>
    <phoneticPr fontId="7" type="noConversion"/>
  </si>
  <si>
    <r>
      <t>(S</t>
    </r>
    <r>
      <rPr>
        <vertAlign val="subscript"/>
        <sz val="12"/>
        <rFont val="微軟正黑體"/>
        <family val="2"/>
        <charset val="136"/>
      </rPr>
      <t>aD</t>
    </r>
    <r>
      <rPr>
        <sz val="12"/>
        <rFont val="微軟正黑體"/>
        <family val="2"/>
        <charset val="136"/>
      </rPr>
      <t>*/F</t>
    </r>
    <r>
      <rPr>
        <vertAlign val="subscript"/>
        <sz val="12"/>
        <rFont val="微軟正黑體"/>
        <family val="2"/>
        <charset val="136"/>
      </rPr>
      <t>u</t>
    </r>
    <r>
      <rPr>
        <sz val="12"/>
        <rFont val="微軟正黑體"/>
        <family val="2"/>
        <charset val="136"/>
      </rPr>
      <t>*)</t>
    </r>
    <r>
      <rPr>
        <vertAlign val="subscript"/>
        <sz val="12"/>
        <rFont val="微軟正黑體"/>
        <family val="2"/>
        <charset val="136"/>
      </rPr>
      <t>m</t>
    </r>
    <phoneticPr fontId="7" type="noConversion"/>
  </si>
  <si>
    <r>
      <t>IFu*(S</t>
    </r>
    <r>
      <rPr>
        <vertAlign val="subscript"/>
        <sz val="12"/>
        <rFont val="微軟正黑體"/>
        <family val="2"/>
        <charset val="136"/>
      </rPr>
      <t>aD</t>
    </r>
    <r>
      <rPr>
        <vertAlign val="superscript"/>
        <sz val="12"/>
        <rFont val="微軟正黑體"/>
        <family val="2"/>
        <charset val="136"/>
      </rPr>
      <t>*</t>
    </r>
    <r>
      <rPr>
        <sz val="12"/>
        <rFont val="微軟正黑體"/>
        <family val="2"/>
        <charset val="136"/>
      </rPr>
      <t>/F</t>
    </r>
    <r>
      <rPr>
        <vertAlign val="subscript"/>
        <sz val="12"/>
        <rFont val="微軟正黑體"/>
        <family val="2"/>
        <charset val="136"/>
      </rPr>
      <t>uD</t>
    </r>
    <r>
      <rPr>
        <sz val="12"/>
        <rFont val="微軟正黑體"/>
        <family val="2"/>
        <charset val="136"/>
      </rPr>
      <t>*)</t>
    </r>
    <r>
      <rPr>
        <vertAlign val="subscript"/>
        <sz val="12"/>
        <rFont val="微軟正黑體"/>
        <family val="2"/>
        <charset val="136"/>
      </rPr>
      <t>m</t>
    </r>
    <r>
      <rPr>
        <sz val="12"/>
        <rFont val="微軟正黑體"/>
        <family val="2"/>
        <charset val="136"/>
      </rPr>
      <t>/4.2α</t>
    </r>
    <r>
      <rPr>
        <vertAlign val="subscript"/>
        <sz val="12"/>
        <rFont val="微軟正黑體"/>
        <family val="2"/>
        <charset val="136"/>
      </rPr>
      <t>y</t>
    </r>
    <phoneticPr fontId="7" type="noConversion"/>
  </si>
  <si>
    <r>
      <t>C</t>
    </r>
    <r>
      <rPr>
        <vertAlign val="subscript"/>
        <sz val="12"/>
        <rFont val="微軟正黑體"/>
        <family val="2"/>
        <charset val="136"/>
      </rPr>
      <t>sM</t>
    </r>
    <phoneticPr fontId="7" type="noConversion"/>
  </si>
  <si>
    <t>員林市</t>
    <phoneticPr fontId="7" type="noConversion"/>
  </si>
  <si>
    <r>
      <rPr>
        <b/>
        <sz val="12"/>
        <color theme="1"/>
        <rFont val="微軟正黑體"/>
        <family val="2"/>
        <charset val="136"/>
      </rPr>
      <t>S</t>
    </r>
    <r>
      <rPr>
        <b/>
        <vertAlign val="superscript"/>
        <sz val="12"/>
        <color theme="1"/>
        <rFont val="微軟正黑體"/>
        <family val="2"/>
        <charset val="136"/>
      </rPr>
      <t>M</t>
    </r>
    <r>
      <rPr>
        <b/>
        <vertAlign val="subscript"/>
        <sz val="12"/>
        <color theme="1"/>
        <rFont val="微軟正黑體"/>
        <family val="2"/>
        <charset val="136"/>
      </rPr>
      <t>S</t>
    </r>
    <r>
      <rPr>
        <sz val="12"/>
        <color theme="1"/>
        <rFont val="微軟正黑體"/>
        <family val="2"/>
        <charset val="136"/>
      </rPr>
      <t>工址與斷層距離r (表2-3-3)</t>
    </r>
    <phoneticPr fontId="13" type="noConversion"/>
  </si>
  <si>
    <r>
      <rPr>
        <b/>
        <sz val="12"/>
        <color theme="1"/>
        <rFont val="微軟正黑體"/>
        <family val="2"/>
        <charset val="136"/>
      </rPr>
      <t>S</t>
    </r>
    <r>
      <rPr>
        <b/>
        <vertAlign val="superscript"/>
        <sz val="12"/>
        <color theme="1"/>
        <rFont val="微軟正黑體"/>
        <family val="2"/>
        <charset val="136"/>
      </rPr>
      <t>D</t>
    </r>
    <r>
      <rPr>
        <b/>
        <vertAlign val="subscript"/>
        <sz val="12"/>
        <color theme="1"/>
        <rFont val="微軟正黑體"/>
        <family val="2"/>
        <charset val="136"/>
      </rPr>
      <t>1</t>
    </r>
    <r>
      <rPr>
        <sz val="12"/>
        <color theme="1"/>
        <rFont val="微軟正黑體"/>
        <family val="2"/>
        <charset val="136"/>
      </rPr>
      <t>工址與斷層距離r (表2-3-2)</t>
    </r>
    <phoneticPr fontId="13" type="noConversion"/>
  </si>
  <si>
    <r>
      <rPr>
        <b/>
        <sz val="12"/>
        <color theme="1"/>
        <rFont val="微軟正黑體"/>
        <family val="2"/>
        <charset val="136"/>
      </rPr>
      <t>S</t>
    </r>
    <r>
      <rPr>
        <b/>
        <vertAlign val="superscript"/>
        <sz val="12"/>
        <color theme="1"/>
        <rFont val="微軟正黑體"/>
        <family val="2"/>
        <charset val="136"/>
      </rPr>
      <t>D</t>
    </r>
    <r>
      <rPr>
        <b/>
        <vertAlign val="subscript"/>
        <sz val="12"/>
        <color theme="1"/>
        <rFont val="微軟正黑體"/>
        <family val="2"/>
        <charset val="136"/>
      </rPr>
      <t>S</t>
    </r>
    <r>
      <rPr>
        <sz val="12"/>
        <color theme="1"/>
        <rFont val="微軟正黑體"/>
        <family val="2"/>
        <charset val="136"/>
      </rPr>
      <t>工址與斷層距離r (表2-3-1)</t>
    </r>
    <phoneticPr fontId="13" type="noConversion"/>
  </si>
  <si>
    <r>
      <rPr>
        <b/>
        <sz val="12"/>
        <color theme="1"/>
        <rFont val="微軟正黑體"/>
        <family val="2"/>
        <charset val="136"/>
      </rPr>
      <t>S</t>
    </r>
    <r>
      <rPr>
        <b/>
        <vertAlign val="superscript"/>
        <sz val="12"/>
        <color theme="1"/>
        <rFont val="微軟正黑體"/>
        <family val="2"/>
        <charset val="136"/>
      </rPr>
      <t>M</t>
    </r>
    <r>
      <rPr>
        <b/>
        <vertAlign val="subscript"/>
        <sz val="12"/>
        <color theme="1"/>
        <rFont val="微軟正黑體"/>
        <family val="2"/>
        <charset val="136"/>
      </rPr>
      <t>1</t>
    </r>
    <r>
      <rPr>
        <sz val="12"/>
        <color theme="1"/>
        <rFont val="微軟正黑體"/>
        <family val="2"/>
        <charset val="136"/>
      </rPr>
      <t>工址與斷層距離r (表2-3-4)</t>
    </r>
    <phoneticPr fontId="13" type="noConversion"/>
  </si>
  <si>
    <r>
      <t>F*</t>
    </r>
    <r>
      <rPr>
        <vertAlign val="subscript"/>
        <sz val="14"/>
        <rFont val="微軟正黑體"/>
        <family val="2"/>
        <charset val="136"/>
      </rPr>
      <t>a</t>
    </r>
    <r>
      <rPr>
        <vertAlign val="superscript"/>
        <sz val="14"/>
        <rFont val="微軟正黑體"/>
        <family val="2"/>
        <charset val="136"/>
      </rPr>
      <t>D</t>
    </r>
    <phoneticPr fontId="7" type="noConversion"/>
  </si>
  <si>
    <t>經驗公式構造分類</t>
    <phoneticPr fontId="7" type="noConversion"/>
  </si>
  <si>
    <t>民111年後</t>
    <phoneticPr fontId="13" type="noConversion"/>
  </si>
  <si>
    <r>
      <t>0.6T</t>
    </r>
    <r>
      <rPr>
        <vertAlign val="subscript"/>
        <sz val="12"/>
        <rFont val="微軟正黑體"/>
        <family val="2"/>
        <charset val="136"/>
      </rPr>
      <t>0</t>
    </r>
    <r>
      <rPr>
        <vertAlign val="superscript"/>
        <sz val="12"/>
        <rFont val="微軟正黑體"/>
        <family val="2"/>
        <charset val="136"/>
      </rPr>
      <t>D</t>
    </r>
    <r>
      <rPr>
        <sz val="12"/>
        <rFont val="微軟正黑體"/>
        <family val="2"/>
        <charset val="136"/>
      </rPr>
      <t>,T</t>
    </r>
    <r>
      <rPr>
        <vertAlign val="subscript"/>
        <sz val="12"/>
        <rFont val="微軟正黑體"/>
        <family val="2"/>
        <charset val="136"/>
      </rPr>
      <t>0</t>
    </r>
    <r>
      <rPr>
        <vertAlign val="superscript"/>
        <sz val="12"/>
        <rFont val="微軟正黑體"/>
        <family val="2"/>
        <charset val="136"/>
      </rPr>
      <t>M</t>
    </r>
    <phoneticPr fontId="7" type="noConversion"/>
  </si>
  <si>
    <r>
      <t>T</t>
    </r>
    <r>
      <rPr>
        <vertAlign val="subscript"/>
        <sz val="12"/>
        <rFont val="微軟正黑體"/>
        <family val="2"/>
        <charset val="136"/>
      </rPr>
      <t>0</t>
    </r>
    <r>
      <rPr>
        <vertAlign val="superscript"/>
        <sz val="12"/>
        <rFont val="微軟正黑體"/>
        <family val="2"/>
        <charset val="136"/>
      </rPr>
      <t>D</t>
    </r>
    <r>
      <rPr>
        <sz val="12"/>
        <rFont val="微軟正黑體"/>
        <family val="2"/>
        <charset val="136"/>
      </rPr>
      <t>,T</t>
    </r>
    <r>
      <rPr>
        <vertAlign val="subscript"/>
        <sz val="12"/>
        <rFont val="微軟正黑體"/>
        <family val="2"/>
        <charset val="136"/>
      </rPr>
      <t>0</t>
    </r>
    <r>
      <rPr>
        <vertAlign val="superscript"/>
        <sz val="12"/>
        <rFont val="微軟正黑體"/>
        <family val="2"/>
        <charset val="136"/>
      </rPr>
      <t>M</t>
    </r>
    <phoneticPr fontId="7" type="noConversion"/>
  </si>
  <si>
    <r>
      <t>0.2T</t>
    </r>
    <r>
      <rPr>
        <vertAlign val="subscript"/>
        <sz val="12"/>
        <rFont val="微軟正黑體"/>
        <family val="2"/>
        <charset val="136"/>
      </rPr>
      <t>0</t>
    </r>
    <r>
      <rPr>
        <vertAlign val="superscript"/>
        <sz val="12"/>
        <rFont val="微軟正黑體"/>
        <family val="2"/>
        <charset val="136"/>
      </rPr>
      <t>D</t>
    </r>
    <r>
      <rPr>
        <sz val="12"/>
        <rFont val="微軟正黑體"/>
        <family val="2"/>
        <charset val="136"/>
      </rPr>
      <t>,T</t>
    </r>
    <r>
      <rPr>
        <vertAlign val="subscript"/>
        <sz val="12"/>
        <rFont val="微軟正黑體"/>
        <family val="2"/>
        <charset val="136"/>
      </rPr>
      <t>0</t>
    </r>
    <r>
      <rPr>
        <vertAlign val="superscript"/>
        <sz val="12"/>
        <rFont val="微軟正黑體"/>
        <family val="2"/>
        <charset val="136"/>
      </rPr>
      <t>M</t>
    </r>
    <phoneticPr fontId="7" type="noConversion"/>
  </si>
  <si>
    <t>100~110</t>
    <phoneticPr fontId="13" type="noConversion"/>
  </si>
  <si>
    <t>not forTaipei</t>
    <phoneticPr fontId="13" type="noConversion"/>
  </si>
  <si>
    <t>Loading Factor</t>
    <phoneticPr fontId="13" type="noConversion"/>
  </si>
  <si>
    <r>
      <t>T =0.06hn</t>
    </r>
    <r>
      <rPr>
        <vertAlign val="superscript"/>
        <sz val="12"/>
        <rFont val="微軟正黑體"/>
        <family val="2"/>
        <charset val="136"/>
      </rPr>
      <t>3/4</t>
    </r>
    <phoneticPr fontId="10" type="noConversion"/>
  </si>
  <si>
    <t>71/7/15~78/5/4</t>
    <phoneticPr fontId="13" type="noConversion"/>
  </si>
  <si>
    <t>78/5/5~86/6/5</t>
    <phoneticPr fontId="13" type="noConversion"/>
  </si>
  <si>
    <t>86/6/6~88/12/31</t>
    <phoneticPr fontId="13" type="noConversion"/>
  </si>
  <si>
    <t>89/1/1~94/12/31</t>
    <phoneticPr fontId="13" type="noConversion"/>
  </si>
  <si>
    <t>興建日期</t>
    <phoneticPr fontId="13" type="noConversion"/>
  </si>
  <si>
    <t>地盤種類</t>
    <phoneticPr fontId="13" type="noConversion"/>
  </si>
  <si>
    <t>載重因子</t>
    <phoneticPr fontId="13" type="noConversion"/>
  </si>
  <si>
    <t>γ=</t>
    <phoneticPr fontId="13" type="noConversion"/>
  </si>
  <si>
    <t>設計反應譜</t>
    <phoneticPr fontId="13" type="noConversion"/>
  </si>
  <si>
    <t>&lt;=</t>
    <phoneticPr fontId="13" type="noConversion"/>
  </si>
  <si>
    <t>1/8√T=</t>
    <phoneticPr fontId="10" type="noConversion"/>
  </si>
  <si>
    <t>γZKC=</t>
    <phoneticPr fontId="13" type="noConversion"/>
  </si>
  <si>
    <t>Sa=1.4γZKCFu=</t>
    <phoneticPr fontId="13" type="noConversion"/>
  </si>
  <si>
    <t>地震力係數</t>
    <phoneticPr fontId="13" type="noConversion"/>
  </si>
  <si>
    <t>γCs =</t>
    <phoneticPr fontId="13" type="noConversion"/>
  </si>
  <si>
    <t>71~85</t>
    <phoneticPr fontId="10" type="noConversion"/>
  </si>
  <si>
    <t>K= 1.33</t>
    <phoneticPr fontId="7" type="noConversion"/>
  </si>
  <si>
    <t>K= 1</t>
    <phoneticPr fontId="7" type="noConversion"/>
  </si>
  <si>
    <t>K= 0.8</t>
    <phoneticPr fontId="7" type="noConversion"/>
  </si>
  <si>
    <t>民100年</t>
    <phoneticPr fontId="13" type="noConversion"/>
  </si>
  <si>
    <t>民111年</t>
    <phoneticPr fontId="13" type="noConversion"/>
  </si>
  <si>
    <t>地震一甲區</t>
  </si>
  <si>
    <t>甲區</t>
  </si>
  <si>
    <t>ZC</t>
    <phoneticPr fontId="13" type="noConversion"/>
  </si>
  <si>
    <t>民95年</t>
    <phoneticPr fontId="13" type="noConversion"/>
  </si>
  <si>
    <t>臺北市　</t>
  </si>
  <si>
    <t>萬華區</t>
  </si>
  <si>
    <t>所有里</t>
  </si>
  <si>
    <t>Sa</t>
    <phoneticPr fontId="13" type="noConversion"/>
  </si>
  <si>
    <t>第二類</t>
  </si>
  <si>
    <r>
      <t>S</t>
    </r>
    <r>
      <rPr>
        <vertAlign val="subscript"/>
        <sz val="12"/>
        <rFont val="微軟正黑體"/>
        <family val="2"/>
        <charset val="136"/>
      </rPr>
      <t>aD</t>
    </r>
    <r>
      <rPr>
        <sz val="12"/>
        <rFont val="微軟正黑體"/>
        <family val="2"/>
        <charset val="136"/>
      </rPr>
      <t>(民95年之後)</t>
    </r>
    <phoneticPr fontId="7" type="noConversion"/>
  </si>
  <si>
    <r>
      <t>S</t>
    </r>
    <r>
      <rPr>
        <vertAlign val="subscript"/>
        <sz val="12"/>
        <rFont val="微軟正黑體"/>
        <family val="2"/>
        <charset val="136"/>
      </rPr>
      <t>aM</t>
    </r>
    <r>
      <rPr>
        <sz val="12"/>
        <rFont val="微軟正黑體"/>
        <family val="2"/>
        <charset val="136"/>
      </rPr>
      <t>(民95年之後)</t>
    </r>
    <phoneticPr fontId="7" type="noConversion"/>
  </si>
  <si>
    <t>中震</t>
    <phoneticPr fontId="13" type="noConversion"/>
  </si>
  <si>
    <t>1989~1996建築技術規則(民78~85)</t>
    <phoneticPr fontId="7" type="noConversion"/>
  </si>
  <si>
    <t>1982~1989建築技術規則(民71~78)</t>
    <phoneticPr fontId="7" type="noConversion"/>
  </si>
  <si>
    <t>臺北盆地</t>
    <phoneticPr fontId="13" type="noConversion"/>
  </si>
  <si>
    <t>*橫力係數C不分區</t>
    <phoneticPr fontId="13" type="noConversion"/>
  </si>
  <si>
    <t>*橫力係數C分台北盆地及台北盆地以外地區</t>
    <phoneticPr fontId="13" type="noConversion"/>
  </si>
  <si>
    <t>C=0.248/T</t>
    <phoneticPr fontId="13" type="noConversion"/>
  </si>
  <si>
    <t>1982~1989建技</t>
    <phoneticPr fontId="7" type="noConversion"/>
  </si>
  <si>
    <t>DBE,100年以後</t>
    <phoneticPr fontId="7" type="noConversion"/>
  </si>
  <si>
    <t>MCE,100年以後</t>
    <phoneticPr fontId="7" type="noConversion"/>
  </si>
  <si>
    <t>1997耐震規範</t>
    <phoneticPr fontId="7" type="noConversion"/>
  </si>
  <si>
    <t>地震二區</t>
    <phoneticPr fontId="13" type="noConversion"/>
  </si>
  <si>
    <t>地震二區Z=</t>
    <phoneticPr fontId="13" type="noConversion"/>
  </si>
  <si>
    <t>Z*C</t>
    <phoneticPr fontId="13" type="noConversion"/>
  </si>
  <si>
    <t>1997耐震規範(民86)</t>
    <phoneticPr fontId="7" type="noConversion"/>
  </si>
  <si>
    <t>水平加速度系數Z</t>
    <phoneticPr fontId="13" type="noConversion"/>
  </si>
  <si>
    <t>ZC(民86~94年)</t>
    <phoneticPr fontId="13" type="noConversion"/>
  </si>
  <si>
    <t>中震區</t>
    <phoneticPr fontId="24" type="noConversion"/>
  </si>
  <si>
    <t>弱震區</t>
    <phoneticPr fontId="24" type="noConversion"/>
  </si>
  <si>
    <t>強震區</t>
  </si>
  <si>
    <t>強震區</t>
    <phoneticPr fontId="24" type="noConversion"/>
  </si>
  <si>
    <t>斷層1</t>
    <phoneticPr fontId="7" type="noConversion"/>
  </si>
  <si>
    <t>斷層2</t>
  </si>
  <si>
    <t>斷層3</t>
  </si>
  <si>
    <t>斷層4</t>
  </si>
  <si>
    <t>斷層5</t>
  </si>
  <si>
    <t>縣市行政區</t>
    <phoneticPr fontId="13" type="noConversion"/>
  </si>
  <si>
    <t>北區</t>
  </si>
  <si>
    <t>苗栗縣</t>
    <phoneticPr fontId="13" type="noConversion"/>
  </si>
  <si>
    <t>苗栗市</t>
    <phoneticPr fontId="13" type="noConversion"/>
  </si>
  <si>
    <t>車籠埔斷層全段</t>
    <phoneticPr fontId="13" type="noConversion"/>
  </si>
  <si>
    <t>公館鄉</t>
    <phoneticPr fontId="13" type="noConversion"/>
  </si>
  <si>
    <t>三義斷層</t>
    <phoneticPr fontId="13" type="noConversion"/>
  </si>
  <si>
    <t>龍井區</t>
    <phoneticPr fontId="7" type="noConversion"/>
  </si>
  <si>
    <t>埔里鎮</t>
    <phoneticPr fontId="13" type="noConversion"/>
  </si>
  <si>
    <t>水里鄉</t>
    <phoneticPr fontId="13" type="noConversion"/>
  </si>
  <si>
    <t>斗六市</t>
    <phoneticPr fontId="13" type="noConversion"/>
  </si>
  <si>
    <t>林內鄉</t>
    <phoneticPr fontId="13" type="noConversion"/>
  </si>
  <si>
    <t>六甲區</t>
    <phoneticPr fontId="24" type="noConversion"/>
  </si>
  <si>
    <t>田寮區</t>
    <phoneticPr fontId="13" type="noConversion"/>
  </si>
  <si>
    <t>米崙斷層、嶺頂斷層、瑞穗斷層、玉里斷層、池上斷層、鹿野斷層、利吉斷層</t>
    <phoneticPr fontId="13" type="noConversion"/>
  </si>
  <si>
    <r>
      <rPr>
        <sz val="11"/>
        <rFont val="新細明體"/>
        <family val="1"/>
        <charset val="136"/>
      </rPr>
      <t>東區</t>
    </r>
    <phoneticPr fontId="13" type="noConversion"/>
  </si>
  <si>
    <r>
      <rPr>
        <sz val="11"/>
        <rFont val="新細明體"/>
        <family val="1"/>
        <charset val="136"/>
      </rPr>
      <t>香山區</t>
    </r>
    <phoneticPr fontId="13" type="noConversion"/>
  </si>
  <si>
    <t>苑裡鎮</t>
    <phoneticPr fontId="13" type="noConversion"/>
  </si>
  <si>
    <t>龍井區</t>
    <phoneticPr fontId="13" type="noConversion"/>
  </si>
  <si>
    <t>第三類</t>
  </si>
  <si>
    <t>大茅埔一雙冬斷層</t>
  </si>
  <si>
    <t>大茅埔一雙冬斷層</t>
    <phoneticPr fontId="13" type="noConversion"/>
  </si>
  <si>
    <t>車籠埔斷層全段</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</si>
</sst>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176" formatCode="_(* #,##0.00_);_(* \(#,##0.00\);_(* &quot;-&quot;??_);_(@_)"/>
    <numFmt numFmtId="177" formatCode="0.0_ "/>
    <numFmt numFmtId="178" formatCode="0.00_ "/>
    <numFmt numFmtId="179" formatCode="0.000_ "/>
    <numFmt numFmtId="180" formatCode="0.0000_ "/>
    <numFmt numFmtId="181" formatCode="0.00_);[Red]\(0.00\)"/>
    <numFmt numFmtId="182" formatCode="0.0_);[Red]\(0.0\)"/>
    <numFmt numFmtId="183" formatCode="&quot;$&quot;#,##0\ ;\(&quot;$&quot;#,##0\)"/>
    <numFmt numFmtId="184" formatCode="0.0000"/>
    <numFmt numFmtId="185" formatCode="_-* #,##0_-;\-* #,##0_-;_-* &quot;-&quot;??_-;_-@_-"/>
    <numFmt numFmtId="186" formatCode="0.0000_);[Red]\(0.0000\)"/>
    <numFmt numFmtId="187" formatCode="0.0"/>
    <numFmt numFmtId="188" formatCode="[$-404]e/m/d;@"/>
    <numFmt numFmtId="189" formatCode="0.000"/>
  </numFmts>
  <fonts count="95">
    <font>
      <sz val="12"/>
      <color theme="1"/>
      <name val="新細明體"/>
      <family val="1"/>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9"/>
      <name val="新細明體"/>
      <family val="1"/>
      <charset val="136"/>
    </font>
    <font>
      <sz val="12"/>
      <name val="新細明體"/>
      <family val="1"/>
      <charset val="136"/>
    </font>
    <font>
      <b/>
      <sz val="12"/>
      <name val="新細明體"/>
      <family val="1"/>
      <charset val="136"/>
    </font>
    <font>
      <sz val="9"/>
      <name val="新細明體"/>
      <family val="1"/>
      <charset val="136"/>
    </font>
    <font>
      <sz val="12"/>
      <color theme="1"/>
      <name val="新細明體"/>
      <family val="1"/>
      <charset val="136"/>
      <scheme val="minor"/>
    </font>
    <font>
      <sz val="12"/>
      <name val="新細明體"/>
      <family val="1"/>
      <charset val="136"/>
      <scheme val="minor"/>
    </font>
    <font>
      <sz val="9"/>
      <name val="新細明體"/>
      <family val="1"/>
      <charset val="136"/>
      <scheme val="minor"/>
    </font>
    <font>
      <sz val="12"/>
      <name val="Times New Roman"/>
      <family val="1"/>
    </font>
    <font>
      <b/>
      <sz val="12"/>
      <name val="Times New Roman"/>
      <family val="1"/>
    </font>
    <font>
      <sz val="10"/>
      <name val="Arial"/>
      <family val="2"/>
    </font>
    <font>
      <sz val="12"/>
      <name val="Arial"/>
      <family val="2"/>
    </font>
    <font>
      <vertAlign val="subscript"/>
      <sz val="12"/>
      <name val="Times New Roman"/>
      <family val="1"/>
    </font>
    <font>
      <sz val="12"/>
      <color theme="1"/>
      <name val="Times New Roman"/>
      <family val="1"/>
    </font>
    <font>
      <sz val="10"/>
      <color indexed="24"/>
      <name val="Arial"/>
      <family val="2"/>
    </font>
    <font>
      <sz val="10"/>
      <name val="Arial"/>
      <family val="2"/>
    </font>
    <font>
      <sz val="12"/>
      <name val="華康仿宋體W6(P)"/>
      <family val="1"/>
      <charset val="136"/>
    </font>
    <font>
      <vertAlign val="subscript"/>
      <sz val="12"/>
      <name val="華康仿宋體W6(P)"/>
      <family val="1"/>
      <charset val="136"/>
    </font>
    <font>
      <sz val="9"/>
      <name val="細明體"/>
      <family val="3"/>
      <charset val="136"/>
    </font>
    <font>
      <sz val="12"/>
      <name val="細明體"/>
      <family val="3"/>
      <charset val="136"/>
    </font>
    <font>
      <vertAlign val="superscript"/>
      <sz val="12"/>
      <name val="Times New Roman"/>
      <family val="1"/>
    </font>
    <font>
      <b/>
      <sz val="12"/>
      <name val="細明體"/>
      <family val="3"/>
      <charset val="136"/>
    </font>
    <font>
      <sz val="8"/>
      <color theme="0" tint="-0.249977111117893"/>
      <name val="Times New Roman"/>
      <family val="1"/>
    </font>
    <font>
      <vertAlign val="subscript"/>
      <sz val="12"/>
      <color indexed="8"/>
      <name val="新細明體"/>
      <family val="1"/>
      <charset val="136"/>
    </font>
    <font>
      <b/>
      <sz val="12"/>
      <color theme="1"/>
      <name val="新細明體"/>
      <family val="1"/>
      <charset val="136"/>
      <scheme val="minor"/>
    </font>
    <font>
      <sz val="9"/>
      <color indexed="81"/>
      <name val="細明體"/>
      <family val="3"/>
      <charset val="136"/>
    </font>
    <font>
      <sz val="9"/>
      <color indexed="81"/>
      <name val="Tahoma"/>
      <family val="2"/>
    </font>
    <font>
      <sz val="12"/>
      <color theme="0" tint="-0.249977111117893"/>
      <name val="細明體"/>
      <family val="3"/>
      <charset val="136"/>
    </font>
    <font>
      <sz val="11"/>
      <name val="Times New Roman"/>
      <family val="1"/>
    </font>
    <font>
      <b/>
      <sz val="12"/>
      <name val="華康仿宋體W6(P)"/>
      <family val="1"/>
      <charset val="136"/>
    </font>
    <font>
      <vertAlign val="subscript"/>
      <sz val="12"/>
      <color theme="1"/>
      <name val="新細明體"/>
      <family val="1"/>
      <charset val="136"/>
      <scheme val="minor"/>
    </font>
    <font>
      <sz val="12"/>
      <color theme="1"/>
      <name val="微軟正黑體"/>
      <family val="2"/>
      <charset val="136"/>
    </font>
    <font>
      <b/>
      <sz val="12"/>
      <color theme="1"/>
      <name val="微軟正黑體"/>
      <family val="2"/>
      <charset val="136"/>
    </font>
    <font>
      <sz val="12"/>
      <name val="微軟正黑體"/>
      <family val="2"/>
      <charset val="136"/>
    </font>
    <font>
      <vertAlign val="superscript"/>
      <sz val="12"/>
      <color indexed="8"/>
      <name val="微軟正黑體"/>
      <family val="2"/>
      <charset val="136"/>
    </font>
    <font>
      <sz val="12"/>
      <color indexed="12"/>
      <name val="微軟正黑體"/>
      <family val="2"/>
      <charset val="136"/>
    </font>
    <font>
      <b/>
      <sz val="12"/>
      <color indexed="8"/>
      <name val="微軟正黑體"/>
      <family val="2"/>
      <charset val="136"/>
    </font>
    <font>
      <sz val="14"/>
      <name val="微軟正黑體"/>
      <family val="2"/>
      <charset val="136"/>
    </font>
    <font>
      <b/>
      <sz val="12"/>
      <name val="微軟正黑體"/>
      <family val="2"/>
      <charset val="136"/>
    </font>
    <font>
      <vertAlign val="subscript"/>
      <sz val="12"/>
      <name val="微軟正黑體"/>
      <family val="2"/>
      <charset val="136"/>
    </font>
    <font>
      <b/>
      <sz val="12"/>
      <color rgb="FFC00000"/>
      <name val="微軟正黑體"/>
      <family val="2"/>
      <charset val="136"/>
    </font>
    <font>
      <sz val="12"/>
      <color indexed="8"/>
      <name val="微軟正黑體"/>
      <family val="2"/>
      <charset val="136"/>
    </font>
    <font>
      <vertAlign val="subscript"/>
      <sz val="12"/>
      <color indexed="8"/>
      <name val="微軟正黑體"/>
      <family val="2"/>
      <charset val="136"/>
    </font>
    <font>
      <vertAlign val="superscript"/>
      <sz val="12"/>
      <name val="微軟正黑體"/>
      <family val="2"/>
      <charset val="136"/>
    </font>
    <font>
      <sz val="12"/>
      <color theme="0" tint="-0.249977111117893"/>
      <name val="微軟正黑體"/>
      <family val="2"/>
      <charset val="136"/>
    </font>
    <font>
      <b/>
      <vertAlign val="subscript"/>
      <sz val="12"/>
      <color theme="1"/>
      <name val="微軟正黑體"/>
      <family val="2"/>
      <charset val="136"/>
    </font>
    <font>
      <b/>
      <vertAlign val="subscript"/>
      <sz val="12"/>
      <name val="微軟正黑體"/>
      <family val="2"/>
      <charset val="136"/>
    </font>
    <font>
      <b/>
      <sz val="12"/>
      <color theme="6" tint="-0.249977111117893"/>
      <name val="微軟正黑體"/>
      <family val="2"/>
      <charset val="136"/>
    </font>
    <font>
      <b/>
      <sz val="12"/>
      <color rgb="FF7030A0"/>
      <name val="微軟正黑體"/>
      <family val="2"/>
      <charset val="136"/>
    </font>
    <font>
      <b/>
      <sz val="12"/>
      <color rgb="FFFF0000"/>
      <name val="微軟正黑體"/>
      <family val="2"/>
      <charset val="136"/>
    </font>
    <font>
      <sz val="12"/>
      <color rgb="FFC00000"/>
      <name val="微軟正黑體"/>
      <family val="2"/>
      <charset val="136"/>
    </font>
    <font>
      <sz val="10"/>
      <color rgb="FF333333"/>
      <name val="Arial"/>
      <family val="2"/>
    </font>
    <font>
      <sz val="11"/>
      <name val="新細明體"/>
      <family val="1"/>
      <charset val="136"/>
    </font>
    <font>
      <sz val="10"/>
      <color rgb="FFFF0000"/>
      <name val="微軟正黑體"/>
      <family val="2"/>
      <charset val="136"/>
    </font>
    <font>
      <sz val="10"/>
      <color rgb="FFFF0000"/>
      <name val="新細明體"/>
      <family val="1"/>
      <charset val="136"/>
      <scheme val="minor"/>
    </font>
    <font>
      <b/>
      <sz val="11"/>
      <name val="微軟正黑體"/>
      <family val="2"/>
      <charset val="136"/>
    </font>
    <font>
      <sz val="12"/>
      <color rgb="FFFF0000"/>
      <name val="微軟正黑體"/>
      <family val="2"/>
      <charset val="136"/>
    </font>
    <font>
      <vertAlign val="subscript"/>
      <sz val="12"/>
      <color theme="1"/>
      <name val="微軟正黑體"/>
      <family val="2"/>
      <charset val="136"/>
    </font>
    <font>
      <sz val="14"/>
      <color indexed="12"/>
      <name val="微軟正黑體"/>
      <family val="2"/>
      <charset val="136"/>
    </font>
    <font>
      <b/>
      <sz val="14"/>
      <color theme="1"/>
      <name val="微軟正黑體"/>
      <family val="2"/>
      <charset val="136"/>
    </font>
    <font>
      <b/>
      <sz val="14"/>
      <name val="微軟正黑體"/>
      <family val="2"/>
      <charset val="136"/>
    </font>
    <font>
      <vertAlign val="subscript"/>
      <sz val="14"/>
      <name val="微軟正黑體"/>
      <family val="2"/>
      <charset val="136"/>
    </font>
    <font>
      <vertAlign val="superscript"/>
      <sz val="14"/>
      <name val="微軟正黑體"/>
      <family val="2"/>
      <charset val="136"/>
    </font>
    <font>
      <b/>
      <vertAlign val="subscript"/>
      <sz val="14"/>
      <name val="微軟正黑體"/>
      <family val="2"/>
      <charset val="136"/>
    </font>
    <font>
      <b/>
      <vertAlign val="superscript"/>
      <sz val="14"/>
      <name val="微軟正黑體"/>
      <family val="2"/>
      <charset val="136"/>
    </font>
    <font>
      <vertAlign val="subscript"/>
      <sz val="12"/>
      <color rgb="FF000000"/>
      <name val="微軟正黑體"/>
      <family val="2"/>
      <charset val="136"/>
    </font>
    <font>
      <sz val="14"/>
      <color theme="1"/>
      <name val="微軟正黑體"/>
      <family val="2"/>
      <charset val="136"/>
    </font>
    <font>
      <b/>
      <vertAlign val="superscript"/>
      <sz val="12"/>
      <color theme="1"/>
      <name val="微軟正黑體"/>
      <family val="2"/>
      <charset val="136"/>
    </font>
    <font>
      <b/>
      <sz val="10"/>
      <name val="微軟正黑體"/>
      <family val="2"/>
      <charset val="136"/>
    </font>
    <font>
      <sz val="12"/>
      <color rgb="FFFF0000"/>
      <name val="新細明體"/>
      <family val="1"/>
      <charset val="136"/>
      <scheme val="minor"/>
    </font>
    <font>
      <b/>
      <sz val="12"/>
      <color theme="4"/>
      <name val="微軟正黑體"/>
      <family val="2"/>
      <charset val="136"/>
    </font>
    <font>
      <b/>
      <sz val="12"/>
      <color theme="9" tint="-0.499984740745262"/>
      <name val="微軟正黑體"/>
      <family val="2"/>
      <charset val="136"/>
    </font>
    <font>
      <sz val="12"/>
      <color theme="4" tint="-0.499984740745262"/>
      <name val="微軟正黑體"/>
      <family val="2"/>
      <charset val="136"/>
    </font>
    <font>
      <sz val="12"/>
      <color theme="9" tint="-0.499984740745262"/>
      <name val="微軟正黑體"/>
      <family val="2"/>
      <charset val="136"/>
    </font>
    <font>
      <sz val="12"/>
      <color theme="8" tint="-0.249977111117893"/>
      <name val="微軟正黑體"/>
      <family val="2"/>
      <charset val="136"/>
    </font>
    <font>
      <sz val="12"/>
      <color theme="4"/>
      <name val="微軟正黑體"/>
      <family val="2"/>
      <charset val="136"/>
    </font>
    <font>
      <sz val="12"/>
      <name val="Microsoft JhengHei"/>
      <family val="1"/>
    </font>
    <font>
      <b/>
      <sz val="11"/>
      <color theme="4"/>
      <name val="微軟正黑體"/>
      <family val="2"/>
      <charset val="136"/>
    </font>
    <font>
      <sz val="11"/>
      <name val="Microsoft JhengHei"/>
      <family val="1"/>
    </font>
    <font>
      <sz val="12"/>
      <color theme="3"/>
      <name val="微軟正黑體"/>
      <family val="2"/>
      <charset val="136"/>
    </font>
    <font>
      <sz val="12"/>
      <color theme="1"/>
      <name val="Microsoft JhengHei Light"/>
      <family val="2"/>
      <charset val="136"/>
    </font>
    <font>
      <sz val="12"/>
      <name val="Microsoft JhengHei Light"/>
      <family val="2"/>
      <charset val="136"/>
    </font>
    <font>
      <sz val="12"/>
      <color rgb="FFFF0000"/>
      <name val="Microsoft JhengHei Light"/>
      <family val="2"/>
      <charset val="136"/>
    </font>
    <font>
      <b/>
      <sz val="12"/>
      <color theme="1"/>
      <name val="Microsoft JhengHei Light"/>
      <family val="2"/>
      <charset val="136"/>
    </font>
    <font>
      <sz val="12"/>
      <color theme="8" tint="-0.249977111117893"/>
      <name val="Microsoft JhengHei Light"/>
      <family val="2"/>
      <charset val="136"/>
    </font>
    <font>
      <sz val="12"/>
      <color theme="4"/>
      <name val="Microsoft JhengHei Light"/>
      <family val="2"/>
      <charset val="136"/>
    </font>
    <font>
      <b/>
      <sz val="11"/>
      <name val="Microsoft JhengHei Light"/>
      <family val="2"/>
      <charset val="136"/>
    </font>
    <font>
      <sz val="10"/>
      <color rgb="FF333333"/>
      <name val="Microsoft JhengHei Light"/>
      <family val="2"/>
      <charset val="136"/>
    </font>
    <font>
      <sz val="12"/>
      <color indexed="12"/>
      <name val="Microsoft JhengHei Light"/>
      <family val="2"/>
      <charset val="136"/>
    </font>
  </fonts>
  <fills count="19">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rgb="FF00B0F0"/>
        <bgColor indexed="64"/>
      </patternFill>
    </fill>
    <fill>
      <patternFill patternType="solid">
        <fgColor rgb="FFFF0000"/>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rgb="FFFFFF99"/>
        <bgColor indexed="64"/>
      </patternFill>
    </fill>
    <fill>
      <patternFill patternType="solid">
        <fgColor theme="9" tint="0.59999389629810485"/>
        <bgColor indexed="64"/>
      </patternFill>
    </fill>
    <fill>
      <patternFill patternType="solid">
        <fgColor rgb="FFFFC00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5" tint="0.79998168889431442"/>
        <bgColor indexed="64"/>
      </patternFill>
    </fill>
  </fills>
  <borders count="96">
    <border>
      <left/>
      <right/>
      <top/>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auto="1"/>
      </left>
      <right style="thin">
        <color auto="1"/>
      </right>
      <top style="thin">
        <color auto="1"/>
      </top>
      <bottom style="thin">
        <color auto="1"/>
      </bottom>
      <diagonal/>
    </border>
    <border>
      <left style="dotted">
        <color indexed="64"/>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dotted">
        <color indexed="64"/>
      </left>
      <right style="dotted">
        <color indexed="64"/>
      </right>
      <top style="dotted">
        <color indexed="64"/>
      </top>
      <bottom style="dotted">
        <color indexed="64"/>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right/>
      <top/>
      <bottom style="thin">
        <color auto="1"/>
      </bottom>
      <diagonal/>
    </border>
    <border>
      <left/>
      <right style="thin">
        <color auto="1"/>
      </right>
      <top/>
      <bottom style="thin">
        <color auto="1"/>
      </bottom>
      <diagonal/>
    </border>
    <border>
      <left style="double">
        <color auto="1"/>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style="double">
        <color auto="1"/>
      </right>
      <top style="double">
        <color auto="1"/>
      </top>
      <bottom style="thin">
        <color auto="1"/>
      </bottom>
      <diagonal/>
    </border>
    <border>
      <left style="double">
        <color auto="1"/>
      </left>
      <right style="thin">
        <color auto="1"/>
      </right>
      <top style="thin">
        <color auto="1"/>
      </top>
      <bottom style="thin">
        <color auto="1"/>
      </bottom>
      <diagonal/>
    </border>
    <border>
      <left style="thin">
        <color auto="1"/>
      </left>
      <right style="double">
        <color auto="1"/>
      </right>
      <top style="thin">
        <color auto="1"/>
      </top>
      <bottom style="thin">
        <color auto="1"/>
      </bottom>
      <diagonal/>
    </border>
    <border>
      <left style="double">
        <color auto="1"/>
      </left>
      <right style="thin">
        <color auto="1"/>
      </right>
      <top style="thin">
        <color auto="1"/>
      </top>
      <bottom style="double">
        <color auto="1"/>
      </bottom>
      <diagonal/>
    </border>
    <border>
      <left style="thin">
        <color auto="1"/>
      </left>
      <right style="thin">
        <color auto="1"/>
      </right>
      <top style="thin">
        <color auto="1"/>
      </top>
      <bottom style="double">
        <color auto="1"/>
      </bottom>
      <diagonal/>
    </border>
    <border>
      <left style="thin">
        <color auto="1"/>
      </left>
      <right style="double">
        <color auto="1"/>
      </right>
      <top style="thin">
        <color auto="1"/>
      </top>
      <bottom style="double">
        <color auto="1"/>
      </bottom>
      <diagonal/>
    </border>
    <border>
      <left style="double">
        <color auto="1"/>
      </left>
      <right style="thin">
        <color auto="1"/>
      </right>
      <top style="double">
        <color auto="1"/>
      </top>
      <bottom/>
      <diagonal/>
    </border>
    <border>
      <left/>
      <right style="double">
        <color auto="1"/>
      </right>
      <top style="double">
        <color auto="1"/>
      </top>
      <bottom/>
      <diagonal/>
    </border>
    <border>
      <left style="double">
        <color auto="1"/>
      </left>
      <right style="thin">
        <color auto="1"/>
      </right>
      <top/>
      <bottom style="thin">
        <color auto="1"/>
      </bottom>
      <diagonal/>
    </border>
    <border>
      <left/>
      <right style="double">
        <color auto="1"/>
      </right>
      <top/>
      <bottom/>
      <diagonal/>
    </border>
    <border>
      <left style="double">
        <color auto="1"/>
      </left>
      <right style="thin">
        <color auto="1"/>
      </right>
      <top style="thin">
        <color auto="1"/>
      </top>
      <bottom/>
      <diagonal/>
    </border>
    <border>
      <left style="double">
        <color auto="1"/>
      </left>
      <right/>
      <top/>
      <bottom/>
      <diagonal/>
    </border>
    <border>
      <left/>
      <right/>
      <top/>
      <bottom style="double">
        <color auto="1"/>
      </bottom>
      <diagonal/>
    </border>
    <border>
      <left/>
      <right style="double">
        <color auto="1"/>
      </right>
      <top/>
      <bottom style="double">
        <color auto="1"/>
      </bottom>
      <diagonal/>
    </border>
    <border>
      <left style="double">
        <color auto="1"/>
      </left>
      <right/>
      <top style="thin">
        <color auto="1"/>
      </top>
      <bottom style="thin">
        <color auto="1"/>
      </bottom>
      <diagonal/>
    </border>
    <border>
      <left style="double">
        <color auto="1"/>
      </left>
      <right/>
      <top/>
      <bottom style="double">
        <color auto="1"/>
      </bottom>
      <diagonal/>
    </border>
    <border>
      <left style="double">
        <color auto="1"/>
      </left>
      <right/>
      <top/>
      <bottom style="thin">
        <color auto="1"/>
      </bottom>
      <diagonal/>
    </border>
    <border>
      <left style="double">
        <color auto="1"/>
      </left>
      <right/>
      <top style="thin">
        <color auto="1"/>
      </top>
      <bottom/>
      <diagonal/>
    </border>
    <border>
      <left/>
      <right style="double">
        <color auto="1"/>
      </right>
      <top style="thin">
        <color auto="1"/>
      </top>
      <bottom style="thin">
        <color auto="1"/>
      </bottom>
      <diagonal/>
    </border>
    <border>
      <left/>
      <right/>
      <top style="double">
        <color auto="1"/>
      </top>
      <bottom/>
      <diagonal/>
    </border>
    <border>
      <left style="double">
        <color auto="1"/>
      </left>
      <right style="double">
        <color auto="1"/>
      </right>
      <top style="thin">
        <color auto="1"/>
      </top>
      <bottom style="thin">
        <color auto="1"/>
      </bottom>
      <diagonal/>
    </border>
    <border>
      <left style="double">
        <color auto="1"/>
      </left>
      <right style="double">
        <color auto="1"/>
      </right>
      <top/>
      <bottom/>
      <diagonal/>
    </border>
    <border>
      <left style="dotted">
        <color indexed="64"/>
      </left>
      <right/>
      <top/>
      <bottom style="double">
        <color auto="1"/>
      </bottom>
      <diagonal/>
    </border>
    <border>
      <left style="double">
        <color auto="1"/>
      </left>
      <right/>
      <top style="double">
        <color auto="1"/>
      </top>
      <bottom style="thin">
        <color auto="1"/>
      </bottom>
      <diagonal/>
    </border>
    <border>
      <left/>
      <right/>
      <top style="double">
        <color auto="1"/>
      </top>
      <bottom style="thin">
        <color auto="1"/>
      </bottom>
      <diagonal/>
    </border>
    <border>
      <left/>
      <right style="double">
        <color auto="1"/>
      </right>
      <top style="double">
        <color auto="1"/>
      </top>
      <bottom style="thin">
        <color auto="1"/>
      </bottom>
      <diagonal/>
    </border>
    <border>
      <left style="double">
        <color auto="1"/>
      </left>
      <right/>
      <top style="thin">
        <color auto="1"/>
      </top>
      <bottom style="double">
        <color auto="1"/>
      </bottom>
      <diagonal/>
    </border>
    <border>
      <left/>
      <right/>
      <top style="thin">
        <color auto="1"/>
      </top>
      <bottom style="double">
        <color auto="1"/>
      </bottom>
      <diagonal/>
    </border>
    <border>
      <left/>
      <right style="double">
        <color auto="1"/>
      </right>
      <top style="thin">
        <color auto="1"/>
      </top>
      <bottom style="double">
        <color auto="1"/>
      </bottom>
      <diagonal/>
    </border>
    <border>
      <left style="thin">
        <color auto="1"/>
      </left>
      <right style="thin">
        <color auto="1"/>
      </right>
      <top style="thin">
        <color auto="1"/>
      </top>
      <bottom/>
      <diagonal/>
    </border>
    <border>
      <left style="thin">
        <color auto="1"/>
      </left>
      <right style="double">
        <color auto="1"/>
      </right>
      <top style="thin">
        <color auto="1"/>
      </top>
      <bottom/>
      <diagonal/>
    </border>
    <border>
      <left style="thin">
        <color auto="1"/>
      </left>
      <right style="thin">
        <color auto="1"/>
      </right>
      <top/>
      <bottom style="thin">
        <color auto="1"/>
      </bottom>
      <diagonal/>
    </border>
    <border>
      <left style="thin">
        <color auto="1"/>
      </left>
      <right style="double">
        <color auto="1"/>
      </right>
      <top/>
      <bottom style="thin">
        <color auto="1"/>
      </bottom>
      <diagonal/>
    </border>
    <border>
      <left style="double">
        <color auto="1"/>
      </left>
      <right style="double">
        <color auto="1"/>
      </right>
      <top style="thin">
        <color auto="1"/>
      </top>
      <bottom style="double">
        <color auto="1"/>
      </bottom>
      <diagonal/>
    </border>
    <border>
      <left/>
      <right style="medium">
        <color indexed="64"/>
      </right>
      <top/>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right/>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bottom style="medium">
        <color indexed="64"/>
      </bottom>
      <diagonal/>
    </border>
    <border>
      <left style="double">
        <color auto="1"/>
      </left>
      <right/>
      <top style="double">
        <color auto="1"/>
      </top>
      <bottom/>
      <diagonal/>
    </border>
    <border>
      <left style="double">
        <color auto="1"/>
      </left>
      <right style="double">
        <color auto="1"/>
      </right>
      <top style="double">
        <color auto="1"/>
      </top>
      <bottom/>
      <diagonal/>
    </border>
    <border>
      <left style="double">
        <color auto="1"/>
      </left>
      <right style="double">
        <color auto="1"/>
      </right>
      <top/>
      <bottom style="double">
        <color auto="1"/>
      </bottom>
      <diagonal/>
    </border>
    <border>
      <left style="thin">
        <color auto="1"/>
      </left>
      <right style="double">
        <color auto="1"/>
      </right>
      <top style="double">
        <color auto="1"/>
      </top>
      <bottom/>
      <diagonal/>
    </border>
    <border>
      <left style="thin">
        <color auto="1"/>
      </left>
      <right style="double">
        <color auto="1"/>
      </right>
      <top/>
      <bottom style="double">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style="double">
        <color auto="1"/>
      </left>
      <right style="thin">
        <color auto="1"/>
      </right>
      <top/>
      <bottom style="double">
        <color auto="1"/>
      </bottom>
      <diagonal/>
    </border>
    <border>
      <left style="double">
        <color auto="1"/>
      </left>
      <right style="thin">
        <color auto="1"/>
      </right>
      <top style="double">
        <color auto="1"/>
      </top>
      <bottom style="double">
        <color auto="1"/>
      </bottom>
      <diagonal/>
    </border>
    <border>
      <left style="thin">
        <color auto="1"/>
      </left>
      <right style="double">
        <color auto="1"/>
      </right>
      <top style="double">
        <color auto="1"/>
      </top>
      <bottom style="double">
        <color auto="1"/>
      </bottom>
      <diagonal/>
    </border>
    <border>
      <left style="double">
        <color auto="1"/>
      </left>
      <right style="thin">
        <color auto="1"/>
      </right>
      <top/>
      <bottom/>
      <diagonal/>
    </border>
  </borders>
  <cellStyleXfs count="21">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 fillId="0" borderId="0">
      <alignment vertical="center"/>
    </xf>
    <xf numFmtId="176" fontId="11" fillId="0" borderId="0" applyFont="0" applyFill="0" applyBorder="0" applyAlignment="0" applyProtection="0">
      <alignment vertical="center"/>
    </xf>
    <xf numFmtId="0" fontId="16" fillId="0" borderId="0"/>
    <xf numFmtId="3" fontId="20" fillId="0" borderId="0" applyFont="0" applyFill="0" applyBorder="0" applyAlignment="0" applyProtection="0"/>
    <xf numFmtId="183" fontId="20" fillId="0" borderId="0" applyFont="0" applyFill="0" applyBorder="0" applyAlignment="0" applyProtection="0"/>
    <xf numFmtId="0" fontId="20" fillId="0" borderId="0" applyFont="0" applyFill="0" applyBorder="0" applyAlignment="0" applyProtection="0"/>
    <xf numFmtId="2" fontId="20" fillId="0" borderId="0" applyFont="0" applyFill="0" applyBorder="0" applyAlignment="0" applyProtection="0"/>
    <xf numFmtId="0" fontId="21" fillId="0" borderId="0"/>
    <xf numFmtId="0" fontId="21" fillId="0" borderId="0"/>
    <xf numFmtId="0" fontId="6" fillId="0" borderId="0"/>
    <xf numFmtId="0" fontId="5" fillId="0" borderId="0"/>
    <xf numFmtId="0" fontId="4" fillId="0" borderId="0"/>
    <xf numFmtId="0" fontId="3" fillId="0" borderId="0"/>
    <xf numFmtId="0" fontId="2" fillId="0" borderId="0"/>
    <xf numFmtId="0" fontId="1" fillId="0" borderId="0"/>
    <xf numFmtId="0" fontId="1" fillId="0" borderId="0"/>
  </cellStyleXfs>
  <cellXfs count="540">
    <xf numFmtId="0" fontId="0" fillId="0" borderId="0" xfId="0">
      <alignment vertical="center"/>
    </xf>
    <xf numFmtId="0" fontId="12" fillId="0" borderId="0" xfId="0" applyFont="1" applyAlignment="1">
      <alignment horizontal="center" vertical="center"/>
    </xf>
    <xf numFmtId="0" fontId="0" fillId="0" borderId="0" xfId="0" applyAlignment="1">
      <alignment horizontal="center" vertical="center"/>
    </xf>
    <xf numFmtId="0" fontId="14" fillId="0" borderId="0" xfId="7" applyFont="1"/>
    <xf numFmtId="0" fontId="14" fillId="0" borderId="0" xfId="1" applyFont="1" applyAlignment="1">
      <alignment horizontal="center" vertical="center"/>
    </xf>
    <xf numFmtId="0" fontId="14" fillId="0" borderId="0" xfId="7" applyFont="1" applyAlignment="1">
      <alignment horizontal="center"/>
    </xf>
    <xf numFmtId="0" fontId="19" fillId="0" borderId="0" xfId="1" applyFont="1" applyAlignment="1">
      <alignment horizontal="center" vertical="center"/>
    </xf>
    <xf numFmtId="0" fontId="22" fillId="0" borderId="0" xfId="0" applyFont="1" applyAlignment="1">
      <alignment horizontal="center" vertical="center"/>
    </xf>
    <xf numFmtId="178" fontId="22" fillId="3" borderId="0" xfId="0" applyNumberFormat="1" applyFont="1" applyFill="1" applyAlignment="1">
      <alignment horizontal="right" vertical="center"/>
    </xf>
    <xf numFmtId="178" fontId="22" fillId="4" borderId="0" xfId="0" applyNumberFormat="1" applyFont="1" applyFill="1" applyAlignment="1">
      <alignment horizontal="right" vertical="center"/>
    </xf>
    <xf numFmtId="0" fontId="25" fillId="0" borderId="0" xfId="7" applyFont="1"/>
    <xf numFmtId="0" fontId="14" fillId="0" borderId="20" xfId="5" applyFont="1" applyBorder="1" applyAlignment="1">
      <alignment horizontal="center" vertical="center"/>
    </xf>
    <xf numFmtId="179" fontId="28" fillId="0" borderId="25" xfId="0" applyNumberFormat="1" applyFont="1" applyBorder="1" applyAlignment="1">
      <alignment horizontal="center" vertical="center"/>
    </xf>
    <xf numFmtId="0" fontId="22" fillId="3" borderId="0" xfId="0" applyFont="1" applyFill="1" applyAlignment="1">
      <alignment horizontal="center" vertical="center"/>
    </xf>
    <xf numFmtId="0" fontId="22" fillId="2" borderId="0" xfId="0" applyFont="1" applyFill="1" applyAlignment="1">
      <alignment horizontal="center" vertical="center"/>
    </xf>
    <xf numFmtId="0" fontId="0" fillId="6" borderId="0" xfId="0" applyFill="1">
      <alignment vertical="center"/>
    </xf>
    <xf numFmtId="179" fontId="0" fillId="0" borderId="0" xfId="0" applyNumberFormat="1">
      <alignment vertical="center"/>
    </xf>
    <xf numFmtId="0" fontId="22" fillId="7" borderId="0" xfId="0" applyFont="1" applyFill="1" applyAlignment="1">
      <alignment horizontal="center" vertical="center"/>
    </xf>
    <xf numFmtId="0" fontId="22" fillId="8" borderId="0" xfId="0" applyFont="1" applyFill="1" applyAlignment="1">
      <alignment horizontal="center" vertical="center"/>
    </xf>
    <xf numFmtId="0" fontId="22" fillId="9" borderId="0" xfId="0" applyFont="1" applyFill="1" applyAlignment="1">
      <alignment horizontal="center" vertical="center"/>
    </xf>
    <xf numFmtId="0" fontId="9" fillId="0" borderId="0" xfId="7" applyFont="1" applyAlignment="1">
      <alignment horizontal="left"/>
    </xf>
    <xf numFmtId="0" fontId="15" fillId="10" borderId="0" xfId="7" applyFont="1" applyFill="1" applyAlignment="1">
      <alignment horizontal="center"/>
    </xf>
    <xf numFmtId="0" fontId="14" fillId="0" borderId="0" xfId="7" applyFont="1" applyAlignment="1">
      <alignment horizontal="center" vertical="center"/>
    </xf>
    <xf numFmtId="0" fontId="25" fillId="0" borderId="0" xfId="7" applyFont="1" applyAlignment="1">
      <alignment horizontal="center" vertical="center"/>
    </xf>
    <xf numFmtId="179" fontId="33" fillId="0" borderId="25" xfId="0" applyNumberFormat="1" applyFont="1" applyBorder="1" applyAlignment="1">
      <alignment horizontal="center" vertical="center"/>
    </xf>
    <xf numFmtId="0" fontId="15" fillId="11" borderId="0" xfId="7" applyFont="1" applyFill="1" applyAlignment="1">
      <alignment horizontal="center"/>
    </xf>
    <xf numFmtId="0" fontId="15" fillId="9" borderId="0" xfId="7" applyFont="1" applyFill="1" applyAlignment="1">
      <alignment horizontal="center"/>
    </xf>
    <xf numFmtId="0" fontId="35" fillId="7" borderId="0" xfId="0" applyFont="1" applyFill="1" applyAlignment="1">
      <alignment horizontal="center" vertical="center"/>
    </xf>
    <xf numFmtId="0" fontId="27" fillId="11" borderId="0" xfId="7" applyFont="1" applyFill="1" applyAlignment="1">
      <alignment horizontal="center"/>
    </xf>
    <xf numFmtId="0" fontId="30" fillId="0" borderId="0" xfId="0" applyFont="1" applyAlignment="1">
      <alignment horizontal="center" vertical="center"/>
    </xf>
    <xf numFmtId="2" fontId="30" fillId="0" borderId="0" xfId="0" applyNumberFormat="1" applyFont="1" applyAlignment="1">
      <alignment horizontal="center" vertical="center"/>
    </xf>
    <xf numFmtId="12" fontId="0" fillId="0" borderId="0" xfId="0" applyNumberFormat="1" applyAlignment="1">
      <alignment horizontal="center" vertical="center"/>
    </xf>
    <xf numFmtId="0" fontId="37" fillId="0" borderId="0" xfId="0" applyFont="1">
      <alignment vertical="center"/>
    </xf>
    <xf numFmtId="0" fontId="37" fillId="0" borderId="0" xfId="0" applyFont="1" applyAlignment="1">
      <alignment vertical="center" wrapText="1"/>
    </xf>
    <xf numFmtId="0" fontId="38" fillId="0" borderId="0" xfId="0" applyFont="1">
      <alignment vertical="center"/>
    </xf>
    <xf numFmtId="0" fontId="37" fillId="0" borderId="0" xfId="0" applyFont="1" applyAlignment="1">
      <alignment horizontal="center" vertical="center"/>
    </xf>
    <xf numFmtId="179" fontId="39" fillId="0" borderId="0" xfId="0" applyNumberFormat="1" applyFont="1" applyAlignment="1">
      <alignment horizontal="center" vertical="center"/>
    </xf>
    <xf numFmtId="179" fontId="39" fillId="0" borderId="21" xfId="0" applyNumberFormat="1" applyFont="1" applyBorder="1" applyAlignment="1">
      <alignment horizontal="center" vertical="center"/>
    </xf>
    <xf numFmtId="0" fontId="39" fillId="0" borderId="0" xfId="5" applyFont="1" applyAlignment="1">
      <alignment horizontal="center" vertical="center"/>
    </xf>
    <xf numFmtId="0" fontId="39" fillId="0" borderId="0" xfId="7" applyFont="1" applyAlignment="1">
      <alignment horizontal="center"/>
    </xf>
    <xf numFmtId="0" fontId="39" fillId="0" borderId="0" xfId="7" applyFont="1"/>
    <xf numFmtId="12" fontId="39" fillId="0" borderId="0" xfId="5" applyNumberFormat="1" applyFont="1" applyAlignment="1">
      <alignment horizontal="center" vertical="center"/>
    </xf>
    <xf numFmtId="0" fontId="41" fillId="0" borderId="0" xfId="0" applyFont="1" applyAlignment="1" applyProtection="1">
      <alignment horizontal="center" vertical="center"/>
      <protection hidden="1"/>
    </xf>
    <xf numFmtId="0" fontId="39" fillId="0" borderId="0" xfId="5" applyFont="1" applyAlignment="1">
      <alignment horizontal="right" vertical="center"/>
    </xf>
    <xf numFmtId="0" fontId="44" fillId="0" borderId="0" xfId="5" applyFont="1" applyAlignment="1">
      <alignment horizontal="center" vertical="center"/>
    </xf>
    <xf numFmtId="0" fontId="39" fillId="0" borderId="0" xfId="5" applyFont="1" applyAlignment="1">
      <alignment horizontal="right" vertical="center" wrapText="1"/>
    </xf>
    <xf numFmtId="0" fontId="39" fillId="12" borderId="20" xfId="5" applyFont="1" applyFill="1" applyBorder="1" applyAlignment="1">
      <alignment horizontal="center" vertical="center" wrapText="1"/>
    </xf>
    <xf numFmtId="180" fontId="46" fillId="0" borderId="0" xfId="5" applyNumberFormat="1" applyFont="1" applyAlignment="1">
      <alignment horizontal="center" vertical="center"/>
    </xf>
    <xf numFmtId="180" fontId="39" fillId="0" borderId="0" xfId="5" applyNumberFormat="1" applyFont="1" applyAlignment="1">
      <alignment horizontal="center" vertical="center"/>
    </xf>
    <xf numFmtId="181" fontId="39" fillId="0" borderId="0" xfId="5" applyNumberFormat="1" applyFont="1" applyAlignment="1">
      <alignment horizontal="right" vertical="center" wrapText="1"/>
    </xf>
    <xf numFmtId="180" fontId="44" fillId="0" borderId="0" xfId="5" applyNumberFormat="1" applyFont="1" applyAlignment="1">
      <alignment horizontal="center" vertical="center"/>
    </xf>
    <xf numFmtId="184" fontId="37" fillId="0" borderId="0" xfId="0" applyNumberFormat="1" applyFont="1" applyAlignment="1">
      <alignment horizontal="center" vertical="center"/>
    </xf>
    <xf numFmtId="180" fontId="39" fillId="0" borderId="20" xfId="5" applyNumberFormat="1" applyFont="1" applyBorder="1" applyAlignment="1">
      <alignment horizontal="center" vertical="center"/>
    </xf>
    <xf numFmtId="179" fontId="39" fillId="0" borderId="0" xfId="5" applyNumberFormat="1" applyFont="1" applyAlignment="1">
      <alignment horizontal="center" vertical="center"/>
    </xf>
    <xf numFmtId="0" fontId="39" fillId="0" borderId="20" xfId="5" applyFont="1" applyBorder="1" applyAlignment="1">
      <alignment horizontal="center" vertical="center"/>
    </xf>
    <xf numFmtId="180" fontId="39" fillId="0" borderId="23" xfId="5" applyNumberFormat="1" applyFont="1" applyBorder="1" applyAlignment="1">
      <alignment horizontal="center" vertical="center"/>
    </xf>
    <xf numFmtId="179" fontId="37" fillId="0" borderId="0" xfId="0" applyNumberFormat="1" applyFont="1" applyAlignment="1">
      <alignment horizontal="center" vertical="center"/>
    </xf>
    <xf numFmtId="0" fontId="44" fillId="0" borderId="0" xfId="5" applyFont="1" applyAlignment="1">
      <alignment horizontal="right" vertical="center"/>
    </xf>
    <xf numFmtId="180" fontId="39" fillId="0" borderId="0" xfId="5" applyNumberFormat="1" applyFont="1">
      <alignment vertical="center"/>
    </xf>
    <xf numFmtId="179" fontId="44" fillId="0" borderId="0" xfId="5" applyNumberFormat="1" applyFont="1" applyAlignment="1">
      <alignment horizontal="center" vertical="center"/>
    </xf>
    <xf numFmtId="179" fontId="44" fillId="0" borderId="0" xfId="5" applyNumberFormat="1" applyFont="1">
      <alignment vertical="center"/>
    </xf>
    <xf numFmtId="0" fontId="39" fillId="0" borderId="5" xfId="5" applyFont="1" applyBorder="1" applyAlignment="1">
      <alignment horizontal="center" vertical="center"/>
    </xf>
    <xf numFmtId="178" fontId="39" fillId="0" borderId="0" xfId="5" applyNumberFormat="1" applyFont="1">
      <alignment vertical="center"/>
    </xf>
    <xf numFmtId="179" fontId="44" fillId="0" borderId="2" xfId="5" applyNumberFormat="1" applyFont="1" applyBorder="1">
      <alignment vertical="center"/>
    </xf>
    <xf numFmtId="180" fontId="44" fillId="0" borderId="2" xfId="5" applyNumberFormat="1" applyFont="1" applyBorder="1">
      <alignment vertical="center"/>
    </xf>
    <xf numFmtId="180" fontId="53" fillId="0" borderId="2" xfId="5" applyNumberFormat="1" applyFont="1" applyBorder="1">
      <alignment vertical="center"/>
    </xf>
    <xf numFmtId="179" fontId="53" fillId="0" borderId="2" xfId="5" applyNumberFormat="1" applyFont="1" applyBorder="1">
      <alignment vertical="center"/>
    </xf>
    <xf numFmtId="179" fontId="53" fillId="0" borderId="0" xfId="5" applyNumberFormat="1" applyFont="1">
      <alignment vertical="center"/>
    </xf>
    <xf numFmtId="179" fontId="54" fillId="0" borderId="2" xfId="5" applyNumberFormat="1" applyFont="1" applyBorder="1">
      <alignment vertical="center"/>
    </xf>
    <xf numFmtId="180" fontId="54" fillId="0" borderId="2" xfId="5" applyNumberFormat="1" applyFont="1" applyBorder="1">
      <alignment vertical="center"/>
    </xf>
    <xf numFmtId="179" fontId="55" fillId="0" borderId="2" xfId="5" applyNumberFormat="1" applyFont="1" applyBorder="1">
      <alignment vertical="center"/>
    </xf>
    <xf numFmtId="179" fontId="55" fillId="0" borderId="1" xfId="5" applyNumberFormat="1" applyFont="1" applyBorder="1">
      <alignment vertical="center"/>
    </xf>
    <xf numFmtId="180" fontId="55" fillId="0" borderId="2" xfId="5" applyNumberFormat="1" applyFont="1" applyBorder="1">
      <alignment vertical="center"/>
    </xf>
    <xf numFmtId="179" fontId="54" fillId="0" borderId="8" xfId="5" applyNumberFormat="1" applyFont="1" applyBorder="1">
      <alignment vertical="center"/>
    </xf>
    <xf numFmtId="179" fontId="54" fillId="0" borderId="9" xfId="5" applyNumberFormat="1" applyFont="1" applyBorder="1">
      <alignment vertical="center"/>
    </xf>
    <xf numFmtId="179" fontId="54" fillId="0" borderId="10" xfId="5" applyNumberFormat="1" applyFont="1" applyBorder="1">
      <alignment vertical="center"/>
    </xf>
    <xf numFmtId="179" fontId="54" fillId="0" borderId="11" xfId="5" applyNumberFormat="1" applyFont="1" applyBorder="1">
      <alignment vertical="center"/>
    </xf>
    <xf numFmtId="179" fontId="55" fillId="0" borderId="12" xfId="5" applyNumberFormat="1" applyFont="1" applyBorder="1">
      <alignment vertical="center"/>
    </xf>
    <xf numFmtId="179" fontId="55" fillId="0" borderId="7" xfId="5" applyNumberFormat="1" applyFont="1" applyBorder="1">
      <alignment vertical="center"/>
    </xf>
    <xf numFmtId="179" fontId="55" fillId="0" borderId="13" xfId="5" applyNumberFormat="1" applyFont="1" applyBorder="1">
      <alignment vertical="center"/>
    </xf>
    <xf numFmtId="179" fontId="44" fillId="0" borderId="14" xfId="5" applyNumberFormat="1" applyFont="1" applyBorder="1">
      <alignment vertical="center"/>
    </xf>
    <xf numFmtId="179" fontId="44" fillId="0" borderId="6" xfId="5" applyNumberFormat="1" applyFont="1" applyBorder="1">
      <alignment vertical="center"/>
    </xf>
    <xf numFmtId="179" fontId="44" fillId="0" borderId="15" xfId="5" applyNumberFormat="1" applyFont="1" applyBorder="1">
      <alignment vertical="center"/>
    </xf>
    <xf numFmtId="179" fontId="53" fillId="0" borderId="14" xfId="5" applyNumberFormat="1" applyFont="1" applyBorder="1">
      <alignment vertical="center"/>
    </xf>
    <xf numFmtId="179" fontId="53" fillId="0" borderId="6" xfId="5" applyNumberFormat="1" applyFont="1" applyBorder="1">
      <alignment vertical="center"/>
    </xf>
    <xf numFmtId="179" fontId="53" fillId="0" borderId="15" xfId="5" applyNumberFormat="1" applyFont="1" applyBorder="1">
      <alignment vertical="center"/>
    </xf>
    <xf numFmtId="179" fontId="54" fillId="0" borderId="16" xfId="5" applyNumberFormat="1" applyFont="1" applyBorder="1">
      <alignment vertical="center"/>
    </xf>
    <xf numFmtId="179" fontId="54" fillId="0" borderId="17" xfId="5" applyNumberFormat="1" applyFont="1" applyBorder="1">
      <alignment vertical="center"/>
    </xf>
    <xf numFmtId="179" fontId="54" fillId="0" borderId="18" xfId="5" applyNumberFormat="1" applyFont="1" applyBorder="1">
      <alignment vertical="center"/>
    </xf>
    <xf numFmtId="179" fontId="54" fillId="0" borderId="19" xfId="5" applyNumberFormat="1" applyFont="1" applyBorder="1">
      <alignment vertical="center"/>
    </xf>
    <xf numFmtId="179" fontId="55" fillId="0" borderId="0" xfId="5" applyNumberFormat="1" applyFont="1">
      <alignment vertical="center"/>
    </xf>
    <xf numFmtId="179" fontId="44" fillId="0" borderId="3" xfId="5" applyNumberFormat="1" applyFont="1" applyBorder="1">
      <alignment vertical="center"/>
    </xf>
    <xf numFmtId="179" fontId="39" fillId="0" borderId="2" xfId="5" applyNumberFormat="1" applyFont="1" applyBorder="1">
      <alignment vertical="center"/>
    </xf>
    <xf numFmtId="179" fontId="39" fillId="0" borderId="0" xfId="5" applyNumberFormat="1" applyFont="1">
      <alignment vertical="center"/>
    </xf>
    <xf numFmtId="179" fontId="39" fillId="0" borderId="3" xfId="5" applyNumberFormat="1" applyFont="1" applyBorder="1">
      <alignment vertical="center"/>
    </xf>
    <xf numFmtId="180" fontId="39" fillId="0" borderId="2" xfId="5" applyNumberFormat="1" applyFont="1" applyBorder="1">
      <alignment vertical="center"/>
    </xf>
    <xf numFmtId="179" fontId="56" fillId="0" borderId="3" xfId="5" applyNumberFormat="1" applyFont="1" applyBorder="1">
      <alignment vertical="center"/>
    </xf>
    <xf numFmtId="180" fontId="56" fillId="0" borderId="2" xfId="5" applyNumberFormat="1" applyFont="1" applyBorder="1">
      <alignment vertical="center"/>
    </xf>
    <xf numFmtId="179" fontId="56" fillId="0" borderId="2" xfId="5" applyNumberFormat="1" applyFont="1" applyBorder="1">
      <alignment vertical="center"/>
    </xf>
    <xf numFmtId="0" fontId="56" fillId="0" borderId="0" xfId="5" applyFont="1">
      <alignment vertical="center"/>
    </xf>
    <xf numFmtId="182" fontId="39" fillId="0" borderId="20" xfId="5" applyNumberFormat="1" applyFont="1" applyBorder="1" applyAlignment="1">
      <alignment horizontal="center" vertical="center" wrapText="1"/>
    </xf>
    <xf numFmtId="0" fontId="39" fillId="0" borderId="0" xfId="5" applyFont="1" applyAlignment="1">
      <alignment horizontal="center" vertical="center" wrapText="1"/>
    </xf>
    <xf numFmtId="179" fontId="56" fillId="0" borderId="0" xfId="5" applyNumberFormat="1" applyFont="1">
      <alignment vertical="center"/>
    </xf>
    <xf numFmtId="180" fontId="56" fillId="0" borderId="0" xfId="5" applyNumberFormat="1" applyFont="1">
      <alignment vertical="center"/>
    </xf>
    <xf numFmtId="180" fontId="46" fillId="0" borderId="0" xfId="5" applyNumberFormat="1" applyFont="1">
      <alignment vertical="center"/>
    </xf>
    <xf numFmtId="179" fontId="46" fillId="0" borderId="3" xfId="5" applyNumberFormat="1" applyFont="1" applyBorder="1">
      <alignment vertical="center"/>
    </xf>
    <xf numFmtId="0" fontId="47" fillId="0" borderId="20" xfId="0" applyFont="1" applyBorder="1" applyAlignment="1">
      <alignment horizontal="center" vertical="center"/>
    </xf>
    <xf numFmtId="0" fontId="37" fillId="0" borderId="20" xfId="0" applyFont="1" applyBorder="1">
      <alignment vertical="center"/>
    </xf>
    <xf numFmtId="0" fontId="39" fillId="0" borderId="23" xfId="5" applyFont="1" applyBorder="1" applyAlignment="1">
      <alignment horizontal="center" vertical="center"/>
    </xf>
    <xf numFmtId="0" fontId="37" fillId="0" borderId="23" xfId="0" applyFont="1" applyBorder="1" applyAlignment="1">
      <alignment horizontal="center" vertical="center"/>
    </xf>
    <xf numFmtId="0" fontId="57" fillId="0" borderId="0" xfId="0" applyFont="1">
      <alignment vertical="center"/>
    </xf>
    <xf numFmtId="0" fontId="34" fillId="0" borderId="0" xfId="7" applyFont="1" applyAlignment="1">
      <alignment horizontal="left" vertical="center"/>
    </xf>
    <xf numFmtId="0" fontId="37" fillId="0" borderId="22" xfId="0" applyFont="1" applyBorder="1">
      <alignment vertical="center"/>
    </xf>
    <xf numFmtId="0" fontId="37" fillId="0" borderId="34" xfId="0" applyFont="1" applyBorder="1">
      <alignment vertical="center"/>
    </xf>
    <xf numFmtId="0" fontId="37" fillId="0" borderId="35" xfId="0" applyFont="1" applyBorder="1">
      <alignment vertical="center"/>
    </xf>
    <xf numFmtId="0" fontId="38" fillId="0" borderId="39" xfId="0" applyFont="1" applyBorder="1">
      <alignment vertical="center"/>
    </xf>
    <xf numFmtId="0" fontId="37" fillId="0" borderId="41" xfId="0" applyFont="1" applyBorder="1">
      <alignment vertical="center"/>
    </xf>
    <xf numFmtId="0" fontId="38" fillId="0" borderId="43" xfId="0" applyFont="1" applyBorder="1">
      <alignment vertical="center"/>
    </xf>
    <xf numFmtId="0" fontId="38" fillId="0" borderId="41" xfId="0" applyFont="1" applyBorder="1">
      <alignment vertical="center"/>
    </xf>
    <xf numFmtId="0" fontId="39" fillId="0" borderId="41" xfId="5" applyFont="1" applyBorder="1" applyAlignment="1">
      <alignment horizontal="right" vertical="center" wrapText="1"/>
    </xf>
    <xf numFmtId="0" fontId="37" fillId="0" borderId="34" xfId="0" applyFont="1" applyBorder="1" applyAlignment="1">
      <alignment horizontal="left" vertical="center"/>
    </xf>
    <xf numFmtId="0" fontId="37" fillId="0" borderId="34" xfId="0" applyFont="1" applyBorder="1" applyAlignment="1">
      <alignment horizontal="left" vertical="center" wrapText="1"/>
    </xf>
    <xf numFmtId="0" fontId="39" fillId="0" borderId="42" xfId="5" applyFont="1" applyBorder="1">
      <alignment vertical="center"/>
    </xf>
    <xf numFmtId="0" fontId="37" fillId="0" borderId="43" xfId="0" applyFont="1" applyBorder="1">
      <alignment vertical="center"/>
    </xf>
    <xf numFmtId="0" fontId="39" fillId="0" borderId="35" xfId="5" applyFont="1" applyBorder="1" applyAlignment="1">
      <alignment horizontal="center" vertical="center"/>
    </xf>
    <xf numFmtId="180" fontId="44" fillId="0" borderId="42" xfId="5" applyNumberFormat="1" applyFont="1" applyBorder="1" applyAlignment="1">
      <alignment horizontal="center" vertical="center"/>
    </xf>
    <xf numFmtId="0" fontId="50" fillId="0" borderId="42" xfId="0" applyFont="1" applyBorder="1">
      <alignment vertical="center"/>
    </xf>
    <xf numFmtId="0" fontId="39" fillId="0" borderId="44" xfId="5" applyFont="1" applyBorder="1" applyAlignment="1">
      <alignment horizontal="right" vertical="center"/>
    </xf>
    <xf numFmtId="179" fontId="37" fillId="0" borderId="42" xfId="0" applyNumberFormat="1" applyFont="1" applyBorder="1" applyAlignment="1">
      <alignment horizontal="left" vertical="center"/>
    </xf>
    <xf numFmtId="0" fontId="38" fillId="0" borderId="44" xfId="0" applyFont="1" applyBorder="1" applyAlignment="1">
      <alignment horizontal="right" vertical="center"/>
    </xf>
    <xf numFmtId="0" fontId="37" fillId="0" borderId="46" xfId="0" applyFont="1" applyBorder="1">
      <alignment vertical="center"/>
    </xf>
    <xf numFmtId="0" fontId="39" fillId="0" borderId="40" xfId="5" applyFont="1" applyBorder="1" applyAlignment="1">
      <alignment horizontal="center" vertical="center" wrapText="1"/>
    </xf>
    <xf numFmtId="178" fontId="39" fillId="0" borderId="42" xfId="5" applyNumberFormat="1" applyFont="1" applyBorder="1" applyAlignment="1">
      <alignment horizontal="center" vertical="center" wrapText="1"/>
    </xf>
    <xf numFmtId="0" fontId="39" fillId="0" borderId="42" xfId="5" applyFont="1" applyBorder="1" applyAlignment="1">
      <alignment horizontal="center" vertical="center" wrapText="1"/>
    </xf>
    <xf numFmtId="182" fontId="39" fillId="0" borderId="42" xfId="5" applyNumberFormat="1" applyFont="1" applyBorder="1" applyAlignment="1">
      <alignment horizontal="center" vertical="center" wrapText="1"/>
    </xf>
    <xf numFmtId="0" fontId="39" fillId="0" borderId="42" xfId="5" applyFont="1" applyBorder="1" applyAlignment="1">
      <alignment horizontal="center" vertical="center"/>
    </xf>
    <xf numFmtId="0" fontId="37" fillId="0" borderId="34" xfId="0" applyFont="1" applyBorder="1" applyAlignment="1">
      <alignment horizontal="center" vertical="center"/>
    </xf>
    <xf numFmtId="179" fontId="50" fillId="0" borderId="42" xfId="0" applyNumberFormat="1" applyFont="1" applyBorder="1" applyAlignment="1">
      <alignment horizontal="center" vertical="center"/>
    </xf>
    <xf numFmtId="0" fontId="39" fillId="0" borderId="45" xfId="5" applyFont="1" applyBorder="1" applyAlignment="1">
      <alignment horizontal="center" vertical="center"/>
    </xf>
    <xf numFmtId="180" fontId="39" fillId="0" borderId="35" xfId="5" applyNumberFormat="1" applyFont="1" applyBorder="1" applyAlignment="1">
      <alignment horizontal="center" vertical="center"/>
    </xf>
    <xf numFmtId="179" fontId="37" fillId="0" borderId="42" xfId="0" applyNumberFormat="1" applyFont="1" applyBorder="1" applyAlignment="1">
      <alignment horizontal="center" vertical="center"/>
    </xf>
    <xf numFmtId="185" fontId="39" fillId="0" borderId="0" xfId="5" applyNumberFormat="1" applyFont="1">
      <alignment vertical="center"/>
    </xf>
    <xf numFmtId="177" fontId="39" fillId="0" borderId="20" xfId="5" applyNumberFormat="1" applyFont="1" applyBorder="1" applyAlignment="1">
      <alignment horizontal="center" vertical="center" wrapText="1"/>
    </xf>
    <xf numFmtId="179" fontId="39" fillId="0" borderId="20" xfId="5" applyNumberFormat="1" applyFont="1" applyBorder="1" applyAlignment="1">
      <alignment horizontal="center" vertical="center" wrapText="1"/>
    </xf>
    <xf numFmtId="179" fontId="39" fillId="0" borderId="35" xfId="5" applyNumberFormat="1" applyFont="1" applyBorder="1" applyAlignment="1">
      <alignment horizontal="center" vertical="center" wrapText="1"/>
    </xf>
    <xf numFmtId="180" fontId="39" fillId="0" borderId="42" xfId="5" applyNumberFormat="1" applyFont="1" applyBorder="1" applyAlignment="1">
      <alignment horizontal="center" vertical="center"/>
    </xf>
    <xf numFmtId="184" fontId="39" fillId="0" borderId="42" xfId="5" applyNumberFormat="1" applyFont="1" applyBorder="1" applyAlignment="1">
      <alignment horizontal="center" vertical="center"/>
    </xf>
    <xf numFmtId="0" fontId="39" fillId="0" borderId="50" xfId="5" applyFont="1" applyBorder="1" applyAlignment="1">
      <alignment horizontal="right" vertical="center"/>
    </xf>
    <xf numFmtId="0" fontId="39" fillId="0" borderId="51" xfId="5" applyFont="1" applyBorder="1" applyAlignment="1">
      <alignment horizontal="center" vertical="center"/>
    </xf>
    <xf numFmtId="184" fontId="39" fillId="0" borderId="51" xfId="5" applyNumberFormat="1" applyFont="1" applyBorder="1" applyAlignment="1">
      <alignment horizontal="center" vertical="center"/>
    </xf>
    <xf numFmtId="14" fontId="0" fillId="0" borderId="0" xfId="0" applyNumberFormat="1" applyAlignment="1">
      <alignment horizontal="center" vertical="center"/>
    </xf>
    <xf numFmtId="181" fontId="39" fillId="0" borderId="42" xfId="5" applyNumberFormat="1" applyFont="1" applyBorder="1" applyAlignment="1">
      <alignment horizontal="center" vertical="center" wrapText="1"/>
    </xf>
    <xf numFmtId="0" fontId="44" fillId="0" borderId="42" xfId="5" applyFont="1" applyBorder="1" applyAlignment="1">
      <alignment horizontal="center" vertical="center" wrapText="1"/>
    </xf>
    <xf numFmtId="179" fontId="44" fillId="0" borderId="42" xfId="5" applyNumberFormat="1" applyFont="1" applyBorder="1" applyAlignment="1">
      <alignment horizontal="center" vertical="center" wrapText="1"/>
    </xf>
    <xf numFmtId="0" fontId="38" fillId="0" borderId="42" xfId="0" applyFont="1" applyBorder="1">
      <alignment vertical="center"/>
    </xf>
    <xf numFmtId="185" fontId="37" fillId="0" borderId="0" xfId="6" applyNumberFormat="1" applyFont="1" applyBorder="1">
      <alignment vertical="center"/>
    </xf>
    <xf numFmtId="0" fontId="39" fillId="0" borderId="34" xfId="5" applyFont="1" applyBorder="1" applyAlignment="1">
      <alignment horizontal="right" vertical="center" wrapText="1"/>
    </xf>
    <xf numFmtId="181" fontId="39" fillId="0" borderId="52" xfId="5" applyNumberFormat="1" applyFont="1" applyBorder="1" applyAlignment="1">
      <alignment horizontal="center" vertical="center" wrapText="1"/>
    </xf>
    <xf numFmtId="179" fontId="39" fillId="0" borderId="0" xfId="5" applyNumberFormat="1" applyFont="1" applyAlignment="1">
      <alignment horizontal="center" vertical="center" wrapText="1"/>
    </xf>
    <xf numFmtId="0" fontId="37" fillId="0" borderId="52" xfId="0" applyFont="1" applyBorder="1">
      <alignment vertical="center"/>
    </xf>
    <xf numFmtId="0" fontId="39" fillId="0" borderId="0" xfId="7" applyFont="1" applyAlignment="1">
      <alignment vertical="center"/>
    </xf>
    <xf numFmtId="0" fontId="39" fillId="0" borderId="0" xfId="0" applyFont="1" applyAlignment="1">
      <alignment horizontal="center" vertical="center" wrapText="1"/>
    </xf>
    <xf numFmtId="0" fontId="39" fillId="0" borderId="0" xfId="0" applyFont="1" applyAlignment="1">
      <alignment horizontal="center" vertical="center"/>
    </xf>
    <xf numFmtId="0" fontId="39" fillId="0" borderId="0" xfId="1" applyFont="1" applyAlignment="1">
      <alignment horizontal="center" vertical="center"/>
    </xf>
    <xf numFmtId="0" fontId="39" fillId="0" borderId="0" xfId="7" applyFont="1" applyAlignment="1">
      <alignment horizontal="center" vertical="center"/>
    </xf>
    <xf numFmtId="0" fontId="61" fillId="0" borderId="0" xfId="7" applyFont="1" applyAlignment="1">
      <alignment horizontal="left" vertical="center"/>
    </xf>
    <xf numFmtId="0" fontId="37" fillId="0" borderId="0" xfId="1" applyFont="1" applyAlignment="1">
      <alignment horizontal="center" vertical="center"/>
    </xf>
    <xf numFmtId="178" fontId="39" fillId="0" borderId="0" xfId="0" applyNumberFormat="1" applyFont="1" applyAlignment="1">
      <alignment horizontal="right" vertical="center"/>
    </xf>
    <xf numFmtId="178" fontId="39" fillId="3" borderId="0" xfId="0" applyNumberFormat="1" applyFont="1" applyFill="1" applyAlignment="1">
      <alignment horizontal="right" vertical="center"/>
    </xf>
    <xf numFmtId="0" fontId="44" fillId="0" borderId="0" xfId="7" applyFont="1" applyAlignment="1">
      <alignment horizontal="left" vertical="center"/>
    </xf>
    <xf numFmtId="178" fontId="39" fillId="3" borderId="26" xfId="0" applyNumberFormat="1" applyFont="1" applyFill="1" applyBorder="1" applyAlignment="1">
      <alignment horizontal="right" vertical="center"/>
    </xf>
    <xf numFmtId="178" fontId="39" fillId="3" borderId="27" xfId="0" applyNumberFormat="1" applyFont="1" applyFill="1" applyBorder="1" applyAlignment="1">
      <alignment horizontal="right" vertical="center"/>
    </xf>
    <xf numFmtId="178" fontId="39" fillId="3" borderId="28" xfId="0" applyNumberFormat="1" applyFont="1" applyFill="1" applyBorder="1" applyAlignment="1">
      <alignment horizontal="right" vertical="center"/>
    </xf>
    <xf numFmtId="178" fontId="44" fillId="0" borderId="0" xfId="0" applyNumberFormat="1" applyFont="1" applyAlignment="1">
      <alignment horizontal="right" vertical="center"/>
    </xf>
    <xf numFmtId="0" fontId="44" fillId="0" borderId="0" xfId="7" applyFont="1" applyAlignment="1">
      <alignment horizontal="center" vertical="center"/>
    </xf>
    <xf numFmtId="178" fontId="39" fillId="4" borderId="0" xfId="0" applyNumberFormat="1" applyFont="1" applyFill="1" applyAlignment="1">
      <alignment horizontal="right" vertical="center"/>
    </xf>
    <xf numFmtId="178" fontId="39" fillId="5" borderId="0" xfId="0" applyNumberFormat="1" applyFont="1" applyFill="1" applyAlignment="1">
      <alignment horizontal="right" vertical="center"/>
    </xf>
    <xf numFmtId="0" fontId="44" fillId="0" borderId="0" xfId="0" applyFont="1" applyAlignment="1">
      <alignment horizontal="center" vertical="center" wrapText="1"/>
    </xf>
    <xf numFmtId="178" fontId="55" fillId="0" borderId="0" xfId="0" applyNumberFormat="1" applyFont="1" applyAlignment="1">
      <alignment horizontal="right" vertical="center"/>
    </xf>
    <xf numFmtId="0" fontId="55" fillId="0" borderId="0" xfId="0" applyFont="1" applyAlignment="1">
      <alignment horizontal="center" vertical="center" wrapText="1"/>
    </xf>
    <xf numFmtId="0" fontId="62" fillId="0" borderId="0" xfId="0" applyFont="1" applyAlignment="1">
      <alignment horizontal="center" vertical="center" wrapText="1"/>
    </xf>
    <xf numFmtId="0" fontId="39" fillId="0" borderId="0" xfId="0" applyFont="1" applyAlignment="1">
      <alignment horizontal="right" vertical="center"/>
    </xf>
    <xf numFmtId="0" fontId="55" fillId="0" borderId="0" xfId="0" applyFont="1" applyAlignment="1">
      <alignment horizontal="center" vertical="center"/>
    </xf>
    <xf numFmtId="12" fontId="44" fillId="0" borderId="42" xfId="5" applyNumberFormat="1" applyFont="1" applyBorder="1" applyAlignment="1">
      <alignment horizontal="center" vertical="center"/>
    </xf>
    <xf numFmtId="184" fontId="37" fillId="0" borderId="0" xfId="0" applyNumberFormat="1" applyFont="1">
      <alignment vertical="center"/>
    </xf>
    <xf numFmtId="0" fontId="37" fillId="0" borderId="35" xfId="0" applyFont="1" applyBorder="1" applyAlignment="1">
      <alignment horizontal="center" vertical="center"/>
    </xf>
    <xf numFmtId="0" fontId="37" fillId="0" borderId="53" xfId="0" applyFont="1" applyBorder="1" applyAlignment="1">
      <alignment horizontal="center" vertical="center"/>
    </xf>
    <xf numFmtId="180" fontId="39" fillId="0" borderId="53" xfId="5" applyNumberFormat="1" applyFont="1" applyBorder="1" applyAlignment="1">
      <alignment horizontal="center" vertical="center"/>
    </xf>
    <xf numFmtId="0" fontId="37" fillId="0" borderId="51" xfId="0" applyFont="1" applyBorder="1" applyAlignment="1">
      <alignment horizontal="center" vertical="center"/>
    </xf>
    <xf numFmtId="180" fontId="44" fillId="0" borderId="51" xfId="5" applyNumberFormat="1" applyFont="1" applyBorder="1" applyAlignment="1">
      <alignment horizontal="center" vertical="center"/>
    </xf>
    <xf numFmtId="0" fontId="39" fillId="0" borderId="54" xfId="5" applyFont="1" applyBorder="1" applyAlignment="1">
      <alignment horizontal="right" vertical="center"/>
    </xf>
    <xf numFmtId="0" fontId="37" fillId="0" borderId="54" xfId="0" applyFont="1" applyBorder="1">
      <alignment vertical="center"/>
    </xf>
    <xf numFmtId="0" fontId="38" fillId="0" borderId="54" xfId="0" applyFont="1" applyBorder="1" applyAlignment="1">
      <alignment horizontal="right" vertical="center"/>
    </xf>
    <xf numFmtId="178" fontId="62" fillId="0" borderId="0" xfId="0" applyNumberFormat="1" applyFont="1" applyAlignment="1">
      <alignment horizontal="right" vertical="center"/>
    </xf>
    <xf numFmtId="0" fontId="62" fillId="0" borderId="0" xfId="1" applyFont="1" applyAlignment="1">
      <alignment horizontal="center" vertical="center"/>
    </xf>
    <xf numFmtId="0" fontId="62" fillId="0" borderId="0" xfId="7" applyFont="1" applyAlignment="1">
      <alignment horizontal="center" vertical="center"/>
    </xf>
    <xf numFmtId="0" fontId="62" fillId="0" borderId="0" xfId="0" applyFont="1" applyAlignment="1">
      <alignment horizontal="center" vertical="center"/>
    </xf>
    <xf numFmtId="178" fontId="62" fillId="3" borderId="0" xfId="0" applyNumberFormat="1" applyFont="1" applyFill="1" applyAlignment="1">
      <alignment horizontal="right" vertical="center"/>
    </xf>
    <xf numFmtId="0" fontId="55" fillId="0" borderId="0" xfId="7" applyFont="1" applyAlignment="1">
      <alignment horizontal="left" vertical="center"/>
    </xf>
    <xf numFmtId="0" fontId="62" fillId="0" borderId="0" xfId="7" applyFont="1" applyAlignment="1">
      <alignment vertical="center"/>
    </xf>
    <xf numFmtId="0" fontId="39" fillId="3" borderId="35" xfId="5" applyFont="1" applyFill="1" applyBorder="1" applyAlignment="1">
      <alignment horizontal="center" vertical="center" wrapText="1"/>
    </xf>
    <xf numFmtId="179" fontId="50" fillId="0" borderId="29" xfId="0" applyNumberFormat="1" applyFont="1" applyBorder="1" applyAlignment="1">
      <alignment horizontal="center" vertical="center"/>
    </xf>
    <xf numFmtId="0" fontId="64" fillId="12" borderId="20" xfId="0" applyFont="1" applyFill="1" applyBorder="1" applyAlignment="1" applyProtection="1">
      <alignment horizontal="center" vertical="center"/>
      <protection locked="0"/>
    </xf>
    <xf numFmtId="0" fontId="64" fillId="12" borderId="32" xfId="0" applyFont="1" applyFill="1" applyBorder="1" applyAlignment="1" applyProtection="1">
      <alignment horizontal="center" vertical="center"/>
      <protection locked="0"/>
    </xf>
    <xf numFmtId="0" fontId="64" fillId="12" borderId="31" xfId="0" applyFont="1" applyFill="1" applyBorder="1" applyAlignment="1" applyProtection="1">
      <alignment horizontal="center" vertical="center"/>
      <protection locked="0"/>
    </xf>
    <xf numFmtId="0" fontId="64" fillId="12" borderId="34" xfId="0" applyFont="1" applyFill="1" applyBorder="1" applyAlignment="1" applyProtection="1">
      <alignment horizontal="center" vertical="center"/>
      <protection locked="0"/>
    </xf>
    <xf numFmtId="0" fontId="37" fillId="0" borderId="42" xfId="0" applyFont="1" applyBorder="1">
      <alignment vertical="center"/>
    </xf>
    <xf numFmtId="0" fontId="60" fillId="0" borderId="46" xfId="0" applyFont="1" applyBorder="1" applyAlignment="1">
      <alignment horizontal="right"/>
    </xf>
    <xf numFmtId="179" fontId="37" fillId="0" borderId="0" xfId="0" applyNumberFormat="1" applyFont="1" applyAlignment="1">
      <alignment horizontal="left" vertical="center"/>
    </xf>
    <xf numFmtId="0" fontId="39" fillId="0" borderId="0" xfId="5" applyFont="1">
      <alignment vertical="center"/>
    </xf>
    <xf numFmtId="0" fontId="37" fillId="0" borderId="20" xfId="0" applyFont="1" applyBorder="1" applyAlignment="1">
      <alignment horizontal="center" vertical="center"/>
    </xf>
    <xf numFmtId="0" fontId="43" fillId="0" borderId="34" xfId="5" applyFont="1" applyBorder="1" applyAlignment="1">
      <alignment horizontal="center" vertical="center" wrapText="1"/>
    </xf>
    <xf numFmtId="0" fontId="43" fillId="12" borderId="34" xfId="5" applyFont="1" applyFill="1" applyBorder="1" applyAlignment="1">
      <alignment horizontal="center" vertical="center" wrapText="1"/>
    </xf>
    <xf numFmtId="0" fontId="43" fillId="12" borderId="20" xfId="5" applyFont="1" applyFill="1" applyBorder="1" applyAlignment="1">
      <alignment horizontal="center" vertical="center" wrapText="1"/>
    </xf>
    <xf numFmtId="187" fontId="65" fillId="12" borderId="20" xfId="0" applyNumberFormat="1" applyFont="1" applyFill="1" applyBorder="1" applyAlignment="1">
      <alignment horizontal="center" vertical="center"/>
    </xf>
    <xf numFmtId="0" fontId="66" fillId="12" borderId="23" xfId="5" applyFont="1" applyFill="1" applyBorder="1" applyAlignment="1">
      <alignment horizontal="center" vertical="center"/>
    </xf>
    <xf numFmtId="178" fontId="66" fillId="12" borderId="23" xfId="5" applyNumberFormat="1" applyFont="1" applyFill="1" applyBorder="1" applyAlignment="1">
      <alignment horizontal="center" vertical="center"/>
    </xf>
    <xf numFmtId="180" fontId="43" fillId="0" borderId="20" xfId="5" applyNumberFormat="1" applyFont="1" applyBorder="1" applyAlignment="1">
      <alignment horizontal="center" vertical="center"/>
    </xf>
    <xf numFmtId="0" fontId="43" fillId="0" borderId="20" xfId="5" applyFont="1" applyBorder="1" applyAlignment="1">
      <alignment horizontal="center" vertical="center"/>
    </xf>
    <xf numFmtId="0" fontId="43" fillId="0" borderId="20" xfId="5" applyFont="1" applyBorder="1" applyAlignment="1">
      <alignment horizontal="center" vertical="center" wrapText="1"/>
    </xf>
    <xf numFmtId="0" fontId="37" fillId="0" borderId="1" xfId="0" applyFont="1" applyBorder="1" applyAlignment="1">
      <alignment horizontal="center" vertical="center"/>
    </xf>
    <xf numFmtId="2" fontId="39" fillId="3" borderId="32" xfId="5" applyNumberFormat="1" applyFont="1" applyFill="1" applyBorder="1" applyAlignment="1">
      <alignment horizontal="center" vertical="center" wrapText="1"/>
    </xf>
    <xf numFmtId="0" fontId="37" fillId="0" borderId="44" xfId="0" applyFont="1" applyBorder="1">
      <alignment vertical="center"/>
    </xf>
    <xf numFmtId="1" fontId="37" fillId="0" borderId="44" xfId="0" applyNumberFormat="1" applyFont="1" applyBorder="1">
      <alignment vertical="center"/>
    </xf>
    <xf numFmtId="0" fontId="37" fillId="0" borderId="48" xfId="0" applyFont="1" applyBorder="1">
      <alignment vertical="center"/>
    </xf>
    <xf numFmtId="179" fontId="39" fillId="0" borderId="55" xfId="0" applyNumberFormat="1" applyFont="1" applyBorder="1" applyAlignment="1">
      <alignment horizontal="center" vertical="center"/>
    </xf>
    <xf numFmtId="0" fontId="37" fillId="0" borderId="45" xfId="0" applyFont="1" applyBorder="1">
      <alignment vertical="center"/>
    </xf>
    <xf numFmtId="0" fontId="37" fillId="0" borderId="56" xfId="0" applyFont="1" applyBorder="1" applyAlignment="1">
      <alignment horizontal="right" vertical="center"/>
    </xf>
    <xf numFmtId="0" fontId="0" fillId="0" borderId="57" xfId="0" applyBorder="1">
      <alignment vertical="center"/>
    </xf>
    <xf numFmtId="0" fontId="0" fillId="0" borderId="58" xfId="0" applyBorder="1">
      <alignment vertical="center"/>
    </xf>
    <xf numFmtId="0" fontId="0" fillId="0" borderId="59" xfId="0" applyBorder="1">
      <alignment vertical="center"/>
    </xf>
    <xf numFmtId="14" fontId="0" fillId="0" borderId="60" xfId="0" applyNumberFormat="1" applyBorder="1" applyAlignment="1">
      <alignment horizontal="center" vertical="center"/>
    </xf>
    <xf numFmtId="0" fontId="37" fillId="0" borderId="60" xfId="0" applyFont="1" applyBorder="1" applyAlignment="1">
      <alignment horizontal="center" vertical="center"/>
    </xf>
    <xf numFmtId="0" fontId="37" fillId="0" borderId="61" xfId="0" applyFont="1" applyBorder="1" applyAlignment="1">
      <alignment horizontal="center" vertical="center"/>
    </xf>
    <xf numFmtId="0" fontId="43" fillId="0" borderId="32" xfId="5" applyFont="1" applyBorder="1" applyAlignment="1">
      <alignment horizontal="center" vertical="center" wrapText="1"/>
    </xf>
    <xf numFmtId="0" fontId="43" fillId="0" borderId="33" xfId="5" applyFont="1" applyBorder="1" applyAlignment="1">
      <alignment horizontal="center" vertical="center" wrapText="1"/>
    </xf>
    <xf numFmtId="0" fontId="66" fillId="0" borderId="20" xfId="5" applyFont="1" applyBorder="1" applyAlignment="1">
      <alignment horizontal="center" vertical="center" wrapText="1"/>
    </xf>
    <xf numFmtId="0" fontId="66" fillId="0" borderId="35" xfId="5" applyFont="1" applyBorder="1" applyAlignment="1">
      <alignment horizontal="center" vertical="center" wrapText="1"/>
    </xf>
    <xf numFmtId="0" fontId="43" fillId="0" borderId="35" xfId="5" applyFont="1" applyBorder="1" applyAlignment="1">
      <alignment horizontal="center" vertical="center" wrapText="1"/>
    </xf>
    <xf numFmtId="0" fontId="39" fillId="0" borderId="45" xfId="0" applyFont="1" applyBorder="1" applyAlignment="1">
      <alignment horizontal="center" vertical="center"/>
    </xf>
    <xf numFmtId="2" fontId="37" fillId="0" borderId="45" xfId="0" applyNumberFormat="1" applyFont="1" applyBorder="1">
      <alignment vertical="center"/>
    </xf>
    <xf numFmtId="180" fontId="43" fillId="0" borderId="35" xfId="5" applyNumberFormat="1" applyFont="1" applyBorder="1" applyAlignment="1">
      <alignment horizontal="center" vertical="center"/>
    </xf>
    <xf numFmtId="0" fontId="37" fillId="0" borderId="42" xfId="0" applyFont="1" applyBorder="1" applyAlignment="1">
      <alignment horizontal="center" vertical="center"/>
    </xf>
    <xf numFmtId="0" fontId="37" fillId="0" borderId="3" xfId="0" applyFont="1" applyBorder="1">
      <alignment vertical="center"/>
    </xf>
    <xf numFmtId="0" fontId="37" fillId="0" borderId="49" xfId="0" applyFont="1" applyBorder="1" applyAlignment="1">
      <alignment horizontal="left" vertical="center"/>
    </xf>
    <xf numFmtId="0" fontId="37" fillId="0" borderId="30" xfId="0" applyFont="1" applyBorder="1">
      <alignment vertical="center"/>
    </xf>
    <xf numFmtId="180" fontId="66" fillId="12" borderId="23" xfId="5" applyNumberFormat="1" applyFont="1" applyFill="1" applyBorder="1" applyAlignment="1">
      <alignment horizontal="center" vertical="center"/>
    </xf>
    <xf numFmtId="180" fontId="66" fillId="12" borderId="20" xfId="5" applyNumberFormat="1" applyFont="1" applyFill="1" applyBorder="1" applyAlignment="1">
      <alignment horizontal="center" vertical="center"/>
    </xf>
    <xf numFmtId="0" fontId="37" fillId="0" borderId="50" xfId="0" applyFont="1" applyBorder="1" applyAlignment="1">
      <alignment horizontal="right" vertical="center"/>
    </xf>
    <xf numFmtId="181" fontId="43" fillId="13" borderId="20" xfId="5" applyNumberFormat="1" applyFont="1" applyFill="1" applyBorder="1" applyAlignment="1">
      <alignment horizontal="center" vertical="center" wrapText="1"/>
    </xf>
    <xf numFmtId="181" fontId="43" fillId="13" borderId="35" xfId="5" applyNumberFormat="1" applyFont="1" applyFill="1" applyBorder="1" applyAlignment="1">
      <alignment horizontal="center" vertical="center" wrapText="1"/>
    </xf>
    <xf numFmtId="186" fontId="43" fillId="13" borderId="20" xfId="5" applyNumberFormat="1" applyFont="1" applyFill="1" applyBorder="1" applyAlignment="1">
      <alignment horizontal="center" vertical="center" wrapText="1"/>
    </xf>
    <xf numFmtId="186" fontId="43" fillId="13" borderId="35" xfId="5" applyNumberFormat="1" applyFont="1" applyFill="1" applyBorder="1" applyAlignment="1">
      <alignment horizontal="center" vertical="center" wrapText="1"/>
    </xf>
    <xf numFmtId="186" fontId="66" fillId="13" borderId="20" xfId="5" applyNumberFormat="1" applyFont="1" applyFill="1" applyBorder="1" applyAlignment="1">
      <alignment horizontal="center" vertical="center" wrapText="1"/>
    </xf>
    <xf numFmtId="181" fontId="39" fillId="13" borderId="20" xfId="5" applyNumberFormat="1" applyFont="1" applyFill="1" applyBorder="1" applyAlignment="1">
      <alignment horizontal="center" vertical="center" wrapText="1"/>
    </xf>
    <xf numFmtId="186" fontId="43" fillId="13" borderId="22" xfId="5" applyNumberFormat="1" applyFont="1" applyFill="1" applyBorder="1" applyAlignment="1">
      <alignment horizontal="center" vertical="center" wrapText="1"/>
    </xf>
    <xf numFmtId="179" fontId="72" fillId="0" borderId="0" xfId="0" applyNumberFormat="1" applyFont="1" applyAlignment="1">
      <alignment horizontal="right" vertical="center"/>
    </xf>
    <xf numFmtId="184" fontId="37" fillId="0" borderId="42" xfId="0" applyNumberFormat="1" applyFont="1" applyBorder="1">
      <alignment vertical="center"/>
    </xf>
    <xf numFmtId="0" fontId="37" fillId="0" borderId="44" xfId="0" applyFont="1" applyBorder="1" applyAlignment="1">
      <alignment horizontal="center" vertical="center"/>
    </xf>
    <xf numFmtId="180" fontId="39" fillId="0" borderId="44" xfId="5" applyNumberFormat="1" applyFont="1" applyBorder="1" applyAlignment="1">
      <alignment horizontal="center" vertical="center"/>
    </xf>
    <xf numFmtId="180" fontId="44" fillId="0" borderId="44" xfId="5" applyNumberFormat="1" applyFont="1" applyBorder="1" applyAlignment="1">
      <alignment horizontal="center" vertical="center"/>
    </xf>
    <xf numFmtId="0" fontId="50" fillId="0" borderId="44" xfId="0" applyFont="1" applyBorder="1">
      <alignment vertical="center"/>
    </xf>
    <xf numFmtId="0" fontId="39" fillId="0" borderId="44" xfId="5" applyFont="1" applyBorder="1" applyAlignment="1">
      <alignment horizontal="center" vertical="center" wrapText="1"/>
    </xf>
    <xf numFmtId="0" fontId="47" fillId="0" borderId="35" xfId="0" applyFont="1" applyBorder="1" applyAlignment="1">
      <alignment horizontal="center" vertical="center"/>
    </xf>
    <xf numFmtId="180" fontId="66" fillId="12" borderId="35" xfId="5" applyNumberFormat="1" applyFont="1" applyFill="1" applyBorder="1" applyAlignment="1">
      <alignment horizontal="center" vertical="center"/>
    </xf>
    <xf numFmtId="0" fontId="43" fillId="0" borderId="40" xfId="5" applyFont="1" applyBorder="1" applyAlignment="1">
      <alignment horizontal="center" vertical="center" wrapText="1"/>
    </xf>
    <xf numFmtId="181" fontId="43" fillId="13" borderId="42" xfId="5" applyNumberFormat="1" applyFont="1" applyFill="1" applyBorder="1" applyAlignment="1">
      <alignment horizontal="center" vertical="center" wrapText="1"/>
    </xf>
    <xf numFmtId="0" fontId="43" fillId="0" borderId="42" xfId="5" applyFont="1" applyBorder="1" applyAlignment="1">
      <alignment horizontal="center" vertical="center" wrapText="1"/>
    </xf>
    <xf numFmtId="0" fontId="66" fillId="0" borderId="42" xfId="5" applyFont="1" applyBorder="1" applyAlignment="1">
      <alignment horizontal="center" vertical="center" wrapText="1"/>
    </xf>
    <xf numFmtId="186" fontId="43" fillId="13" borderId="42" xfId="5" applyNumberFormat="1" applyFont="1" applyFill="1" applyBorder="1" applyAlignment="1">
      <alignment horizontal="center" vertical="center" wrapText="1"/>
    </xf>
    <xf numFmtId="0" fontId="43" fillId="0" borderId="53" xfId="5" applyFont="1" applyBorder="1" applyAlignment="1">
      <alignment horizontal="center" vertical="center"/>
    </xf>
    <xf numFmtId="186" fontId="43" fillId="13" borderId="51" xfId="5" applyNumberFormat="1" applyFont="1" applyFill="1" applyBorder="1" applyAlignment="1">
      <alignment horizontal="center" vertical="center" wrapText="1"/>
    </xf>
    <xf numFmtId="180" fontId="43" fillId="0" borderId="51" xfId="5" applyNumberFormat="1" applyFont="1" applyBorder="1" applyAlignment="1">
      <alignment horizontal="center" vertical="center"/>
    </xf>
    <xf numFmtId="186" fontId="43" fillId="13" borderId="62" xfId="5" applyNumberFormat="1" applyFont="1" applyFill="1" applyBorder="1" applyAlignment="1">
      <alignment horizontal="center" vertical="center" wrapText="1"/>
    </xf>
    <xf numFmtId="186" fontId="43" fillId="13" borderId="63" xfId="5" applyNumberFormat="1" applyFont="1" applyFill="1" applyBorder="1" applyAlignment="1">
      <alignment horizontal="center" vertical="center" wrapText="1"/>
    </xf>
    <xf numFmtId="0" fontId="39" fillId="0" borderId="64" xfId="5" applyFont="1" applyBorder="1" applyAlignment="1">
      <alignment horizontal="center" vertical="center"/>
    </xf>
    <xf numFmtId="0" fontId="39" fillId="0" borderId="65" xfId="5" applyFont="1" applyBorder="1" applyAlignment="1">
      <alignment horizontal="center" vertical="center"/>
    </xf>
    <xf numFmtId="180" fontId="43" fillId="0" borderId="31" xfId="5" applyNumberFormat="1" applyFont="1" applyBorder="1" applyAlignment="1">
      <alignment horizontal="center" vertical="center"/>
    </xf>
    <xf numFmtId="180" fontId="43" fillId="0" borderId="34" xfId="5" applyNumberFormat="1" applyFont="1" applyBorder="1" applyAlignment="1">
      <alignment horizontal="center" vertical="center"/>
    </xf>
    <xf numFmtId="0" fontId="43" fillId="0" borderId="36" xfId="5" applyFont="1" applyBorder="1" applyAlignment="1">
      <alignment horizontal="center" vertical="center"/>
    </xf>
    <xf numFmtId="186" fontId="43" fillId="13" borderId="38" xfId="5" applyNumberFormat="1" applyFont="1" applyFill="1" applyBorder="1" applyAlignment="1">
      <alignment horizontal="center" vertical="center" wrapText="1"/>
    </xf>
    <xf numFmtId="180" fontId="66" fillId="12" borderId="33" xfId="5" applyNumberFormat="1" applyFont="1" applyFill="1" applyBorder="1" applyAlignment="1">
      <alignment horizontal="center" vertical="center"/>
    </xf>
    <xf numFmtId="0" fontId="37" fillId="0" borderId="64" xfId="0" applyFont="1" applyBorder="1" applyAlignment="1">
      <alignment horizontal="center" vertical="center"/>
    </xf>
    <xf numFmtId="180" fontId="39" fillId="0" borderId="39" xfId="5" applyNumberFormat="1" applyFont="1" applyBorder="1" applyAlignment="1">
      <alignment horizontal="center" vertical="center"/>
    </xf>
    <xf numFmtId="0" fontId="43" fillId="0" borderId="32" xfId="5" applyFont="1" applyBorder="1" applyAlignment="1">
      <alignment horizontal="center" vertical="center"/>
    </xf>
    <xf numFmtId="0" fontId="39" fillId="0" borderId="33" xfId="5" applyFont="1" applyBorder="1" applyAlignment="1">
      <alignment horizontal="center" vertical="center"/>
    </xf>
    <xf numFmtId="12" fontId="43" fillId="13" borderId="36" xfId="5" applyNumberFormat="1" applyFont="1" applyFill="1" applyBorder="1" applyAlignment="1">
      <alignment horizontal="center" vertical="center" wrapText="1"/>
    </xf>
    <xf numFmtId="186" fontId="43" fillId="13" borderId="37" xfId="5" applyNumberFormat="1" applyFont="1" applyFill="1" applyBorder="1" applyAlignment="1">
      <alignment horizontal="center" vertical="center" wrapText="1"/>
    </xf>
    <xf numFmtId="0" fontId="37" fillId="0" borderId="4" xfId="0" applyFont="1" applyBorder="1" applyAlignment="1">
      <alignment horizontal="center" vertical="center"/>
    </xf>
    <xf numFmtId="180" fontId="39" fillId="0" borderId="22" xfId="5" applyNumberFormat="1" applyFont="1" applyBorder="1" applyAlignment="1">
      <alignment horizontal="center" vertical="center"/>
    </xf>
    <xf numFmtId="0" fontId="37" fillId="0" borderId="22" xfId="0" applyFont="1" applyBorder="1" applyAlignment="1">
      <alignment horizontal="center" vertical="center"/>
    </xf>
    <xf numFmtId="186" fontId="43" fillId="13" borderId="53" xfId="5" applyNumberFormat="1" applyFont="1" applyFill="1" applyBorder="1" applyAlignment="1">
      <alignment horizontal="center" vertical="center" wrapText="1"/>
    </xf>
    <xf numFmtId="0" fontId="39" fillId="0" borderId="53" xfId="5" applyFont="1" applyBorder="1" applyAlignment="1">
      <alignment horizontal="center" vertical="center"/>
    </xf>
    <xf numFmtId="186" fontId="43" fillId="13" borderId="66" xfId="5" applyNumberFormat="1" applyFont="1" applyFill="1" applyBorder="1" applyAlignment="1">
      <alignment horizontal="center" vertical="center" wrapText="1"/>
    </xf>
    <xf numFmtId="179" fontId="50" fillId="0" borderId="25" xfId="0" applyNumberFormat="1" applyFont="1" applyBorder="1" applyAlignment="1">
      <alignment horizontal="center" vertical="center"/>
    </xf>
    <xf numFmtId="0" fontId="37" fillId="0" borderId="24" xfId="0" applyFont="1" applyBorder="1">
      <alignment vertical="center"/>
    </xf>
    <xf numFmtId="179" fontId="37" fillId="0" borderId="24" xfId="0" applyNumberFormat="1" applyFont="1" applyBorder="1" applyAlignment="1">
      <alignment horizontal="center" vertical="center"/>
    </xf>
    <xf numFmtId="0" fontId="37" fillId="0" borderId="24" xfId="0" applyFont="1" applyBorder="1" applyAlignment="1">
      <alignment horizontal="center" vertical="center"/>
    </xf>
    <xf numFmtId="0" fontId="47" fillId="0" borderId="24" xfId="0" applyFont="1" applyBorder="1">
      <alignment vertical="center"/>
    </xf>
    <xf numFmtId="186" fontId="44" fillId="13" borderId="20" xfId="5" applyNumberFormat="1" applyFont="1" applyFill="1" applyBorder="1" applyAlignment="1">
      <alignment horizontal="center" vertical="center" wrapText="1"/>
    </xf>
    <xf numFmtId="186" fontId="39" fillId="13" borderId="20" xfId="5" applyNumberFormat="1" applyFont="1" applyFill="1" applyBorder="1" applyAlignment="1">
      <alignment horizontal="center" vertical="center" wrapText="1"/>
    </xf>
    <xf numFmtId="178" fontId="39" fillId="12" borderId="23" xfId="5" applyNumberFormat="1" applyFont="1" applyFill="1" applyBorder="1" applyAlignment="1">
      <alignment horizontal="center" vertical="center"/>
    </xf>
    <xf numFmtId="179" fontId="50" fillId="0" borderId="0" xfId="0" applyNumberFormat="1" applyFont="1" applyAlignment="1">
      <alignment horizontal="center" vertical="center"/>
    </xf>
    <xf numFmtId="178" fontId="39" fillId="12" borderId="20" xfId="5" applyNumberFormat="1" applyFont="1" applyFill="1" applyBorder="1" applyAlignment="1">
      <alignment horizontal="center" vertical="center"/>
    </xf>
    <xf numFmtId="186" fontId="39" fillId="13" borderId="23" xfId="5" applyNumberFormat="1" applyFont="1" applyFill="1" applyBorder="1" applyAlignment="1">
      <alignment horizontal="center" vertical="center" wrapText="1"/>
    </xf>
    <xf numFmtId="178" fontId="44" fillId="12" borderId="20" xfId="5" applyNumberFormat="1" applyFont="1" applyFill="1" applyBorder="1" applyAlignment="1">
      <alignment horizontal="center" vertical="center"/>
    </xf>
    <xf numFmtId="180" fontId="44" fillId="12" borderId="23" xfId="5" applyNumberFormat="1" applyFont="1" applyFill="1" applyBorder="1" applyAlignment="1">
      <alignment horizontal="center" vertical="center"/>
    </xf>
    <xf numFmtId="0" fontId="47" fillId="0" borderId="24" xfId="0" applyFont="1" applyBorder="1" applyAlignment="1">
      <alignment horizontal="center" vertical="center" wrapText="1"/>
    </xf>
    <xf numFmtId="180" fontId="0" fillId="0" borderId="0" xfId="0" applyNumberFormat="1">
      <alignment vertical="center"/>
    </xf>
    <xf numFmtId="185" fontId="55" fillId="0" borderId="0" xfId="6" applyNumberFormat="1" applyFont="1" applyBorder="1">
      <alignment vertical="center"/>
    </xf>
    <xf numFmtId="185" fontId="55" fillId="0" borderId="0" xfId="5" applyNumberFormat="1" applyFont="1">
      <alignment vertical="center"/>
    </xf>
    <xf numFmtId="0" fontId="55" fillId="0" borderId="0" xfId="5" applyFont="1">
      <alignment vertical="center"/>
    </xf>
    <xf numFmtId="0" fontId="39" fillId="14" borderId="0" xfId="0" applyFont="1" applyFill="1" applyAlignment="1">
      <alignment horizontal="center" vertical="center"/>
    </xf>
    <xf numFmtId="0" fontId="37" fillId="8" borderId="20" xfId="0" applyFont="1" applyFill="1" applyBorder="1">
      <alignment vertical="center"/>
    </xf>
    <xf numFmtId="2" fontId="37" fillId="8" borderId="20" xfId="0" applyNumberFormat="1" applyFont="1" applyFill="1" applyBorder="1">
      <alignment vertical="center"/>
    </xf>
    <xf numFmtId="2" fontId="38" fillId="8" borderId="20" xfId="0" applyNumberFormat="1" applyFont="1" applyFill="1" applyBorder="1">
      <alignment vertical="center"/>
    </xf>
    <xf numFmtId="0" fontId="38" fillId="8" borderId="20" xfId="0" applyFont="1" applyFill="1" applyBorder="1">
      <alignment vertical="center"/>
    </xf>
    <xf numFmtId="0" fontId="37" fillId="6" borderId="20" xfId="0" applyFont="1" applyFill="1" applyBorder="1">
      <alignment vertical="center"/>
    </xf>
    <xf numFmtId="0" fontId="37" fillId="6" borderId="22" xfId="0" applyFont="1" applyFill="1" applyBorder="1">
      <alignment vertical="center"/>
    </xf>
    <xf numFmtId="2" fontId="38" fillId="6" borderId="20" xfId="0" applyNumberFormat="1" applyFont="1" applyFill="1" applyBorder="1">
      <alignment vertical="center"/>
    </xf>
    <xf numFmtId="2" fontId="38" fillId="6" borderId="22" xfId="0" applyNumberFormat="1" applyFont="1" applyFill="1" applyBorder="1">
      <alignment vertical="center"/>
    </xf>
    <xf numFmtId="2" fontId="37" fillId="6" borderId="20" xfId="0" applyNumberFormat="1" applyFont="1" applyFill="1" applyBorder="1">
      <alignment vertical="center"/>
    </xf>
    <xf numFmtId="2" fontId="37" fillId="6" borderId="22" xfId="0" applyNumberFormat="1" applyFont="1" applyFill="1" applyBorder="1">
      <alignment vertical="center"/>
    </xf>
    <xf numFmtId="0" fontId="37" fillId="6" borderId="23" xfId="0" applyFont="1" applyFill="1" applyBorder="1">
      <alignment vertical="center"/>
    </xf>
    <xf numFmtId="2" fontId="37" fillId="6" borderId="23" xfId="0" applyNumberFormat="1" applyFont="1" applyFill="1" applyBorder="1">
      <alignment vertical="center"/>
    </xf>
    <xf numFmtId="0" fontId="38" fillId="6" borderId="20" xfId="0" applyFont="1" applyFill="1" applyBorder="1">
      <alignment vertical="center"/>
    </xf>
    <xf numFmtId="0" fontId="14" fillId="0" borderId="20" xfId="7" applyFont="1" applyBorder="1" applyAlignment="1">
      <alignment vertical="center"/>
    </xf>
    <xf numFmtId="178" fontId="55" fillId="3" borderId="0" xfId="0" applyNumberFormat="1" applyFont="1" applyFill="1" applyAlignment="1">
      <alignment horizontal="right" vertical="center"/>
    </xf>
    <xf numFmtId="0" fontId="37" fillId="3" borderId="0" xfId="1" applyFont="1" applyFill="1" applyAlignment="1">
      <alignment horizontal="center" vertical="center"/>
    </xf>
    <xf numFmtId="0" fontId="39" fillId="3" borderId="0" xfId="7" applyFont="1" applyFill="1" applyAlignment="1">
      <alignment horizontal="center" vertical="center"/>
    </xf>
    <xf numFmtId="178" fontId="55" fillId="15" borderId="0" xfId="0" applyNumberFormat="1" applyFont="1" applyFill="1" applyAlignment="1">
      <alignment horizontal="right" vertical="center"/>
    </xf>
    <xf numFmtId="178" fontId="44" fillId="3" borderId="0" xfId="0" applyNumberFormat="1" applyFont="1" applyFill="1" applyAlignment="1">
      <alignment horizontal="right" vertical="center"/>
    </xf>
    <xf numFmtId="178" fontId="62" fillId="15" borderId="0" xfId="0" applyNumberFormat="1" applyFont="1" applyFill="1" applyAlignment="1">
      <alignment horizontal="right" vertical="center"/>
    </xf>
    <xf numFmtId="179" fontId="44" fillId="0" borderId="67" xfId="5" applyNumberFormat="1" applyFont="1" applyBorder="1">
      <alignment vertical="center"/>
    </xf>
    <xf numFmtId="179" fontId="44" fillId="0" borderId="68" xfId="5" applyNumberFormat="1" applyFont="1" applyBorder="1">
      <alignment vertical="center"/>
    </xf>
    <xf numFmtId="179" fontId="39" fillId="0" borderId="68" xfId="5" applyNumberFormat="1" applyFont="1" applyBorder="1">
      <alignment vertical="center"/>
    </xf>
    <xf numFmtId="179" fontId="44" fillId="0" borderId="17" xfId="5" applyNumberFormat="1" applyFont="1" applyBorder="1">
      <alignment vertical="center"/>
    </xf>
    <xf numFmtId="179" fontId="44" fillId="0" borderId="70" xfId="5" applyNumberFormat="1" applyFont="1" applyBorder="1">
      <alignment vertical="center"/>
    </xf>
    <xf numFmtId="179" fontId="44" fillId="0" borderId="71" xfId="5" applyNumberFormat="1" applyFont="1" applyBorder="1">
      <alignment vertical="center"/>
    </xf>
    <xf numFmtId="0" fontId="39" fillId="0" borderId="73" xfId="5" applyFont="1" applyBorder="1">
      <alignment vertical="center"/>
    </xf>
    <xf numFmtId="180" fontId="39" fillId="0" borderId="14" xfId="5" applyNumberFormat="1" applyFont="1" applyBorder="1">
      <alignment vertical="center"/>
    </xf>
    <xf numFmtId="180" fontId="39" fillId="0" borderId="67" xfId="5" applyNumberFormat="1" applyFont="1" applyBorder="1">
      <alignment vertical="center"/>
    </xf>
    <xf numFmtId="180" fontId="39" fillId="0" borderId="75" xfId="5" applyNumberFormat="1" applyFont="1" applyBorder="1">
      <alignment vertical="center"/>
    </xf>
    <xf numFmtId="180" fontId="39" fillId="0" borderId="70" xfId="5" applyNumberFormat="1" applyFont="1" applyBorder="1">
      <alignment vertical="center"/>
    </xf>
    <xf numFmtId="180" fontId="44" fillId="17" borderId="77" xfId="5" applyNumberFormat="1" applyFont="1" applyFill="1" applyBorder="1">
      <alignment vertical="center"/>
    </xf>
    <xf numFmtId="180" fontId="44" fillId="17" borderId="78" xfId="5" applyNumberFormat="1" applyFont="1" applyFill="1" applyBorder="1">
      <alignment vertical="center"/>
    </xf>
    <xf numFmtId="0" fontId="39" fillId="16" borderId="76" xfId="5" applyFont="1" applyFill="1" applyBorder="1" applyAlignment="1">
      <alignment horizontal="center" vertical="center"/>
    </xf>
    <xf numFmtId="179" fontId="44" fillId="0" borderId="1" xfId="5" applyNumberFormat="1" applyFont="1" applyBorder="1">
      <alignment vertical="center"/>
    </xf>
    <xf numFmtId="179" fontId="44" fillId="0" borderId="69" xfId="5" applyNumberFormat="1" applyFont="1" applyBorder="1">
      <alignment vertical="center"/>
    </xf>
    <xf numFmtId="179" fontId="44" fillId="0" borderId="29" xfId="5" applyNumberFormat="1" applyFont="1" applyBorder="1">
      <alignment vertical="center"/>
    </xf>
    <xf numFmtId="179" fontId="44" fillId="18" borderId="2" xfId="5" applyNumberFormat="1" applyFont="1" applyFill="1" applyBorder="1">
      <alignment vertical="center"/>
    </xf>
    <xf numFmtId="179" fontId="44" fillId="18" borderId="1" xfId="5" applyNumberFormat="1" applyFont="1" applyFill="1" applyBorder="1">
      <alignment vertical="center"/>
    </xf>
    <xf numFmtId="179" fontId="44" fillId="18" borderId="69" xfId="5" applyNumberFormat="1" applyFont="1" applyFill="1" applyBorder="1">
      <alignment vertical="center"/>
    </xf>
    <xf numFmtId="0" fontId="39" fillId="9" borderId="72" xfId="5" applyFont="1" applyFill="1" applyBorder="1" applyAlignment="1">
      <alignment horizontal="center" vertical="center"/>
    </xf>
    <xf numFmtId="0" fontId="39" fillId="9" borderId="73" xfId="5" applyFont="1" applyFill="1" applyBorder="1" applyAlignment="1">
      <alignment horizontal="center" vertical="center"/>
    </xf>
    <xf numFmtId="0" fontId="39" fillId="9" borderId="74" xfId="5" applyFont="1" applyFill="1" applyBorder="1" applyAlignment="1">
      <alignment horizontal="center" vertical="center"/>
    </xf>
    <xf numFmtId="0" fontId="0" fillId="0" borderId="73" xfId="0" applyBorder="1">
      <alignment vertical="center"/>
    </xf>
    <xf numFmtId="0" fontId="39" fillId="10" borderId="73" xfId="5" applyFont="1" applyFill="1" applyBorder="1" applyAlignment="1">
      <alignment horizontal="center" vertical="center"/>
    </xf>
    <xf numFmtId="0" fontId="39" fillId="10" borderId="74" xfId="5" applyFont="1" applyFill="1" applyBorder="1" applyAlignment="1">
      <alignment horizontal="center" vertical="center"/>
    </xf>
    <xf numFmtId="0" fontId="39" fillId="16" borderId="0" xfId="5" applyFont="1" applyFill="1" applyAlignment="1">
      <alignment horizontal="center" vertical="center"/>
    </xf>
    <xf numFmtId="0" fontId="39" fillId="16" borderId="67" xfId="5" applyFont="1" applyFill="1" applyBorder="1" applyAlignment="1">
      <alignment horizontal="center" vertical="center"/>
    </xf>
    <xf numFmtId="0" fontId="39" fillId="16" borderId="14" xfId="5" applyFont="1" applyFill="1" applyBorder="1" applyAlignment="1">
      <alignment horizontal="center" vertical="center"/>
    </xf>
    <xf numFmtId="180" fontId="44" fillId="17" borderId="76" xfId="5" applyNumberFormat="1" applyFont="1" applyFill="1" applyBorder="1">
      <alignment vertical="center"/>
    </xf>
    <xf numFmtId="179" fontId="44" fillId="18" borderId="29" xfId="5" applyNumberFormat="1" applyFont="1" applyFill="1" applyBorder="1">
      <alignment vertical="center"/>
    </xf>
    <xf numFmtId="180" fontId="44" fillId="18" borderId="76" xfId="5" applyNumberFormat="1" applyFont="1" applyFill="1" applyBorder="1">
      <alignment vertical="center"/>
    </xf>
    <xf numFmtId="180" fontId="44" fillId="18" borderId="79" xfId="5" applyNumberFormat="1" applyFont="1" applyFill="1" applyBorder="1">
      <alignment vertical="center"/>
    </xf>
    <xf numFmtId="179" fontId="44" fillId="18" borderId="80" xfId="5" applyNumberFormat="1" applyFont="1" applyFill="1" applyBorder="1">
      <alignment vertical="center"/>
    </xf>
    <xf numFmtId="180" fontId="39" fillId="18" borderId="81" xfId="5" applyNumberFormat="1" applyFont="1" applyFill="1" applyBorder="1">
      <alignment vertical="center"/>
    </xf>
    <xf numFmtId="180" fontId="39" fillId="18" borderId="29" xfId="5" applyNumberFormat="1" applyFont="1" applyFill="1" applyBorder="1">
      <alignment vertical="center"/>
    </xf>
    <xf numFmtId="180" fontId="39" fillId="18" borderId="12" xfId="5" applyNumberFormat="1" applyFont="1" applyFill="1" applyBorder="1">
      <alignment vertical="center"/>
    </xf>
    <xf numFmtId="180" fontId="39" fillId="18" borderId="1" xfId="5" applyNumberFormat="1" applyFont="1" applyFill="1" applyBorder="1">
      <alignment vertical="center"/>
    </xf>
    <xf numFmtId="179" fontId="44" fillId="0" borderId="80" xfId="5" applyNumberFormat="1" applyFont="1" applyBorder="1">
      <alignment vertical="center"/>
    </xf>
    <xf numFmtId="179" fontId="44" fillId="18" borderId="12" xfId="5" applyNumberFormat="1" applyFont="1" applyFill="1" applyBorder="1">
      <alignment vertical="center"/>
    </xf>
    <xf numFmtId="0" fontId="39" fillId="8" borderId="74" xfId="5" applyFont="1" applyFill="1" applyBorder="1" applyAlignment="1">
      <alignment horizontal="center" vertical="center"/>
    </xf>
    <xf numFmtId="0" fontId="39" fillId="7" borderId="74" xfId="5" applyFont="1" applyFill="1" applyBorder="1" applyAlignment="1">
      <alignment horizontal="center" vertical="center"/>
    </xf>
    <xf numFmtId="0" fontId="74" fillId="17" borderId="24" xfId="5" applyFont="1" applyFill="1" applyBorder="1" applyAlignment="1">
      <alignment horizontal="center" vertical="center"/>
    </xf>
    <xf numFmtId="0" fontId="39" fillId="16" borderId="82" xfId="5" applyFont="1" applyFill="1" applyBorder="1" applyAlignment="1">
      <alignment horizontal="center" vertical="center"/>
    </xf>
    <xf numFmtId="0" fontId="39" fillId="16" borderId="6" xfId="5" applyFont="1" applyFill="1" applyBorder="1" applyAlignment="1">
      <alignment horizontal="center" vertical="center"/>
    </xf>
    <xf numFmtId="179" fontId="44" fillId="18" borderId="23" xfId="5" applyNumberFormat="1" applyFont="1" applyFill="1" applyBorder="1">
      <alignment vertical="center"/>
    </xf>
    <xf numFmtId="0" fontId="39" fillId="16" borderId="83" xfId="5" applyFont="1" applyFill="1" applyBorder="1" applyAlignment="1">
      <alignment horizontal="center" vertical="center"/>
    </xf>
    <xf numFmtId="179" fontId="44" fillId="16" borderId="83" xfId="5" applyNumberFormat="1" applyFont="1" applyFill="1" applyBorder="1" applyAlignment="1">
      <alignment horizontal="center" vertical="center"/>
    </xf>
    <xf numFmtId="179" fontId="44" fillId="18" borderId="30" xfId="5" applyNumberFormat="1" applyFont="1" applyFill="1" applyBorder="1">
      <alignment vertical="center"/>
    </xf>
    <xf numFmtId="179" fontId="44" fillId="0" borderId="30" xfId="5" applyNumberFormat="1" applyFont="1" applyBorder="1">
      <alignment vertical="center"/>
    </xf>
    <xf numFmtId="179" fontId="44" fillId="0" borderId="23" xfId="5" applyNumberFormat="1" applyFont="1" applyBorder="1">
      <alignment vertical="center"/>
    </xf>
    <xf numFmtId="179" fontId="39" fillId="0" borderId="6" xfId="5" applyNumberFormat="1" applyFont="1" applyBorder="1">
      <alignment vertical="center"/>
    </xf>
    <xf numFmtId="179" fontId="44" fillId="0" borderId="84" xfId="5" applyNumberFormat="1" applyFont="1" applyBorder="1">
      <alignment vertical="center"/>
    </xf>
    <xf numFmtId="2" fontId="65" fillId="12" borderId="20" xfId="0" applyNumberFormat="1" applyFont="1" applyFill="1" applyBorder="1" applyAlignment="1">
      <alignment horizontal="center" vertical="center"/>
    </xf>
    <xf numFmtId="182" fontId="39" fillId="0" borderId="62" xfId="5" applyNumberFormat="1" applyFont="1" applyBorder="1" applyAlignment="1">
      <alignment horizontal="center" vertical="center" wrapText="1"/>
    </xf>
    <xf numFmtId="0" fontId="39" fillId="0" borderId="85" xfId="5" applyFont="1" applyBorder="1" applyAlignment="1">
      <alignment horizontal="center" vertical="center"/>
    </xf>
    <xf numFmtId="0" fontId="39" fillId="0" borderId="40" xfId="5" applyFont="1" applyBorder="1" applyAlignment="1">
      <alignment horizontal="center" vertical="center"/>
    </xf>
    <xf numFmtId="0" fontId="44" fillId="0" borderId="44" xfId="5" applyFont="1" applyBorder="1" applyAlignment="1">
      <alignment horizontal="center" vertical="center"/>
    </xf>
    <xf numFmtId="0" fontId="44" fillId="0" borderId="42" xfId="5" applyFont="1" applyBorder="1" applyAlignment="1">
      <alignment horizontal="center" vertical="center"/>
    </xf>
    <xf numFmtId="0" fontId="39" fillId="0" borderId="44" xfId="5" applyFont="1" applyBorder="1" applyAlignment="1">
      <alignment horizontal="center" vertical="center"/>
    </xf>
    <xf numFmtId="0" fontId="39" fillId="0" borderId="48" xfId="5" applyFont="1" applyBorder="1" applyAlignment="1">
      <alignment horizontal="center" vertical="center"/>
    </xf>
    <xf numFmtId="0" fontId="39" fillId="0" borderId="46" xfId="5" applyFont="1" applyBorder="1" applyAlignment="1">
      <alignment horizontal="center" vertical="center"/>
    </xf>
    <xf numFmtId="0" fontId="39" fillId="0" borderId="86" xfId="5" applyFont="1" applyBorder="1">
      <alignment vertical="center"/>
    </xf>
    <xf numFmtId="0" fontId="39" fillId="0" borderId="54" xfId="5" applyFont="1" applyBorder="1" applyAlignment="1">
      <alignment horizontal="right" vertical="center" wrapText="1"/>
    </xf>
    <xf numFmtId="0" fontId="39" fillId="0" borderId="54" xfId="5" applyFont="1" applyBorder="1">
      <alignment vertical="center"/>
    </xf>
    <xf numFmtId="0" fontId="37" fillId="0" borderId="87" xfId="0" applyFont="1" applyBorder="1">
      <alignment vertical="center"/>
    </xf>
    <xf numFmtId="0" fontId="44" fillId="0" borderId="31" xfId="5" applyFont="1" applyBorder="1" applyAlignment="1">
      <alignment horizontal="center" vertical="center"/>
    </xf>
    <xf numFmtId="0" fontId="44" fillId="0" borderId="33" xfId="5" applyFont="1" applyBorder="1" applyAlignment="1">
      <alignment horizontal="center" vertical="center"/>
    </xf>
    <xf numFmtId="0" fontId="39" fillId="0" borderId="34" xfId="5" applyFont="1" applyBorder="1" applyAlignment="1">
      <alignment horizontal="center" vertical="center"/>
    </xf>
    <xf numFmtId="0" fontId="39" fillId="0" borderId="35" xfId="5" applyFont="1" applyBorder="1" applyAlignment="1">
      <alignment horizontal="center" vertical="center" wrapText="1"/>
    </xf>
    <xf numFmtId="180" fontId="44" fillId="0" borderId="35" xfId="5" applyNumberFormat="1" applyFont="1" applyBorder="1" applyAlignment="1">
      <alignment horizontal="center" vertical="center"/>
    </xf>
    <xf numFmtId="0" fontId="44" fillId="0" borderId="34" xfId="5" applyFont="1" applyBorder="1" applyAlignment="1">
      <alignment horizontal="center" vertical="center"/>
    </xf>
    <xf numFmtId="0" fontId="39" fillId="0" borderId="36" xfId="5" applyFont="1" applyBorder="1" applyAlignment="1">
      <alignment horizontal="center" vertical="center"/>
    </xf>
    <xf numFmtId="0" fontId="39" fillId="0" borderId="38" xfId="5" applyFont="1" applyBorder="1" applyAlignment="1">
      <alignment horizontal="center" vertical="center"/>
    </xf>
    <xf numFmtId="0" fontId="39" fillId="0" borderId="31" xfId="5" applyFont="1" applyBorder="1" applyAlignment="1">
      <alignment horizontal="right" vertical="center"/>
    </xf>
    <xf numFmtId="0" fontId="39" fillId="0" borderId="32" xfId="5" applyFont="1" applyBorder="1" applyAlignment="1">
      <alignment horizontal="center" vertical="center"/>
    </xf>
    <xf numFmtId="0" fontId="39" fillId="0" borderId="34" xfId="5" applyFont="1" applyBorder="1" applyAlignment="1">
      <alignment horizontal="right" vertical="center"/>
    </xf>
    <xf numFmtId="0" fontId="44" fillId="0" borderId="20" xfId="5" applyFont="1" applyBorder="1" applyAlignment="1">
      <alignment horizontal="center" vertical="center"/>
    </xf>
    <xf numFmtId="0" fontId="44" fillId="0" borderId="35" xfId="5" applyFont="1" applyBorder="1" applyAlignment="1">
      <alignment horizontal="center" vertical="center"/>
    </xf>
    <xf numFmtId="180" fontId="46" fillId="0" borderId="35" xfId="5" applyNumberFormat="1" applyFont="1" applyBorder="1" applyAlignment="1">
      <alignment horizontal="center" vertical="center"/>
    </xf>
    <xf numFmtId="181" fontId="39" fillId="0" borderId="34" xfId="5" applyNumberFormat="1" applyFont="1" applyBorder="1" applyAlignment="1">
      <alignment horizontal="right" vertical="center" wrapText="1"/>
    </xf>
    <xf numFmtId="184" fontId="37" fillId="0" borderId="20" xfId="0" applyNumberFormat="1" applyFont="1" applyBorder="1" applyAlignment="1">
      <alignment horizontal="center" vertical="center"/>
    </xf>
    <xf numFmtId="184" fontId="37" fillId="0" borderId="35" xfId="0" applyNumberFormat="1" applyFont="1" applyBorder="1" applyAlignment="1">
      <alignment horizontal="center" vertical="center"/>
    </xf>
    <xf numFmtId="179" fontId="39" fillId="0" borderId="35" xfId="5" applyNumberFormat="1" applyFont="1" applyBorder="1" applyAlignment="1">
      <alignment horizontal="center" vertical="center"/>
    </xf>
    <xf numFmtId="0" fontId="39" fillId="0" borderId="31" xfId="5" applyFont="1" applyBorder="1" applyAlignment="1">
      <alignment horizontal="center" vertical="center"/>
    </xf>
    <xf numFmtId="0" fontId="39" fillId="0" borderId="88" xfId="5" applyFont="1" applyBorder="1">
      <alignment vertical="center"/>
    </xf>
    <xf numFmtId="0" fontId="39" fillId="0" borderId="89" xfId="5" applyFont="1" applyBorder="1" applyAlignment="1">
      <alignment horizontal="center" vertical="center"/>
    </xf>
    <xf numFmtId="0" fontId="39" fillId="0" borderId="90" xfId="5" applyFont="1" applyBorder="1" applyAlignment="1">
      <alignment horizontal="center" vertical="center"/>
    </xf>
    <xf numFmtId="0" fontId="39" fillId="0" borderId="91" xfId="5" applyFont="1" applyBorder="1" applyAlignment="1">
      <alignment horizontal="center" vertical="center"/>
    </xf>
    <xf numFmtId="188" fontId="39" fillId="0" borderId="39" xfId="5" applyNumberFormat="1" applyFont="1" applyBorder="1" applyAlignment="1">
      <alignment horizontal="center" vertical="center"/>
    </xf>
    <xf numFmtId="188" fontId="39" fillId="0" borderId="92" xfId="5" applyNumberFormat="1" applyFont="1" applyBorder="1" applyAlignment="1">
      <alignment horizontal="center" vertical="center"/>
    </xf>
    <xf numFmtId="0" fontId="39" fillId="0" borderId="92" xfId="5" applyFont="1" applyBorder="1">
      <alignment vertical="center"/>
    </xf>
    <xf numFmtId="0" fontId="39" fillId="0" borderId="89" xfId="5" applyFont="1" applyBorder="1">
      <alignment vertical="center"/>
    </xf>
    <xf numFmtId="0" fontId="37" fillId="0" borderId="34" xfId="0" applyFont="1" applyBorder="1" applyAlignment="1">
      <alignment horizontal="right" vertical="center"/>
    </xf>
    <xf numFmtId="0" fontId="38" fillId="0" borderId="35" xfId="0" applyFont="1" applyBorder="1" applyAlignment="1">
      <alignment horizontal="center" vertical="center"/>
    </xf>
    <xf numFmtId="181" fontId="39" fillId="0" borderId="36" xfId="5" applyNumberFormat="1" applyFont="1" applyBorder="1" applyAlignment="1">
      <alignment horizontal="right" vertical="center" wrapText="1"/>
    </xf>
    <xf numFmtId="0" fontId="44" fillId="0" borderId="37" xfId="5" applyFont="1" applyBorder="1" applyAlignment="1">
      <alignment horizontal="center" vertical="center"/>
    </xf>
    <xf numFmtId="180" fontId="44" fillId="0" borderId="38" xfId="5" applyNumberFormat="1" applyFont="1" applyBorder="1" applyAlignment="1">
      <alignment horizontal="center" vertical="center"/>
    </xf>
    <xf numFmtId="188" fontId="39" fillId="12" borderId="94" xfId="5" applyNumberFormat="1" applyFont="1" applyFill="1" applyBorder="1" applyAlignment="1">
      <alignment horizontal="center" vertical="center"/>
    </xf>
    <xf numFmtId="0" fontId="37" fillId="0" borderId="93" xfId="0" applyFont="1" applyBorder="1" applyAlignment="1">
      <alignment horizontal="center" vertical="center"/>
    </xf>
    <xf numFmtId="0" fontId="38" fillId="0" borderId="23" xfId="0" applyFont="1" applyBorder="1" applyAlignment="1">
      <alignment horizontal="center" vertical="center"/>
    </xf>
    <xf numFmtId="0" fontId="38" fillId="0" borderId="43" xfId="0" applyFont="1" applyBorder="1" applyAlignment="1">
      <alignment horizontal="right" vertical="center"/>
    </xf>
    <xf numFmtId="0" fontId="37" fillId="0" borderId="95" xfId="0" applyFont="1" applyBorder="1">
      <alignment vertical="center"/>
    </xf>
    <xf numFmtId="0" fontId="39" fillId="0" borderId="4" xfId="5" applyFont="1" applyBorder="1" applyAlignment="1">
      <alignment horizontal="center" vertical="center"/>
    </xf>
    <xf numFmtId="0" fontId="39" fillId="0" borderId="22" xfId="5" applyFont="1" applyBorder="1">
      <alignment vertical="center"/>
    </xf>
    <xf numFmtId="0" fontId="39" fillId="0" borderId="37" xfId="5" applyFont="1" applyBorder="1" applyAlignment="1">
      <alignment horizontal="center" vertical="center"/>
    </xf>
    <xf numFmtId="0" fontId="37" fillId="0" borderId="46" xfId="0" applyFont="1" applyBorder="1" applyAlignment="1">
      <alignment horizontal="center" vertical="center"/>
    </xf>
    <xf numFmtId="0" fontId="37" fillId="0" borderId="45" xfId="0" applyFont="1" applyBorder="1" applyAlignment="1">
      <alignment horizontal="center" vertical="center"/>
    </xf>
    <xf numFmtId="0" fontId="39" fillId="7" borderId="73" xfId="5" applyFont="1" applyFill="1" applyBorder="1" applyAlignment="1">
      <alignment horizontal="center" vertical="center"/>
    </xf>
    <xf numFmtId="189" fontId="39" fillId="0" borderId="0" xfId="5" applyNumberFormat="1" applyFont="1" applyAlignment="1">
      <alignment horizontal="right" vertical="center"/>
    </xf>
    <xf numFmtId="180" fontId="44" fillId="18" borderId="77" xfId="5" applyNumberFormat="1" applyFont="1" applyFill="1" applyBorder="1">
      <alignment vertical="center"/>
    </xf>
    <xf numFmtId="180" fontId="44" fillId="12" borderId="76" xfId="5" applyNumberFormat="1" applyFont="1" applyFill="1" applyBorder="1">
      <alignment vertical="center"/>
    </xf>
    <xf numFmtId="180" fontId="44" fillId="12" borderId="77" xfId="5" applyNumberFormat="1" applyFont="1" applyFill="1" applyBorder="1">
      <alignment vertical="center"/>
    </xf>
    <xf numFmtId="0" fontId="44" fillId="0" borderId="36" xfId="5" applyFont="1" applyBorder="1" applyAlignment="1">
      <alignment horizontal="center" vertical="center"/>
    </xf>
    <xf numFmtId="187" fontId="37" fillId="0" borderId="35" xfId="0" applyNumberFormat="1" applyFont="1" applyBorder="1" applyAlignment="1">
      <alignment horizontal="center" vertical="center"/>
    </xf>
    <xf numFmtId="180" fontId="44" fillId="17" borderId="0" xfId="5" applyNumberFormat="1" applyFont="1" applyFill="1">
      <alignment vertical="center"/>
    </xf>
    <xf numFmtId="180" fontId="44" fillId="0" borderId="0" xfId="5" applyNumberFormat="1" applyFont="1">
      <alignment vertical="center"/>
    </xf>
    <xf numFmtId="0" fontId="37" fillId="0" borderId="0" xfId="0" applyFont="1" applyAlignment="1">
      <alignment horizontal="right" vertical="center"/>
    </xf>
    <xf numFmtId="0" fontId="0" fillId="6" borderId="0" xfId="0" applyFill="1" applyAlignment="1">
      <alignment horizontal="center" vertical="center"/>
    </xf>
    <xf numFmtId="0" fontId="75" fillId="6" borderId="0" xfId="0" applyFont="1" applyFill="1">
      <alignment vertical="center"/>
    </xf>
    <xf numFmtId="186" fontId="12" fillId="3" borderId="0" xfId="0" applyNumberFormat="1" applyFont="1" applyFill="1">
      <alignment vertical="center"/>
    </xf>
    <xf numFmtId="186" fontId="0" fillId="3" borderId="0" xfId="0" applyNumberFormat="1" applyFill="1">
      <alignment vertical="center"/>
    </xf>
    <xf numFmtId="0" fontId="0" fillId="3" borderId="0" xfId="0" applyFill="1">
      <alignment vertical="center"/>
    </xf>
    <xf numFmtId="186" fontId="44" fillId="0" borderId="0" xfId="5" applyNumberFormat="1" applyFont="1" applyAlignment="1">
      <alignment horizontal="center" vertical="center" wrapText="1"/>
    </xf>
    <xf numFmtId="186" fontId="39" fillId="0" borderId="0" xfId="5" applyNumberFormat="1" applyFont="1" applyAlignment="1">
      <alignment horizontal="center" vertical="center" wrapText="1"/>
    </xf>
    <xf numFmtId="178" fontId="39" fillId="0" borderId="0" xfId="5" applyNumberFormat="1" applyFont="1" applyAlignment="1">
      <alignment horizontal="center" vertical="center"/>
    </xf>
    <xf numFmtId="0" fontId="47" fillId="0" borderId="0" xfId="0" applyFont="1">
      <alignment vertical="center"/>
    </xf>
    <xf numFmtId="186" fontId="75" fillId="6" borderId="0" xfId="0" applyNumberFormat="1" applyFont="1" applyFill="1">
      <alignment vertical="center"/>
    </xf>
    <xf numFmtId="0" fontId="39" fillId="0" borderId="0" xfId="7" applyFont="1" applyAlignment="1">
      <alignment horizontal="left" vertical="center"/>
    </xf>
    <xf numFmtId="0" fontId="62" fillId="0" borderId="0" xfId="7" applyFont="1" applyAlignment="1">
      <alignment horizontal="left" vertical="center"/>
    </xf>
    <xf numFmtId="0" fontId="76" fillId="0" borderId="0" xfId="7" applyFont="1" applyAlignment="1">
      <alignment horizontal="left" vertical="center"/>
    </xf>
    <xf numFmtId="0" fontId="77" fillId="0" borderId="0" xfId="7" applyFont="1" applyAlignment="1">
      <alignment horizontal="left" vertical="center"/>
    </xf>
    <xf numFmtId="0" fontId="78" fillId="0" borderId="0" xfId="0" applyFont="1">
      <alignment vertical="center"/>
    </xf>
    <xf numFmtId="0" fontId="79" fillId="0" borderId="0" xfId="0" applyFont="1">
      <alignment vertical="center"/>
    </xf>
    <xf numFmtId="0" fontId="37" fillId="0" borderId="0" xfId="0" applyFont="1" applyAlignment="1">
      <alignment horizontal="center" vertical="center" wrapText="1"/>
    </xf>
    <xf numFmtId="0" fontId="80" fillId="0" borderId="0" xfId="0" applyFont="1" applyAlignment="1">
      <alignment horizontal="center" vertical="center" wrapText="1"/>
    </xf>
    <xf numFmtId="0" fontId="80" fillId="0" borderId="0" xfId="0" applyFont="1" applyAlignment="1">
      <alignment horizontal="left" vertical="center" wrapText="1"/>
    </xf>
    <xf numFmtId="0" fontId="44" fillId="14" borderId="0" xfId="7" applyFont="1" applyFill="1" applyAlignment="1">
      <alignment horizontal="left" vertical="center"/>
    </xf>
    <xf numFmtId="0" fontId="81" fillId="0" borderId="0" xfId="0" applyFont="1">
      <alignment vertical="center"/>
    </xf>
    <xf numFmtId="0" fontId="76" fillId="0" borderId="0" xfId="0" applyFont="1" applyAlignment="1">
      <alignment horizontal="center" vertical="center" wrapText="1"/>
    </xf>
    <xf numFmtId="0" fontId="39" fillId="3" borderId="0" xfId="7" applyFont="1" applyFill="1" applyAlignment="1">
      <alignment vertical="center"/>
    </xf>
    <xf numFmtId="0" fontId="44" fillId="3" borderId="0" xfId="7" applyFont="1" applyFill="1" applyAlignment="1">
      <alignment horizontal="left" vertical="center"/>
    </xf>
    <xf numFmtId="0" fontId="81" fillId="0" borderId="0" xfId="0" applyFont="1" applyAlignment="1">
      <alignment horizontal="center" vertical="center" wrapText="1"/>
    </xf>
    <xf numFmtId="0" fontId="82" fillId="0" borderId="0" xfId="7" applyFont="1" applyAlignment="1">
      <alignment horizontal="left" vertical="center"/>
    </xf>
    <xf numFmtId="0" fontId="44" fillId="0" borderId="0" xfId="7" applyFont="1" applyAlignment="1">
      <alignment vertical="center"/>
    </xf>
    <xf numFmtId="1" fontId="37" fillId="0" borderId="20" xfId="0" applyNumberFormat="1" applyFont="1" applyBorder="1">
      <alignment vertical="center"/>
    </xf>
    <xf numFmtId="0" fontId="83" fillId="0" borderId="0" xfId="7" applyFont="1" applyAlignment="1">
      <alignment horizontal="left" vertical="center"/>
    </xf>
    <xf numFmtId="0" fontId="84" fillId="0" borderId="0" xfId="7" applyFont="1" applyAlignment="1">
      <alignment horizontal="left" vertical="center"/>
    </xf>
    <xf numFmtId="189" fontId="65" fillId="12" borderId="20" xfId="0" applyNumberFormat="1" applyFont="1" applyFill="1" applyBorder="1" applyAlignment="1">
      <alignment horizontal="center" vertical="center"/>
    </xf>
    <xf numFmtId="0" fontId="85" fillId="0" borderId="0" xfId="0" applyFont="1" applyAlignment="1">
      <alignment horizontal="center" vertical="center" wrapText="1"/>
    </xf>
    <xf numFmtId="0" fontId="38" fillId="0" borderId="44" xfId="0" applyFont="1" applyBorder="1">
      <alignment vertical="center"/>
    </xf>
    <xf numFmtId="0" fontId="37" fillId="0" borderId="0" xfId="0" applyFont="1">
      <alignment vertical="center"/>
    </xf>
    <xf numFmtId="0" fontId="39" fillId="0" borderId="0" xfId="5" applyFont="1">
      <alignment vertical="center"/>
    </xf>
    <xf numFmtId="0" fontId="38" fillId="0" borderId="47" xfId="0" applyFont="1" applyBorder="1">
      <alignment vertical="center"/>
    </xf>
    <xf numFmtId="0" fontId="37" fillId="0" borderId="1" xfId="0" applyFont="1" applyBorder="1">
      <alignment vertical="center"/>
    </xf>
    <xf numFmtId="0" fontId="38" fillId="0" borderId="49" xfId="0" applyFont="1" applyBorder="1">
      <alignment vertical="center"/>
    </xf>
    <xf numFmtId="0" fontId="37" fillId="0" borderId="29" xfId="0" applyFont="1" applyBorder="1">
      <alignment vertical="center"/>
    </xf>
    <xf numFmtId="0" fontId="38" fillId="0" borderId="49" xfId="0" applyFont="1" applyBorder="1" applyAlignment="1">
      <alignment horizontal="left" vertical="center"/>
    </xf>
    <xf numFmtId="186" fontId="43" fillId="13" borderId="22" xfId="5" applyNumberFormat="1" applyFont="1" applyFill="1" applyBorder="1" applyAlignment="1">
      <alignment horizontal="center" vertical="center" wrapText="1"/>
    </xf>
    <xf numFmtId="0" fontId="0" fillId="0" borderId="23" xfId="0" applyBorder="1" applyAlignment="1">
      <alignment horizontal="center" vertical="center" wrapText="1"/>
    </xf>
    <xf numFmtId="0" fontId="39" fillId="0" borderId="22" xfId="5" applyFont="1" applyBorder="1" applyAlignment="1">
      <alignment horizontal="center" vertical="center"/>
    </xf>
    <xf numFmtId="0" fontId="0" fillId="0" borderId="1" xfId="0" applyBorder="1" applyAlignment="1">
      <alignment horizontal="center" vertical="center"/>
    </xf>
    <xf numFmtId="0" fontId="0" fillId="0" borderId="23" xfId="0" applyBorder="1" applyAlignment="1">
      <alignment horizontal="center" vertical="center"/>
    </xf>
    <xf numFmtId="0" fontId="39" fillId="0" borderId="67" xfId="5" applyFont="1" applyBorder="1" applyAlignment="1">
      <alignment horizontal="right" vertical="center"/>
    </xf>
    <xf numFmtId="0" fontId="39" fillId="0" borderId="0" xfId="5" applyFont="1" applyAlignment="1">
      <alignment horizontal="left" vertical="center"/>
    </xf>
    <xf numFmtId="0" fontId="37" fillId="0" borderId="42" xfId="0" applyFont="1" applyBorder="1">
      <alignment vertical="center"/>
    </xf>
    <xf numFmtId="0" fontId="37" fillId="0" borderId="0" xfId="0" applyFont="1" applyAlignment="1">
      <alignment horizontal="left" vertical="center"/>
    </xf>
    <xf numFmtId="0" fontId="59" fillId="0" borderId="48" xfId="5" applyFont="1" applyBorder="1" applyAlignment="1">
      <alignment horizontal="right"/>
    </xf>
    <xf numFmtId="0" fontId="60" fillId="0" borderId="45" xfId="0" applyFont="1" applyBorder="1" applyAlignment="1">
      <alignment horizontal="right"/>
    </xf>
    <xf numFmtId="0" fontId="60" fillId="0" borderId="46" xfId="0" applyFont="1" applyBorder="1" applyAlignment="1">
      <alignment horizontal="right"/>
    </xf>
    <xf numFmtId="179" fontId="37" fillId="0" borderId="0" xfId="0" applyNumberFormat="1" applyFont="1" applyAlignment="1">
      <alignment horizontal="left" vertical="center"/>
    </xf>
    <xf numFmtId="14" fontId="39" fillId="0" borderId="0" xfId="0" applyNumberFormat="1" applyFont="1" applyAlignment="1">
      <alignment horizontal="center" vertical="center"/>
    </xf>
    <xf numFmtId="0" fontId="37" fillId="0" borderId="0" xfId="0" applyFont="1" applyAlignment="1">
      <alignment horizontal="center" vertical="center"/>
    </xf>
    <xf numFmtId="0" fontId="37" fillId="0" borderId="2" xfId="0" applyFont="1" applyBorder="1">
      <alignment vertical="center"/>
    </xf>
    <xf numFmtId="0" fontId="37" fillId="0" borderId="6" xfId="0" applyFont="1" applyBorder="1">
      <alignment vertical="center"/>
    </xf>
    <xf numFmtId="0" fontId="37" fillId="0" borderId="0" xfId="0" applyFont="1" applyAlignment="1">
      <alignment horizontal="right" vertical="center"/>
    </xf>
    <xf numFmtId="0" fontId="37" fillId="0" borderId="6" xfId="0" applyFont="1" applyBorder="1" applyAlignment="1">
      <alignment horizontal="right" vertical="center"/>
    </xf>
    <xf numFmtId="0" fontId="0" fillId="0" borderId="0" xfId="0" applyAlignment="1">
      <alignment horizontal="center" vertical="center"/>
    </xf>
    <xf numFmtId="0" fontId="37" fillId="0" borderId="20" xfId="0" applyFont="1" applyBorder="1" applyAlignment="1">
      <alignment horizontal="center" vertical="center"/>
    </xf>
    <xf numFmtId="0" fontId="0" fillId="0" borderId="20" xfId="0" applyBorder="1" applyAlignment="1">
      <alignment horizontal="center" vertical="center"/>
    </xf>
    <xf numFmtId="0" fontId="0" fillId="0" borderId="22" xfId="0" applyBorder="1" applyAlignment="1">
      <alignment horizontal="center" vertical="center"/>
    </xf>
    <xf numFmtId="0" fontId="37" fillId="0" borderId="31" xfId="0" applyFont="1" applyBorder="1"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0" fontId="86" fillId="0" borderId="0" xfId="0" applyFont="1">
      <alignment vertical="center"/>
    </xf>
    <xf numFmtId="0" fontId="86" fillId="0" borderId="20" xfId="0" applyFont="1" applyBorder="1">
      <alignment vertical="center"/>
    </xf>
    <xf numFmtId="0" fontId="87" fillId="0" borderId="0" xfId="0" applyFont="1" applyAlignment="1">
      <alignment horizontal="left" vertical="center"/>
    </xf>
    <xf numFmtId="0" fontId="87" fillId="0" borderId="0" xfId="0" applyFont="1" applyAlignment="1">
      <alignment horizontal="center" vertical="center"/>
    </xf>
    <xf numFmtId="0" fontId="86" fillId="0" borderId="0" xfId="0" applyFont="1" applyAlignment="1">
      <alignment horizontal="left" vertical="center"/>
    </xf>
    <xf numFmtId="0" fontId="86" fillId="0" borderId="0" xfId="0" applyFont="1" applyAlignment="1">
      <alignment horizontal="center" vertical="center"/>
    </xf>
    <xf numFmtId="12" fontId="86" fillId="0" borderId="0" xfId="0" applyNumberFormat="1" applyFont="1" applyAlignment="1">
      <alignment horizontal="center" vertical="center"/>
    </xf>
    <xf numFmtId="0" fontId="88" fillId="0" borderId="0" xfId="0" applyFont="1" applyAlignment="1">
      <alignment horizontal="center" vertical="center" wrapText="1"/>
    </xf>
    <xf numFmtId="0" fontId="86" fillId="0" borderId="0" xfId="0" applyFont="1" applyAlignment="1">
      <alignment horizontal="left" vertical="center" wrapText="1"/>
    </xf>
    <xf numFmtId="0" fontId="89" fillId="0" borderId="0" xfId="0" applyFont="1" applyAlignment="1">
      <alignment horizontal="center" vertical="center"/>
    </xf>
    <xf numFmtId="0" fontId="90" fillId="0" borderId="0" xfId="0" applyFont="1" applyAlignment="1">
      <alignment horizontal="left" vertical="center" wrapText="1"/>
    </xf>
    <xf numFmtId="0" fontId="91" fillId="0" borderId="0" xfId="0" applyFont="1" applyAlignment="1">
      <alignment horizontal="center" vertical="center" wrapText="1"/>
    </xf>
    <xf numFmtId="0" fontId="92" fillId="0" borderId="0" xfId="7" applyFont="1" applyAlignment="1">
      <alignment horizontal="left" vertical="center"/>
    </xf>
    <xf numFmtId="0" fontId="93" fillId="0" borderId="0" xfId="0" applyFont="1">
      <alignment vertical="center"/>
    </xf>
    <xf numFmtId="187" fontId="87" fillId="0" borderId="0" xfId="5" applyNumberFormat="1" applyFont="1">
      <alignment vertical="center"/>
    </xf>
    <xf numFmtId="0" fontId="87" fillId="0" borderId="0" xfId="7" applyFont="1" applyAlignment="1">
      <alignment horizontal="center"/>
    </xf>
    <xf numFmtId="0" fontId="87" fillId="0" borderId="0" xfId="7" applyFont="1"/>
    <xf numFmtId="14" fontId="86" fillId="0" borderId="0" xfId="0" applyNumberFormat="1" applyFont="1" applyAlignment="1">
      <alignment horizontal="center" vertical="center"/>
    </xf>
    <xf numFmtId="0" fontId="94" fillId="0" borderId="0" xfId="0" applyFont="1" applyAlignment="1" applyProtection="1">
      <alignment horizontal="center" vertical="center"/>
      <protection hidden="1"/>
    </xf>
    <xf numFmtId="179" fontId="87" fillId="0" borderId="0" xfId="0" applyNumberFormat="1" applyFont="1" applyAlignment="1">
      <alignment horizontal="center" vertical="center"/>
    </xf>
    <xf numFmtId="0" fontId="92" fillId="0" borderId="0" xfId="7" applyFont="1" applyAlignment="1">
      <alignment vertical="center"/>
    </xf>
    <xf numFmtId="179" fontId="87" fillId="0" borderId="21" xfId="0" applyNumberFormat="1" applyFont="1" applyBorder="1" applyAlignment="1">
      <alignment horizontal="center" vertical="center"/>
    </xf>
    <xf numFmtId="0" fontId="86" fillId="0" borderId="0" xfId="0" applyFont="1" applyAlignment="1">
      <alignment vertical="center" wrapText="1"/>
    </xf>
  </cellXfs>
  <cellStyles count="21">
    <cellStyle name="Comma0" xfId="8" xr:uid="{00000000-0005-0000-0000-000000000000}"/>
    <cellStyle name="Currency0" xfId="9" xr:uid="{00000000-0005-0000-0000-000001000000}"/>
    <cellStyle name="Date" xfId="10" xr:uid="{00000000-0005-0000-0000-000002000000}"/>
    <cellStyle name="Fixed" xfId="11" xr:uid="{00000000-0005-0000-0000-000003000000}"/>
    <cellStyle name="Normal 2" xfId="12" xr:uid="{00000000-0005-0000-0000-000004000000}"/>
    <cellStyle name="Normal_CONNXJA-VERSION 1.0" xfId="13" xr:uid="{00000000-0005-0000-0000-000005000000}"/>
    <cellStyle name="一般" xfId="0" builtinId="0"/>
    <cellStyle name="一般 10" xfId="16" xr:uid="{33018905-7418-4B63-91B6-77E3BC30B08E}"/>
    <cellStyle name="一般 11" xfId="17" xr:uid="{997E45E1-ECBD-4FE6-A168-5D8268982E89}"/>
    <cellStyle name="一般 11 2" xfId="20" xr:uid="{7640B5B1-C8EE-4E74-B96F-6D859045025C}"/>
    <cellStyle name="一般 12" xfId="18" xr:uid="{C1947DC0-682E-4888-A7E1-8BAE656C0C14}"/>
    <cellStyle name="一般 12 2" xfId="19" xr:uid="{195BAA53-9A76-4DF2-9C58-4A433FA21E55}"/>
    <cellStyle name="一般 2" xfId="1" xr:uid="{00000000-0005-0000-0000-000007000000}"/>
    <cellStyle name="一般 3" xfId="2" xr:uid="{00000000-0005-0000-0000-000008000000}"/>
    <cellStyle name="一般 4" xfId="3" xr:uid="{00000000-0005-0000-0000-000009000000}"/>
    <cellStyle name="一般 5" xfId="4" xr:uid="{00000000-0005-0000-0000-00000A000000}"/>
    <cellStyle name="一般 6" xfId="5" xr:uid="{00000000-0005-0000-0000-00000B000000}"/>
    <cellStyle name="一般 7" xfId="7" xr:uid="{00000000-0005-0000-0000-00000C000000}"/>
    <cellStyle name="一般 8" xfId="14" xr:uid="{D0DD8554-BA56-4726-A3C3-15C242EBB7A5}"/>
    <cellStyle name="一般 9" xfId="15" xr:uid="{1537E7A6-1D7C-4520-8A61-A2B7F11FAE20}"/>
    <cellStyle name="千分位" xfId="6" builtinId="3"/>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5.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6.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8.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9.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0090001082270484E-2"/>
          <c:y val="4.743405641116788E-2"/>
          <c:w val="0.91757587346863712"/>
          <c:h val="0.82399368012808771"/>
        </c:manualLayout>
      </c:layout>
      <c:scatterChart>
        <c:scatterStyle val="lineMarker"/>
        <c:varyColors val="0"/>
        <c:ser>
          <c:idx val="0"/>
          <c:order val="0"/>
          <c:tx>
            <c:v>SaD(111年)</c:v>
          </c:tx>
          <c:spPr>
            <a:ln w="19050" cap="rnd" cmpd="sng" algn="ctr">
              <a:solidFill>
                <a:schemeClr val="accent1">
                  <a:shade val="95000"/>
                  <a:satMod val="105000"/>
                </a:schemeClr>
              </a:solidFill>
              <a:prstDash val="solid"/>
              <a:round/>
            </a:ln>
            <a:effectLst/>
          </c:spPr>
          <c:marker>
            <c:symbol val="none"/>
          </c:marker>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一般工址Cs!$K$43:$K$102</c:f>
              <c:numCache>
                <c:formatCode>0.000_ </c:formatCode>
                <c:ptCount val="60"/>
                <c:pt idx="0">
                  <c:v>0.39300000000000002</c:v>
                </c:pt>
                <c:pt idx="1">
                  <c:v>0.49</c:v>
                </c:pt>
                <c:pt idx="2">
                  <c:v>0.68899999999999995</c:v>
                </c:pt>
                <c:pt idx="3">
                  <c:v>0.95499999999999996</c:v>
                </c:pt>
                <c:pt idx="4">
                  <c:v>0.85499999999999998</c:v>
                </c:pt>
                <c:pt idx="5">
                  <c:v>0.85499999999999998</c:v>
                </c:pt>
                <c:pt idx="6">
                  <c:v>0.85499999999999998</c:v>
                </c:pt>
                <c:pt idx="7">
                  <c:v>0.89200000000000002</c:v>
                </c:pt>
                <c:pt idx="8">
                  <c:v>0.97499999999999998</c:v>
                </c:pt>
                <c:pt idx="9">
                  <c:v>0.97499999999999998</c:v>
                </c:pt>
                <c:pt idx="10">
                  <c:v>0.97499999999999998</c:v>
                </c:pt>
                <c:pt idx="11">
                  <c:v>0.97499999999999998</c:v>
                </c:pt>
                <c:pt idx="12">
                  <c:v>0.97499999999999998</c:v>
                </c:pt>
                <c:pt idx="13">
                  <c:v>0.97499999999999998</c:v>
                </c:pt>
                <c:pt idx="14">
                  <c:v>0.97499999999999998</c:v>
                </c:pt>
                <c:pt idx="15">
                  <c:v>0.97499999999999998</c:v>
                </c:pt>
                <c:pt idx="16">
                  <c:v>0.97499999999999998</c:v>
                </c:pt>
                <c:pt idx="17">
                  <c:v>0.97499999999999998</c:v>
                </c:pt>
                <c:pt idx="18">
                  <c:v>0.97499999999999998</c:v>
                </c:pt>
                <c:pt idx="19">
                  <c:v>0.97499999999999998</c:v>
                </c:pt>
                <c:pt idx="20">
                  <c:v>0.97499999999999998</c:v>
                </c:pt>
                <c:pt idx="21">
                  <c:v>0.97499999999999998</c:v>
                </c:pt>
                <c:pt idx="22">
                  <c:v>0.97499999999999998</c:v>
                </c:pt>
                <c:pt idx="23">
                  <c:v>0.97499999999999998</c:v>
                </c:pt>
                <c:pt idx="24">
                  <c:v>0.97499999999999998</c:v>
                </c:pt>
                <c:pt idx="25">
                  <c:v>0.97499999999999998</c:v>
                </c:pt>
                <c:pt idx="26">
                  <c:v>0.97499999999999998</c:v>
                </c:pt>
                <c:pt idx="27">
                  <c:v>0.95281753130590319</c:v>
                </c:pt>
                <c:pt idx="28">
                  <c:v>0.90237187632359139</c:v>
                </c:pt>
                <c:pt idx="29">
                  <c:v>0.85699919549477044</c:v>
                </c:pt>
                <c:pt idx="30">
                  <c:v>0.81597089237839882</c:v>
                </c:pt>
                <c:pt idx="31">
                  <c:v>0.77869152046783607</c:v>
                </c:pt>
                <c:pt idx="32">
                  <c:v>0.74466969591052057</c:v>
                </c:pt>
                <c:pt idx="33">
                  <c:v>0.71349631614199571</c:v>
                </c:pt>
                <c:pt idx="34">
                  <c:v>0.68482802957248445</c:v>
                </c:pt>
                <c:pt idx="35">
                  <c:v>0.65837453646477107</c:v>
                </c:pt>
                <c:pt idx="36">
                  <c:v>0.64806083650190116</c:v>
                </c:pt>
                <c:pt idx="37">
                  <c:v>0.63388872359416815</c:v>
                </c:pt>
                <c:pt idx="38">
                  <c:v>0.61115892139988504</c:v>
                </c:pt>
                <c:pt idx="39">
                  <c:v>0.59000276931597873</c:v>
                </c:pt>
                <c:pt idx="40">
                  <c:v>0.57026231263383276</c:v>
                </c:pt>
                <c:pt idx="41">
                  <c:v>0.55180005180005154</c:v>
                </c:pt>
                <c:pt idx="42">
                  <c:v>0.53449573507275439</c:v>
                </c:pt>
                <c:pt idx="43">
                  <c:v>0.51824373631719745</c:v>
                </c:pt>
                <c:pt idx="44">
                  <c:v>0.50295089707270979</c:v>
                </c:pt>
                <c:pt idx="45">
                  <c:v>0.48853473973859179</c:v>
                </c:pt>
                <c:pt idx="46">
                  <c:v>0.47492197949175186</c:v>
                </c:pt>
                <c:pt idx="47">
                  <c:v>0.46204727824766834</c:v>
                </c:pt>
                <c:pt idx="48">
                  <c:v>0.44985219594594567</c:v>
                </c:pt>
                <c:pt idx="49">
                  <c:v>0.43828430364122584</c:v>
                </c:pt>
                <c:pt idx="50">
                  <c:v>0.42729643000401096</c:v>
                </c:pt>
                <c:pt idx="51">
                  <c:v>0.41684601839170399</c:v>
                </c:pt>
                <c:pt idx="52">
                  <c:v>0.4068945760122229</c:v>
                </c:pt>
                <c:pt idx="53">
                  <c:v>0.39740720014922576</c:v>
                </c:pt>
                <c:pt idx="54">
                  <c:v>0.39</c:v>
                </c:pt>
                <c:pt idx="55">
                  <c:v>0.39</c:v>
                </c:pt>
                <c:pt idx="56">
                  <c:v>0.39</c:v>
                </c:pt>
                <c:pt idx="57">
                  <c:v>0.39</c:v>
                </c:pt>
                <c:pt idx="58">
                  <c:v>0.39</c:v>
                </c:pt>
                <c:pt idx="59">
                  <c:v>0.39</c:v>
                </c:pt>
              </c:numCache>
            </c:numRef>
          </c:yVal>
          <c:smooth val="0"/>
          <c:extLst>
            <c:ext xmlns:c16="http://schemas.microsoft.com/office/drawing/2014/chart" uri="{C3380CC4-5D6E-409C-BE32-E72D297353CC}">
              <c16:uniqueId val="{00000000-3328-4EC7-B1B0-FA2C07C39623}"/>
            </c:ext>
          </c:extLst>
        </c:ser>
        <c:ser>
          <c:idx val="6"/>
          <c:order val="1"/>
          <c:tx>
            <c:v>SaM(111年)</c:v>
          </c:tx>
          <c:spPr>
            <a:ln w="28575" cap="rnd" cmpd="sng" algn="ctr">
              <a:solidFill>
                <a:schemeClr val="accent1">
                  <a:lumMod val="60000"/>
                  <a:shade val="95000"/>
                  <a:satMod val="105000"/>
                </a:schemeClr>
              </a:solidFill>
              <a:prstDash val="solid"/>
              <a:round/>
            </a:ln>
            <a:effectLst/>
          </c:spPr>
          <c:marker>
            <c:symbol val="none"/>
          </c:marker>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一般工址Cs!$U$43:$U$102</c:f>
              <c:numCache>
                <c:formatCode>0.000_ </c:formatCode>
                <c:ptCount val="60"/>
                <c:pt idx="0">
                  <c:v>0.502</c:v>
                </c:pt>
                <c:pt idx="1">
                  <c:v>0.61899999999999999</c:v>
                </c:pt>
                <c:pt idx="2">
                  <c:v>0.85699999999999998</c:v>
                </c:pt>
                <c:pt idx="3">
                  <c:v>1.1759999999999999</c:v>
                </c:pt>
                <c:pt idx="4">
                  <c:v>1.056</c:v>
                </c:pt>
                <c:pt idx="5">
                  <c:v>1.056</c:v>
                </c:pt>
                <c:pt idx="6">
                  <c:v>1.056</c:v>
                </c:pt>
                <c:pt idx="7">
                  <c:v>1.101</c:v>
                </c:pt>
                <c:pt idx="8">
                  <c:v>1.24498</c:v>
                </c:pt>
                <c:pt idx="9">
                  <c:v>1.24498</c:v>
                </c:pt>
                <c:pt idx="10">
                  <c:v>1.24498</c:v>
                </c:pt>
                <c:pt idx="11">
                  <c:v>1.24498</c:v>
                </c:pt>
                <c:pt idx="12">
                  <c:v>1.24498</c:v>
                </c:pt>
                <c:pt idx="13">
                  <c:v>1.24498</c:v>
                </c:pt>
                <c:pt idx="14">
                  <c:v>1.24498</c:v>
                </c:pt>
                <c:pt idx="15">
                  <c:v>1.24498</c:v>
                </c:pt>
                <c:pt idx="16">
                  <c:v>1.24498</c:v>
                </c:pt>
                <c:pt idx="17">
                  <c:v>1.24498</c:v>
                </c:pt>
                <c:pt idx="18">
                  <c:v>1.24498</c:v>
                </c:pt>
                <c:pt idx="19">
                  <c:v>1.24498</c:v>
                </c:pt>
                <c:pt idx="20">
                  <c:v>1.24498</c:v>
                </c:pt>
                <c:pt idx="21">
                  <c:v>1.24498</c:v>
                </c:pt>
                <c:pt idx="22">
                  <c:v>1.24498</c:v>
                </c:pt>
                <c:pt idx="23">
                  <c:v>1.24498</c:v>
                </c:pt>
                <c:pt idx="24">
                  <c:v>1.24498</c:v>
                </c:pt>
                <c:pt idx="25">
                  <c:v>1.24498</c:v>
                </c:pt>
                <c:pt idx="26">
                  <c:v>1.24498</c:v>
                </c:pt>
                <c:pt idx="27">
                  <c:v>1.24498</c:v>
                </c:pt>
                <c:pt idx="28">
                  <c:v>1.2248295213892415</c:v>
                </c:pt>
                <c:pt idx="29">
                  <c:v>1.1632431617055508</c:v>
                </c:pt>
                <c:pt idx="30">
                  <c:v>1.1075536193029487</c:v>
                </c:pt>
                <c:pt idx="31">
                  <c:v>1.0569526681286545</c:v>
                </c:pt>
                <c:pt idx="32">
                  <c:v>1.0107733310031455</c:v>
                </c:pt>
                <c:pt idx="33">
                  <c:v>0.9684603148024109</c:v>
                </c:pt>
                <c:pt idx="34">
                  <c:v>0.92954757312761127</c:v>
                </c:pt>
                <c:pt idx="35">
                  <c:v>0.89364106922126041</c:v>
                </c:pt>
                <c:pt idx="36">
                  <c:v>0.87964182509505695</c:v>
                </c:pt>
                <c:pt idx="37">
                  <c:v>0.86040538530199306</c:v>
                </c:pt>
                <c:pt idx="38">
                  <c:v>0.82955321285140526</c:v>
                </c:pt>
                <c:pt idx="39">
                  <c:v>0.80083702575463822</c:v>
                </c:pt>
                <c:pt idx="40">
                  <c:v>0.77404242505353282</c:v>
                </c:pt>
                <c:pt idx="41">
                  <c:v>0.74898277648277611</c:v>
                </c:pt>
                <c:pt idx="42">
                  <c:v>0.72549485699949789</c:v>
                </c:pt>
                <c:pt idx="43">
                  <c:v>0.70343529554852791</c:v>
                </c:pt>
                <c:pt idx="44">
                  <c:v>0.68267764400377673</c:v>
                </c:pt>
                <c:pt idx="45">
                  <c:v>0.66310995184590649</c:v>
                </c:pt>
                <c:pt idx="46">
                  <c:v>0.64463274632188994</c:v>
                </c:pt>
                <c:pt idx="47">
                  <c:v>0.62715734114075006</c:v>
                </c:pt>
                <c:pt idx="48">
                  <c:v>0.61060441300675639</c:v>
                </c:pt>
                <c:pt idx="49">
                  <c:v>0.59490279777823452</c:v>
                </c:pt>
                <c:pt idx="50">
                  <c:v>0.57998846770958645</c:v>
                </c:pt>
                <c:pt idx="51">
                  <c:v>0.56580365877519045</c:v>
                </c:pt>
                <c:pt idx="52">
                  <c:v>0.55229612299465214</c:v>
                </c:pt>
                <c:pt idx="53">
                  <c:v>0.53941848535720927</c:v>
                </c:pt>
                <c:pt idx="54">
                  <c:v>0.52712768866204873</c:v>
                </c:pt>
                <c:pt idx="55">
                  <c:v>0.50292565217391305</c:v>
                </c:pt>
                <c:pt idx="56">
                  <c:v>0.49799199999999999</c:v>
                </c:pt>
                <c:pt idx="57">
                  <c:v>0.49799199999999999</c:v>
                </c:pt>
                <c:pt idx="58">
                  <c:v>0.49799199999999999</c:v>
                </c:pt>
                <c:pt idx="59">
                  <c:v>0.49799199999999999</c:v>
                </c:pt>
              </c:numCache>
            </c:numRef>
          </c:yVal>
          <c:smooth val="0"/>
          <c:extLst>
            <c:ext xmlns:c16="http://schemas.microsoft.com/office/drawing/2014/chart" uri="{C3380CC4-5D6E-409C-BE32-E72D297353CC}">
              <c16:uniqueId val="{00000004-018F-40C5-8BA0-38FC5ED1F004}"/>
            </c:ext>
          </c:extLst>
        </c:ser>
        <c:ser>
          <c:idx val="1"/>
          <c:order val="2"/>
          <c:tx>
            <c:v>SaD(100年~111年)</c:v>
          </c:tx>
          <c:spPr>
            <a:ln w="28575" cap="rnd" cmpd="sng" algn="ctr">
              <a:solidFill>
                <a:schemeClr val="accent2">
                  <a:shade val="95000"/>
                  <a:satMod val="105000"/>
                </a:schemeClr>
              </a:solidFill>
              <a:prstDash val="solid"/>
              <a:round/>
            </a:ln>
            <a:effectLst/>
          </c:spPr>
          <c:marker>
            <c:symbol val="none"/>
          </c:marker>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一般工址Cs!$AA$43:$AA$102</c:f>
              <c:numCache>
                <c:formatCode>0.000_ </c:formatCode>
                <c:ptCount val="60"/>
                <c:pt idx="0">
                  <c:v>0.32400000000000001</c:v>
                </c:pt>
                <c:pt idx="1">
                  <c:v>0.42699999999999999</c:v>
                </c:pt>
                <c:pt idx="2">
                  <c:v>0.63800000000000001</c:v>
                </c:pt>
                <c:pt idx="3">
                  <c:v>0.8</c:v>
                </c:pt>
                <c:pt idx="4">
                  <c:v>0.8</c:v>
                </c:pt>
                <c:pt idx="5">
                  <c:v>0.8</c:v>
                </c:pt>
                <c:pt idx="6">
                  <c:v>0.8</c:v>
                </c:pt>
                <c:pt idx="7">
                  <c:v>0.8</c:v>
                </c:pt>
                <c:pt idx="8">
                  <c:v>0.8</c:v>
                </c:pt>
                <c:pt idx="9">
                  <c:v>0.8</c:v>
                </c:pt>
                <c:pt idx="10">
                  <c:v>0.8</c:v>
                </c:pt>
                <c:pt idx="11">
                  <c:v>0.8</c:v>
                </c:pt>
                <c:pt idx="12">
                  <c:v>0.8</c:v>
                </c:pt>
                <c:pt idx="13">
                  <c:v>0.8</c:v>
                </c:pt>
                <c:pt idx="14">
                  <c:v>0.8</c:v>
                </c:pt>
                <c:pt idx="15">
                  <c:v>0.8</c:v>
                </c:pt>
                <c:pt idx="16">
                  <c:v>0.8</c:v>
                </c:pt>
                <c:pt idx="17">
                  <c:v>0.77142857142857157</c:v>
                </c:pt>
                <c:pt idx="18">
                  <c:v>0.77142857142857157</c:v>
                </c:pt>
                <c:pt idx="19">
                  <c:v>0.63996207632140323</c:v>
                </c:pt>
                <c:pt idx="20">
                  <c:v>0.77764976958525345</c:v>
                </c:pt>
                <c:pt idx="21">
                  <c:v>0.77764976958525345</c:v>
                </c:pt>
                <c:pt idx="22">
                  <c:v>0.78260869565217406</c:v>
                </c:pt>
                <c:pt idx="23">
                  <c:v>0.77764976958525345</c:v>
                </c:pt>
                <c:pt idx="24">
                  <c:v>0.72541644277270279</c:v>
                </c:pt>
                <c:pt idx="25">
                  <c:v>0.6797583081570997</c:v>
                </c:pt>
                <c:pt idx="26">
                  <c:v>0.63950734249171004</c:v>
                </c:pt>
                <c:pt idx="27">
                  <c:v>0.6037567084078711</c:v>
                </c:pt>
                <c:pt idx="28">
                  <c:v>0.57179161372299858</c:v>
                </c:pt>
                <c:pt idx="29">
                  <c:v>0.54304102976669333</c:v>
                </c:pt>
                <c:pt idx="30">
                  <c:v>0.51704327843738029</c:v>
                </c:pt>
                <c:pt idx="31">
                  <c:v>0.49342105263157887</c:v>
                </c:pt>
                <c:pt idx="32">
                  <c:v>0.47186298497029</c:v>
                </c:pt>
                <c:pt idx="33">
                  <c:v>0.45210984594775611</c:v>
                </c:pt>
                <c:pt idx="34">
                  <c:v>0.43394406943105102</c:v>
                </c:pt>
                <c:pt idx="35">
                  <c:v>0.41718170580964142</c:v>
                </c:pt>
                <c:pt idx="36">
                  <c:v>0.41064638783269969</c:v>
                </c:pt>
                <c:pt idx="37">
                  <c:v>0.40166617078250511</c:v>
                </c:pt>
                <c:pt idx="38">
                  <c:v>0.38726333907056787</c:v>
                </c:pt>
                <c:pt idx="39">
                  <c:v>0.37385765715868169</c:v>
                </c:pt>
                <c:pt idx="40">
                  <c:v>0.36134903640256949</c:v>
                </c:pt>
                <c:pt idx="41">
                  <c:v>0.34965034965034952</c:v>
                </c:pt>
                <c:pt idx="42">
                  <c:v>0.33868539889613636</c:v>
                </c:pt>
                <c:pt idx="43">
                  <c:v>0.32838725370955957</c:v>
                </c:pt>
                <c:pt idx="44">
                  <c:v>0.32000000000000006</c:v>
                </c:pt>
                <c:pt idx="45">
                  <c:v>0.32000000000000006</c:v>
                </c:pt>
                <c:pt idx="46">
                  <c:v>0.32000000000000006</c:v>
                </c:pt>
                <c:pt idx="47">
                  <c:v>0.32000000000000006</c:v>
                </c:pt>
                <c:pt idx="48">
                  <c:v>0.32000000000000006</c:v>
                </c:pt>
                <c:pt idx="49">
                  <c:v>0.32000000000000006</c:v>
                </c:pt>
                <c:pt idx="50">
                  <c:v>0.32000000000000006</c:v>
                </c:pt>
                <c:pt idx="51">
                  <c:v>0.32000000000000006</c:v>
                </c:pt>
                <c:pt idx="52">
                  <c:v>0.32000000000000006</c:v>
                </c:pt>
                <c:pt idx="53">
                  <c:v>0.32000000000000006</c:v>
                </c:pt>
                <c:pt idx="54">
                  <c:v>0.32000000000000006</c:v>
                </c:pt>
                <c:pt idx="55">
                  <c:v>0.32000000000000006</c:v>
                </c:pt>
                <c:pt idx="56">
                  <c:v>0.32000000000000006</c:v>
                </c:pt>
                <c:pt idx="57">
                  <c:v>0.32000000000000006</c:v>
                </c:pt>
                <c:pt idx="58">
                  <c:v>0.32000000000000006</c:v>
                </c:pt>
                <c:pt idx="59">
                  <c:v>0.32000000000000006</c:v>
                </c:pt>
              </c:numCache>
            </c:numRef>
          </c:yVal>
          <c:smooth val="0"/>
          <c:extLst>
            <c:ext xmlns:c16="http://schemas.microsoft.com/office/drawing/2014/chart" uri="{C3380CC4-5D6E-409C-BE32-E72D297353CC}">
              <c16:uniqueId val="{00000000-018F-40C5-8BA0-38FC5ED1F004}"/>
            </c:ext>
          </c:extLst>
        </c:ser>
        <c:ser>
          <c:idx val="7"/>
          <c:order val="3"/>
          <c:tx>
            <c:v>SaM(100年~111年)</c:v>
          </c:tx>
          <c:spPr>
            <a:ln w="28575" cap="rnd" cmpd="sng" algn="ctr">
              <a:solidFill>
                <a:schemeClr val="accent2">
                  <a:lumMod val="60000"/>
                  <a:shade val="95000"/>
                  <a:satMod val="105000"/>
                </a:schemeClr>
              </a:solidFill>
              <a:prstDash val="solid"/>
              <a:round/>
            </a:ln>
            <a:effectLst/>
          </c:spPr>
          <c:marker>
            <c:symbol val="none"/>
          </c:marker>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一般工址Cs!$AK$43:$AK$102</c:f>
              <c:numCache>
                <c:formatCode>0.000_ </c:formatCode>
                <c:ptCount val="60"/>
                <c:pt idx="0">
                  <c:v>0.40500000000000003</c:v>
                </c:pt>
                <c:pt idx="1">
                  <c:v>0.54900000000000004</c:v>
                </c:pt>
                <c:pt idx="2">
                  <c:v>0.84299999999999997</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0.86428571428571443</c:v>
                </c:pt>
                <c:pt idx="18">
                  <c:v>0.86428571428571443</c:v>
                </c:pt>
                <c:pt idx="19">
                  <c:v>0.71699454847120181</c:v>
                </c:pt>
                <c:pt idx="20">
                  <c:v>0.8712557603686637</c:v>
                </c:pt>
                <c:pt idx="21">
                  <c:v>0.8712557603686637</c:v>
                </c:pt>
                <c:pt idx="22">
                  <c:v>0.87681159420289878</c:v>
                </c:pt>
                <c:pt idx="23">
                  <c:v>0.8712557603686637</c:v>
                </c:pt>
                <c:pt idx="24">
                  <c:v>0.81273508866200972</c:v>
                </c:pt>
                <c:pt idx="25">
                  <c:v>0.76158106747230614</c:v>
                </c:pt>
                <c:pt idx="26">
                  <c:v>0.71648507816200846</c:v>
                </c:pt>
                <c:pt idx="27">
                  <c:v>0.67643112701252228</c:v>
                </c:pt>
                <c:pt idx="28">
                  <c:v>0.64061838204150778</c:v>
                </c:pt>
                <c:pt idx="29">
                  <c:v>0.60840707964601759</c:v>
                </c:pt>
                <c:pt idx="30">
                  <c:v>0.57927996936039827</c:v>
                </c:pt>
                <c:pt idx="31">
                  <c:v>0.55281432748538006</c:v>
                </c:pt>
                <c:pt idx="32">
                  <c:v>0.52866130723523241</c:v>
                </c:pt>
                <c:pt idx="33">
                  <c:v>0.50653047555257869</c:v>
                </c:pt>
                <c:pt idx="34">
                  <c:v>0.48617807778849237</c:v>
                </c:pt>
                <c:pt idx="35">
                  <c:v>0.4673980222496909</c:v>
                </c:pt>
                <c:pt idx="36">
                  <c:v>0.46007604562737653</c:v>
                </c:pt>
                <c:pt idx="37">
                  <c:v>0.45001487652484368</c:v>
                </c:pt>
                <c:pt idx="38">
                  <c:v>0.4338783706253585</c:v>
                </c:pt>
                <c:pt idx="39">
                  <c:v>0.41885904181667116</c:v>
                </c:pt>
                <c:pt idx="40">
                  <c:v>0.40484475374732326</c:v>
                </c:pt>
                <c:pt idx="41">
                  <c:v>0.4</c:v>
                </c:pt>
                <c:pt idx="42">
                  <c:v>0.4</c:v>
                </c:pt>
                <c:pt idx="43">
                  <c:v>0.4</c:v>
                </c:pt>
                <c:pt idx="44">
                  <c:v>0.4</c:v>
                </c:pt>
                <c:pt idx="45">
                  <c:v>0.4</c:v>
                </c:pt>
                <c:pt idx="46">
                  <c:v>0.4</c:v>
                </c:pt>
                <c:pt idx="47">
                  <c:v>0.4</c:v>
                </c:pt>
                <c:pt idx="48">
                  <c:v>0.4</c:v>
                </c:pt>
                <c:pt idx="49">
                  <c:v>0.4</c:v>
                </c:pt>
                <c:pt idx="50">
                  <c:v>0.4</c:v>
                </c:pt>
                <c:pt idx="51">
                  <c:v>0.4</c:v>
                </c:pt>
                <c:pt idx="52">
                  <c:v>0.4</c:v>
                </c:pt>
                <c:pt idx="53">
                  <c:v>0.4</c:v>
                </c:pt>
                <c:pt idx="54">
                  <c:v>0.4</c:v>
                </c:pt>
                <c:pt idx="55">
                  <c:v>0.4</c:v>
                </c:pt>
                <c:pt idx="56">
                  <c:v>0.4</c:v>
                </c:pt>
                <c:pt idx="57">
                  <c:v>0.4</c:v>
                </c:pt>
                <c:pt idx="58">
                  <c:v>0.4</c:v>
                </c:pt>
                <c:pt idx="59">
                  <c:v>0.4</c:v>
                </c:pt>
              </c:numCache>
            </c:numRef>
          </c:yVal>
          <c:smooth val="0"/>
          <c:extLst>
            <c:ext xmlns:c16="http://schemas.microsoft.com/office/drawing/2014/chart" uri="{C3380CC4-5D6E-409C-BE32-E72D297353CC}">
              <c16:uniqueId val="{00000005-018F-40C5-8BA0-38FC5ED1F004}"/>
            </c:ext>
          </c:extLst>
        </c:ser>
        <c:ser>
          <c:idx val="5"/>
          <c:order val="4"/>
          <c:tx>
            <c:v>SaD(95年~100年)</c:v>
          </c:tx>
          <c:spPr>
            <a:ln w="28575" cap="rnd" cmpd="sng" algn="ctr">
              <a:solidFill>
                <a:schemeClr val="accent6">
                  <a:shade val="95000"/>
                  <a:satMod val="105000"/>
                </a:schemeClr>
              </a:solidFill>
              <a:prstDash val="solid"/>
              <a:round/>
            </a:ln>
            <a:effectLst/>
          </c:spPr>
          <c:marker>
            <c:symbol val="none"/>
          </c:marker>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一般工址Cs!$BG$43:$BG$102</c:f>
              <c:numCache>
                <c:formatCode>0.0000_ </c:formatCode>
                <c:ptCount val="60"/>
                <c:pt idx="0">
                  <c:v>0.32400000000000001</c:v>
                </c:pt>
                <c:pt idx="1">
                  <c:v>0.42699999999999999</c:v>
                </c:pt>
                <c:pt idx="2">
                  <c:v>0.63800000000000001</c:v>
                </c:pt>
                <c:pt idx="3">
                  <c:v>0.8</c:v>
                </c:pt>
                <c:pt idx="4">
                  <c:v>0.8</c:v>
                </c:pt>
                <c:pt idx="5">
                  <c:v>0.8</c:v>
                </c:pt>
                <c:pt idx="6">
                  <c:v>0.8</c:v>
                </c:pt>
                <c:pt idx="7">
                  <c:v>0.8</c:v>
                </c:pt>
                <c:pt idx="8">
                  <c:v>0.8</c:v>
                </c:pt>
                <c:pt idx="9">
                  <c:v>0.8</c:v>
                </c:pt>
                <c:pt idx="10">
                  <c:v>0.8</c:v>
                </c:pt>
                <c:pt idx="11">
                  <c:v>0.8</c:v>
                </c:pt>
                <c:pt idx="12">
                  <c:v>0.8</c:v>
                </c:pt>
                <c:pt idx="13">
                  <c:v>0.8</c:v>
                </c:pt>
                <c:pt idx="14">
                  <c:v>0.8</c:v>
                </c:pt>
                <c:pt idx="15">
                  <c:v>0.8</c:v>
                </c:pt>
                <c:pt idx="16">
                  <c:v>0.8</c:v>
                </c:pt>
                <c:pt idx="17">
                  <c:v>0.77142857142857157</c:v>
                </c:pt>
                <c:pt idx="18">
                  <c:v>0.77142857142857157</c:v>
                </c:pt>
                <c:pt idx="19">
                  <c:v>0.63996207632140323</c:v>
                </c:pt>
                <c:pt idx="20">
                  <c:v>0.77764976958525345</c:v>
                </c:pt>
                <c:pt idx="21">
                  <c:v>0.77764976958525345</c:v>
                </c:pt>
                <c:pt idx="22">
                  <c:v>0.78260869565217406</c:v>
                </c:pt>
                <c:pt idx="23">
                  <c:v>0.77764976958525345</c:v>
                </c:pt>
                <c:pt idx="24">
                  <c:v>0.72541644277270279</c:v>
                </c:pt>
                <c:pt idx="25">
                  <c:v>0.6797583081570997</c:v>
                </c:pt>
                <c:pt idx="26">
                  <c:v>0.63950734249171004</c:v>
                </c:pt>
                <c:pt idx="27">
                  <c:v>0.6037567084078711</c:v>
                </c:pt>
                <c:pt idx="28">
                  <c:v>0.57179161372299858</c:v>
                </c:pt>
                <c:pt idx="29">
                  <c:v>0.54304102976669333</c:v>
                </c:pt>
                <c:pt idx="30">
                  <c:v>0.51704327843738029</c:v>
                </c:pt>
                <c:pt idx="31">
                  <c:v>0.49342105263157887</c:v>
                </c:pt>
                <c:pt idx="32">
                  <c:v>0.47186298497029</c:v>
                </c:pt>
                <c:pt idx="33">
                  <c:v>0.45210984594775611</c:v>
                </c:pt>
                <c:pt idx="34">
                  <c:v>0.43394406943105102</c:v>
                </c:pt>
                <c:pt idx="35">
                  <c:v>0.41718170580964142</c:v>
                </c:pt>
                <c:pt idx="36">
                  <c:v>0.41064638783269969</c:v>
                </c:pt>
                <c:pt idx="37">
                  <c:v>0.40166617078250511</c:v>
                </c:pt>
                <c:pt idx="38">
                  <c:v>0.38726333907056787</c:v>
                </c:pt>
                <c:pt idx="39">
                  <c:v>0.37385765715868169</c:v>
                </c:pt>
                <c:pt idx="40">
                  <c:v>0.36134903640256949</c:v>
                </c:pt>
                <c:pt idx="41">
                  <c:v>0.34965034965034952</c:v>
                </c:pt>
                <c:pt idx="42">
                  <c:v>0.33868539889613636</c:v>
                </c:pt>
                <c:pt idx="43">
                  <c:v>0.32838725370955957</c:v>
                </c:pt>
                <c:pt idx="44">
                  <c:v>0.32000000000000006</c:v>
                </c:pt>
                <c:pt idx="45">
                  <c:v>0.32000000000000006</c:v>
                </c:pt>
                <c:pt idx="46">
                  <c:v>0.32000000000000006</c:v>
                </c:pt>
                <c:pt idx="47">
                  <c:v>0.32000000000000006</c:v>
                </c:pt>
                <c:pt idx="48">
                  <c:v>0.32000000000000006</c:v>
                </c:pt>
                <c:pt idx="49">
                  <c:v>0.32000000000000006</c:v>
                </c:pt>
                <c:pt idx="50">
                  <c:v>0.32000000000000006</c:v>
                </c:pt>
                <c:pt idx="51">
                  <c:v>0.32000000000000006</c:v>
                </c:pt>
                <c:pt idx="52">
                  <c:v>0.32000000000000006</c:v>
                </c:pt>
                <c:pt idx="53">
                  <c:v>0.32000000000000006</c:v>
                </c:pt>
                <c:pt idx="54">
                  <c:v>0.32000000000000006</c:v>
                </c:pt>
                <c:pt idx="55">
                  <c:v>0.32000000000000006</c:v>
                </c:pt>
                <c:pt idx="56">
                  <c:v>0.32000000000000006</c:v>
                </c:pt>
                <c:pt idx="57">
                  <c:v>0.32000000000000006</c:v>
                </c:pt>
                <c:pt idx="58">
                  <c:v>0.32000000000000006</c:v>
                </c:pt>
                <c:pt idx="59">
                  <c:v>0.32000000000000006</c:v>
                </c:pt>
              </c:numCache>
            </c:numRef>
          </c:yVal>
          <c:smooth val="0"/>
          <c:extLst>
            <c:ext xmlns:c16="http://schemas.microsoft.com/office/drawing/2014/chart" uri="{C3380CC4-5D6E-409C-BE32-E72D297353CC}">
              <c16:uniqueId val="{00000003-018F-40C5-8BA0-38FC5ED1F004}"/>
            </c:ext>
          </c:extLst>
        </c:ser>
        <c:ser>
          <c:idx val="2"/>
          <c:order val="5"/>
          <c:tx>
            <c:v>SaD(86年~88年)</c:v>
          </c:tx>
          <c:spPr>
            <a:ln w="28575" cap="rnd" cmpd="sng" algn="ctr">
              <a:solidFill>
                <a:schemeClr val="accent3">
                  <a:shade val="95000"/>
                  <a:satMod val="105000"/>
                </a:schemeClr>
              </a:solidFill>
              <a:prstDash val="solid"/>
              <a:round/>
            </a:ln>
            <a:effectLst/>
          </c:spPr>
          <c:marker>
            <c:symbol val="none"/>
          </c:marker>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一般工址Cs!$BC$43:$BC$102</c:f>
              <c:numCache>
                <c:formatCode>0.0000_ </c:formatCode>
                <c:ptCount val="60"/>
                <c:pt idx="0">
                  <c:v>0.33</c:v>
                </c:pt>
                <c:pt idx="1">
                  <c:v>0.33</c:v>
                </c:pt>
                <c:pt idx="2">
                  <c:v>0.50265045600000002</c:v>
                </c:pt>
                <c:pt idx="3">
                  <c:v>0.73403161920000015</c:v>
                </c:pt>
                <c:pt idx="4">
                  <c:v>0.6470816880000001</c:v>
                </c:pt>
                <c:pt idx="5">
                  <c:v>0.6470816880000001</c:v>
                </c:pt>
                <c:pt idx="6">
                  <c:v>0.6470816880000001</c:v>
                </c:pt>
                <c:pt idx="7">
                  <c:v>0.6794039999999999</c:v>
                </c:pt>
                <c:pt idx="8">
                  <c:v>0.82500000000000007</c:v>
                </c:pt>
                <c:pt idx="9">
                  <c:v>0.82500000000000007</c:v>
                </c:pt>
                <c:pt idx="10">
                  <c:v>0.82500000000000007</c:v>
                </c:pt>
                <c:pt idx="11">
                  <c:v>0.82500000000000007</c:v>
                </c:pt>
                <c:pt idx="12">
                  <c:v>0.82500000000000007</c:v>
                </c:pt>
                <c:pt idx="13">
                  <c:v>0.82500000000000007</c:v>
                </c:pt>
                <c:pt idx="14">
                  <c:v>0.82500000000000007</c:v>
                </c:pt>
                <c:pt idx="15">
                  <c:v>0.82500000000000007</c:v>
                </c:pt>
                <c:pt idx="16">
                  <c:v>0.82500000000000007</c:v>
                </c:pt>
                <c:pt idx="17">
                  <c:v>0.75344996719300705</c:v>
                </c:pt>
                <c:pt idx="18">
                  <c:v>0.75344996719300705</c:v>
                </c:pt>
                <c:pt idx="19">
                  <c:v>0.66521203462242684</c:v>
                </c:pt>
                <c:pt idx="20">
                  <c:v>0.75749534825964537</c:v>
                </c:pt>
                <c:pt idx="21">
                  <c:v>0.75749534825964537</c:v>
                </c:pt>
                <c:pt idx="22">
                  <c:v>0.76071220549387619</c:v>
                </c:pt>
                <c:pt idx="23">
                  <c:v>0.75749534825964537</c:v>
                </c:pt>
                <c:pt idx="24">
                  <c:v>0.72318409924441396</c:v>
                </c:pt>
                <c:pt idx="25">
                  <c:v>0.69251144398156439</c:v>
                </c:pt>
                <c:pt idx="26">
                  <c:v>0.66489688026962368</c:v>
                </c:pt>
                <c:pt idx="27">
                  <c:v>0.63988007143841563</c:v>
                </c:pt>
                <c:pt idx="28">
                  <c:v>0.61709087720011535</c:v>
                </c:pt>
                <c:pt idx="29">
                  <c:v>0.5962280005798547</c:v>
                </c:pt>
                <c:pt idx="30">
                  <c:v>0.57704347721812677</c:v>
                </c:pt>
                <c:pt idx="31">
                  <c:v>0.55933121294915489</c:v>
                </c:pt>
                <c:pt idx="32">
                  <c:v>0.54291838127032743</c:v>
                </c:pt>
                <c:pt idx="33">
                  <c:v>0.52765887659886879</c:v>
                </c:pt>
                <c:pt idx="34">
                  <c:v>0.51342826870102132</c:v>
                </c:pt>
                <c:pt idx="35">
                  <c:v>0.50011986906249251</c:v>
                </c:pt>
                <c:pt idx="36">
                  <c:v>0.49488308476461657</c:v>
                </c:pt>
                <c:pt idx="37">
                  <c:v>0.48764163168834601</c:v>
                </c:pt>
                <c:pt idx="38">
                  <c:v>0.47591368759788233</c:v>
                </c:pt>
                <c:pt idx="39">
                  <c:v>0.46486636588086166</c:v>
                </c:pt>
                <c:pt idx="40">
                  <c:v>0.45443859214674887</c:v>
                </c:pt>
                <c:pt idx="41">
                  <c:v>0.44457658245017151</c:v>
                </c:pt>
                <c:pt idx="42">
                  <c:v>0.43523277057951987</c:v>
                </c:pt>
                <c:pt idx="43">
                  <c:v>0.42636492115254276</c:v>
                </c:pt>
                <c:pt idx="44">
                  <c:v>0.41793539177745959</c:v>
                </c:pt>
                <c:pt idx="45">
                  <c:v>0.40991051565265846</c:v>
                </c:pt>
                <c:pt idx="46">
                  <c:v>0.40226008212339687</c:v>
                </c:pt>
                <c:pt idx="47">
                  <c:v>0.39495689740855155</c:v>
                </c:pt>
                <c:pt idx="48">
                  <c:v>0.3879764113262622</c:v>
                </c:pt>
                <c:pt idx="49">
                  <c:v>0.3812963986536389</c:v>
                </c:pt>
                <c:pt idx="50">
                  <c:v>0.37489668594962339</c:v>
                </c:pt>
                <c:pt idx="51">
                  <c:v>0.36875891639698605</c:v>
                </c:pt>
                <c:pt idx="52">
                  <c:v>0.36286634658756023</c:v>
                </c:pt>
                <c:pt idx="53">
                  <c:v>0.35720367026533623</c:v>
                </c:pt>
                <c:pt idx="54">
                  <c:v>0.35175686491635949</c:v>
                </c:pt>
                <c:pt idx="55">
                  <c:v>0.34090592884642262</c:v>
                </c:pt>
                <c:pt idx="56">
                  <c:v>0.33605307224227426</c:v>
                </c:pt>
                <c:pt idx="57">
                  <c:v>0.33136931029067396</c:v>
                </c:pt>
                <c:pt idx="58">
                  <c:v>0.33</c:v>
                </c:pt>
                <c:pt idx="59">
                  <c:v>0.33</c:v>
                </c:pt>
              </c:numCache>
            </c:numRef>
          </c:yVal>
          <c:smooth val="0"/>
          <c:extLst>
            <c:ext xmlns:c16="http://schemas.microsoft.com/office/drawing/2014/chart" uri="{C3380CC4-5D6E-409C-BE32-E72D297353CC}">
              <c16:uniqueId val="{00000001-018F-40C5-8BA0-38FC5ED1F004}"/>
            </c:ext>
          </c:extLst>
        </c:ser>
        <c:ser>
          <c:idx val="8"/>
          <c:order val="6"/>
          <c:tx>
            <c:strRef>
              <c:f>一般工址Cs!$AX$42</c:f>
              <c:strCache>
                <c:ptCount val="1"/>
                <c:pt idx="0">
                  <c:v>Sa(71~86年)</c:v>
                </c:pt>
              </c:strCache>
            </c:strRef>
          </c:tx>
          <c:spPr>
            <a:ln w="28575" cap="rnd" cmpd="sng" algn="ctr">
              <a:solidFill>
                <a:schemeClr val="accent3">
                  <a:lumMod val="60000"/>
                  <a:shade val="95000"/>
                  <a:satMod val="105000"/>
                </a:schemeClr>
              </a:solidFill>
              <a:prstDash val="solid"/>
              <a:round/>
            </a:ln>
            <a:effectLst/>
          </c:spPr>
          <c:marker>
            <c:symbol val="none"/>
          </c:marker>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一般工址Cs!$AX$43:$AX$102</c:f>
              <c:numCache>
                <c:formatCode>0.0000_ </c:formatCode>
                <c:ptCount val="60"/>
                <c:pt idx="0">
                  <c:v>0.31914091088709684</c:v>
                </c:pt>
                <c:pt idx="1">
                  <c:v>0.41803412661290329</c:v>
                </c:pt>
                <c:pt idx="2">
                  <c:v>0.62025370221774201</c:v>
                </c:pt>
                <c:pt idx="3">
                  <c:v>0.78932700000000011</c:v>
                </c:pt>
                <c:pt idx="4">
                  <c:v>0.78939520221774206</c:v>
                </c:pt>
                <c:pt idx="5">
                  <c:v>0.78939520221774206</c:v>
                </c:pt>
                <c:pt idx="6">
                  <c:v>0.78939520221774206</c:v>
                </c:pt>
                <c:pt idx="7">
                  <c:v>0.78932700000000011</c:v>
                </c:pt>
                <c:pt idx="8">
                  <c:v>0.78932700000000011</c:v>
                </c:pt>
                <c:pt idx="9">
                  <c:v>0.78932700000000011</c:v>
                </c:pt>
                <c:pt idx="10">
                  <c:v>0.78932700000000011</c:v>
                </c:pt>
                <c:pt idx="11">
                  <c:v>0.78932700000000011</c:v>
                </c:pt>
                <c:pt idx="12">
                  <c:v>0.78932700000000011</c:v>
                </c:pt>
                <c:pt idx="13">
                  <c:v>0.78932700000000011</c:v>
                </c:pt>
                <c:pt idx="14">
                  <c:v>0.78932700000000011</c:v>
                </c:pt>
                <c:pt idx="15">
                  <c:v>0.78932700000000011</c:v>
                </c:pt>
                <c:pt idx="16">
                  <c:v>0.78932700000000011</c:v>
                </c:pt>
                <c:pt idx="17">
                  <c:v>0.78618851043340743</c:v>
                </c:pt>
                <c:pt idx="18">
                  <c:v>0.78618851043340743</c:v>
                </c:pt>
                <c:pt idx="19">
                  <c:v>0.71607077977336564</c:v>
                </c:pt>
                <c:pt idx="20">
                  <c:v>0.78932700000000011</c:v>
                </c:pt>
                <c:pt idx="21">
                  <c:v>0.78932700000000011</c:v>
                </c:pt>
                <c:pt idx="22">
                  <c:v>0.78932700000000011</c:v>
                </c:pt>
                <c:pt idx="23">
                  <c:v>0.78932700000000011</c:v>
                </c:pt>
                <c:pt idx="24">
                  <c:v>0.76238181821800788</c:v>
                </c:pt>
                <c:pt idx="25">
                  <c:v>0.73799954641508747</c:v>
                </c:pt>
                <c:pt idx="26">
                  <c:v>0.71581632760787606</c:v>
                </c:pt>
                <c:pt idx="27">
                  <c:v>0.69552031153124183</c:v>
                </c:pt>
                <c:pt idx="28">
                  <c:v>0.67685824483762458</c:v>
                </c:pt>
                <c:pt idx="29">
                  <c:v>0.65962203468093383</c:v>
                </c:pt>
                <c:pt idx="30">
                  <c:v>0.64363889573909694</c:v>
                </c:pt>
                <c:pt idx="31">
                  <c:v>0.62876400336405869</c:v>
                </c:pt>
                <c:pt idx="32">
                  <c:v>0.61487493276254979</c:v>
                </c:pt>
                <c:pt idx="33">
                  <c:v>0.60186739276167267</c:v>
                </c:pt>
                <c:pt idx="34">
                  <c:v>0.58965191241750659</c:v>
                </c:pt>
                <c:pt idx="35">
                  <c:v>0.578151238759958</c:v>
                </c:pt>
                <c:pt idx="36">
                  <c:v>0.5736048783514931</c:v>
                </c:pt>
                <c:pt idx="37">
                  <c:v>0.5672982720601949</c:v>
                </c:pt>
                <c:pt idx="38">
                  <c:v>0.55703441214525151</c:v>
                </c:pt>
                <c:pt idx="39">
                  <c:v>0.54730822242360921</c:v>
                </c:pt>
                <c:pt idx="40">
                  <c:v>0.53807434191559211</c:v>
                </c:pt>
                <c:pt idx="41">
                  <c:v>0.52929259265345896</c:v>
                </c:pt>
                <c:pt idx="42">
                  <c:v>0.52092724229862186</c:v>
                </c:pt>
                <c:pt idx="43">
                  <c:v>0.51294639105370399</c:v>
                </c:pt>
                <c:pt idx="44">
                  <c:v>0.50532145884409552</c:v>
                </c:pt>
                <c:pt idx="45">
                  <c:v>0.49802675394748813</c:v>
                </c:pt>
                <c:pt idx="46">
                  <c:v>0.49103910821208452</c:v>
                </c:pt>
                <c:pt idx="47">
                  <c:v>0.48433756704686753</c:v>
                </c:pt>
                <c:pt idx="48">
                  <c:v>0.47790312472261781</c:v>
                </c:pt>
                <c:pt idx="49">
                  <c:v>0.47171849735939209</c:v>
                </c:pt>
                <c:pt idx="50">
                  <c:v>0.46576792741913797</c:v>
                </c:pt>
                <c:pt idx="51">
                  <c:v>0.46003701466319846</c:v>
                </c:pt>
                <c:pt idx="52">
                  <c:v>0.45451256944252921</c:v>
                </c:pt>
                <c:pt idx="53">
                  <c:v>0.44918248491545898</c:v>
                </c:pt>
                <c:pt idx="54">
                  <c:v>0.44403562537318042</c:v>
                </c:pt>
                <c:pt idx="55">
                  <c:v>0.43372234243673041</c:v>
                </c:pt>
                <c:pt idx="56">
                  <c:v>0.42908346743254538</c:v>
                </c:pt>
                <c:pt idx="57">
                  <c:v>0.4245903230155364</c:v>
                </c:pt>
                <c:pt idx="58">
                  <c:v>0.42023543535142305</c:v>
                </c:pt>
                <c:pt idx="59">
                  <c:v>0.41601185644462108</c:v>
                </c:pt>
              </c:numCache>
            </c:numRef>
          </c:yVal>
          <c:smooth val="0"/>
          <c:extLst>
            <c:ext xmlns:c16="http://schemas.microsoft.com/office/drawing/2014/chart" uri="{C3380CC4-5D6E-409C-BE32-E72D297353CC}">
              <c16:uniqueId val="{00000000-7A14-4A01-9018-16544B6CFAF0}"/>
            </c:ext>
          </c:extLst>
        </c:ser>
        <c:ser>
          <c:idx val="3"/>
          <c:order val="7"/>
          <c:tx>
            <c:strRef>
              <c:f>一般工址Cs!$H$116:$J$116</c:f>
              <c:strCache>
                <c:ptCount val="1"/>
                <c:pt idx="0">
                  <c:v>基本振動週期T= 0.868  s</c:v>
                </c:pt>
              </c:strCache>
            </c:strRef>
          </c:tx>
          <c:spPr>
            <a:ln w="19050" cap="rnd" cmpd="sng" algn="ctr">
              <a:solidFill>
                <a:schemeClr val="bg1">
                  <a:lumMod val="50000"/>
                </a:schemeClr>
              </a:solidFill>
              <a:prstDash val="sysDot"/>
              <a:round/>
            </a:ln>
            <a:effectLst/>
          </c:spPr>
          <c:marker>
            <c:symbol val="none"/>
          </c:marker>
          <c:xVal>
            <c:numRef>
              <c:f>一般工址Cs!$I$117:$I$118</c:f>
              <c:numCache>
                <c:formatCode>0.000_ </c:formatCode>
                <c:ptCount val="2"/>
                <c:pt idx="0">
                  <c:v>0.86799999999999999</c:v>
                </c:pt>
                <c:pt idx="1">
                  <c:v>0.86799999999999999</c:v>
                </c:pt>
              </c:numCache>
            </c:numRef>
          </c:xVal>
          <c:yVal>
            <c:numRef>
              <c:f>一般工址Cs!$U$117:$U$118</c:f>
              <c:numCache>
                <c:formatCode>0.000_ </c:formatCode>
                <c:ptCount val="2"/>
                <c:pt idx="0">
                  <c:v>0</c:v>
                </c:pt>
                <c:pt idx="1">
                  <c:v>1.25</c:v>
                </c:pt>
              </c:numCache>
            </c:numRef>
          </c:yVal>
          <c:smooth val="0"/>
          <c:extLst>
            <c:ext xmlns:c16="http://schemas.microsoft.com/office/drawing/2014/chart" uri="{C3380CC4-5D6E-409C-BE32-E72D297353CC}">
              <c16:uniqueId val="{00000000-2C04-47BB-A88F-30551BF262E8}"/>
            </c:ext>
          </c:extLst>
        </c:ser>
        <c:dLbls>
          <c:showLegendKey val="0"/>
          <c:showVal val="0"/>
          <c:showCatName val="0"/>
          <c:showSerName val="0"/>
          <c:showPercent val="0"/>
          <c:showBubbleSize val="0"/>
        </c:dLbls>
        <c:axId val="192679872"/>
        <c:axId val="192677568"/>
      </c:scatterChart>
      <c:valAx>
        <c:axId val="192679872"/>
        <c:scaling>
          <c:orientation val="minMax"/>
          <c:max val="2.5"/>
        </c:scaling>
        <c:delete val="0"/>
        <c:axPos val="b"/>
        <c:minorGridlines>
          <c:spPr>
            <a:ln w="9525" cap="flat" cmpd="sng" algn="ctr">
              <a:solidFill>
                <a:schemeClr val="tx1">
                  <a:tint val="50000"/>
                  <a:shade val="95000"/>
                  <a:satMod val="105000"/>
                </a:schemeClr>
              </a:solidFill>
              <a:prstDash val="solid"/>
              <a:round/>
            </a:ln>
            <a:effectLst/>
          </c:spPr>
        </c:minorGridlines>
        <c:title>
          <c:tx>
            <c:rich>
              <a:bodyPr rot="0" spcFirstLastPara="1" vertOverflow="ellipsis" vert="horz" wrap="square" anchor="ctr" anchorCtr="1"/>
              <a:lstStyle/>
              <a:p>
                <a:pPr>
                  <a:defRPr sz="1400" b="1" i="0" u="none" strike="noStrike" kern="1200" baseline="0">
                    <a:solidFill>
                      <a:schemeClr val="tx1"/>
                    </a:solidFill>
                    <a:latin typeface="+mn-lt"/>
                    <a:ea typeface="+mn-ea"/>
                    <a:cs typeface="+mn-cs"/>
                  </a:defRPr>
                </a:pPr>
                <a:r>
                  <a:rPr lang="en-US" altLang="en-US" sz="1400"/>
                  <a:t>T (sec)</a:t>
                </a:r>
              </a:p>
            </c:rich>
          </c:tx>
          <c:overlay val="0"/>
          <c:spPr>
            <a:noFill/>
            <a:ln>
              <a:noFill/>
            </a:ln>
            <a:effectLst/>
          </c:spPr>
          <c:txPr>
            <a:bodyPr rot="0" spcFirstLastPara="1" vertOverflow="ellipsis" vert="horz" wrap="square" anchor="ctr" anchorCtr="1"/>
            <a:lstStyle/>
            <a:p>
              <a:pPr>
                <a:defRPr sz="1400" b="1" i="0" u="none" strike="noStrike" kern="1200" baseline="0">
                  <a:solidFill>
                    <a:schemeClr val="tx1"/>
                  </a:solidFill>
                  <a:latin typeface="+mn-lt"/>
                  <a:ea typeface="+mn-ea"/>
                  <a:cs typeface="+mn-cs"/>
                </a:defRPr>
              </a:pPr>
              <a:endParaRPr lang="zh-TW"/>
            </a:p>
          </c:txPr>
        </c:title>
        <c:numFmt formatCode="0.0_ " sourceLinked="0"/>
        <c:majorTickMark val="out"/>
        <c:minorTickMark val="in"/>
        <c:tickLblPos val="nextTo"/>
        <c:spPr>
          <a:noFill/>
          <a:ln w="9525" cap="flat" cmpd="sng" algn="ctr">
            <a:solidFill>
              <a:schemeClr val="tx1">
                <a:tint val="75000"/>
                <a:shade val="95000"/>
                <a:satMod val="105000"/>
              </a:schemeClr>
            </a:solidFill>
            <a:prstDash val="solid"/>
            <a:round/>
          </a:ln>
          <a:effectLst/>
        </c:spPr>
        <c:txPr>
          <a:bodyPr rot="0" spcFirstLastPara="1" vertOverflow="ellipsis" wrap="square" anchor="ctr" anchorCtr="1"/>
          <a:lstStyle/>
          <a:p>
            <a:pPr>
              <a:defRPr sz="1000" b="0" i="0" u="none" strike="noStrike" kern="1200" baseline="0">
                <a:solidFill>
                  <a:srgbClr val="000000"/>
                </a:solidFill>
                <a:latin typeface="新細明體"/>
                <a:ea typeface="新細明體"/>
                <a:cs typeface="新細明體"/>
              </a:defRPr>
            </a:pPr>
            <a:endParaRPr lang="zh-TW"/>
          </a:p>
        </c:txPr>
        <c:crossAx val="192677568"/>
        <c:crosses val="autoZero"/>
        <c:crossBetween val="midCat"/>
        <c:minorUnit val="0.1"/>
      </c:valAx>
      <c:valAx>
        <c:axId val="192677568"/>
        <c:scaling>
          <c:orientation val="minMax"/>
        </c:scaling>
        <c:delete val="0"/>
        <c:axPos val="l"/>
        <c:majorGridlines>
          <c:spPr>
            <a:ln w="9525" cap="flat" cmpd="sng" algn="ctr">
              <a:solidFill>
                <a:schemeClr val="tx1">
                  <a:tint val="75000"/>
                  <a:shade val="95000"/>
                  <a:satMod val="105000"/>
                </a:schemeClr>
              </a:solidFill>
              <a:prstDash val="solid"/>
              <a:round/>
            </a:ln>
            <a:effectLst/>
          </c:spPr>
        </c:majorGridlines>
        <c:numFmt formatCode="0.0_ " sourceLinked="0"/>
        <c:majorTickMark val="out"/>
        <c:minorTickMark val="none"/>
        <c:tickLblPos val="nextTo"/>
        <c:spPr>
          <a:noFill/>
          <a:ln w="9525" cap="flat" cmpd="sng" algn="ctr">
            <a:solidFill>
              <a:schemeClr val="tx1">
                <a:tint val="75000"/>
                <a:shade val="95000"/>
                <a:satMod val="10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zh-TW"/>
          </a:p>
        </c:txPr>
        <c:crossAx val="192679872"/>
        <c:crosses val="autoZero"/>
        <c:crossBetween val="midCat"/>
      </c:valAx>
      <c:spPr>
        <a:solidFill>
          <a:schemeClr val="bg1"/>
        </a:solidFill>
        <a:ln>
          <a:noFill/>
        </a:ln>
        <a:effectLst/>
      </c:spPr>
    </c:plotArea>
    <c:legend>
      <c:legendPos val="r"/>
      <c:layout>
        <c:manualLayout>
          <c:xMode val="edge"/>
          <c:yMode val="edge"/>
          <c:x val="0.60165550523194111"/>
          <c:y val="4.8582489353410425E-2"/>
          <c:w val="0.38816722071635368"/>
          <c:h val="0.47366725428488848"/>
        </c:manualLayout>
      </c:layout>
      <c:overlay val="1"/>
      <c:spPr>
        <a:noFill/>
        <a:ln>
          <a:noFill/>
        </a:ln>
        <a:effectLst/>
      </c:spPr>
      <c:txPr>
        <a:bodyPr rot="0" spcFirstLastPara="1" vertOverflow="ellipsis" vert="horz" wrap="square" anchor="ctr" anchorCtr="1"/>
        <a:lstStyle/>
        <a:p>
          <a:pPr>
            <a:defRPr sz="1400" b="0" i="0" u="none" strike="noStrike" kern="1200" baseline="0">
              <a:solidFill>
                <a:schemeClr val="tx1"/>
              </a:solidFill>
              <a:latin typeface="+mn-lt"/>
              <a:ea typeface="+mn-ea"/>
              <a:cs typeface="+mn-cs"/>
            </a:defRPr>
          </a:pPr>
          <a:endParaRPr lang="zh-TW"/>
        </a:p>
      </c:txPr>
    </c:legend>
    <c:plotVisOnly val="1"/>
    <c:dispBlanksAs val="gap"/>
    <c:showDLblsOverMax val="0"/>
  </c:chart>
  <c:spPr>
    <a:solidFill>
      <a:schemeClr val="bg1"/>
    </a:solidFill>
    <a:ln w="9525" cap="flat" cmpd="sng" algn="ctr">
      <a:solidFill>
        <a:schemeClr val="tx1">
          <a:tint val="75000"/>
          <a:shade val="95000"/>
          <a:satMod val="105000"/>
        </a:schemeClr>
      </a:solidFill>
      <a:prstDash val="solid"/>
      <a:round/>
    </a:ln>
    <a:effectLst/>
  </c:spPr>
  <c:txPr>
    <a:bodyPr/>
    <a:lstStyle/>
    <a:p>
      <a:pPr>
        <a:defRPr/>
      </a:pPr>
      <a:endParaRPr lang="zh-TW"/>
    </a:p>
  </c:txPr>
  <c:printSettings>
    <c:headerFooter/>
    <c:pageMargins b="0.75000000000000433" l="0.70000000000000062" r="0.70000000000000062" t="0.75000000000000433"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strRef>
              <c:f>一般工址Cs!$N$42</c:f>
              <c:strCache>
                <c:ptCount val="1"/>
                <c:pt idx="0">
                  <c:v>I(SaD/FuD)m/1.4αy</c:v>
                </c:pt>
              </c:strCache>
            </c:strRef>
          </c:tx>
          <c:spPr>
            <a:ln w="19050"/>
          </c:spPr>
          <c:marker>
            <c:symbol val="none"/>
          </c:marker>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一般工址Cs!$N$43:$N$102</c:f>
              <c:numCache>
                <c:formatCode>0.000_ </c:formatCode>
                <c:ptCount val="60"/>
                <c:pt idx="0">
                  <c:v>0.249</c:v>
                </c:pt>
                <c:pt idx="1">
                  <c:v>0.26600000000000001</c:v>
                </c:pt>
                <c:pt idx="2">
                  <c:v>0.29199999999999998</c:v>
                </c:pt>
                <c:pt idx="3">
                  <c:v>0.316</c:v>
                </c:pt>
                <c:pt idx="4">
                  <c:v>0.308</c:v>
                </c:pt>
                <c:pt idx="5">
                  <c:v>0.308</c:v>
                </c:pt>
                <c:pt idx="6">
                  <c:v>0.308</c:v>
                </c:pt>
                <c:pt idx="7">
                  <c:v>0.311</c:v>
                </c:pt>
                <c:pt idx="8">
                  <c:v>0.316</c:v>
                </c:pt>
                <c:pt idx="9">
                  <c:v>0.316</c:v>
                </c:pt>
                <c:pt idx="10">
                  <c:v>0.316</c:v>
                </c:pt>
                <c:pt idx="11">
                  <c:v>0.316</c:v>
                </c:pt>
                <c:pt idx="12">
                  <c:v>0.316</c:v>
                </c:pt>
                <c:pt idx="13">
                  <c:v>0.316</c:v>
                </c:pt>
                <c:pt idx="14">
                  <c:v>0.314</c:v>
                </c:pt>
                <c:pt idx="15">
                  <c:v>0.316</c:v>
                </c:pt>
                <c:pt idx="16">
                  <c:v>0.316</c:v>
                </c:pt>
                <c:pt idx="17">
                  <c:v>0.30299999999999999</c:v>
                </c:pt>
                <c:pt idx="18">
                  <c:v>0.30299999999999999</c:v>
                </c:pt>
                <c:pt idx="19">
                  <c:v>0.29199999999999998</c:v>
                </c:pt>
                <c:pt idx="20">
                  <c:v>0.30299999999999999</c:v>
                </c:pt>
                <c:pt idx="21">
                  <c:v>0.30299999999999999</c:v>
                </c:pt>
                <c:pt idx="22">
                  <c:v>0.30399999999999999</c:v>
                </c:pt>
                <c:pt idx="23">
                  <c:v>0.30299999999999999</c:v>
                </c:pt>
                <c:pt idx="24">
                  <c:v>0.29899999999999999</c:v>
                </c:pt>
                <c:pt idx="25">
                  <c:v>0.29599999999999999</c:v>
                </c:pt>
                <c:pt idx="26">
                  <c:v>0.29199999999999998</c:v>
                </c:pt>
                <c:pt idx="27">
                  <c:v>0.28599999999999998</c:v>
                </c:pt>
                <c:pt idx="28">
                  <c:v>0.27600000000000002</c:v>
                </c:pt>
                <c:pt idx="29">
                  <c:v>0.26800000000000002</c:v>
                </c:pt>
                <c:pt idx="30">
                  <c:v>0.25900000000000001</c:v>
                </c:pt>
                <c:pt idx="31">
                  <c:v>0.252</c:v>
                </c:pt>
                <c:pt idx="32">
                  <c:v>0.246</c:v>
                </c:pt>
                <c:pt idx="33">
                  <c:v>0.24</c:v>
                </c:pt>
                <c:pt idx="34">
                  <c:v>0.23400000000000001</c:v>
                </c:pt>
                <c:pt idx="35">
                  <c:v>0.22900000000000001</c:v>
                </c:pt>
                <c:pt idx="36">
                  <c:v>0.22700000000000001</c:v>
                </c:pt>
                <c:pt idx="37">
                  <c:v>0.22500000000000001</c:v>
                </c:pt>
                <c:pt idx="38">
                  <c:v>0.22</c:v>
                </c:pt>
                <c:pt idx="39">
                  <c:v>0.216</c:v>
                </c:pt>
                <c:pt idx="40">
                  <c:v>0.21099999999999999</c:v>
                </c:pt>
                <c:pt idx="41">
                  <c:v>0.20399999999999999</c:v>
                </c:pt>
                <c:pt idx="42">
                  <c:v>0.19800000000000001</c:v>
                </c:pt>
                <c:pt idx="43">
                  <c:v>0.192</c:v>
                </c:pt>
                <c:pt idx="44">
                  <c:v>0.186</c:v>
                </c:pt>
                <c:pt idx="45">
                  <c:v>0.18099999999999999</c:v>
                </c:pt>
                <c:pt idx="46">
                  <c:v>0.17599999999999999</c:v>
                </c:pt>
                <c:pt idx="47">
                  <c:v>0.17100000000000001</c:v>
                </c:pt>
                <c:pt idx="48">
                  <c:v>0.16600000000000001</c:v>
                </c:pt>
                <c:pt idx="49">
                  <c:v>0.16200000000000001</c:v>
                </c:pt>
                <c:pt idx="50">
                  <c:v>0.158</c:v>
                </c:pt>
                <c:pt idx="51">
                  <c:v>0.154</c:v>
                </c:pt>
                <c:pt idx="52">
                  <c:v>0.15</c:v>
                </c:pt>
                <c:pt idx="53">
                  <c:v>0.14699999999999999</c:v>
                </c:pt>
                <c:pt idx="54">
                  <c:v>0.14399999999999999</c:v>
                </c:pt>
                <c:pt idx="55">
                  <c:v>0.14399999999999999</c:v>
                </c:pt>
                <c:pt idx="56">
                  <c:v>0.14399999999999999</c:v>
                </c:pt>
                <c:pt idx="57">
                  <c:v>0.14399999999999999</c:v>
                </c:pt>
                <c:pt idx="58">
                  <c:v>0.14399999999999999</c:v>
                </c:pt>
                <c:pt idx="59">
                  <c:v>0.14399999999999999</c:v>
                </c:pt>
              </c:numCache>
            </c:numRef>
          </c:yVal>
          <c:smooth val="0"/>
          <c:extLst>
            <c:ext xmlns:c16="http://schemas.microsoft.com/office/drawing/2014/chart" uri="{C3380CC4-5D6E-409C-BE32-E72D297353CC}">
              <c16:uniqueId val="{00000000-909D-45B2-A8C4-9F6F62298208}"/>
            </c:ext>
          </c:extLst>
        </c:ser>
        <c:ser>
          <c:idx val="1"/>
          <c:order val="1"/>
          <c:tx>
            <c:strRef>
              <c:f>一般工址Cs!$S$42</c:f>
              <c:strCache>
                <c:ptCount val="1"/>
                <c:pt idx="0">
                  <c:v>IFu*(SaD*/FuD*)m/4.2αy</c:v>
                </c:pt>
              </c:strCache>
            </c:strRef>
          </c:tx>
          <c:spPr>
            <a:ln w="19050"/>
          </c:spPr>
          <c:marker>
            <c:symbol val="none"/>
          </c:marker>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一般工址Cs!$S$43:$S$102</c:f>
              <c:numCache>
                <c:formatCode>0.000_ </c:formatCode>
                <c:ptCount val="60"/>
                <c:pt idx="0">
                  <c:v>7.3999999999999996E-2</c:v>
                </c:pt>
                <c:pt idx="1">
                  <c:v>8.8999999999999996E-2</c:v>
                </c:pt>
                <c:pt idx="2">
                  <c:v>0.11799999999999999</c:v>
                </c:pt>
                <c:pt idx="3">
                  <c:v>0.157</c:v>
                </c:pt>
                <c:pt idx="4">
                  <c:v>0.14199999999999999</c:v>
                </c:pt>
                <c:pt idx="5">
                  <c:v>0.14199999999999999</c:v>
                </c:pt>
                <c:pt idx="6">
                  <c:v>0.14199999999999999</c:v>
                </c:pt>
                <c:pt idx="7">
                  <c:v>0.14799999999999999</c:v>
                </c:pt>
                <c:pt idx="8">
                  <c:v>0.157</c:v>
                </c:pt>
                <c:pt idx="9">
                  <c:v>0.157</c:v>
                </c:pt>
                <c:pt idx="10">
                  <c:v>0.157</c:v>
                </c:pt>
                <c:pt idx="11">
                  <c:v>0.157</c:v>
                </c:pt>
                <c:pt idx="12">
                  <c:v>0.157</c:v>
                </c:pt>
                <c:pt idx="13">
                  <c:v>0.158</c:v>
                </c:pt>
                <c:pt idx="14">
                  <c:v>0.158</c:v>
                </c:pt>
                <c:pt idx="15">
                  <c:v>0.157</c:v>
                </c:pt>
                <c:pt idx="16">
                  <c:v>0.157</c:v>
                </c:pt>
                <c:pt idx="17">
                  <c:v>0.16200000000000001</c:v>
                </c:pt>
                <c:pt idx="18">
                  <c:v>0.16200000000000001</c:v>
                </c:pt>
                <c:pt idx="19">
                  <c:v>0.16500000000000001</c:v>
                </c:pt>
                <c:pt idx="20">
                  <c:v>0.16200000000000001</c:v>
                </c:pt>
                <c:pt idx="21">
                  <c:v>0.16200000000000001</c:v>
                </c:pt>
                <c:pt idx="22">
                  <c:v>0.16200000000000001</c:v>
                </c:pt>
                <c:pt idx="23">
                  <c:v>0.16200000000000001</c:v>
                </c:pt>
                <c:pt idx="24">
                  <c:v>0.16300000000000001</c:v>
                </c:pt>
                <c:pt idx="25">
                  <c:v>0.16400000000000001</c:v>
                </c:pt>
                <c:pt idx="26">
                  <c:v>0.16500000000000001</c:v>
                </c:pt>
                <c:pt idx="27">
                  <c:v>0.16</c:v>
                </c:pt>
                <c:pt idx="28">
                  <c:v>0.155</c:v>
                </c:pt>
                <c:pt idx="29">
                  <c:v>0.15</c:v>
                </c:pt>
                <c:pt idx="30">
                  <c:v>0.14599999999999999</c:v>
                </c:pt>
                <c:pt idx="31">
                  <c:v>0.14299999999999999</c:v>
                </c:pt>
                <c:pt idx="32">
                  <c:v>0.13900000000000001</c:v>
                </c:pt>
                <c:pt idx="33">
                  <c:v>0.13500000000000001</c:v>
                </c:pt>
                <c:pt idx="34">
                  <c:v>0.129</c:v>
                </c:pt>
                <c:pt idx="35">
                  <c:v>0.124</c:v>
                </c:pt>
                <c:pt idx="36">
                  <c:v>0.122</c:v>
                </c:pt>
                <c:pt idx="37">
                  <c:v>0.12</c:v>
                </c:pt>
                <c:pt idx="38">
                  <c:v>0.115</c:v>
                </c:pt>
                <c:pt idx="39">
                  <c:v>0.111</c:v>
                </c:pt>
                <c:pt idx="40">
                  <c:v>0.108</c:v>
                </c:pt>
                <c:pt idx="41">
                  <c:v>0.104</c:v>
                </c:pt>
                <c:pt idx="42">
                  <c:v>0.10100000000000001</c:v>
                </c:pt>
                <c:pt idx="43">
                  <c:v>9.8000000000000004E-2</c:v>
                </c:pt>
                <c:pt idx="44">
                  <c:v>9.5000000000000001E-2</c:v>
                </c:pt>
                <c:pt idx="45">
                  <c:v>9.1999999999999998E-2</c:v>
                </c:pt>
                <c:pt idx="46">
                  <c:v>0.09</c:v>
                </c:pt>
                <c:pt idx="47">
                  <c:v>8.6999999999999994E-2</c:v>
                </c:pt>
                <c:pt idx="48">
                  <c:v>8.5000000000000006E-2</c:v>
                </c:pt>
                <c:pt idx="49">
                  <c:v>8.3000000000000004E-2</c:v>
                </c:pt>
                <c:pt idx="50">
                  <c:v>8.1000000000000003E-2</c:v>
                </c:pt>
                <c:pt idx="51">
                  <c:v>7.9000000000000001E-2</c:v>
                </c:pt>
                <c:pt idx="52">
                  <c:v>7.6999999999999999E-2</c:v>
                </c:pt>
                <c:pt idx="53">
                  <c:v>7.5999999999999998E-2</c:v>
                </c:pt>
                <c:pt idx="54">
                  <c:v>7.5999999999999998E-2</c:v>
                </c:pt>
                <c:pt idx="55">
                  <c:v>7.5999999999999998E-2</c:v>
                </c:pt>
                <c:pt idx="56">
                  <c:v>7.5999999999999998E-2</c:v>
                </c:pt>
                <c:pt idx="57">
                  <c:v>7.5999999999999998E-2</c:v>
                </c:pt>
                <c:pt idx="58">
                  <c:v>7.5999999999999998E-2</c:v>
                </c:pt>
                <c:pt idx="59">
                  <c:v>7.5999999999999998E-2</c:v>
                </c:pt>
              </c:numCache>
            </c:numRef>
          </c:yVal>
          <c:smooth val="0"/>
          <c:extLst>
            <c:ext xmlns:c16="http://schemas.microsoft.com/office/drawing/2014/chart" uri="{C3380CC4-5D6E-409C-BE32-E72D297353CC}">
              <c16:uniqueId val="{00000001-909D-45B2-A8C4-9F6F62298208}"/>
            </c:ext>
          </c:extLst>
        </c:ser>
        <c:ser>
          <c:idx val="2"/>
          <c:order val="2"/>
          <c:tx>
            <c:strRef>
              <c:f>一般工址Cs!$X$42</c:f>
              <c:strCache>
                <c:ptCount val="1"/>
                <c:pt idx="0">
                  <c:v>I(SaM/FuM)m/1.4αy</c:v>
                </c:pt>
              </c:strCache>
            </c:strRef>
          </c:tx>
          <c:spPr>
            <a:ln w="19050"/>
          </c:spPr>
          <c:marker>
            <c:symbol val="none"/>
          </c:marker>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一般工址Cs!$X$43:$X$102</c:f>
              <c:numCache>
                <c:formatCode>0.000_ </c:formatCode>
                <c:ptCount val="60"/>
                <c:pt idx="0">
                  <c:v>0.28899999999999998</c:v>
                </c:pt>
                <c:pt idx="1">
                  <c:v>0.30199999999999999</c:v>
                </c:pt>
                <c:pt idx="2">
                  <c:v>0.32100000000000001</c:v>
                </c:pt>
                <c:pt idx="3">
                  <c:v>0.33700000000000002</c:v>
                </c:pt>
                <c:pt idx="4">
                  <c:v>0.33200000000000002</c:v>
                </c:pt>
                <c:pt idx="5">
                  <c:v>0.33200000000000002</c:v>
                </c:pt>
                <c:pt idx="6">
                  <c:v>0.33200000000000002</c:v>
                </c:pt>
                <c:pt idx="7">
                  <c:v>0.33400000000000002</c:v>
                </c:pt>
                <c:pt idx="8">
                  <c:v>0.34</c:v>
                </c:pt>
                <c:pt idx="9">
                  <c:v>0.34</c:v>
                </c:pt>
                <c:pt idx="10">
                  <c:v>0.34</c:v>
                </c:pt>
                <c:pt idx="11">
                  <c:v>0.34</c:v>
                </c:pt>
                <c:pt idx="12">
                  <c:v>0.34</c:v>
                </c:pt>
                <c:pt idx="13">
                  <c:v>0.34</c:v>
                </c:pt>
                <c:pt idx="14">
                  <c:v>0.34</c:v>
                </c:pt>
                <c:pt idx="15">
                  <c:v>0.34</c:v>
                </c:pt>
                <c:pt idx="16">
                  <c:v>0.34</c:v>
                </c:pt>
                <c:pt idx="17">
                  <c:v>0.32100000000000001</c:v>
                </c:pt>
                <c:pt idx="18">
                  <c:v>0.32100000000000001</c:v>
                </c:pt>
                <c:pt idx="19">
                  <c:v>0.30399999999999999</c:v>
                </c:pt>
                <c:pt idx="20">
                  <c:v>0.32100000000000001</c:v>
                </c:pt>
                <c:pt idx="21">
                  <c:v>0.32100000000000001</c:v>
                </c:pt>
                <c:pt idx="22">
                  <c:v>0.32200000000000001</c:v>
                </c:pt>
                <c:pt idx="23">
                  <c:v>0.32100000000000001</c:v>
                </c:pt>
                <c:pt idx="24">
                  <c:v>0.315</c:v>
                </c:pt>
                <c:pt idx="25">
                  <c:v>0.309</c:v>
                </c:pt>
                <c:pt idx="26">
                  <c:v>0.30399999999999999</c:v>
                </c:pt>
                <c:pt idx="27">
                  <c:v>0.29899999999999999</c:v>
                </c:pt>
                <c:pt idx="28">
                  <c:v>0.29199999999999998</c:v>
                </c:pt>
                <c:pt idx="29">
                  <c:v>0.28299999999999997</c:v>
                </c:pt>
                <c:pt idx="30">
                  <c:v>0.27400000000000002</c:v>
                </c:pt>
                <c:pt idx="31">
                  <c:v>0.26600000000000001</c:v>
                </c:pt>
                <c:pt idx="32">
                  <c:v>0.25900000000000001</c:v>
                </c:pt>
                <c:pt idx="33">
                  <c:v>0.253</c:v>
                </c:pt>
                <c:pt idx="34">
                  <c:v>0.246</c:v>
                </c:pt>
                <c:pt idx="35">
                  <c:v>0.24099999999999999</c:v>
                </c:pt>
                <c:pt idx="36">
                  <c:v>0.23899999999999999</c:v>
                </c:pt>
                <c:pt idx="37">
                  <c:v>0.23599999999999999</c:v>
                </c:pt>
                <c:pt idx="38">
                  <c:v>0.23100000000000001</c:v>
                </c:pt>
                <c:pt idx="39">
                  <c:v>0.22700000000000001</c:v>
                </c:pt>
                <c:pt idx="40">
                  <c:v>0.223</c:v>
                </c:pt>
                <c:pt idx="41">
                  <c:v>0.219</c:v>
                </c:pt>
                <c:pt idx="42">
                  <c:v>0.215</c:v>
                </c:pt>
                <c:pt idx="43">
                  <c:v>0.20899999999999999</c:v>
                </c:pt>
                <c:pt idx="44">
                  <c:v>0.20300000000000001</c:v>
                </c:pt>
                <c:pt idx="45">
                  <c:v>0.19700000000000001</c:v>
                </c:pt>
                <c:pt idx="46">
                  <c:v>0.192</c:v>
                </c:pt>
                <c:pt idx="47">
                  <c:v>0.187</c:v>
                </c:pt>
                <c:pt idx="48">
                  <c:v>0.182</c:v>
                </c:pt>
                <c:pt idx="49">
                  <c:v>0.17699999999999999</c:v>
                </c:pt>
                <c:pt idx="50">
                  <c:v>0.17299999999999999</c:v>
                </c:pt>
                <c:pt idx="51">
                  <c:v>0.16800000000000001</c:v>
                </c:pt>
                <c:pt idx="52">
                  <c:v>0.16400000000000001</c:v>
                </c:pt>
                <c:pt idx="53">
                  <c:v>0.161</c:v>
                </c:pt>
                <c:pt idx="54">
                  <c:v>0.157</c:v>
                </c:pt>
                <c:pt idx="55">
                  <c:v>0.15</c:v>
                </c:pt>
                <c:pt idx="56">
                  <c:v>0.14799999999999999</c:v>
                </c:pt>
                <c:pt idx="57">
                  <c:v>0.14799999999999999</c:v>
                </c:pt>
                <c:pt idx="58">
                  <c:v>0.14799999999999999</c:v>
                </c:pt>
                <c:pt idx="59">
                  <c:v>0.14799999999999999</c:v>
                </c:pt>
              </c:numCache>
            </c:numRef>
          </c:yVal>
          <c:smooth val="0"/>
          <c:extLst>
            <c:ext xmlns:c16="http://schemas.microsoft.com/office/drawing/2014/chart" uri="{C3380CC4-5D6E-409C-BE32-E72D297353CC}">
              <c16:uniqueId val="{00000002-909D-45B2-A8C4-9F6F62298208}"/>
            </c:ext>
          </c:extLst>
        </c:ser>
        <c:ser>
          <c:idx val="3"/>
          <c:order val="3"/>
          <c:tx>
            <c:strRef>
              <c:f>一般工址Cs!$H$116:$J$116</c:f>
              <c:strCache>
                <c:ptCount val="1"/>
                <c:pt idx="0">
                  <c:v>基本振動週期T= 0.868  s</c:v>
                </c:pt>
              </c:strCache>
            </c:strRef>
          </c:tx>
          <c:spPr>
            <a:ln w="19050">
              <a:solidFill>
                <a:schemeClr val="bg1">
                  <a:lumMod val="50000"/>
                </a:schemeClr>
              </a:solidFill>
              <a:prstDash val="sysDot"/>
            </a:ln>
          </c:spPr>
          <c:marker>
            <c:symbol val="none"/>
          </c:marker>
          <c:xVal>
            <c:numRef>
              <c:f>一般工址Cs!$I$117:$I$118</c:f>
              <c:numCache>
                <c:formatCode>0.000_ </c:formatCode>
                <c:ptCount val="2"/>
                <c:pt idx="0">
                  <c:v>0.86799999999999999</c:v>
                </c:pt>
                <c:pt idx="1">
                  <c:v>0.86799999999999999</c:v>
                </c:pt>
              </c:numCache>
            </c:numRef>
          </c:xVal>
          <c:yVal>
            <c:numRef>
              <c:f>一般工址Cs!$X$117:$X$118</c:f>
              <c:numCache>
                <c:formatCode>0.000_ </c:formatCode>
                <c:ptCount val="2"/>
                <c:pt idx="0">
                  <c:v>0</c:v>
                </c:pt>
                <c:pt idx="1">
                  <c:v>0.34</c:v>
                </c:pt>
              </c:numCache>
            </c:numRef>
          </c:yVal>
          <c:smooth val="0"/>
          <c:extLst>
            <c:ext xmlns:c16="http://schemas.microsoft.com/office/drawing/2014/chart" uri="{C3380CC4-5D6E-409C-BE32-E72D297353CC}">
              <c16:uniqueId val="{00000000-C4AD-4854-B434-786399D6A012}"/>
            </c:ext>
          </c:extLst>
        </c:ser>
        <c:dLbls>
          <c:showLegendKey val="0"/>
          <c:showVal val="0"/>
          <c:showCatName val="0"/>
          <c:showSerName val="0"/>
          <c:showPercent val="0"/>
          <c:showBubbleSize val="0"/>
        </c:dLbls>
        <c:axId val="192683328"/>
        <c:axId val="198017024"/>
      </c:scatterChart>
      <c:valAx>
        <c:axId val="192683328"/>
        <c:scaling>
          <c:orientation val="minMax"/>
          <c:max val="2.5"/>
        </c:scaling>
        <c:delete val="0"/>
        <c:axPos val="b"/>
        <c:minorGridlines/>
        <c:title>
          <c:tx>
            <c:rich>
              <a:bodyPr/>
              <a:lstStyle/>
              <a:p>
                <a:pPr>
                  <a:defRPr sz="1400"/>
                </a:pPr>
                <a:r>
                  <a:rPr lang="en-US" altLang="zh-TW" sz="1400"/>
                  <a:t>T (sec)</a:t>
                </a:r>
                <a:endParaRPr lang="zh-TW" altLang="en-US" sz="1400"/>
              </a:p>
            </c:rich>
          </c:tx>
          <c:overlay val="0"/>
        </c:title>
        <c:numFmt formatCode="0.0_ " sourceLinked="0"/>
        <c:majorTickMark val="out"/>
        <c:minorTickMark val="in"/>
        <c:tickLblPos val="nextTo"/>
        <c:txPr>
          <a:bodyPr rot="0" vert="horz"/>
          <a:lstStyle/>
          <a:p>
            <a:pPr>
              <a:defRPr sz="1000" b="0" i="0" u="none" strike="noStrike" baseline="0">
                <a:solidFill>
                  <a:srgbClr val="000000"/>
                </a:solidFill>
                <a:latin typeface="新細明體"/>
                <a:ea typeface="新細明體"/>
                <a:cs typeface="新細明體"/>
              </a:defRPr>
            </a:pPr>
            <a:endParaRPr lang="zh-TW"/>
          </a:p>
        </c:txPr>
        <c:crossAx val="198017024"/>
        <c:crosses val="autoZero"/>
        <c:crossBetween val="midCat"/>
        <c:minorUnit val="0.1"/>
      </c:valAx>
      <c:valAx>
        <c:axId val="198017024"/>
        <c:scaling>
          <c:orientation val="minMax"/>
        </c:scaling>
        <c:delete val="0"/>
        <c:axPos val="l"/>
        <c:majorGridlines/>
        <c:numFmt formatCode="0.00_ " sourceLinked="0"/>
        <c:majorTickMark val="out"/>
        <c:minorTickMark val="none"/>
        <c:tickLblPos val="nextTo"/>
        <c:crossAx val="192683328"/>
        <c:crosses val="autoZero"/>
        <c:crossBetween val="midCat"/>
      </c:valAx>
    </c:plotArea>
    <c:legend>
      <c:legendPos val="r"/>
      <c:layout>
        <c:manualLayout>
          <c:xMode val="edge"/>
          <c:yMode val="edge"/>
          <c:x val="0.59872135124974823"/>
          <c:y val="7.2791224260336296E-2"/>
          <c:w val="0.36203963895911495"/>
          <c:h val="0.23639457149871268"/>
        </c:manualLayout>
      </c:layout>
      <c:overlay val="1"/>
      <c:txPr>
        <a:bodyPr/>
        <a:lstStyle/>
        <a:p>
          <a:pPr>
            <a:defRPr sz="1400"/>
          </a:pPr>
          <a:endParaRPr lang="zh-TW"/>
        </a:p>
      </c:txPr>
    </c:legend>
    <c:plotVisOnly val="1"/>
    <c:dispBlanksAs val="gap"/>
    <c:showDLblsOverMax val="0"/>
  </c:chart>
  <c:printSettings>
    <c:headerFooter/>
    <c:pageMargins b="0.75000000000000433" l="0.70000000000000062" r="0.70000000000000062" t="0.75000000000000433"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8927686640829972E-2"/>
          <c:y val="1.5392568897843061E-2"/>
          <c:w val="0.92341518682829926"/>
          <c:h val="0.82378366590685559"/>
        </c:manualLayout>
      </c:layout>
      <c:scatterChart>
        <c:scatterStyle val="lineMarker"/>
        <c:varyColors val="0"/>
        <c:ser>
          <c:idx val="0"/>
          <c:order val="0"/>
          <c:tx>
            <c:strRef>
              <c:f>一般工址Cs!$J$42</c:f>
              <c:strCache>
                <c:ptCount val="1"/>
                <c:pt idx="0">
                  <c:v>FuD</c:v>
                </c:pt>
              </c:strCache>
            </c:strRef>
          </c:tx>
          <c:marker>
            <c:symbol val="none"/>
          </c:marker>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一般工址Cs!$J$43:$J$102</c:f>
              <c:numCache>
                <c:formatCode>0.000_ </c:formatCode>
                <c:ptCount val="60"/>
                <c:pt idx="0">
                  <c:v>1.004</c:v>
                </c:pt>
                <c:pt idx="1">
                  <c:v>1.119</c:v>
                </c:pt>
                <c:pt idx="2">
                  <c:v>1.3540000000000001</c:v>
                </c:pt>
                <c:pt idx="3">
                  <c:v>1.669</c:v>
                </c:pt>
                <c:pt idx="4">
                  <c:v>1.5509999999999999</c:v>
                </c:pt>
                <c:pt idx="5">
                  <c:v>1.5509999999999999</c:v>
                </c:pt>
                <c:pt idx="6">
                  <c:v>1.5509999999999999</c:v>
                </c:pt>
                <c:pt idx="7">
                  <c:v>1.595</c:v>
                </c:pt>
                <c:pt idx="8">
                  <c:v>1.6930000000000001</c:v>
                </c:pt>
                <c:pt idx="9">
                  <c:v>1.6930000000000001</c:v>
                </c:pt>
                <c:pt idx="10">
                  <c:v>1.6930000000000001</c:v>
                </c:pt>
                <c:pt idx="11">
                  <c:v>1.6930000000000001</c:v>
                </c:pt>
                <c:pt idx="12">
                  <c:v>1.6930000000000001</c:v>
                </c:pt>
                <c:pt idx="13">
                  <c:v>1.6930000000000001</c:v>
                </c:pt>
                <c:pt idx="14">
                  <c:v>1.716</c:v>
                </c:pt>
                <c:pt idx="15">
                  <c:v>1.6930000000000001</c:v>
                </c:pt>
                <c:pt idx="16">
                  <c:v>1.6930000000000001</c:v>
                </c:pt>
                <c:pt idx="17">
                  <c:v>1.8140000000000001</c:v>
                </c:pt>
                <c:pt idx="18">
                  <c:v>1.8140000000000001</c:v>
                </c:pt>
                <c:pt idx="19">
                  <c:v>1.913</c:v>
                </c:pt>
                <c:pt idx="20">
                  <c:v>1.81</c:v>
                </c:pt>
                <c:pt idx="21">
                  <c:v>1.81</c:v>
                </c:pt>
                <c:pt idx="22">
                  <c:v>1.8069999999999999</c:v>
                </c:pt>
                <c:pt idx="23">
                  <c:v>1.81</c:v>
                </c:pt>
                <c:pt idx="24">
                  <c:v>1.8440000000000001</c:v>
                </c:pt>
                <c:pt idx="25">
                  <c:v>1.879</c:v>
                </c:pt>
                <c:pt idx="26">
                  <c:v>1.913</c:v>
                </c:pt>
                <c:pt idx="27">
                  <c:v>1.9330000000000001</c:v>
                </c:pt>
                <c:pt idx="28">
                  <c:v>1.9330000000000001</c:v>
                </c:pt>
                <c:pt idx="29">
                  <c:v>1.9330000000000001</c:v>
                </c:pt>
                <c:pt idx="30">
                  <c:v>1.9330000000000001</c:v>
                </c:pt>
                <c:pt idx="31">
                  <c:v>1.9330000000000001</c:v>
                </c:pt>
                <c:pt idx="32">
                  <c:v>1.9330000000000001</c:v>
                </c:pt>
                <c:pt idx="33">
                  <c:v>1.9330000000000001</c:v>
                </c:pt>
                <c:pt idx="34">
                  <c:v>1.9330000000000001</c:v>
                </c:pt>
                <c:pt idx="35">
                  <c:v>1.9330000000000001</c:v>
                </c:pt>
                <c:pt idx="36">
                  <c:v>1.9330000000000001</c:v>
                </c:pt>
                <c:pt idx="37">
                  <c:v>1.9330000000000001</c:v>
                </c:pt>
                <c:pt idx="38">
                  <c:v>1.9330000000000001</c:v>
                </c:pt>
                <c:pt idx="39">
                  <c:v>1.9330000000000001</c:v>
                </c:pt>
                <c:pt idx="40">
                  <c:v>1.9330000000000001</c:v>
                </c:pt>
                <c:pt idx="41">
                  <c:v>1.9330000000000001</c:v>
                </c:pt>
                <c:pt idx="42">
                  <c:v>1.9330000000000001</c:v>
                </c:pt>
                <c:pt idx="43">
                  <c:v>1.9330000000000001</c:v>
                </c:pt>
                <c:pt idx="44">
                  <c:v>1.9330000000000001</c:v>
                </c:pt>
                <c:pt idx="45">
                  <c:v>1.9330000000000001</c:v>
                </c:pt>
                <c:pt idx="46">
                  <c:v>1.9330000000000001</c:v>
                </c:pt>
                <c:pt idx="47">
                  <c:v>1.9330000000000001</c:v>
                </c:pt>
                <c:pt idx="48">
                  <c:v>1.9330000000000001</c:v>
                </c:pt>
                <c:pt idx="49">
                  <c:v>1.9330000000000001</c:v>
                </c:pt>
                <c:pt idx="50">
                  <c:v>1.9330000000000001</c:v>
                </c:pt>
                <c:pt idx="51">
                  <c:v>1.9330000000000001</c:v>
                </c:pt>
                <c:pt idx="52">
                  <c:v>1.9330000000000001</c:v>
                </c:pt>
                <c:pt idx="53">
                  <c:v>1.9330000000000001</c:v>
                </c:pt>
                <c:pt idx="54">
                  <c:v>1.9330000000000001</c:v>
                </c:pt>
                <c:pt idx="55">
                  <c:v>1.9330000000000001</c:v>
                </c:pt>
                <c:pt idx="56">
                  <c:v>1.9330000000000001</c:v>
                </c:pt>
                <c:pt idx="57">
                  <c:v>1.9330000000000001</c:v>
                </c:pt>
                <c:pt idx="58">
                  <c:v>1.9330000000000001</c:v>
                </c:pt>
                <c:pt idx="59">
                  <c:v>1.9330000000000001</c:v>
                </c:pt>
              </c:numCache>
            </c:numRef>
          </c:yVal>
          <c:smooth val="0"/>
          <c:extLst>
            <c:ext xmlns:c16="http://schemas.microsoft.com/office/drawing/2014/chart" uri="{C3380CC4-5D6E-409C-BE32-E72D297353CC}">
              <c16:uniqueId val="{00000000-7D8B-48AE-A3C7-5CFBE99C9715}"/>
            </c:ext>
          </c:extLst>
        </c:ser>
        <c:ser>
          <c:idx val="1"/>
          <c:order val="1"/>
          <c:tx>
            <c:strRef>
              <c:f>一般工址Cs!$T$42</c:f>
              <c:strCache>
                <c:ptCount val="1"/>
                <c:pt idx="0">
                  <c:v>FuM</c:v>
                </c:pt>
              </c:strCache>
            </c:strRef>
          </c:tx>
          <c:marker>
            <c:symbol val="none"/>
          </c:marker>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一般工址Cs!$T$43:$T$102</c:f>
              <c:numCache>
                <c:formatCode>0.000_ </c:formatCode>
                <c:ptCount val="60"/>
                <c:pt idx="0">
                  <c:v>1.0049999999999999</c:v>
                </c:pt>
                <c:pt idx="1">
                  <c:v>1.153</c:v>
                </c:pt>
                <c:pt idx="2">
                  <c:v>1.456</c:v>
                </c:pt>
                <c:pt idx="3">
                  <c:v>1.8620000000000001</c:v>
                </c:pt>
                <c:pt idx="4">
                  <c:v>1.71</c:v>
                </c:pt>
                <c:pt idx="5">
                  <c:v>1.71</c:v>
                </c:pt>
                <c:pt idx="6">
                  <c:v>1.71</c:v>
                </c:pt>
                <c:pt idx="7">
                  <c:v>1.766</c:v>
                </c:pt>
                <c:pt idx="8">
                  <c:v>1.9490000000000001</c:v>
                </c:pt>
                <c:pt idx="9">
                  <c:v>1.9490000000000001</c:v>
                </c:pt>
                <c:pt idx="10">
                  <c:v>1.9490000000000001</c:v>
                </c:pt>
                <c:pt idx="11">
                  <c:v>1.9490000000000001</c:v>
                </c:pt>
                <c:pt idx="12">
                  <c:v>1.9490000000000001</c:v>
                </c:pt>
                <c:pt idx="13">
                  <c:v>1.9490000000000001</c:v>
                </c:pt>
                <c:pt idx="14">
                  <c:v>1.9490000000000001</c:v>
                </c:pt>
                <c:pt idx="15">
                  <c:v>1.9490000000000001</c:v>
                </c:pt>
                <c:pt idx="16">
                  <c:v>1.9490000000000001</c:v>
                </c:pt>
                <c:pt idx="17">
                  <c:v>2.1219999999999999</c:v>
                </c:pt>
                <c:pt idx="18">
                  <c:v>2.1219999999999999</c:v>
                </c:pt>
                <c:pt idx="19">
                  <c:v>2.2970000000000002</c:v>
                </c:pt>
                <c:pt idx="20">
                  <c:v>2.1150000000000002</c:v>
                </c:pt>
                <c:pt idx="21">
                  <c:v>2.1150000000000002</c:v>
                </c:pt>
                <c:pt idx="22">
                  <c:v>2.11</c:v>
                </c:pt>
                <c:pt idx="23">
                  <c:v>2.1150000000000002</c:v>
                </c:pt>
                <c:pt idx="24">
                  <c:v>2.1760000000000002</c:v>
                </c:pt>
                <c:pt idx="25">
                  <c:v>2.2370000000000001</c:v>
                </c:pt>
                <c:pt idx="26">
                  <c:v>2.2970000000000002</c:v>
                </c:pt>
                <c:pt idx="27">
                  <c:v>2.3580000000000001</c:v>
                </c:pt>
                <c:pt idx="28">
                  <c:v>2.4</c:v>
                </c:pt>
                <c:pt idx="29">
                  <c:v>2.4</c:v>
                </c:pt>
                <c:pt idx="30">
                  <c:v>2.4</c:v>
                </c:pt>
                <c:pt idx="31">
                  <c:v>2.4</c:v>
                </c:pt>
                <c:pt idx="32">
                  <c:v>2.4</c:v>
                </c:pt>
                <c:pt idx="33">
                  <c:v>2.4</c:v>
                </c:pt>
                <c:pt idx="34">
                  <c:v>2.4</c:v>
                </c:pt>
                <c:pt idx="35">
                  <c:v>2.4</c:v>
                </c:pt>
                <c:pt idx="36">
                  <c:v>2.4</c:v>
                </c:pt>
                <c:pt idx="37">
                  <c:v>2.4</c:v>
                </c:pt>
                <c:pt idx="38">
                  <c:v>2.4</c:v>
                </c:pt>
                <c:pt idx="39">
                  <c:v>2.4</c:v>
                </c:pt>
                <c:pt idx="40">
                  <c:v>2.4</c:v>
                </c:pt>
                <c:pt idx="41">
                  <c:v>2.4</c:v>
                </c:pt>
                <c:pt idx="42">
                  <c:v>2.4</c:v>
                </c:pt>
                <c:pt idx="43">
                  <c:v>2.4</c:v>
                </c:pt>
                <c:pt idx="44">
                  <c:v>2.4</c:v>
                </c:pt>
                <c:pt idx="45">
                  <c:v>2.4</c:v>
                </c:pt>
                <c:pt idx="46">
                  <c:v>2.4</c:v>
                </c:pt>
                <c:pt idx="47">
                  <c:v>2.4</c:v>
                </c:pt>
                <c:pt idx="48">
                  <c:v>2.4</c:v>
                </c:pt>
                <c:pt idx="49">
                  <c:v>2.4</c:v>
                </c:pt>
                <c:pt idx="50">
                  <c:v>2.4</c:v>
                </c:pt>
                <c:pt idx="51">
                  <c:v>2.4</c:v>
                </c:pt>
                <c:pt idx="52">
                  <c:v>2.4</c:v>
                </c:pt>
                <c:pt idx="53">
                  <c:v>2.4</c:v>
                </c:pt>
                <c:pt idx="54">
                  <c:v>2.4</c:v>
                </c:pt>
                <c:pt idx="55">
                  <c:v>2.4</c:v>
                </c:pt>
                <c:pt idx="56">
                  <c:v>2.4</c:v>
                </c:pt>
                <c:pt idx="57">
                  <c:v>2.4</c:v>
                </c:pt>
                <c:pt idx="58">
                  <c:v>2.4</c:v>
                </c:pt>
                <c:pt idx="59">
                  <c:v>2.4</c:v>
                </c:pt>
              </c:numCache>
            </c:numRef>
          </c:yVal>
          <c:smooth val="0"/>
          <c:extLst>
            <c:ext xmlns:c16="http://schemas.microsoft.com/office/drawing/2014/chart" uri="{C3380CC4-5D6E-409C-BE32-E72D297353CC}">
              <c16:uniqueId val="{00000001-7D8B-48AE-A3C7-5CFBE99C9715}"/>
            </c:ext>
          </c:extLst>
        </c:ser>
        <c:ser>
          <c:idx val="2"/>
          <c:order val="2"/>
          <c:tx>
            <c:strRef>
              <c:f>一般工址Cs!$H$102:$J$102</c:f>
              <c:strCache>
                <c:ptCount val="1"/>
              </c:strCache>
            </c:strRef>
          </c:tx>
          <c:spPr>
            <a:ln w="19050">
              <a:solidFill>
                <a:schemeClr val="bg1">
                  <a:lumMod val="50000"/>
                </a:schemeClr>
              </a:solidFill>
              <a:prstDash val="sysDot"/>
            </a:ln>
          </c:spPr>
          <c:marker>
            <c:symbol val="none"/>
          </c:marker>
          <c:xVal>
            <c:numRef>
              <c:f>一般工址Cs!$I$117:$I$118</c:f>
              <c:numCache>
                <c:formatCode>0.000_ </c:formatCode>
                <c:ptCount val="2"/>
                <c:pt idx="0">
                  <c:v>0.86799999999999999</c:v>
                </c:pt>
                <c:pt idx="1">
                  <c:v>0.86799999999999999</c:v>
                </c:pt>
              </c:numCache>
            </c:numRef>
          </c:xVal>
          <c:yVal>
            <c:numRef>
              <c:f>一般工址Cs!$T$117:$T$118</c:f>
              <c:numCache>
                <c:formatCode>0.000_ </c:formatCode>
                <c:ptCount val="2"/>
                <c:pt idx="0">
                  <c:v>0</c:v>
                </c:pt>
                <c:pt idx="1">
                  <c:v>2.4</c:v>
                </c:pt>
              </c:numCache>
            </c:numRef>
          </c:yVal>
          <c:smooth val="0"/>
          <c:extLst>
            <c:ext xmlns:c16="http://schemas.microsoft.com/office/drawing/2014/chart" uri="{C3380CC4-5D6E-409C-BE32-E72D297353CC}">
              <c16:uniqueId val="{00000000-F8AC-4D89-9977-1F70F97D43A4}"/>
            </c:ext>
          </c:extLst>
        </c:ser>
        <c:dLbls>
          <c:showLegendKey val="0"/>
          <c:showVal val="0"/>
          <c:showCatName val="0"/>
          <c:showSerName val="0"/>
          <c:showPercent val="0"/>
          <c:showBubbleSize val="0"/>
        </c:dLbls>
        <c:axId val="198019328"/>
        <c:axId val="198019904"/>
      </c:scatterChart>
      <c:valAx>
        <c:axId val="198019328"/>
        <c:scaling>
          <c:orientation val="minMax"/>
          <c:max val="2.5"/>
        </c:scaling>
        <c:delete val="0"/>
        <c:axPos val="b"/>
        <c:minorGridlines/>
        <c:title>
          <c:tx>
            <c:rich>
              <a:bodyPr/>
              <a:lstStyle/>
              <a:p>
                <a:pPr>
                  <a:defRPr sz="1400"/>
                </a:pPr>
                <a:r>
                  <a:rPr lang="en-US" altLang="zh-TW" sz="1400"/>
                  <a:t>T (sec)</a:t>
                </a:r>
                <a:endParaRPr lang="zh-TW" altLang="en-US" sz="1400"/>
              </a:p>
            </c:rich>
          </c:tx>
          <c:overlay val="0"/>
        </c:title>
        <c:numFmt formatCode="0.0_ " sourceLinked="0"/>
        <c:majorTickMark val="out"/>
        <c:minorTickMark val="in"/>
        <c:tickLblPos val="nextTo"/>
        <c:txPr>
          <a:bodyPr rot="0" vert="horz"/>
          <a:lstStyle/>
          <a:p>
            <a:pPr>
              <a:defRPr sz="1000" b="0" i="0" u="none" strike="noStrike" baseline="0">
                <a:solidFill>
                  <a:srgbClr val="000000"/>
                </a:solidFill>
                <a:latin typeface="新細明體"/>
                <a:ea typeface="新細明體"/>
                <a:cs typeface="新細明體"/>
              </a:defRPr>
            </a:pPr>
            <a:endParaRPr lang="zh-TW"/>
          </a:p>
        </c:txPr>
        <c:crossAx val="198019904"/>
        <c:crosses val="autoZero"/>
        <c:crossBetween val="midCat"/>
        <c:minorUnit val="0.1"/>
      </c:valAx>
      <c:valAx>
        <c:axId val="198019904"/>
        <c:scaling>
          <c:orientation val="minMax"/>
        </c:scaling>
        <c:delete val="0"/>
        <c:axPos val="l"/>
        <c:majorGridlines/>
        <c:minorGridlines/>
        <c:numFmt formatCode="0.0_ " sourceLinked="0"/>
        <c:majorTickMark val="out"/>
        <c:minorTickMark val="none"/>
        <c:tickLblPos val="nextTo"/>
        <c:crossAx val="198019328"/>
        <c:crosses val="autoZero"/>
        <c:crossBetween val="midCat"/>
      </c:valAx>
    </c:plotArea>
    <c:legend>
      <c:legendPos val="r"/>
      <c:layout>
        <c:manualLayout>
          <c:xMode val="edge"/>
          <c:yMode val="edge"/>
          <c:x val="0.64947238205461932"/>
          <c:y val="0.63769232729403968"/>
          <c:w val="0.31498347537218729"/>
          <c:h val="0.17801146701322526"/>
        </c:manualLayout>
      </c:layout>
      <c:overlay val="1"/>
      <c:txPr>
        <a:bodyPr/>
        <a:lstStyle/>
        <a:p>
          <a:pPr>
            <a:defRPr sz="1400"/>
          </a:pPr>
          <a:endParaRPr lang="zh-TW"/>
        </a:p>
      </c:txPr>
    </c:legend>
    <c:plotVisOnly val="1"/>
    <c:dispBlanksAs val="gap"/>
    <c:showDLblsOverMax val="0"/>
  </c:chart>
  <c:printSettings>
    <c:headerFooter/>
    <c:pageMargins b="0.75000000000000433" l="0.70000000000000062" r="0.70000000000000062" t="0.75000000000000433"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一般工址Cs!$O$2</c:f>
          <c:strCache>
            <c:ptCount val="1"/>
            <c:pt idx="0">
              <c:v>規範最小地震橫力係數 Cs*載重組合係數之比較 [第三類, R=2.4]</c:v>
            </c:pt>
          </c:strCache>
        </c:strRef>
      </c:tx>
      <c:layout>
        <c:manualLayout>
          <c:xMode val="edge"/>
          <c:yMode val="edge"/>
          <c:x val="0.14041686234690212"/>
          <c:y val="1.7710478311359846E-2"/>
        </c:manualLayout>
      </c:layout>
      <c:overlay val="0"/>
      <c:txPr>
        <a:bodyPr/>
        <a:lstStyle/>
        <a:p>
          <a:pPr>
            <a:defRPr sz="1400"/>
          </a:pPr>
          <a:endParaRPr lang="zh-TW"/>
        </a:p>
      </c:txPr>
    </c:title>
    <c:autoTitleDeleted val="0"/>
    <c:plotArea>
      <c:layout>
        <c:manualLayout>
          <c:layoutTarget val="inner"/>
          <c:xMode val="edge"/>
          <c:yMode val="edge"/>
          <c:x val="8.2349727635584305E-2"/>
          <c:y val="0.10928305665629078"/>
          <c:w val="0.88023573930242049"/>
          <c:h val="0.76019124664681237"/>
        </c:manualLayout>
      </c:layout>
      <c:scatterChart>
        <c:scatterStyle val="lineMarker"/>
        <c:varyColors val="0"/>
        <c:ser>
          <c:idx val="0"/>
          <c:order val="0"/>
          <c:tx>
            <c:v>民111年以後</c:v>
          </c:tx>
          <c:marker>
            <c:symbol val="none"/>
          </c:marker>
          <c:dLbls>
            <c:delete val="1"/>
          </c:dLbls>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一般工址Cs!$Y$43:$Y$102</c:f>
              <c:numCache>
                <c:formatCode>0.000_ </c:formatCode>
                <c:ptCount val="60"/>
                <c:pt idx="0">
                  <c:v>0.28899999999999998</c:v>
                </c:pt>
                <c:pt idx="1">
                  <c:v>0.30199999999999999</c:v>
                </c:pt>
                <c:pt idx="2">
                  <c:v>0.32100000000000001</c:v>
                </c:pt>
                <c:pt idx="3">
                  <c:v>0.33700000000000002</c:v>
                </c:pt>
                <c:pt idx="4">
                  <c:v>0.33200000000000002</c:v>
                </c:pt>
                <c:pt idx="5">
                  <c:v>0.33200000000000002</c:v>
                </c:pt>
                <c:pt idx="6">
                  <c:v>0.33200000000000002</c:v>
                </c:pt>
                <c:pt idx="7">
                  <c:v>0.33400000000000002</c:v>
                </c:pt>
                <c:pt idx="8">
                  <c:v>0.34</c:v>
                </c:pt>
                <c:pt idx="9">
                  <c:v>0.34</c:v>
                </c:pt>
                <c:pt idx="10">
                  <c:v>0.34</c:v>
                </c:pt>
                <c:pt idx="11">
                  <c:v>0.34</c:v>
                </c:pt>
                <c:pt idx="12">
                  <c:v>0.34</c:v>
                </c:pt>
                <c:pt idx="13">
                  <c:v>0.34</c:v>
                </c:pt>
                <c:pt idx="14">
                  <c:v>0.34</c:v>
                </c:pt>
                <c:pt idx="15">
                  <c:v>0.34</c:v>
                </c:pt>
                <c:pt idx="16">
                  <c:v>0.34</c:v>
                </c:pt>
                <c:pt idx="17">
                  <c:v>0.32100000000000001</c:v>
                </c:pt>
                <c:pt idx="18">
                  <c:v>0.32100000000000001</c:v>
                </c:pt>
                <c:pt idx="19">
                  <c:v>0.30399999999999999</c:v>
                </c:pt>
                <c:pt idx="20">
                  <c:v>0.32100000000000001</c:v>
                </c:pt>
                <c:pt idx="21">
                  <c:v>0.32100000000000001</c:v>
                </c:pt>
                <c:pt idx="22">
                  <c:v>0.32200000000000001</c:v>
                </c:pt>
                <c:pt idx="23">
                  <c:v>0.32100000000000001</c:v>
                </c:pt>
                <c:pt idx="24">
                  <c:v>0.315</c:v>
                </c:pt>
                <c:pt idx="25">
                  <c:v>0.309</c:v>
                </c:pt>
                <c:pt idx="26">
                  <c:v>0.30399999999999999</c:v>
                </c:pt>
                <c:pt idx="27">
                  <c:v>0.29899999999999999</c:v>
                </c:pt>
                <c:pt idx="28">
                  <c:v>0.29199999999999998</c:v>
                </c:pt>
                <c:pt idx="29">
                  <c:v>0.28299999999999997</c:v>
                </c:pt>
                <c:pt idx="30">
                  <c:v>0.27400000000000002</c:v>
                </c:pt>
                <c:pt idx="31">
                  <c:v>0.26600000000000001</c:v>
                </c:pt>
                <c:pt idx="32">
                  <c:v>0.25900000000000001</c:v>
                </c:pt>
                <c:pt idx="33">
                  <c:v>0.253</c:v>
                </c:pt>
                <c:pt idx="34">
                  <c:v>0.246</c:v>
                </c:pt>
                <c:pt idx="35">
                  <c:v>0.24099999999999999</c:v>
                </c:pt>
                <c:pt idx="36">
                  <c:v>0.23899999999999999</c:v>
                </c:pt>
                <c:pt idx="37">
                  <c:v>0.23599999999999999</c:v>
                </c:pt>
                <c:pt idx="38">
                  <c:v>0.23100000000000001</c:v>
                </c:pt>
                <c:pt idx="39">
                  <c:v>0.22700000000000001</c:v>
                </c:pt>
                <c:pt idx="40">
                  <c:v>0.223</c:v>
                </c:pt>
                <c:pt idx="41">
                  <c:v>0.219</c:v>
                </c:pt>
                <c:pt idx="42">
                  <c:v>0.215</c:v>
                </c:pt>
                <c:pt idx="43">
                  <c:v>0.20899999999999999</c:v>
                </c:pt>
                <c:pt idx="44">
                  <c:v>0.20300000000000001</c:v>
                </c:pt>
                <c:pt idx="45">
                  <c:v>0.19700000000000001</c:v>
                </c:pt>
                <c:pt idx="46">
                  <c:v>0.192</c:v>
                </c:pt>
                <c:pt idx="47">
                  <c:v>0.187</c:v>
                </c:pt>
                <c:pt idx="48">
                  <c:v>0.182</c:v>
                </c:pt>
                <c:pt idx="49">
                  <c:v>0.17699999999999999</c:v>
                </c:pt>
                <c:pt idx="50">
                  <c:v>0.17299999999999999</c:v>
                </c:pt>
                <c:pt idx="51">
                  <c:v>0.16800000000000001</c:v>
                </c:pt>
                <c:pt idx="52">
                  <c:v>0.16400000000000001</c:v>
                </c:pt>
                <c:pt idx="53">
                  <c:v>0.161</c:v>
                </c:pt>
                <c:pt idx="54">
                  <c:v>0.157</c:v>
                </c:pt>
                <c:pt idx="55">
                  <c:v>0.15</c:v>
                </c:pt>
                <c:pt idx="56">
                  <c:v>0.14799999999999999</c:v>
                </c:pt>
                <c:pt idx="57">
                  <c:v>0.14799999999999999</c:v>
                </c:pt>
                <c:pt idx="58">
                  <c:v>0.14799999999999999</c:v>
                </c:pt>
                <c:pt idx="59">
                  <c:v>0.14799999999999999</c:v>
                </c:pt>
              </c:numCache>
            </c:numRef>
          </c:yVal>
          <c:smooth val="0"/>
          <c:extLst>
            <c:ext xmlns:c16="http://schemas.microsoft.com/office/drawing/2014/chart" uri="{C3380CC4-5D6E-409C-BE32-E72D297353CC}">
              <c16:uniqueId val="{00000000-0613-4CEA-8F14-36B2E40B2E89}"/>
            </c:ext>
          </c:extLst>
        </c:ser>
        <c:ser>
          <c:idx val="7"/>
          <c:order val="1"/>
          <c:tx>
            <c:v>民100~110</c:v>
          </c:tx>
          <c:marker>
            <c:symbol val="none"/>
          </c:marker>
          <c:dLbls>
            <c:delete val="1"/>
          </c:dLbls>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一般工址Cs!$AO$43:$AO$102</c:f>
              <c:numCache>
                <c:formatCode>0.000_ </c:formatCode>
                <c:ptCount val="60"/>
                <c:pt idx="0">
                  <c:v>0.252</c:v>
                </c:pt>
                <c:pt idx="1">
                  <c:v>0.26800000000000002</c:v>
                </c:pt>
                <c:pt idx="2">
                  <c:v>0.28699999999999998</c:v>
                </c:pt>
                <c:pt idx="3">
                  <c:v>0.29399999999999998</c:v>
                </c:pt>
                <c:pt idx="4">
                  <c:v>0.29399999999999998</c:v>
                </c:pt>
                <c:pt idx="5">
                  <c:v>0.29399999999999998</c:v>
                </c:pt>
                <c:pt idx="6">
                  <c:v>0.29399999999999998</c:v>
                </c:pt>
                <c:pt idx="7">
                  <c:v>0.29399999999999998</c:v>
                </c:pt>
                <c:pt idx="8">
                  <c:v>0.29399999999999998</c:v>
                </c:pt>
                <c:pt idx="9">
                  <c:v>0.29399999999999998</c:v>
                </c:pt>
                <c:pt idx="10">
                  <c:v>0.29399999999999998</c:v>
                </c:pt>
                <c:pt idx="11">
                  <c:v>0.29399999999999998</c:v>
                </c:pt>
                <c:pt idx="12">
                  <c:v>0.27100000000000002</c:v>
                </c:pt>
                <c:pt idx="13">
                  <c:v>0.26800000000000002</c:v>
                </c:pt>
                <c:pt idx="14">
                  <c:v>0.26500000000000001</c:v>
                </c:pt>
                <c:pt idx="15">
                  <c:v>0.27</c:v>
                </c:pt>
                <c:pt idx="16">
                  <c:v>0.27600000000000002</c:v>
                </c:pt>
                <c:pt idx="17">
                  <c:v>0.251</c:v>
                </c:pt>
                <c:pt idx="18">
                  <c:v>0.251</c:v>
                </c:pt>
                <c:pt idx="19">
                  <c:v>0.22600000000000001</c:v>
                </c:pt>
                <c:pt idx="20">
                  <c:v>0.252</c:v>
                </c:pt>
                <c:pt idx="21">
                  <c:v>0.252</c:v>
                </c:pt>
                <c:pt idx="22">
                  <c:v>0.254</c:v>
                </c:pt>
                <c:pt idx="23">
                  <c:v>0.252</c:v>
                </c:pt>
                <c:pt idx="24">
                  <c:v>0.24199999999999999</c:v>
                </c:pt>
                <c:pt idx="25">
                  <c:v>0.23400000000000001</c:v>
                </c:pt>
                <c:pt idx="26">
                  <c:v>0.22600000000000001</c:v>
                </c:pt>
                <c:pt idx="27">
                  <c:v>0.219</c:v>
                </c:pt>
                <c:pt idx="28">
                  <c:v>0.21099999999999999</c:v>
                </c:pt>
                <c:pt idx="29">
                  <c:v>0.20100000000000001</c:v>
                </c:pt>
                <c:pt idx="30">
                  <c:v>0.191</c:v>
                </c:pt>
                <c:pt idx="31">
                  <c:v>0.182</c:v>
                </c:pt>
                <c:pt idx="32">
                  <c:v>0.17399999999999999</c:v>
                </c:pt>
                <c:pt idx="33">
                  <c:v>0.16700000000000001</c:v>
                </c:pt>
                <c:pt idx="34">
                  <c:v>0.16</c:v>
                </c:pt>
                <c:pt idx="35">
                  <c:v>0.154</c:v>
                </c:pt>
                <c:pt idx="36">
                  <c:v>0.152</c:v>
                </c:pt>
                <c:pt idx="37">
                  <c:v>0.14799999999999999</c:v>
                </c:pt>
                <c:pt idx="38">
                  <c:v>0.14299999999999999</c:v>
                </c:pt>
                <c:pt idx="39">
                  <c:v>0.13800000000000001</c:v>
                </c:pt>
                <c:pt idx="40">
                  <c:v>0.13400000000000001</c:v>
                </c:pt>
                <c:pt idx="41">
                  <c:v>0.129</c:v>
                </c:pt>
                <c:pt idx="42">
                  <c:v>0.125</c:v>
                </c:pt>
                <c:pt idx="43">
                  <c:v>0.121</c:v>
                </c:pt>
                <c:pt idx="44">
                  <c:v>0.11899999999999999</c:v>
                </c:pt>
                <c:pt idx="45">
                  <c:v>0.11899999999999999</c:v>
                </c:pt>
                <c:pt idx="46">
                  <c:v>0.11899999999999999</c:v>
                </c:pt>
                <c:pt idx="47">
                  <c:v>0.11899999999999999</c:v>
                </c:pt>
                <c:pt idx="48">
                  <c:v>0.11899999999999999</c:v>
                </c:pt>
                <c:pt idx="49">
                  <c:v>0.11899999999999999</c:v>
                </c:pt>
                <c:pt idx="50">
                  <c:v>0.11899999999999999</c:v>
                </c:pt>
                <c:pt idx="51">
                  <c:v>0.11899999999999999</c:v>
                </c:pt>
                <c:pt idx="52">
                  <c:v>0.11899999999999999</c:v>
                </c:pt>
                <c:pt idx="53">
                  <c:v>0.11899999999999999</c:v>
                </c:pt>
                <c:pt idx="54">
                  <c:v>0.11899999999999999</c:v>
                </c:pt>
                <c:pt idx="55">
                  <c:v>0.11899999999999999</c:v>
                </c:pt>
                <c:pt idx="56">
                  <c:v>0.11899999999999999</c:v>
                </c:pt>
                <c:pt idx="57">
                  <c:v>0.11899999999999999</c:v>
                </c:pt>
                <c:pt idx="58">
                  <c:v>0.11899999999999999</c:v>
                </c:pt>
                <c:pt idx="59">
                  <c:v>0.11899999999999999</c:v>
                </c:pt>
              </c:numCache>
            </c:numRef>
          </c:yVal>
          <c:smooth val="0"/>
          <c:extLst>
            <c:ext xmlns:c16="http://schemas.microsoft.com/office/drawing/2014/chart" uri="{C3380CC4-5D6E-409C-BE32-E72D297353CC}">
              <c16:uniqueId val="{00000000-E2B2-4925-89D3-3B5AC509948E}"/>
            </c:ext>
          </c:extLst>
        </c:ser>
        <c:ser>
          <c:idx val="6"/>
          <c:order val="2"/>
          <c:tx>
            <c:v>民95~99</c:v>
          </c:tx>
          <c:marker>
            <c:symbol val="none"/>
          </c:marker>
          <c:dLbls>
            <c:delete val="1"/>
          </c:dLbls>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一般工址Cs!$BI$43:$BI$102</c:f>
              <c:numCache>
                <c:formatCode>0.0000_ </c:formatCode>
                <c:ptCount val="60"/>
                <c:pt idx="0">
                  <c:v>0.23562000000000002</c:v>
                </c:pt>
                <c:pt idx="1">
                  <c:v>0.25058000000000002</c:v>
                </c:pt>
                <c:pt idx="2">
                  <c:v>0.268345</c:v>
                </c:pt>
                <c:pt idx="3">
                  <c:v>0.27488999999999997</c:v>
                </c:pt>
                <c:pt idx="4">
                  <c:v>0.27488999999999997</c:v>
                </c:pt>
                <c:pt idx="5">
                  <c:v>0.27488999999999997</c:v>
                </c:pt>
                <c:pt idx="6">
                  <c:v>0.27488999999999997</c:v>
                </c:pt>
                <c:pt idx="7">
                  <c:v>0.27488999999999997</c:v>
                </c:pt>
                <c:pt idx="8">
                  <c:v>0.27488999999999997</c:v>
                </c:pt>
                <c:pt idx="9">
                  <c:v>0.27488999999999997</c:v>
                </c:pt>
                <c:pt idx="10">
                  <c:v>0.27488999999999997</c:v>
                </c:pt>
                <c:pt idx="11">
                  <c:v>0.27488999999999997</c:v>
                </c:pt>
                <c:pt idx="12">
                  <c:v>0.25338500000000003</c:v>
                </c:pt>
                <c:pt idx="13">
                  <c:v>0.25058000000000002</c:v>
                </c:pt>
                <c:pt idx="14">
                  <c:v>0.24777500000000002</c:v>
                </c:pt>
                <c:pt idx="15">
                  <c:v>0.25245000000000006</c:v>
                </c:pt>
                <c:pt idx="16">
                  <c:v>0.25806000000000007</c:v>
                </c:pt>
                <c:pt idx="17">
                  <c:v>0.234685</c:v>
                </c:pt>
                <c:pt idx="18">
                  <c:v>0.234685</c:v>
                </c:pt>
                <c:pt idx="19">
                  <c:v>0.21131000000000003</c:v>
                </c:pt>
                <c:pt idx="20">
                  <c:v>0.23562000000000002</c:v>
                </c:pt>
                <c:pt idx="21">
                  <c:v>0.23562000000000002</c:v>
                </c:pt>
                <c:pt idx="22">
                  <c:v>0.23749000000000001</c:v>
                </c:pt>
                <c:pt idx="23">
                  <c:v>0.23562000000000002</c:v>
                </c:pt>
                <c:pt idx="24">
                  <c:v>0.22627</c:v>
                </c:pt>
                <c:pt idx="25">
                  <c:v>0.21879000000000001</c:v>
                </c:pt>
                <c:pt idx="26">
                  <c:v>0.21131000000000003</c:v>
                </c:pt>
                <c:pt idx="27">
                  <c:v>0.204765</c:v>
                </c:pt>
                <c:pt idx="28">
                  <c:v>0.19728500000000002</c:v>
                </c:pt>
                <c:pt idx="29">
                  <c:v>0.18793500000000002</c:v>
                </c:pt>
                <c:pt idx="30">
                  <c:v>0.17858499999999999</c:v>
                </c:pt>
                <c:pt idx="31">
                  <c:v>0.17017000000000002</c:v>
                </c:pt>
                <c:pt idx="32">
                  <c:v>0.16269</c:v>
                </c:pt>
                <c:pt idx="33">
                  <c:v>0.15614500000000001</c:v>
                </c:pt>
                <c:pt idx="34">
                  <c:v>0.14960000000000001</c:v>
                </c:pt>
                <c:pt idx="35">
                  <c:v>0.14399000000000001</c:v>
                </c:pt>
                <c:pt idx="36">
                  <c:v>0.14212</c:v>
                </c:pt>
                <c:pt idx="37">
                  <c:v>0.13838</c:v>
                </c:pt>
                <c:pt idx="38">
                  <c:v>0.13370499999999999</c:v>
                </c:pt>
                <c:pt idx="39">
                  <c:v>0.12903000000000003</c:v>
                </c:pt>
                <c:pt idx="40">
                  <c:v>0.12529000000000001</c:v>
                </c:pt>
                <c:pt idx="41">
                  <c:v>0.12061500000000001</c:v>
                </c:pt>
                <c:pt idx="42">
                  <c:v>0.11687500000000001</c:v>
                </c:pt>
                <c:pt idx="43">
                  <c:v>0.113135</c:v>
                </c:pt>
                <c:pt idx="44">
                  <c:v>0.11126499999999999</c:v>
                </c:pt>
                <c:pt idx="45">
                  <c:v>0.11126499999999999</c:v>
                </c:pt>
                <c:pt idx="46">
                  <c:v>0.11126499999999999</c:v>
                </c:pt>
                <c:pt idx="47">
                  <c:v>0.11126499999999999</c:v>
                </c:pt>
                <c:pt idx="48">
                  <c:v>0.11126499999999999</c:v>
                </c:pt>
                <c:pt idx="49">
                  <c:v>0.11126499999999999</c:v>
                </c:pt>
                <c:pt idx="50">
                  <c:v>0.11126499999999999</c:v>
                </c:pt>
                <c:pt idx="51">
                  <c:v>0.11126499999999999</c:v>
                </c:pt>
                <c:pt idx="52">
                  <c:v>0.11126499999999999</c:v>
                </c:pt>
                <c:pt idx="53">
                  <c:v>0.11126499999999999</c:v>
                </c:pt>
                <c:pt idx="54">
                  <c:v>0.11126499999999999</c:v>
                </c:pt>
                <c:pt idx="55">
                  <c:v>0.11126499999999999</c:v>
                </c:pt>
                <c:pt idx="56">
                  <c:v>0.11126499999999999</c:v>
                </c:pt>
                <c:pt idx="57">
                  <c:v>0.11126499999999999</c:v>
                </c:pt>
                <c:pt idx="58">
                  <c:v>0.11126499999999999</c:v>
                </c:pt>
                <c:pt idx="59">
                  <c:v>0.11126499999999999</c:v>
                </c:pt>
              </c:numCache>
            </c:numRef>
          </c:yVal>
          <c:smooth val="0"/>
          <c:extLst>
            <c:ext xmlns:c16="http://schemas.microsoft.com/office/drawing/2014/chart" uri="{C3380CC4-5D6E-409C-BE32-E72D297353CC}">
              <c16:uniqueId val="{00000001-0613-4CEA-8F14-36B2E40B2E89}"/>
            </c:ext>
          </c:extLst>
        </c:ser>
        <c:ser>
          <c:idx val="3"/>
          <c:order val="3"/>
          <c:tx>
            <c:v>民89~94</c:v>
          </c:tx>
          <c:marker>
            <c:symbol val="none"/>
          </c:marker>
          <c:dLbls>
            <c:delete val="1"/>
          </c:dLbls>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一般工址Cs!$BF$43:$BF$102</c:f>
              <c:numCache>
                <c:formatCode>0.0000_ </c:formatCode>
                <c:ptCount val="60"/>
                <c:pt idx="0">
                  <c:v>0.2203928571428572</c:v>
                </c:pt>
                <c:pt idx="1">
                  <c:v>0.2203928571428572</c:v>
                </c:pt>
                <c:pt idx="2">
                  <c:v>0.2203928571428572</c:v>
                </c:pt>
                <c:pt idx="3">
                  <c:v>0.2203928571428572</c:v>
                </c:pt>
                <c:pt idx="4">
                  <c:v>0.2203928571428572</c:v>
                </c:pt>
                <c:pt idx="5">
                  <c:v>0.2203928571428572</c:v>
                </c:pt>
                <c:pt idx="6">
                  <c:v>0.2203928571428572</c:v>
                </c:pt>
                <c:pt idx="7">
                  <c:v>0.2203928571428572</c:v>
                </c:pt>
                <c:pt idx="8">
                  <c:v>0.2203928571428572</c:v>
                </c:pt>
                <c:pt idx="9">
                  <c:v>0.2203928571428572</c:v>
                </c:pt>
                <c:pt idx="10">
                  <c:v>0.2203928571428572</c:v>
                </c:pt>
                <c:pt idx="11">
                  <c:v>0.2203928571428572</c:v>
                </c:pt>
                <c:pt idx="12">
                  <c:v>0.2203928571428572</c:v>
                </c:pt>
                <c:pt idx="13">
                  <c:v>0.2203928571428572</c:v>
                </c:pt>
                <c:pt idx="14">
                  <c:v>0.2203928571428572</c:v>
                </c:pt>
                <c:pt idx="15">
                  <c:v>0.2203928571428572</c:v>
                </c:pt>
                <c:pt idx="16">
                  <c:v>0.2203928571428572</c:v>
                </c:pt>
                <c:pt idx="17">
                  <c:v>0.2203928571428572</c:v>
                </c:pt>
                <c:pt idx="18">
                  <c:v>0.2203928571428572</c:v>
                </c:pt>
                <c:pt idx="19">
                  <c:v>0.2203928571428572</c:v>
                </c:pt>
                <c:pt idx="20">
                  <c:v>0.2203928571428572</c:v>
                </c:pt>
                <c:pt idx="21">
                  <c:v>0.2203928571428572</c:v>
                </c:pt>
                <c:pt idx="22">
                  <c:v>0.2203928571428572</c:v>
                </c:pt>
                <c:pt idx="23">
                  <c:v>0.2203928571428572</c:v>
                </c:pt>
                <c:pt idx="24">
                  <c:v>0.2203928571428572</c:v>
                </c:pt>
                <c:pt idx="25">
                  <c:v>0.2203928571428572</c:v>
                </c:pt>
                <c:pt idx="26">
                  <c:v>0.2203928571428572</c:v>
                </c:pt>
                <c:pt idx="27">
                  <c:v>0.2203928571428572</c:v>
                </c:pt>
                <c:pt idx="28">
                  <c:v>0.2203928571428572</c:v>
                </c:pt>
                <c:pt idx="29">
                  <c:v>0.2203928571428572</c:v>
                </c:pt>
                <c:pt idx="30">
                  <c:v>0.2203928571428572</c:v>
                </c:pt>
                <c:pt idx="31">
                  <c:v>0.21973726223002515</c:v>
                </c:pt>
                <c:pt idx="32">
                  <c:v>0.21328936407048582</c:v>
                </c:pt>
                <c:pt idx="33">
                  <c:v>0.20729455866384131</c:v>
                </c:pt>
                <c:pt idx="34">
                  <c:v>0.20170396270397273</c:v>
                </c:pt>
                <c:pt idx="35">
                  <c:v>0.1964756628459792</c:v>
                </c:pt>
                <c:pt idx="36">
                  <c:v>0.19441835472895655</c:v>
                </c:pt>
                <c:pt idx="37">
                  <c:v>0.19157349816327882</c:v>
                </c:pt>
                <c:pt idx="38">
                  <c:v>0.18696609155631094</c:v>
                </c:pt>
                <c:pt idx="39">
                  <c:v>0.18262607231033856</c:v>
                </c:pt>
                <c:pt idx="40">
                  <c:v>0.17852944691479422</c:v>
                </c:pt>
                <c:pt idx="41">
                  <c:v>0.17465508596256743</c:v>
                </c:pt>
                <c:pt idx="42">
                  <c:v>0.17098430272766857</c:v>
                </c:pt>
                <c:pt idx="43">
                  <c:v>0.16750050473849892</c:v>
                </c:pt>
                <c:pt idx="44">
                  <c:v>0.16418890391257346</c:v>
                </c:pt>
                <c:pt idx="45">
                  <c:v>0.16103627400640158</c:v>
                </c:pt>
                <c:pt idx="46">
                  <c:v>0.15803074654847735</c:v>
                </c:pt>
                <c:pt idx="47">
                  <c:v>0.15516163826764526</c:v>
                </c:pt>
                <c:pt idx="48">
                  <c:v>0.15241930444960305</c:v>
                </c:pt>
                <c:pt idx="49">
                  <c:v>0.14979501375678675</c:v>
                </c:pt>
                <c:pt idx="50">
                  <c:v>0.14728084090878066</c:v>
                </c:pt>
                <c:pt idx="51">
                  <c:v>0.14486957429881597</c:v>
                </c:pt>
                <c:pt idx="52">
                  <c:v>0.1425546361593987</c:v>
                </c:pt>
                <c:pt idx="53">
                  <c:v>0.14033001331852496</c:v>
                </c:pt>
                <c:pt idx="54">
                  <c:v>0.13819019693142695</c:v>
                </c:pt>
                <c:pt idx="55">
                  <c:v>0.13392732918966604</c:v>
                </c:pt>
                <c:pt idx="56">
                  <c:v>0.13202084980946491</c:v>
                </c:pt>
                <c:pt idx="57">
                  <c:v>0.13018080047133621</c:v>
                </c:pt>
                <c:pt idx="58">
                  <c:v>0.12964285714285714</c:v>
                </c:pt>
                <c:pt idx="59">
                  <c:v>0.12964285714285714</c:v>
                </c:pt>
              </c:numCache>
            </c:numRef>
          </c:yVal>
          <c:smooth val="0"/>
          <c:extLst>
            <c:ext xmlns:c16="http://schemas.microsoft.com/office/drawing/2014/chart" uri="{C3380CC4-5D6E-409C-BE32-E72D297353CC}">
              <c16:uniqueId val="{00000002-0613-4CEA-8F14-36B2E40B2E89}"/>
            </c:ext>
          </c:extLst>
        </c:ser>
        <c:ser>
          <c:idx val="2"/>
          <c:order val="4"/>
          <c:tx>
            <c:v>民86~88</c:v>
          </c:tx>
          <c:marker>
            <c:symbol val="none"/>
          </c:marker>
          <c:dLbls>
            <c:delete val="1"/>
          </c:dLbls>
          <c:xVal>
            <c:numRef>
              <c:f>一般工址Cs!$I$43:$I$101</c:f>
              <c:numCache>
                <c:formatCode>0.0000_ </c:formatCode>
                <c:ptCount val="59"/>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numCache>
            </c:numRef>
          </c:xVal>
          <c:yVal>
            <c:numRef>
              <c:f>一般工址Cs!$BD$43:$BD$102</c:f>
              <c:numCache>
                <c:formatCode>0.0000_ </c:formatCode>
                <c:ptCount val="60"/>
                <c:pt idx="0">
                  <c:v>0.2203928571428572</c:v>
                </c:pt>
                <c:pt idx="1">
                  <c:v>0.2203928571428572</c:v>
                </c:pt>
                <c:pt idx="2">
                  <c:v>0.2203928571428572</c:v>
                </c:pt>
                <c:pt idx="3">
                  <c:v>0.2203928571428572</c:v>
                </c:pt>
                <c:pt idx="4">
                  <c:v>0.2203928571428572</c:v>
                </c:pt>
                <c:pt idx="5">
                  <c:v>0.2203928571428572</c:v>
                </c:pt>
                <c:pt idx="6">
                  <c:v>0.2203928571428572</c:v>
                </c:pt>
                <c:pt idx="7">
                  <c:v>0.2203928571428572</c:v>
                </c:pt>
                <c:pt idx="8">
                  <c:v>0.2203928571428572</c:v>
                </c:pt>
                <c:pt idx="9">
                  <c:v>0.2203928571428572</c:v>
                </c:pt>
                <c:pt idx="10">
                  <c:v>0.2203928571428572</c:v>
                </c:pt>
                <c:pt idx="11">
                  <c:v>0.2203928571428572</c:v>
                </c:pt>
                <c:pt idx="12">
                  <c:v>0.2203928571428572</c:v>
                </c:pt>
                <c:pt idx="13">
                  <c:v>0.2203928571428572</c:v>
                </c:pt>
                <c:pt idx="14">
                  <c:v>0.2203928571428572</c:v>
                </c:pt>
                <c:pt idx="15">
                  <c:v>0.2203928571428572</c:v>
                </c:pt>
                <c:pt idx="16">
                  <c:v>0.2203928571428572</c:v>
                </c:pt>
                <c:pt idx="17">
                  <c:v>0.2203928571428572</c:v>
                </c:pt>
                <c:pt idx="18">
                  <c:v>0.2203928571428572</c:v>
                </c:pt>
                <c:pt idx="19">
                  <c:v>0.2203928571428572</c:v>
                </c:pt>
                <c:pt idx="20">
                  <c:v>0.2203928571428572</c:v>
                </c:pt>
                <c:pt idx="21">
                  <c:v>0.2203928571428572</c:v>
                </c:pt>
                <c:pt idx="22">
                  <c:v>0.2203928571428572</c:v>
                </c:pt>
                <c:pt idx="23">
                  <c:v>0.2203928571428572</c:v>
                </c:pt>
                <c:pt idx="24">
                  <c:v>0.2203928571428572</c:v>
                </c:pt>
                <c:pt idx="25">
                  <c:v>0.2203928571428572</c:v>
                </c:pt>
                <c:pt idx="26">
                  <c:v>0.2203928571428572</c:v>
                </c:pt>
                <c:pt idx="27">
                  <c:v>0.2203928571428572</c:v>
                </c:pt>
                <c:pt idx="28">
                  <c:v>0.2203928571428572</c:v>
                </c:pt>
                <c:pt idx="29">
                  <c:v>0.2203928571428572</c:v>
                </c:pt>
                <c:pt idx="30">
                  <c:v>0.2203928571428572</c:v>
                </c:pt>
                <c:pt idx="31">
                  <c:v>0.21973726223002515</c:v>
                </c:pt>
                <c:pt idx="32">
                  <c:v>0.21328936407048582</c:v>
                </c:pt>
                <c:pt idx="33">
                  <c:v>0.20729455866384131</c:v>
                </c:pt>
                <c:pt idx="34">
                  <c:v>0.20170396270397273</c:v>
                </c:pt>
                <c:pt idx="35">
                  <c:v>0.1964756628459792</c:v>
                </c:pt>
                <c:pt idx="36">
                  <c:v>0.19441835472895655</c:v>
                </c:pt>
                <c:pt idx="37">
                  <c:v>0.19157349816327882</c:v>
                </c:pt>
                <c:pt idx="38">
                  <c:v>0.18696609155631094</c:v>
                </c:pt>
                <c:pt idx="39">
                  <c:v>0.18262607231033856</c:v>
                </c:pt>
                <c:pt idx="40">
                  <c:v>0.17852944691479422</c:v>
                </c:pt>
                <c:pt idx="41">
                  <c:v>0.17465508596256743</c:v>
                </c:pt>
                <c:pt idx="42">
                  <c:v>0.17098430272766857</c:v>
                </c:pt>
                <c:pt idx="43">
                  <c:v>0.16750050473849892</c:v>
                </c:pt>
                <c:pt idx="44">
                  <c:v>0.16418890391257346</c:v>
                </c:pt>
                <c:pt idx="45">
                  <c:v>0.16103627400640158</c:v>
                </c:pt>
                <c:pt idx="46">
                  <c:v>0.15803074654847735</c:v>
                </c:pt>
                <c:pt idx="47">
                  <c:v>0.15516163826764526</c:v>
                </c:pt>
                <c:pt idx="48">
                  <c:v>0.15241930444960305</c:v>
                </c:pt>
                <c:pt idx="49">
                  <c:v>0.14979501375678675</c:v>
                </c:pt>
                <c:pt idx="50">
                  <c:v>0.14728084090878066</c:v>
                </c:pt>
                <c:pt idx="51">
                  <c:v>0.14486957429881597</c:v>
                </c:pt>
                <c:pt idx="52">
                  <c:v>0.1425546361593987</c:v>
                </c:pt>
                <c:pt idx="53">
                  <c:v>0.14033001331852496</c:v>
                </c:pt>
                <c:pt idx="54">
                  <c:v>0.13819019693142695</c:v>
                </c:pt>
                <c:pt idx="55">
                  <c:v>0.13392732918966604</c:v>
                </c:pt>
                <c:pt idx="56">
                  <c:v>0.13202084980946491</c:v>
                </c:pt>
                <c:pt idx="57">
                  <c:v>0.13018080047133621</c:v>
                </c:pt>
                <c:pt idx="58">
                  <c:v>0.12964285714285714</c:v>
                </c:pt>
                <c:pt idx="59">
                  <c:v>0.12964285714285714</c:v>
                </c:pt>
              </c:numCache>
            </c:numRef>
          </c:yVal>
          <c:smooth val="0"/>
          <c:extLst>
            <c:ext xmlns:c16="http://schemas.microsoft.com/office/drawing/2014/chart" uri="{C3380CC4-5D6E-409C-BE32-E72D297353CC}">
              <c16:uniqueId val="{00000003-0613-4CEA-8F14-36B2E40B2E89}"/>
            </c:ext>
          </c:extLst>
        </c:ser>
        <c:ser>
          <c:idx val="1"/>
          <c:order val="5"/>
          <c:tx>
            <c:v>民85年以前，K=1.0</c:v>
          </c:tx>
          <c:marker>
            <c:symbol val="none"/>
          </c:marker>
          <c:dLbls>
            <c:delete val="1"/>
          </c:dLbls>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一般工址Cs!$AT$43:$AT$102</c:f>
              <c:numCache>
                <c:formatCode>0.0000_ </c:formatCode>
                <c:ptCount val="60"/>
                <c:pt idx="0">
                  <c:v>0.21037500000000001</c:v>
                </c:pt>
                <c:pt idx="1">
                  <c:v>0.21037500000000001</c:v>
                </c:pt>
                <c:pt idx="2">
                  <c:v>0.21037500000000001</c:v>
                </c:pt>
                <c:pt idx="3">
                  <c:v>0.21037500000000001</c:v>
                </c:pt>
                <c:pt idx="4">
                  <c:v>0.21037500000000001</c:v>
                </c:pt>
                <c:pt idx="5">
                  <c:v>0.21037500000000001</c:v>
                </c:pt>
                <c:pt idx="6">
                  <c:v>0.21037500000000001</c:v>
                </c:pt>
                <c:pt idx="7">
                  <c:v>0.21037500000000001</c:v>
                </c:pt>
                <c:pt idx="8">
                  <c:v>0.21037500000000001</c:v>
                </c:pt>
                <c:pt idx="9">
                  <c:v>0.21037500000000001</c:v>
                </c:pt>
                <c:pt idx="10">
                  <c:v>0.21037500000000001</c:v>
                </c:pt>
                <c:pt idx="11">
                  <c:v>0.21037500000000001</c:v>
                </c:pt>
                <c:pt idx="12">
                  <c:v>0.21037500000000001</c:v>
                </c:pt>
                <c:pt idx="13">
                  <c:v>0.21037500000000001</c:v>
                </c:pt>
                <c:pt idx="14">
                  <c:v>0.21037500000000001</c:v>
                </c:pt>
                <c:pt idx="15">
                  <c:v>0.21037500000000001</c:v>
                </c:pt>
                <c:pt idx="16">
                  <c:v>0.21037500000000001</c:v>
                </c:pt>
                <c:pt idx="17">
                  <c:v>0.20953851557393588</c:v>
                </c:pt>
                <c:pt idx="18">
                  <c:v>0.20953851557393588</c:v>
                </c:pt>
                <c:pt idx="19">
                  <c:v>0.19085042104833838</c:v>
                </c:pt>
                <c:pt idx="20">
                  <c:v>0.21037500000000001</c:v>
                </c:pt>
                <c:pt idx="21">
                  <c:v>0.21037500000000001</c:v>
                </c:pt>
                <c:pt idx="22">
                  <c:v>0.21037500000000001</c:v>
                </c:pt>
                <c:pt idx="23">
                  <c:v>0.21037500000000001</c:v>
                </c:pt>
                <c:pt idx="24">
                  <c:v>0.20319344835234748</c:v>
                </c:pt>
                <c:pt idx="25">
                  <c:v>0.19669497505732605</c:v>
                </c:pt>
                <c:pt idx="26">
                  <c:v>0.1907826033070032</c:v>
                </c:pt>
                <c:pt idx="27">
                  <c:v>0.18537321735907297</c:v>
                </c:pt>
                <c:pt idx="28">
                  <c:v>0.18039931898657369</c:v>
                </c:pt>
                <c:pt idx="29">
                  <c:v>0.17580544634353248</c:v>
                </c:pt>
                <c:pt idx="30">
                  <c:v>0.17154554790487656</c:v>
                </c:pt>
                <c:pt idx="31">
                  <c:v>0.16758102435076189</c:v>
                </c:pt>
                <c:pt idx="32">
                  <c:v>0.16387924647189492</c:v>
                </c:pt>
                <c:pt idx="33">
                  <c:v>0.16041241811345222</c:v>
                </c:pt>
                <c:pt idx="34">
                  <c:v>0.15715669307502841</c:v>
                </c:pt>
                <c:pt idx="35">
                  <c:v>0.15409148154583102</c:v>
                </c:pt>
                <c:pt idx="36">
                  <c:v>0.15287976501905468</c:v>
                </c:pt>
                <c:pt idx="37">
                  <c:v>0.15119889980282378</c:v>
                </c:pt>
                <c:pt idx="38">
                  <c:v>0.14846332946302013</c:v>
                </c:pt>
                <c:pt idx="39">
                  <c:v>0.14587106141354192</c:v>
                </c:pt>
                <c:pt idx="40">
                  <c:v>0.14341000584104266</c:v>
                </c:pt>
                <c:pt idx="41">
                  <c:v>0.14106945433194534</c:v>
                </c:pt>
                <c:pt idx="42">
                  <c:v>0.13883988334185018</c:v>
                </c:pt>
                <c:pt idx="43">
                  <c:v>0.13671279079256501</c:v>
                </c:pt>
                <c:pt idx="44">
                  <c:v>0.13468055939341567</c:v>
                </c:pt>
                <c:pt idx="45">
                  <c:v>0.13273634167043927</c:v>
                </c:pt>
                <c:pt idx="46">
                  <c:v>0.1308739627430929</c:v>
                </c:pt>
                <c:pt idx="47">
                  <c:v>0.12908783769905852</c:v>
                </c:pt>
                <c:pt idx="48">
                  <c:v>0.12737290104547383</c:v>
                </c:pt>
                <c:pt idx="49">
                  <c:v>0.1257245462045288</c:v>
                </c:pt>
                <c:pt idx="50">
                  <c:v>0.12413857340595363</c:v>
                </c:pt>
                <c:pt idx="51">
                  <c:v>0.12261114463304863</c:v>
                </c:pt>
                <c:pt idx="52">
                  <c:v>0.12113874452092996</c:v>
                </c:pt>
                <c:pt idx="53">
                  <c:v>0.11971814629942937</c:v>
                </c:pt>
                <c:pt idx="54">
                  <c:v>0.11834638202909925</c:v>
                </c:pt>
                <c:pt idx="55">
                  <c:v>0.11559763924219893</c:v>
                </c:pt>
                <c:pt idx="56">
                  <c:v>0.11436126530718159</c:v>
                </c:pt>
                <c:pt idx="57">
                  <c:v>0.11316373214699797</c:v>
                </c:pt>
                <c:pt idx="58">
                  <c:v>0.11200304780155197</c:v>
                </c:pt>
                <c:pt idx="59">
                  <c:v>0.11087736045965381</c:v>
                </c:pt>
              </c:numCache>
            </c:numRef>
          </c:yVal>
          <c:smooth val="0"/>
          <c:extLst>
            <c:ext xmlns:c16="http://schemas.microsoft.com/office/drawing/2014/chart" uri="{C3380CC4-5D6E-409C-BE32-E72D297353CC}">
              <c16:uniqueId val="{00000004-0613-4CEA-8F14-36B2E40B2E89}"/>
            </c:ext>
          </c:extLst>
        </c:ser>
        <c:ser>
          <c:idx val="4"/>
          <c:order val="6"/>
          <c:tx>
            <c:v>民85年以前，K=0.8</c:v>
          </c:tx>
          <c:marker>
            <c:symbol val="none"/>
          </c:marker>
          <c:dLbls>
            <c:delete val="1"/>
          </c:dLbls>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一般工址Cs!$AU$43:$AU$102</c:f>
              <c:numCache>
                <c:formatCode>0.0000_ </c:formatCode>
                <c:ptCount val="60"/>
                <c:pt idx="0">
                  <c:v>0.16830000000000001</c:v>
                </c:pt>
                <c:pt idx="1">
                  <c:v>0.16830000000000001</c:v>
                </c:pt>
                <c:pt idx="2">
                  <c:v>0.16830000000000001</c:v>
                </c:pt>
                <c:pt idx="3">
                  <c:v>0.16830000000000001</c:v>
                </c:pt>
                <c:pt idx="4">
                  <c:v>0.16830000000000001</c:v>
                </c:pt>
                <c:pt idx="5">
                  <c:v>0.16830000000000001</c:v>
                </c:pt>
                <c:pt idx="6">
                  <c:v>0.16830000000000001</c:v>
                </c:pt>
                <c:pt idx="7">
                  <c:v>0.16830000000000001</c:v>
                </c:pt>
                <c:pt idx="8">
                  <c:v>0.16830000000000001</c:v>
                </c:pt>
                <c:pt idx="9">
                  <c:v>0.16830000000000001</c:v>
                </c:pt>
                <c:pt idx="10">
                  <c:v>0.16830000000000001</c:v>
                </c:pt>
                <c:pt idx="11">
                  <c:v>0.16830000000000001</c:v>
                </c:pt>
                <c:pt idx="12">
                  <c:v>0.16830000000000001</c:v>
                </c:pt>
                <c:pt idx="13">
                  <c:v>0.16830000000000001</c:v>
                </c:pt>
                <c:pt idx="14">
                  <c:v>0.16830000000000001</c:v>
                </c:pt>
                <c:pt idx="15">
                  <c:v>0.16830000000000001</c:v>
                </c:pt>
                <c:pt idx="16">
                  <c:v>0.16830000000000001</c:v>
                </c:pt>
                <c:pt idx="17">
                  <c:v>0.16763081245914871</c:v>
                </c:pt>
                <c:pt idx="18">
                  <c:v>0.16763081245914871</c:v>
                </c:pt>
                <c:pt idx="19">
                  <c:v>0.15268033683867074</c:v>
                </c:pt>
                <c:pt idx="20">
                  <c:v>0.16830000000000001</c:v>
                </c:pt>
                <c:pt idx="21">
                  <c:v>0.16830000000000001</c:v>
                </c:pt>
                <c:pt idx="22">
                  <c:v>0.16830000000000001</c:v>
                </c:pt>
                <c:pt idx="23">
                  <c:v>0.16830000000000001</c:v>
                </c:pt>
                <c:pt idx="24">
                  <c:v>0.16255475868187799</c:v>
                </c:pt>
                <c:pt idx="25">
                  <c:v>0.15735598004586085</c:v>
                </c:pt>
                <c:pt idx="26">
                  <c:v>0.15262608264560257</c:v>
                </c:pt>
                <c:pt idx="27">
                  <c:v>0.14829857388725839</c:v>
                </c:pt>
                <c:pt idx="28">
                  <c:v>0.14431945518925895</c:v>
                </c:pt>
                <c:pt idx="29">
                  <c:v>0.14064435707482598</c:v>
                </c:pt>
                <c:pt idx="30">
                  <c:v>0.13723643832390126</c:v>
                </c:pt>
                <c:pt idx="31">
                  <c:v>0.13406481948060953</c:v>
                </c:pt>
                <c:pt idx="32">
                  <c:v>0.13110339717751596</c:v>
                </c:pt>
                <c:pt idx="33">
                  <c:v>0.12832993449076177</c:v>
                </c:pt>
                <c:pt idx="34">
                  <c:v>0.12572535446002275</c:v>
                </c:pt>
                <c:pt idx="35">
                  <c:v>0.12327318523666483</c:v>
                </c:pt>
                <c:pt idx="36">
                  <c:v>0.12230381201524375</c:v>
                </c:pt>
                <c:pt idx="37">
                  <c:v>0.12095911984225903</c:v>
                </c:pt>
                <c:pt idx="38">
                  <c:v>0.11877066357041612</c:v>
                </c:pt>
                <c:pt idx="39">
                  <c:v>0.11669684913083353</c:v>
                </c:pt>
                <c:pt idx="40">
                  <c:v>0.11472800467283413</c:v>
                </c:pt>
                <c:pt idx="41">
                  <c:v>0.11285556346555628</c:v>
                </c:pt>
                <c:pt idx="42">
                  <c:v>0.11107190667348014</c:v>
                </c:pt>
                <c:pt idx="43">
                  <c:v>0.10937023263405202</c:v>
                </c:pt>
                <c:pt idx="44">
                  <c:v>0.10774444751473253</c:v>
                </c:pt>
                <c:pt idx="45">
                  <c:v>0.10618907333635141</c:v>
                </c:pt>
                <c:pt idx="46">
                  <c:v>0.10469917019447432</c:v>
                </c:pt>
                <c:pt idx="47">
                  <c:v>0.10327027015924682</c:v>
                </c:pt>
                <c:pt idx="48">
                  <c:v>0.10189832083637906</c:v>
                </c:pt>
                <c:pt idx="49">
                  <c:v>0.10057963696362306</c:v>
                </c:pt>
                <c:pt idx="50">
                  <c:v>9.9310858724762904E-2</c:v>
                </c:pt>
                <c:pt idx="51">
                  <c:v>9.8088915706438906E-2</c:v>
                </c:pt>
                <c:pt idx="52">
                  <c:v>9.6910995616743961E-2</c:v>
                </c:pt>
                <c:pt idx="53">
                  <c:v>9.5774517039543497E-2</c:v>
                </c:pt>
                <c:pt idx="54">
                  <c:v>9.4677105623279412E-2</c:v>
                </c:pt>
                <c:pt idx="55">
                  <c:v>9.2478111393759152E-2</c:v>
                </c:pt>
                <c:pt idx="56">
                  <c:v>9.148901224574528E-2</c:v>
                </c:pt>
                <c:pt idx="57">
                  <c:v>9.0530985717598378E-2</c:v>
                </c:pt>
                <c:pt idx="58">
                  <c:v>8.9602438241241575E-2</c:v>
                </c:pt>
                <c:pt idx="59">
                  <c:v>8.8701888367723053E-2</c:v>
                </c:pt>
              </c:numCache>
            </c:numRef>
          </c:yVal>
          <c:smooth val="0"/>
          <c:extLst>
            <c:ext xmlns:c16="http://schemas.microsoft.com/office/drawing/2014/chart" uri="{C3380CC4-5D6E-409C-BE32-E72D297353CC}">
              <c16:uniqueId val="{00000005-0613-4CEA-8F14-36B2E40B2E89}"/>
            </c:ext>
          </c:extLst>
        </c:ser>
        <c:ser>
          <c:idx val="5"/>
          <c:order val="7"/>
          <c:tx>
            <c:v>民85年以前，K=0.67</c:v>
          </c:tx>
          <c:marker>
            <c:symbol val="none"/>
          </c:marker>
          <c:dLbls>
            <c:delete val="1"/>
          </c:dLbls>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一般工址Cs!$AV$43:$AV$102</c:f>
              <c:numCache>
                <c:formatCode>0.0000_ </c:formatCode>
                <c:ptCount val="60"/>
                <c:pt idx="0">
                  <c:v>0.21037500000000001</c:v>
                </c:pt>
                <c:pt idx="1">
                  <c:v>0.21037500000000001</c:v>
                </c:pt>
                <c:pt idx="2">
                  <c:v>0.21037500000000001</c:v>
                </c:pt>
                <c:pt idx="3">
                  <c:v>0.21037500000000001</c:v>
                </c:pt>
                <c:pt idx="4">
                  <c:v>0.21037500000000001</c:v>
                </c:pt>
                <c:pt idx="5">
                  <c:v>0.21037500000000001</c:v>
                </c:pt>
                <c:pt idx="6">
                  <c:v>0.21037500000000001</c:v>
                </c:pt>
                <c:pt idx="7">
                  <c:v>0.21037500000000001</c:v>
                </c:pt>
                <c:pt idx="8">
                  <c:v>0.21037500000000001</c:v>
                </c:pt>
                <c:pt idx="9">
                  <c:v>0.21037500000000001</c:v>
                </c:pt>
                <c:pt idx="10">
                  <c:v>0.21037500000000001</c:v>
                </c:pt>
                <c:pt idx="11">
                  <c:v>0.21037500000000001</c:v>
                </c:pt>
                <c:pt idx="12">
                  <c:v>0.21037500000000001</c:v>
                </c:pt>
                <c:pt idx="13">
                  <c:v>0.21037500000000001</c:v>
                </c:pt>
                <c:pt idx="14">
                  <c:v>0.21037500000000001</c:v>
                </c:pt>
                <c:pt idx="15">
                  <c:v>0.21037500000000001</c:v>
                </c:pt>
                <c:pt idx="16">
                  <c:v>0.21037500000000001</c:v>
                </c:pt>
                <c:pt idx="17">
                  <c:v>0.20953851557393588</c:v>
                </c:pt>
                <c:pt idx="18">
                  <c:v>0.20953851557393588</c:v>
                </c:pt>
                <c:pt idx="19">
                  <c:v>0.19085042104833838</c:v>
                </c:pt>
                <c:pt idx="20">
                  <c:v>0.21037500000000001</c:v>
                </c:pt>
                <c:pt idx="21">
                  <c:v>0.21037500000000001</c:v>
                </c:pt>
                <c:pt idx="22">
                  <c:v>0.21037500000000001</c:v>
                </c:pt>
                <c:pt idx="23">
                  <c:v>0.21037500000000001</c:v>
                </c:pt>
                <c:pt idx="24">
                  <c:v>0.20319344835234748</c:v>
                </c:pt>
                <c:pt idx="25">
                  <c:v>0.19669497505732605</c:v>
                </c:pt>
                <c:pt idx="26">
                  <c:v>0.1907826033070032</c:v>
                </c:pt>
                <c:pt idx="27">
                  <c:v>0.18537321735907297</c:v>
                </c:pt>
                <c:pt idx="28">
                  <c:v>0.18039931898657369</c:v>
                </c:pt>
                <c:pt idx="29">
                  <c:v>0.17580544634353248</c:v>
                </c:pt>
                <c:pt idx="30">
                  <c:v>0.17154554790487656</c:v>
                </c:pt>
                <c:pt idx="31">
                  <c:v>0.16758102435076189</c:v>
                </c:pt>
                <c:pt idx="32">
                  <c:v>0.16387924647189492</c:v>
                </c:pt>
                <c:pt idx="33">
                  <c:v>0.16041241811345222</c:v>
                </c:pt>
                <c:pt idx="34">
                  <c:v>0.15715669307502841</c:v>
                </c:pt>
                <c:pt idx="35">
                  <c:v>0.15409148154583102</c:v>
                </c:pt>
                <c:pt idx="36">
                  <c:v>0.15287976501905468</c:v>
                </c:pt>
                <c:pt idx="37">
                  <c:v>0.15119889980282378</c:v>
                </c:pt>
                <c:pt idx="38">
                  <c:v>0.14846332946302013</c:v>
                </c:pt>
                <c:pt idx="39">
                  <c:v>0.14587106141354192</c:v>
                </c:pt>
                <c:pt idx="40">
                  <c:v>0.14341000584104266</c:v>
                </c:pt>
                <c:pt idx="41">
                  <c:v>0.14106945433194534</c:v>
                </c:pt>
                <c:pt idx="42">
                  <c:v>0.13883988334185018</c:v>
                </c:pt>
                <c:pt idx="43">
                  <c:v>0.13671279079256501</c:v>
                </c:pt>
                <c:pt idx="44">
                  <c:v>0.13468055939341567</c:v>
                </c:pt>
                <c:pt idx="45">
                  <c:v>0.13273634167043927</c:v>
                </c:pt>
                <c:pt idx="46">
                  <c:v>0.1308739627430929</c:v>
                </c:pt>
                <c:pt idx="47">
                  <c:v>0.12908783769905852</c:v>
                </c:pt>
                <c:pt idx="48">
                  <c:v>0.12737290104547383</c:v>
                </c:pt>
                <c:pt idx="49">
                  <c:v>0.1257245462045288</c:v>
                </c:pt>
                <c:pt idx="50">
                  <c:v>0.12413857340595363</c:v>
                </c:pt>
                <c:pt idx="51">
                  <c:v>0.12261114463304863</c:v>
                </c:pt>
                <c:pt idx="52">
                  <c:v>0.12113874452092996</c:v>
                </c:pt>
                <c:pt idx="53">
                  <c:v>0.11971814629942937</c:v>
                </c:pt>
                <c:pt idx="54">
                  <c:v>0.11834638202909925</c:v>
                </c:pt>
                <c:pt idx="55">
                  <c:v>0.11559763924219893</c:v>
                </c:pt>
                <c:pt idx="56">
                  <c:v>0.11436126530718159</c:v>
                </c:pt>
                <c:pt idx="57">
                  <c:v>0.11316373214699797</c:v>
                </c:pt>
                <c:pt idx="58">
                  <c:v>0.11200304780155197</c:v>
                </c:pt>
                <c:pt idx="59">
                  <c:v>0.11087736045965381</c:v>
                </c:pt>
              </c:numCache>
            </c:numRef>
          </c:yVal>
          <c:smooth val="0"/>
          <c:extLst>
            <c:ext xmlns:c16="http://schemas.microsoft.com/office/drawing/2014/chart" uri="{C3380CC4-5D6E-409C-BE32-E72D297353CC}">
              <c16:uniqueId val="{00000006-0613-4CEA-8F14-36B2E40B2E89}"/>
            </c:ext>
          </c:extLst>
        </c:ser>
        <c:dLbls>
          <c:showLegendKey val="0"/>
          <c:showVal val="1"/>
          <c:showCatName val="0"/>
          <c:showSerName val="0"/>
          <c:showPercent val="0"/>
          <c:showBubbleSize val="0"/>
        </c:dLbls>
        <c:axId val="198022208"/>
        <c:axId val="198022784"/>
      </c:scatterChart>
      <c:valAx>
        <c:axId val="198022208"/>
        <c:scaling>
          <c:orientation val="minMax"/>
          <c:max val="2.5"/>
        </c:scaling>
        <c:delete val="0"/>
        <c:axPos val="b"/>
        <c:majorGridlines/>
        <c:minorGridlines/>
        <c:title>
          <c:tx>
            <c:rich>
              <a:bodyPr/>
              <a:lstStyle/>
              <a:p>
                <a:pPr>
                  <a:defRPr sz="1200"/>
                </a:pPr>
                <a:r>
                  <a:rPr lang="zh-TW" altLang="en-US" sz="1200"/>
                  <a:t>基本振動周期 </a:t>
                </a:r>
                <a:r>
                  <a:rPr lang="en-US" altLang="zh-TW" sz="1200"/>
                  <a:t>T (sec)</a:t>
                </a:r>
              </a:p>
            </c:rich>
          </c:tx>
          <c:overlay val="0"/>
        </c:title>
        <c:numFmt formatCode="0.0000_ " sourceLinked="1"/>
        <c:majorTickMark val="out"/>
        <c:minorTickMark val="in"/>
        <c:tickLblPos val="nextTo"/>
        <c:crossAx val="198022784"/>
        <c:crosses val="autoZero"/>
        <c:crossBetween val="midCat"/>
      </c:valAx>
      <c:valAx>
        <c:axId val="198022784"/>
        <c:scaling>
          <c:orientation val="minMax"/>
        </c:scaling>
        <c:delete val="0"/>
        <c:axPos val="l"/>
        <c:minorGridlines/>
        <c:numFmt formatCode="0.000_ " sourceLinked="1"/>
        <c:majorTickMark val="out"/>
        <c:minorTickMark val="none"/>
        <c:tickLblPos val="nextTo"/>
        <c:crossAx val="198022208"/>
        <c:crosses val="autoZero"/>
        <c:crossBetween val="midCat"/>
      </c:valAx>
    </c:plotArea>
    <c:legend>
      <c:legendPos val="r"/>
      <c:layout>
        <c:manualLayout>
          <c:xMode val="edge"/>
          <c:yMode val="edge"/>
          <c:x val="0.71472326659964591"/>
          <c:y val="0.12940791518675576"/>
          <c:w val="0.22790994644668303"/>
          <c:h val="0.40638907539665342"/>
        </c:manualLayout>
      </c:layout>
      <c:overlay val="0"/>
      <c:txPr>
        <a:bodyPr/>
        <a:lstStyle/>
        <a:p>
          <a:pPr>
            <a:defRPr sz="1100"/>
          </a:pPr>
          <a:endParaRPr lang="zh-TW"/>
        </a:p>
      </c:txPr>
    </c:legend>
    <c:plotVisOnly val="1"/>
    <c:dispBlanksAs val="gap"/>
    <c:showDLblsOverMax val="0"/>
  </c:chart>
  <c:printSettings>
    <c:headerFooter/>
    <c:pageMargins b="0.75000000000000322" l="0.70000000000000062" r="0.70000000000000062" t="0.75000000000000322"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0090001082270484E-2"/>
          <c:y val="4.743405641116788E-2"/>
          <c:w val="0.91757587346863712"/>
          <c:h val="0.82399368012808771"/>
        </c:manualLayout>
      </c:layout>
      <c:scatterChart>
        <c:scatterStyle val="lineMarker"/>
        <c:varyColors val="0"/>
        <c:ser>
          <c:idx val="0"/>
          <c:order val="0"/>
          <c:tx>
            <c:v>SaM(111年)</c:v>
          </c:tx>
          <c:spPr>
            <a:ln w="19050" cap="rnd" cmpd="sng" algn="ctr">
              <a:solidFill>
                <a:schemeClr val="accent1">
                  <a:shade val="95000"/>
                  <a:satMod val="105000"/>
                </a:schemeClr>
              </a:solidFill>
              <a:prstDash val="solid"/>
              <a:round/>
            </a:ln>
            <a:effectLst/>
          </c:spPr>
          <c:marker>
            <c:symbol val="none"/>
          </c:marker>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一般工址Cs!$U$43:$U$102</c:f>
              <c:numCache>
                <c:formatCode>0.000_ </c:formatCode>
                <c:ptCount val="60"/>
                <c:pt idx="0">
                  <c:v>0.502</c:v>
                </c:pt>
                <c:pt idx="1">
                  <c:v>0.61899999999999999</c:v>
                </c:pt>
                <c:pt idx="2">
                  <c:v>0.85699999999999998</c:v>
                </c:pt>
                <c:pt idx="3">
                  <c:v>1.1759999999999999</c:v>
                </c:pt>
                <c:pt idx="4">
                  <c:v>1.056</c:v>
                </c:pt>
                <c:pt idx="5">
                  <c:v>1.056</c:v>
                </c:pt>
                <c:pt idx="6">
                  <c:v>1.056</c:v>
                </c:pt>
                <c:pt idx="7">
                  <c:v>1.101</c:v>
                </c:pt>
                <c:pt idx="8">
                  <c:v>1.24498</c:v>
                </c:pt>
                <c:pt idx="9">
                  <c:v>1.24498</c:v>
                </c:pt>
                <c:pt idx="10">
                  <c:v>1.24498</c:v>
                </c:pt>
                <c:pt idx="11">
                  <c:v>1.24498</c:v>
                </c:pt>
                <c:pt idx="12">
                  <c:v>1.24498</c:v>
                </c:pt>
                <c:pt idx="13">
                  <c:v>1.24498</c:v>
                </c:pt>
                <c:pt idx="14">
                  <c:v>1.24498</c:v>
                </c:pt>
                <c:pt idx="15">
                  <c:v>1.24498</c:v>
                </c:pt>
                <c:pt idx="16">
                  <c:v>1.24498</c:v>
                </c:pt>
                <c:pt idx="17">
                  <c:v>1.24498</c:v>
                </c:pt>
                <c:pt idx="18">
                  <c:v>1.24498</c:v>
                </c:pt>
                <c:pt idx="19">
                  <c:v>1.24498</c:v>
                </c:pt>
                <c:pt idx="20">
                  <c:v>1.24498</c:v>
                </c:pt>
                <c:pt idx="21">
                  <c:v>1.24498</c:v>
                </c:pt>
                <c:pt idx="22">
                  <c:v>1.24498</c:v>
                </c:pt>
                <c:pt idx="23">
                  <c:v>1.24498</c:v>
                </c:pt>
                <c:pt idx="24">
                  <c:v>1.24498</c:v>
                </c:pt>
                <c:pt idx="25">
                  <c:v>1.24498</c:v>
                </c:pt>
                <c:pt idx="26">
                  <c:v>1.24498</c:v>
                </c:pt>
                <c:pt idx="27">
                  <c:v>1.24498</c:v>
                </c:pt>
                <c:pt idx="28">
                  <c:v>1.2248295213892415</c:v>
                </c:pt>
                <c:pt idx="29">
                  <c:v>1.1632431617055508</c:v>
                </c:pt>
                <c:pt idx="30">
                  <c:v>1.1075536193029487</c:v>
                </c:pt>
                <c:pt idx="31">
                  <c:v>1.0569526681286545</c:v>
                </c:pt>
                <c:pt idx="32">
                  <c:v>1.0107733310031455</c:v>
                </c:pt>
                <c:pt idx="33">
                  <c:v>0.9684603148024109</c:v>
                </c:pt>
                <c:pt idx="34">
                  <c:v>0.92954757312761127</c:v>
                </c:pt>
                <c:pt idx="35">
                  <c:v>0.89364106922126041</c:v>
                </c:pt>
                <c:pt idx="36">
                  <c:v>0.87964182509505695</c:v>
                </c:pt>
                <c:pt idx="37">
                  <c:v>0.86040538530199306</c:v>
                </c:pt>
                <c:pt idx="38">
                  <c:v>0.82955321285140526</c:v>
                </c:pt>
                <c:pt idx="39">
                  <c:v>0.80083702575463822</c:v>
                </c:pt>
                <c:pt idx="40">
                  <c:v>0.77404242505353282</c:v>
                </c:pt>
                <c:pt idx="41">
                  <c:v>0.74898277648277611</c:v>
                </c:pt>
                <c:pt idx="42">
                  <c:v>0.72549485699949789</c:v>
                </c:pt>
                <c:pt idx="43">
                  <c:v>0.70343529554852791</c:v>
                </c:pt>
                <c:pt idx="44">
                  <c:v>0.68267764400377673</c:v>
                </c:pt>
                <c:pt idx="45">
                  <c:v>0.66310995184590649</c:v>
                </c:pt>
                <c:pt idx="46">
                  <c:v>0.64463274632188994</c:v>
                </c:pt>
                <c:pt idx="47">
                  <c:v>0.62715734114075006</c:v>
                </c:pt>
                <c:pt idx="48">
                  <c:v>0.61060441300675639</c:v>
                </c:pt>
                <c:pt idx="49">
                  <c:v>0.59490279777823452</c:v>
                </c:pt>
                <c:pt idx="50">
                  <c:v>0.57998846770958645</c:v>
                </c:pt>
                <c:pt idx="51">
                  <c:v>0.56580365877519045</c:v>
                </c:pt>
                <c:pt idx="52">
                  <c:v>0.55229612299465214</c:v>
                </c:pt>
                <c:pt idx="53">
                  <c:v>0.53941848535720927</c:v>
                </c:pt>
                <c:pt idx="54">
                  <c:v>0.52712768866204873</c:v>
                </c:pt>
                <c:pt idx="55">
                  <c:v>0.50292565217391305</c:v>
                </c:pt>
                <c:pt idx="56">
                  <c:v>0.49799199999999999</c:v>
                </c:pt>
                <c:pt idx="57">
                  <c:v>0.49799199999999999</c:v>
                </c:pt>
                <c:pt idx="58">
                  <c:v>0.49799199999999999</c:v>
                </c:pt>
                <c:pt idx="59">
                  <c:v>0.49799199999999999</c:v>
                </c:pt>
              </c:numCache>
            </c:numRef>
          </c:yVal>
          <c:smooth val="0"/>
          <c:extLst>
            <c:ext xmlns:c16="http://schemas.microsoft.com/office/drawing/2014/chart" uri="{C3380CC4-5D6E-409C-BE32-E72D297353CC}">
              <c16:uniqueId val="{00000000-3328-4EC7-B1B0-FA2C07C39623}"/>
            </c:ext>
          </c:extLst>
        </c:ser>
        <c:ser>
          <c:idx val="1"/>
          <c:order val="1"/>
          <c:tx>
            <c:v>SaM(100年~111年)</c:v>
          </c:tx>
          <c:spPr>
            <a:ln w="28575" cap="rnd" cmpd="sng" algn="ctr">
              <a:solidFill>
                <a:schemeClr val="accent2">
                  <a:shade val="95000"/>
                  <a:satMod val="105000"/>
                </a:schemeClr>
              </a:solidFill>
              <a:prstDash val="solid"/>
              <a:round/>
            </a:ln>
            <a:effectLst/>
          </c:spPr>
          <c:marker>
            <c:symbol val="none"/>
          </c:marker>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一般工址Cs!$AK$43:$AK$102</c:f>
              <c:numCache>
                <c:formatCode>0.000_ </c:formatCode>
                <c:ptCount val="60"/>
                <c:pt idx="0">
                  <c:v>0.40500000000000003</c:v>
                </c:pt>
                <c:pt idx="1">
                  <c:v>0.54900000000000004</c:v>
                </c:pt>
                <c:pt idx="2">
                  <c:v>0.84299999999999997</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0.86428571428571443</c:v>
                </c:pt>
                <c:pt idx="18">
                  <c:v>0.86428571428571443</c:v>
                </c:pt>
                <c:pt idx="19">
                  <c:v>0.71699454847120181</c:v>
                </c:pt>
                <c:pt idx="20">
                  <c:v>0.8712557603686637</c:v>
                </c:pt>
                <c:pt idx="21">
                  <c:v>0.8712557603686637</c:v>
                </c:pt>
                <c:pt idx="22">
                  <c:v>0.87681159420289878</c:v>
                </c:pt>
                <c:pt idx="23">
                  <c:v>0.8712557603686637</c:v>
                </c:pt>
                <c:pt idx="24">
                  <c:v>0.81273508866200972</c:v>
                </c:pt>
                <c:pt idx="25">
                  <c:v>0.76158106747230614</c:v>
                </c:pt>
                <c:pt idx="26">
                  <c:v>0.71648507816200846</c:v>
                </c:pt>
                <c:pt idx="27">
                  <c:v>0.67643112701252228</c:v>
                </c:pt>
                <c:pt idx="28">
                  <c:v>0.64061838204150778</c:v>
                </c:pt>
                <c:pt idx="29">
                  <c:v>0.60840707964601759</c:v>
                </c:pt>
                <c:pt idx="30">
                  <c:v>0.57927996936039827</c:v>
                </c:pt>
                <c:pt idx="31">
                  <c:v>0.55281432748538006</c:v>
                </c:pt>
                <c:pt idx="32">
                  <c:v>0.52866130723523241</c:v>
                </c:pt>
                <c:pt idx="33">
                  <c:v>0.50653047555257869</c:v>
                </c:pt>
                <c:pt idx="34">
                  <c:v>0.48617807778849237</c:v>
                </c:pt>
                <c:pt idx="35">
                  <c:v>0.4673980222496909</c:v>
                </c:pt>
                <c:pt idx="36">
                  <c:v>0.46007604562737653</c:v>
                </c:pt>
                <c:pt idx="37">
                  <c:v>0.45001487652484368</c:v>
                </c:pt>
                <c:pt idx="38">
                  <c:v>0.4338783706253585</c:v>
                </c:pt>
                <c:pt idx="39">
                  <c:v>0.41885904181667116</c:v>
                </c:pt>
                <c:pt idx="40">
                  <c:v>0.40484475374732326</c:v>
                </c:pt>
                <c:pt idx="41">
                  <c:v>0.4</c:v>
                </c:pt>
                <c:pt idx="42">
                  <c:v>0.4</c:v>
                </c:pt>
                <c:pt idx="43">
                  <c:v>0.4</c:v>
                </c:pt>
                <c:pt idx="44">
                  <c:v>0.4</c:v>
                </c:pt>
                <c:pt idx="45">
                  <c:v>0.4</c:v>
                </c:pt>
                <c:pt idx="46">
                  <c:v>0.4</c:v>
                </c:pt>
                <c:pt idx="47">
                  <c:v>0.4</c:v>
                </c:pt>
                <c:pt idx="48">
                  <c:v>0.4</c:v>
                </c:pt>
                <c:pt idx="49">
                  <c:v>0.4</c:v>
                </c:pt>
                <c:pt idx="50">
                  <c:v>0.4</c:v>
                </c:pt>
                <c:pt idx="51">
                  <c:v>0.4</c:v>
                </c:pt>
                <c:pt idx="52">
                  <c:v>0.4</c:v>
                </c:pt>
                <c:pt idx="53">
                  <c:v>0.4</c:v>
                </c:pt>
                <c:pt idx="54">
                  <c:v>0.4</c:v>
                </c:pt>
                <c:pt idx="55">
                  <c:v>0.4</c:v>
                </c:pt>
                <c:pt idx="56">
                  <c:v>0.4</c:v>
                </c:pt>
                <c:pt idx="57">
                  <c:v>0.4</c:v>
                </c:pt>
                <c:pt idx="58">
                  <c:v>0.4</c:v>
                </c:pt>
                <c:pt idx="59">
                  <c:v>0.4</c:v>
                </c:pt>
              </c:numCache>
            </c:numRef>
          </c:yVal>
          <c:smooth val="0"/>
          <c:extLst>
            <c:ext xmlns:c16="http://schemas.microsoft.com/office/drawing/2014/chart" uri="{C3380CC4-5D6E-409C-BE32-E72D297353CC}">
              <c16:uniqueId val="{00000000-018F-40C5-8BA0-38FC5ED1F004}"/>
            </c:ext>
          </c:extLst>
        </c:ser>
        <c:ser>
          <c:idx val="3"/>
          <c:order val="2"/>
          <c:tx>
            <c:strRef>
              <c:f>一般工址Cs!$H$116:$J$116</c:f>
              <c:strCache>
                <c:ptCount val="1"/>
                <c:pt idx="0">
                  <c:v>基本振動週期T= 0.868  s</c:v>
                </c:pt>
              </c:strCache>
            </c:strRef>
          </c:tx>
          <c:spPr>
            <a:ln w="19050" cap="rnd" cmpd="sng" algn="ctr">
              <a:solidFill>
                <a:schemeClr val="bg1">
                  <a:lumMod val="50000"/>
                </a:schemeClr>
              </a:solidFill>
              <a:prstDash val="sysDot"/>
              <a:round/>
            </a:ln>
            <a:effectLst/>
          </c:spPr>
          <c:marker>
            <c:symbol val="none"/>
          </c:marker>
          <c:xVal>
            <c:numRef>
              <c:f>一般工址Cs!$I$117:$I$118</c:f>
              <c:numCache>
                <c:formatCode>0.000_ </c:formatCode>
                <c:ptCount val="2"/>
                <c:pt idx="0">
                  <c:v>0.86799999999999999</c:v>
                </c:pt>
                <c:pt idx="1">
                  <c:v>0.86799999999999999</c:v>
                </c:pt>
              </c:numCache>
            </c:numRef>
          </c:xVal>
          <c:yVal>
            <c:numRef>
              <c:f>一般工址Cs!$U$117:$U$118</c:f>
              <c:numCache>
                <c:formatCode>0.000_ </c:formatCode>
                <c:ptCount val="2"/>
                <c:pt idx="0">
                  <c:v>0</c:v>
                </c:pt>
                <c:pt idx="1">
                  <c:v>1.25</c:v>
                </c:pt>
              </c:numCache>
            </c:numRef>
          </c:yVal>
          <c:smooth val="0"/>
          <c:extLst>
            <c:ext xmlns:c16="http://schemas.microsoft.com/office/drawing/2014/chart" uri="{C3380CC4-5D6E-409C-BE32-E72D297353CC}">
              <c16:uniqueId val="{00000000-2C04-47BB-A88F-30551BF262E8}"/>
            </c:ext>
          </c:extLst>
        </c:ser>
        <c:dLbls>
          <c:showLegendKey val="0"/>
          <c:showVal val="0"/>
          <c:showCatName val="0"/>
          <c:showSerName val="0"/>
          <c:showPercent val="0"/>
          <c:showBubbleSize val="0"/>
        </c:dLbls>
        <c:axId val="192679872"/>
        <c:axId val="192677568"/>
      </c:scatterChart>
      <c:valAx>
        <c:axId val="192679872"/>
        <c:scaling>
          <c:orientation val="minMax"/>
          <c:max val="2.5"/>
        </c:scaling>
        <c:delete val="0"/>
        <c:axPos val="b"/>
        <c:minorGridlines>
          <c:spPr>
            <a:ln w="9525" cap="flat" cmpd="sng" algn="ctr">
              <a:solidFill>
                <a:schemeClr val="tx1">
                  <a:tint val="50000"/>
                  <a:shade val="95000"/>
                  <a:satMod val="105000"/>
                </a:schemeClr>
              </a:solidFill>
              <a:prstDash val="solid"/>
              <a:round/>
            </a:ln>
            <a:effectLst/>
          </c:spPr>
        </c:minorGridlines>
        <c:title>
          <c:tx>
            <c:rich>
              <a:bodyPr rot="0" spcFirstLastPara="1" vertOverflow="ellipsis" vert="horz" wrap="square" anchor="ctr" anchorCtr="1"/>
              <a:lstStyle/>
              <a:p>
                <a:pPr>
                  <a:defRPr sz="1400" b="1" i="0" u="none" strike="noStrike" kern="1200" baseline="0">
                    <a:solidFill>
                      <a:schemeClr val="tx1"/>
                    </a:solidFill>
                    <a:latin typeface="+mn-lt"/>
                    <a:ea typeface="+mn-ea"/>
                    <a:cs typeface="+mn-cs"/>
                  </a:defRPr>
                </a:pPr>
                <a:r>
                  <a:rPr lang="en-US" altLang="en-US" sz="1400"/>
                  <a:t>T (sec)</a:t>
                </a:r>
              </a:p>
            </c:rich>
          </c:tx>
          <c:overlay val="0"/>
          <c:spPr>
            <a:noFill/>
            <a:ln>
              <a:noFill/>
            </a:ln>
            <a:effectLst/>
          </c:spPr>
          <c:txPr>
            <a:bodyPr rot="0" spcFirstLastPara="1" vertOverflow="ellipsis" vert="horz" wrap="square" anchor="ctr" anchorCtr="1"/>
            <a:lstStyle/>
            <a:p>
              <a:pPr>
                <a:defRPr sz="1400" b="1" i="0" u="none" strike="noStrike" kern="1200" baseline="0">
                  <a:solidFill>
                    <a:schemeClr val="tx1"/>
                  </a:solidFill>
                  <a:latin typeface="+mn-lt"/>
                  <a:ea typeface="+mn-ea"/>
                  <a:cs typeface="+mn-cs"/>
                </a:defRPr>
              </a:pPr>
              <a:endParaRPr lang="zh-TW"/>
            </a:p>
          </c:txPr>
        </c:title>
        <c:numFmt formatCode="0.0_ " sourceLinked="0"/>
        <c:majorTickMark val="out"/>
        <c:minorTickMark val="in"/>
        <c:tickLblPos val="nextTo"/>
        <c:spPr>
          <a:noFill/>
          <a:ln w="9525" cap="flat" cmpd="sng" algn="ctr">
            <a:solidFill>
              <a:schemeClr val="tx1">
                <a:tint val="75000"/>
                <a:shade val="95000"/>
                <a:satMod val="105000"/>
              </a:schemeClr>
            </a:solidFill>
            <a:prstDash val="solid"/>
            <a:round/>
          </a:ln>
          <a:effectLst/>
        </c:spPr>
        <c:txPr>
          <a:bodyPr rot="0" spcFirstLastPara="1" vertOverflow="ellipsis" wrap="square" anchor="ctr" anchorCtr="1"/>
          <a:lstStyle/>
          <a:p>
            <a:pPr>
              <a:defRPr sz="1000" b="0" i="0" u="none" strike="noStrike" kern="1200" baseline="0">
                <a:solidFill>
                  <a:srgbClr val="000000"/>
                </a:solidFill>
                <a:latin typeface="新細明體"/>
                <a:ea typeface="新細明體"/>
                <a:cs typeface="新細明體"/>
              </a:defRPr>
            </a:pPr>
            <a:endParaRPr lang="zh-TW"/>
          </a:p>
        </c:txPr>
        <c:crossAx val="192677568"/>
        <c:crosses val="autoZero"/>
        <c:crossBetween val="midCat"/>
        <c:minorUnit val="0.1"/>
      </c:valAx>
      <c:valAx>
        <c:axId val="192677568"/>
        <c:scaling>
          <c:orientation val="minMax"/>
        </c:scaling>
        <c:delete val="0"/>
        <c:axPos val="l"/>
        <c:majorGridlines>
          <c:spPr>
            <a:ln w="9525" cap="flat" cmpd="sng" algn="ctr">
              <a:solidFill>
                <a:schemeClr val="tx1">
                  <a:tint val="75000"/>
                  <a:shade val="95000"/>
                  <a:satMod val="105000"/>
                </a:schemeClr>
              </a:solidFill>
              <a:prstDash val="solid"/>
              <a:round/>
            </a:ln>
            <a:effectLst/>
          </c:spPr>
        </c:majorGridlines>
        <c:numFmt formatCode="0.0_ " sourceLinked="0"/>
        <c:majorTickMark val="out"/>
        <c:minorTickMark val="none"/>
        <c:tickLblPos val="nextTo"/>
        <c:spPr>
          <a:noFill/>
          <a:ln w="9525" cap="flat" cmpd="sng" algn="ctr">
            <a:solidFill>
              <a:schemeClr val="tx1">
                <a:tint val="75000"/>
                <a:shade val="95000"/>
                <a:satMod val="10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zh-TW"/>
          </a:p>
        </c:txPr>
        <c:crossAx val="192679872"/>
        <c:crosses val="autoZero"/>
        <c:crossBetween val="midCat"/>
      </c:valAx>
      <c:spPr>
        <a:solidFill>
          <a:schemeClr val="bg1"/>
        </a:solidFill>
        <a:ln>
          <a:noFill/>
        </a:ln>
        <a:effectLst/>
      </c:spPr>
    </c:plotArea>
    <c:legend>
      <c:legendPos val="r"/>
      <c:layout>
        <c:manualLayout>
          <c:xMode val="edge"/>
          <c:yMode val="edge"/>
          <c:x val="0.57878116192945828"/>
          <c:y val="4.8582489353410425E-2"/>
          <c:w val="0.41135030896915326"/>
          <c:h val="0.2297582035892993"/>
        </c:manualLayout>
      </c:layout>
      <c:overlay val="1"/>
      <c:spPr>
        <a:noFill/>
        <a:ln>
          <a:noFill/>
        </a:ln>
        <a:effectLst/>
      </c:spPr>
      <c:txPr>
        <a:bodyPr rot="0" spcFirstLastPara="1" vertOverflow="ellipsis" vert="horz" wrap="square" anchor="ctr" anchorCtr="1"/>
        <a:lstStyle/>
        <a:p>
          <a:pPr>
            <a:defRPr sz="1400" b="0" i="0" u="none" strike="noStrike" kern="1200" baseline="0">
              <a:solidFill>
                <a:schemeClr val="tx1"/>
              </a:solidFill>
              <a:latin typeface="+mn-lt"/>
              <a:ea typeface="+mn-ea"/>
              <a:cs typeface="+mn-cs"/>
            </a:defRPr>
          </a:pPr>
          <a:endParaRPr lang="zh-TW"/>
        </a:p>
      </c:txPr>
    </c:legend>
    <c:plotVisOnly val="1"/>
    <c:dispBlanksAs val="gap"/>
    <c:showDLblsOverMax val="0"/>
  </c:chart>
  <c:spPr>
    <a:solidFill>
      <a:schemeClr val="bg1"/>
    </a:solidFill>
    <a:ln w="9525" cap="flat" cmpd="sng" algn="ctr">
      <a:solidFill>
        <a:schemeClr val="tx1">
          <a:tint val="75000"/>
          <a:shade val="95000"/>
          <a:satMod val="105000"/>
        </a:schemeClr>
      </a:solidFill>
      <a:prstDash val="solid"/>
      <a:round/>
    </a:ln>
    <a:effectLst/>
  </c:spPr>
  <c:txPr>
    <a:bodyPr/>
    <a:lstStyle/>
    <a:p>
      <a:pPr>
        <a:defRPr/>
      </a:pPr>
      <a:endParaRPr lang="zh-TW"/>
    </a:p>
  </c:txPr>
  <c:printSettings>
    <c:headerFooter/>
    <c:pageMargins b="0.75000000000000433" l="0.70000000000000062" r="0.70000000000000062" t="0.75000000000000433"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9.455794684279685E-2"/>
          <c:y val="8.6960039969001687E-2"/>
          <c:w val="0.87416901371945332"/>
          <c:h val="0.78446763439055056"/>
        </c:manualLayout>
      </c:layout>
      <c:scatterChart>
        <c:scatterStyle val="lineMarker"/>
        <c:varyColors val="0"/>
        <c:ser>
          <c:idx val="0"/>
          <c:order val="0"/>
          <c:tx>
            <c:v>SaD(111年)</c:v>
          </c:tx>
          <c:spPr>
            <a:ln w="19050" cap="rnd" cmpd="sng" algn="ctr">
              <a:solidFill>
                <a:schemeClr val="accent5">
                  <a:lumMod val="75000"/>
                </a:schemeClr>
              </a:solidFill>
              <a:prstDash val="solid"/>
              <a:round/>
            </a:ln>
            <a:effectLst/>
          </c:spPr>
          <c:marker>
            <c:symbol val="none"/>
          </c:marker>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一般工址Cs!$K$43:$K$102</c:f>
              <c:numCache>
                <c:formatCode>0.000_ </c:formatCode>
                <c:ptCount val="60"/>
                <c:pt idx="0">
                  <c:v>0.39300000000000002</c:v>
                </c:pt>
                <c:pt idx="1">
                  <c:v>0.49</c:v>
                </c:pt>
                <c:pt idx="2">
                  <c:v>0.68899999999999995</c:v>
                </c:pt>
                <c:pt idx="3">
                  <c:v>0.95499999999999996</c:v>
                </c:pt>
                <c:pt idx="4">
                  <c:v>0.85499999999999998</c:v>
                </c:pt>
                <c:pt idx="5">
                  <c:v>0.85499999999999998</c:v>
                </c:pt>
                <c:pt idx="6">
                  <c:v>0.85499999999999998</c:v>
                </c:pt>
                <c:pt idx="7">
                  <c:v>0.89200000000000002</c:v>
                </c:pt>
                <c:pt idx="8">
                  <c:v>0.97499999999999998</c:v>
                </c:pt>
                <c:pt idx="9">
                  <c:v>0.97499999999999998</c:v>
                </c:pt>
                <c:pt idx="10">
                  <c:v>0.97499999999999998</c:v>
                </c:pt>
                <c:pt idx="11">
                  <c:v>0.97499999999999998</c:v>
                </c:pt>
                <c:pt idx="12">
                  <c:v>0.97499999999999998</c:v>
                </c:pt>
                <c:pt idx="13">
                  <c:v>0.97499999999999998</c:v>
                </c:pt>
                <c:pt idx="14">
                  <c:v>0.97499999999999998</c:v>
                </c:pt>
                <c:pt idx="15">
                  <c:v>0.97499999999999998</c:v>
                </c:pt>
                <c:pt idx="16">
                  <c:v>0.97499999999999998</c:v>
                </c:pt>
                <c:pt idx="17">
                  <c:v>0.97499999999999998</c:v>
                </c:pt>
                <c:pt idx="18">
                  <c:v>0.97499999999999998</c:v>
                </c:pt>
                <c:pt idx="19">
                  <c:v>0.97499999999999998</c:v>
                </c:pt>
                <c:pt idx="20">
                  <c:v>0.97499999999999998</c:v>
                </c:pt>
                <c:pt idx="21">
                  <c:v>0.97499999999999998</c:v>
                </c:pt>
                <c:pt idx="22">
                  <c:v>0.97499999999999998</c:v>
                </c:pt>
                <c:pt idx="23">
                  <c:v>0.97499999999999998</c:v>
                </c:pt>
                <c:pt idx="24">
                  <c:v>0.97499999999999998</c:v>
                </c:pt>
                <c:pt idx="25">
                  <c:v>0.97499999999999998</c:v>
                </c:pt>
                <c:pt idx="26">
                  <c:v>0.97499999999999998</c:v>
                </c:pt>
                <c:pt idx="27">
                  <c:v>0.95281753130590319</c:v>
                </c:pt>
                <c:pt idx="28">
                  <c:v>0.90237187632359139</c:v>
                </c:pt>
                <c:pt idx="29">
                  <c:v>0.85699919549477044</c:v>
                </c:pt>
                <c:pt idx="30">
                  <c:v>0.81597089237839882</c:v>
                </c:pt>
                <c:pt idx="31">
                  <c:v>0.77869152046783607</c:v>
                </c:pt>
                <c:pt idx="32">
                  <c:v>0.74466969591052057</c:v>
                </c:pt>
                <c:pt idx="33">
                  <c:v>0.71349631614199571</c:v>
                </c:pt>
                <c:pt idx="34">
                  <c:v>0.68482802957248445</c:v>
                </c:pt>
                <c:pt idx="35">
                  <c:v>0.65837453646477107</c:v>
                </c:pt>
                <c:pt idx="36">
                  <c:v>0.64806083650190116</c:v>
                </c:pt>
                <c:pt idx="37">
                  <c:v>0.63388872359416815</c:v>
                </c:pt>
                <c:pt idx="38">
                  <c:v>0.61115892139988504</c:v>
                </c:pt>
                <c:pt idx="39">
                  <c:v>0.59000276931597873</c:v>
                </c:pt>
                <c:pt idx="40">
                  <c:v>0.57026231263383276</c:v>
                </c:pt>
                <c:pt idx="41">
                  <c:v>0.55180005180005154</c:v>
                </c:pt>
                <c:pt idx="42">
                  <c:v>0.53449573507275439</c:v>
                </c:pt>
                <c:pt idx="43">
                  <c:v>0.51824373631719745</c:v>
                </c:pt>
                <c:pt idx="44">
                  <c:v>0.50295089707270979</c:v>
                </c:pt>
                <c:pt idx="45">
                  <c:v>0.48853473973859179</c:v>
                </c:pt>
                <c:pt idx="46">
                  <c:v>0.47492197949175186</c:v>
                </c:pt>
                <c:pt idx="47">
                  <c:v>0.46204727824766834</c:v>
                </c:pt>
                <c:pt idx="48">
                  <c:v>0.44985219594594567</c:v>
                </c:pt>
                <c:pt idx="49">
                  <c:v>0.43828430364122584</c:v>
                </c:pt>
                <c:pt idx="50">
                  <c:v>0.42729643000401096</c:v>
                </c:pt>
                <c:pt idx="51">
                  <c:v>0.41684601839170399</c:v>
                </c:pt>
                <c:pt idx="52">
                  <c:v>0.4068945760122229</c:v>
                </c:pt>
                <c:pt idx="53">
                  <c:v>0.39740720014922576</c:v>
                </c:pt>
                <c:pt idx="54">
                  <c:v>0.39</c:v>
                </c:pt>
                <c:pt idx="55">
                  <c:v>0.39</c:v>
                </c:pt>
                <c:pt idx="56">
                  <c:v>0.39</c:v>
                </c:pt>
                <c:pt idx="57">
                  <c:v>0.39</c:v>
                </c:pt>
                <c:pt idx="58">
                  <c:v>0.39</c:v>
                </c:pt>
                <c:pt idx="59">
                  <c:v>0.39</c:v>
                </c:pt>
              </c:numCache>
            </c:numRef>
          </c:yVal>
          <c:smooth val="0"/>
          <c:extLst>
            <c:ext xmlns:c16="http://schemas.microsoft.com/office/drawing/2014/chart" uri="{C3380CC4-5D6E-409C-BE32-E72D297353CC}">
              <c16:uniqueId val="{00000000-59CE-4CE5-904B-F5D508895283}"/>
            </c:ext>
          </c:extLst>
        </c:ser>
        <c:ser>
          <c:idx val="6"/>
          <c:order val="1"/>
          <c:tx>
            <c:v>SaM(111年)</c:v>
          </c:tx>
          <c:spPr>
            <a:ln w="19050" cap="rnd" cmpd="sng" algn="ctr">
              <a:solidFill>
                <a:schemeClr val="accent1">
                  <a:lumMod val="60000"/>
                  <a:shade val="95000"/>
                  <a:satMod val="105000"/>
                </a:schemeClr>
              </a:solidFill>
              <a:prstDash val="dash"/>
              <a:round/>
            </a:ln>
            <a:effectLst/>
          </c:spPr>
          <c:marker>
            <c:symbol val="none"/>
          </c:marker>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一般工址Cs!$U$43:$U$102</c:f>
              <c:numCache>
                <c:formatCode>0.000_ </c:formatCode>
                <c:ptCount val="60"/>
                <c:pt idx="0">
                  <c:v>0.502</c:v>
                </c:pt>
                <c:pt idx="1">
                  <c:v>0.61899999999999999</c:v>
                </c:pt>
                <c:pt idx="2">
                  <c:v>0.85699999999999998</c:v>
                </c:pt>
                <c:pt idx="3">
                  <c:v>1.1759999999999999</c:v>
                </c:pt>
                <c:pt idx="4">
                  <c:v>1.056</c:v>
                </c:pt>
                <c:pt idx="5">
                  <c:v>1.056</c:v>
                </c:pt>
                <c:pt idx="6">
                  <c:v>1.056</c:v>
                </c:pt>
                <c:pt idx="7">
                  <c:v>1.101</c:v>
                </c:pt>
                <c:pt idx="8">
                  <c:v>1.24498</c:v>
                </c:pt>
                <c:pt idx="9">
                  <c:v>1.24498</c:v>
                </c:pt>
                <c:pt idx="10">
                  <c:v>1.24498</c:v>
                </c:pt>
                <c:pt idx="11">
                  <c:v>1.24498</c:v>
                </c:pt>
                <c:pt idx="12">
                  <c:v>1.24498</c:v>
                </c:pt>
                <c:pt idx="13">
                  <c:v>1.24498</c:v>
                </c:pt>
                <c:pt idx="14">
                  <c:v>1.24498</c:v>
                </c:pt>
                <c:pt idx="15">
                  <c:v>1.24498</c:v>
                </c:pt>
                <c:pt idx="16">
                  <c:v>1.24498</c:v>
                </c:pt>
                <c:pt idx="17">
                  <c:v>1.24498</c:v>
                </c:pt>
                <c:pt idx="18">
                  <c:v>1.24498</c:v>
                </c:pt>
                <c:pt idx="19">
                  <c:v>1.24498</c:v>
                </c:pt>
                <c:pt idx="20">
                  <c:v>1.24498</c:v>
                </c:pt>
                <c:pt idx="21">
                  <c:v>1.24498</c:v>
                </c:pt>
                <c:pt idx="22">
                  <c:v>1.24498</c:v>
                </c:pt>
                <c:pt idx="23">
                  <c:v>1.24498</c:v>
                </c:pt>
                <c:pt idx="24">
                  <c:v>1.24498</c:v>
                </c:pt>
                <c:pt idx="25">
                  <c:v>1.24498</c:v>
                </c:pt>
                <c:pt idx="26">
                  <c:v>1.24498</c:v>
                </c:pt>
                <c:pt idx="27">
                  <c:v>1.24498</c:v>
                </c:pt>
                <c:pt idx="28">
                  <c:v>1.2248295213892415</c:v>
                </c:pt>
                <c:pt idx="29">
                  <c:v>1.1632431617055508</c:v>
                </c:pt>
                <c:pt idx="30">
                  <c:v>1.1075536193029487</c:v>
                </c:pt>
                <c:pt idx="31">
                  <c:v>1.0569526681286545</c:v>
                </c:pt>
                <c:pt idx="32">
                  <c:v>1.0107733310031455</c:v>
                </c:pt>
                <c:pt idx="33">
                  <c:v>0.9684603148024109</c:v>
                </c:pt>
                <c:pt idx="34">
                  <c:v>0.92954757312761127</c:v>
                </c:pt>
                <c:pt idx="35">
                  <c:v>0.89364106922126041</c:v>
                </c:pt>
                <c:pt idx="36">
                  <c:v>0.87964182509505695</c:v>
                </c:pt>
                <c:pt idx="37">
                  <c:v>0.86040538530199306</c:v>
                </c:pt>
                <c:pt idx="38">
                  <c:v>0.82955321285140526</c:v>
                </c:pt>
                <c:pt idx="39">
                  <c:v>0.80083702575463822</c:v>
                </c:pt>
                <c:pt idx="40">
                  <c:v>0.77404242505353282</c:v>
                </c:pt>
                <c:pt idx="41">
                  <c:v>0.74898277648277611</c:v>
                </c:pt>
                <c:pt idx="42">
                  <c:v>0.72549485699949789</c:v>
                </c:pt>
                <c:pt idx="43">
                  <c:v>0.70343529554852791</c:v>
                </c:pt>
                <c:pt idx="44">
                  <c:v>0.68267764400377673</c:v>
                </c:pt>
                <c:pt idx="45">
                  <c:v>0.66310995184590649</c:v>
                </c:pt>
                <c:pt idx="46">
                  <c:v>0.64463274632188994</c:v>
                </c:pt>
                <c:pt idx="47">
                  <c:v>0.62715734114075006</c:v>
                </c:pt>
                <c:pt idx="48">
                  <c:v>0.61060441300675639</c:v>
                </c:pt>
                <c:pt idx="49">
                  <c:v>0.59490279777823452</c:v>
                </c:pt>
                <c:pt idx="50">
                  <c:v>0.57998846770958645</c:v>
                </c:pt>
                <c:pt idx="51">
                  <c:v>0.56580365877519045</c:v>
                </c:pt>
                <c:pt idx="52">
                  <c:v>0.55229612299465214</c:v>
                </c:pt>
                <c:pt idx="53">
                  <c:v>0.53941848535720927</c:v>
                </c:pt>
                <c:pt idx="54">
                  <c:v>0.52712768866204873</c:v>
                </c:pt>
                <c:pt idx="55">
                  <c:v>0.50292565217391305</c:v>
                </c:pt>
                <c:pt idx="56">
                  <c:v>0.49799199999999999</c:v>
                </c:pt>
                <c:pt idx="57">
                  <c:v>0.49799199999999999</c:v>
                </c:pt>
                <c:pt idx="58">
                  <c:v>0.49799199999999999</c:v>
                </c:pt>
                <c:pt idx="59">
                  <c:v>0.49799199999999999</c:v>
                </c:pt>
              </c:numCache>
            </c:numRef>
          </c:yVal>
          <c:smooth val="0"/>
          <c:extLst>
            <c:ext xmlns:c16="http://schemas.microsoft.com/office/drawing/2014/chart" uri="{C3380CC4-5D6E-409C-BE32-E72D297353CC}">
              <c16:uniqueId val="{00000001-59CE-4CE5-904B-F5D508895283}"/>
            </c:ext>
          </c:extLst>
        </c:ser>
        <c:ser>
          <c:idx val="1"/>
          <c:order val="2"/>
          <c:tx>
            <c:v>SaD(100年~111年)</c:v>
          </c:tx>
          <c:spPr>
            <a:ln w="19050" cap="rnd" cmpd="sng" algn="ctr">
              <a:solidFill>
                <a:schemeClr val="accent2">
                  <a:shade val="95000"/>
                  <a:satMod val="105000"/>
                </a:schemeClr>
              </a:solidFill>
              <a:prstDash val="solid"/>
              <a:round/>
            </a:ln>
            <a:effectLst/>
          </c:spPr>
          <c:marker>
            <c:symbol val="none"/>
          </c:marker>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一般工址Cs!$AA$43:$AA$102</c:f>
              <c:numCache>
                <c:formatCode>0.000_ </c:formatCode>
                <c:ptCount val="60"/>
                <c:pt idx="0">
                  <c:v>0.32400000000000001</c:v>
                </c:pt>
                <c:pt idx="1">
                  <c:v>0.42699999999999999</c:v>
                </c:pt>
                <c:pt idx="2">
                  <c:v>0.63800000000000001</c:v>
                </c:pt>
                <c:pt idx="3">
                  <c:v>0.8</c:v>
                </c:pt>
                <c:pt idx="4">
                  <c:v>0.8</c:v>
                </c:pt>
                <c:pt idx="5">
                  <c:v>0.8</c:v>
                </c:pt>
                <c:pt idx="6">
                  <c:v>0.8</c:v>
                </c:pt>
                <c:pt idx="7">
                  <c:v>0.8</c:v>
                </c:pt>
                <c:pt idx="8">
                  <c:v>0.8</c:v>
                </c:pt>
                <c:pt idx="9">
                  <c:v>0.8</c:v>
                </c:pt>
                <c:pt idx="10">
                  <c:v>0.8</c:v>
                </c:pt>
                <c:pt idx="11">
                  <c:v>0.8</c:v>
                </c:pt>
                <c:pt idx="12">
                  <c:v>0.8</c:v>
                </c:pt>
                <c:pt idx="13">
                  <c:v>0.8</c:v>
                </c:pt>
                <c:pt idx="14">
                  <c:v>0.8</c:v>
                </c:pt>
                <c:pt idx="15">
                  <c:v>0.8</c:v>
                </c:pt>
                <c:pt idx="16">
                  <c:v>0.8</c:v>
                </c:pt>
                <c:pt idx="17">
                  <c:v>0.77142857142857157</c:v>
                </c:pt>
                <c:pt idx="18">
                  <c:v>0.77142857142857157</c:v>
                </c:pt>
                <c:pt idx="19">
                  <c:v>0.63996207632140323</c:v>
                </c:pt>
                <c:pt idx="20">
                  <c:v>0.77764976958525345</c:v>
                </c:pt>
                <c:pt idx="21">
                  <c:v>0.77764976958525345</c:v>
                </c:pt>
                <c:pt idx="22">
                  <c:v>0.78260869565217406</c:v>
                </c:pt>
                <c:pt idx="23">
                  <c:v>0.77764976958525345</c:v>
                </c:pt>
                <c:pt idx="24">
                  <c:v>0.72541644277270279</c:v>
                </c:pt>
                <c:pt idx="25">
                  <c:v>0.6797583081570997</c:v>
                </c:pt>
                <c:pt idx="26">
                  <c:v>0.63950734249171004</c:v>
                </c:pt>
                <c:pt idx="27">
                  <c:v>0.6037567084078711</c:v>
                </c:pt>
                <c:pt idx="28">
                  <c:v>0.57179161372299858</c:v>
                </c:pt>
                <c:pt idx="29">
                  <c:v>0.54304102976669333</c:v>
                </c:pt>
                <c:pt idx="30">
                  <c:v>0.51704327843738029</c:v>
                </c:pt>
                <c:pt idx="31">
                  <c:v>0.49342105263157887</c:v>
                </c:pt>
                <c:pt idx="32">
                  <c:v>0.47186298497029</c:v>
                </c:pt>
                <c:pt idx="33">
                  <c:v>0.45210984594775611</c:v>
                </c:pt>
                <c:pt idx="34">
                  <c:v>0.43394406943105102</c:v>
                </c:pt>
                <c:pt idx="35">
                  <c:v>0.41718170580964142</c:v>
                </c:pt>
                <c:pt idx="36">
                  <c:v>0.41064638783269969</c:v>
                </c:pt>
                <c:pt idx="37">
                  <c:v>0.40166617078250511</c:v>
                </c:pt>
                <c:pt idx="38">
                  <c:v>0.38726333907056787</c:v>
                </c:pt>
                <c:pt idx="39">
                  <c:v>0.37385765715868169</c:v>
                </c:pt>
                <c:pt idx="40">
                  <c:v>0.36134903640256949</c:v>
                </c:pt>
                <c:pt idx="41">
                  <c:v>0.34965034965034952</c:v>
                </c:pt>
                <c:pt idx="42">
                  <c:v>0.33868539889613636</c:v>
                </c:pt>
                <c:pt idx="43">
                  <c:v>0.32838725370955957</c:v>
                </c:pt>
                <c:pt idx="44">
                  <c:v>0.32000000000000006</c:v>
                </c:pt>
                <c:pt idx="45">
                  <c:v>0.32000000000000006</c:v>
                </c:pt>
                <c:pt idx="46">
                  <c:v>0.32000000000000006</c:v>
                </c:pt>
                <c:pt idx="47">
                  <c:v>0.32000000000000006</c:v>
                </c:pt>
                <c:pt idx="48">
                  <c:v>0.32000000000000006</c:v>
                </c:pt>
                <c:pt idx="49">
                  <c:v>0.32000000000000006</c:v>
                </c:pt>
                <c:pt idx="50">
                  <c:v>0.32000000000000006</c:v>
                </c:pt>
                <c:pt idx="51">
                  <c:v>0.32000000000000006</c:v>
                </c:pt>
                <c:pt idx="52">
                  <c:v>0.32000000000000006</c:v>
                </c:pt>
                <c:pt idx="53">
                  <c:v>0.32000000000000006</c:v>
                </c:pt>
                <c:pt idx="54">
                  <c:v>0.32000000000000006</c:v>
                </c:pt>
                <c:pt idx="55">
                  <c:v>0.32000000000000006</c:v>
                </c:pt>
                <c:pt idx="56">
                  <c:v>0.32000000000000006</c:v>
                </c:pt>
                <c:pt idx="57">
                  <c:v>0.32000000000000006</c:v>
                </c:pt>
                <c:pt idx="58">
                  <c:v>0.32000000000000006</c:v>
                </c:pt>
                <c:pt idx="59">
                  <c:v>0.32000000000000006</c:v>
                </c:pt>
              </c:numCache>
            </c:numRef>
          </c:yVal>
          <c:smooth val="0"/>
          <c:extLst>
            <c:ext xmlns:c16="http://schemas.microsoft.com/office/drawing/2014/chart" uri="{C3380CC4-5D6E-409C-BE32-E72D297353CC}">
              <c16:uniqueId val="{00000002-59CE-4CE5-904B-F5D508895283}"/>
            </c:ext>
          </c:extLst>
        </c:ser>
        <c:ser>
          <c:idx val="7"/>
          <c:order val="3"/>
          <c:tx>
            <c:v>SaM(100年~111年)</c:v>
          </c:tx>
          <c:spPr>
            <a:ln w="19050" cap="rnd" cmpd="sng" algn="ctr">
              <a:solidFill>
                <a:srgbClr val="C00000"/>
              </a:solidFill>
              <a:prstDash val="dash"/>
              <a:round/>
            </a:ln>
            <a:effectLst/>
          </c:spPr>
          <c:marker>
            <c:symbol val="none"/>
          </c:marker>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一般工址Cs!$AK$43:$AK$102</c:f>
              <c:numCache>
                <c:formatCode>0.000_ </c:formatCode>
                <c:ptCount val="60"/>
                <c:pt idx="0">
                  <c:v>0.40500000000000003</c:v>
                </c:pt>
                <c:pt idx="1">
                  <c:v>0.54900000000000004</c:v>
                </c:pt>
                <c:pt idx="2">
                  <c:v>0.84299999999999997</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0.86428571428571443</c:v>
                </c:pt>
                <c:pt idx="18">
                  <c:v>0.86428571428571443</c:v>
                </c:pt>
                <c:pt idx="19">
                  <c:v>0.71699454847120181</c:v>
                </c:pt>
                <c:pt idx="20">
                  <c:v>0.8712557603686637</c:v>
                </c:pt>
                <c:pt idx="21">
                  <c:v>0.8712557603686637</c:v>
                </c:pt>
                <c:pt idx="22">
                  <c:v>0.87681159420289878</c:v>
                </c:pt>
                <c:pt idx="23">
                  <c:v>0.8712557603686637</c:v>
                </c:pt>
                <c:pt idx="24">
                  <c:v>0.81273508866200972</c:v>
                </c:pt>
                <c:pt idx="25">
                  <c:v>0.76158106747230614</c:v>
                </c:pt>
                <c:pt idx="26">
                  <c:v>0.71648507816200846</c:v>
                </c:pt>
                <c:pt idx="27">
                  <c:v>0.67643112701252228</c:v>
                </c:pt>
                <c:pt idx="28">
                  <c:v>0.64061838204150778</c:v>
                </c:pt>
                <c:pt idx="29">
                  <c:v>0.60840707964601759</c:v>
                </c:pt>
                <c:pt idx="30">
                  <c:v>0.57927996936039827</c:v>
                </c:pt>
                <c:pt idx="31">
                  <c:v>0.55281432748538006</c:v>
                </c:pt>
                <c:pt idx="32">
                  <c:v>0.52866130723523241</c:v>
                </c:pt>
                <c:pt idx="33">
                  <c:v>0.50653047555257869</c:v>
                </c:pt>
                <c:pt idx="34">
                  <c:v>0.48617807778849237</c:v>
                </c:pt>
                <c:pt idx="35">
                  <c:v>0.4673980222496909</c:v>
                </c:pt>
                <c:pt idx="36">
                  <c:v>0.46007604562737653</c:v>
                </c:pt>
                <c:pt idx="37">
                  <c:v>0.45001487652484368</c:v>
                </c:pt>
                <c:pt idx="38">
                  <c:v>0.4338783706253585</c:v>
                </c:pt>
                <c:pt idx="39">
                  <c:v>0.41885904181667116</c:v>
                </c:pt>
                <c:pt idx="40">
                  <c:v>0.40484475374732326</c:v>
                </c:pt>
                <c:pt idx="41">
                  <c:v>0.4</c:v>
                </c:pt>
                <c:pt idx="42">
                  <c:v>0.4</c:v>
                </c:pt>
                <c:pt idx="43">
                  <c:v>0.4</c:v>
                </c:pt>
                <c:pt idx="44">
                  <c:v>0.4</c:v>
                </c:pt>
                <c:pt idx="45">
                  <c:v>0.4</c:v>
                </c:pt>
                <c:pt idx="46">
                  <c:v>0.4</c:v>
                </c:pt>
                <c:pt idx="47">
                  <c:v>0.4</c:v>
                </c:pt>
                <c:pt idx="48">
                  <c:v>0.4</c:v>
                </c:pt>
                <c:pt idx="49">
                  <c:v>0.4</c:v>
                </c:pt>
                <c:pt idx="50">
                  <c:v>0.4</c:v>
                </c:pt>
                <c:pt idx="51">
                  <c:v>0.4</c:v>
                </c:pt>
                <c:pt idx="52">
                  <c:v>0.4</c:v>
                </c:pt>
                <c:pt idx="53">
                  <c:v>0.4</c:v>
                </c:pt>
                <c:pt idx="54">
                  <c:v>0.4</c:v>
                </c:pt>
                <c:pt idx="55">
                  <c:v>0.4</c:v>
                </c:pt>
                <c:pt idx="56">
                  <c:v>0.4</c:v>
                </c:pt>
                <c:pt idx="57">
                  <c:v>0.4</c:v>
                </c:pt>
                <c:pt idx="58">
                  <c:v>0.4</c:v>
                </c:pt>
                <c:pt idx="59">
                  <c:v>0.4</c:v>
                </c:pt>
              </c:numCache>
            </c:numRef>
          </c:yVal>
          <c:smooth val="0"/>
          <c:extLst>
            <c:ext xmlns:c16="http://schemas.microsoft.com/office/drawing/2014/chart" uri="{C3380CC4-5D6E-409C-BE32-E72D297353CC}">
              <c16:uniqueId val="{00000003-59CE-4CE5-904B-F5D508895283}"/>
            </c:ext>
          </c:extLst>
        </c:ser>
        <c:ser>
          <c:idx val="5"/>
          <c:order val="4"/>
          <c:tx>
            <c:v>SaD(95年~99年)</c:v>
          </c:tx>
          <c:spPr>
            <a:ln w="19050" cap="rnd" cmpd="sng" algn="ctr">
              <a:solidFill>
                <a:schemeClr val="accent6">
                  <a:shade val="95000"/>
                  <a:satMod val="105000"/>
                </a:schemeClr>
              </a:solidFill>
              <a:prstDash val="solid"/>
              <a:round/>
            </a:ln>
            <a:effectLst/>
          </c:spPr>
          <c:marker>
            <c:symbol val="none"/>
          </c:marker>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一般工址Cs!$BG$43:$BG$102</c:f>
              <c:numCache>
                <c:formatCode>0.0000_ </c:formatCode>
                <c:ptCount val="60"/>
                <c:pt idx="0">
                  <c:v>0.32400000000000001</c:v>
                </c:pt>
                <c:pt idx="1">
                  <c:v>0.42699999999999999</c:v>
                </c:pt>
                <c:pt idx="2">
                  <c:v>0.63800000000000001</c:v>
                </c:pt>
                <c:pt idx="3">
                  <c:v>0.8</c:v>
                </c:pt>
                <c:pt idx="4">
                  <c:v>0.8</c:v>
                </c:pt>
                <c:pt idx="5">
                  <c:v>0.8</c:v>
                </c:pt>
                <c:pt idx="6">
                  <c:v>0.8</c:v>
                </c:pt>
                <c:pt idx="7">
                  <c:v>0.8</c:v>
                </c:pt>
                <c:pt idx="8">
                  <c:v>0.8</c:v>
                </c:pt>
                <c:pt idx="9">
                  <c:v>0.8</c:v>
                </c:pt>
                <c:pt idx="10">
                  <c:v>0.8</c:v>
                </c:pt>
                <c:pt idx="11">
                  <c:v>0.8</c:v>
                </c:pt>
                <c:pt idx="12">
                  <c:v>0.8</c:v>
                </c:pt>
                <c:pt idx="13">
                  <c:v>0.8</c:v>
                </c:pt>
                <c:pt idx="14">
                  <c:v>0.8</c:v>
                </c:pt>
                <c:pt idx="15">
                  <c:v>0.8</c:v>
                </c:pt>
                <c:pt idx="16">
                  <c:v>0.8</c:v>
                </c:pt>
                <c:pt idx="17">
                  <c:v>0.77142857142857157</c:v>
                </c:pt>
                <c:pt idx="18">
                  <c:v>0.77142857142857157</c:v>
                </c:pt>
                <c:pt idx="19">
                  <c:v>0.63996207632140323</c:v>
                </c:pt>
                <c:pt idx="20">
                  <c:v>0.77764976958525345</c:v>
                </c:pt>
                <c:pt idx="21">
                  <c:v>0.77764976958525345</c:v>
                </c:pt>
                <c:pt idx="22">
                  <c:v>0.78260869565217406</c:v>
                </c:pt>
                <c:pt idx="23">
                  <c:v>0.77764976958525345</c:v>
                </c:pt>
                <c:pt idx="24">
                  <c:v>0.72541644277270279</c:v>
                </c:pt>
                <c:pt idx="25">
                  <c:v>0.6797583081570997</c:v>
                </c:pt>
                <c:pt idx="26">
                  <c:v>0.63950734249171004</c:v>
                </c:pt>
                <c:pt idx="27">
                  <c:v>0.6037567084078711</c:v>
                </c:pt>
                <c:pt idx="28">
                  <c:v>0.57179161372299858</c:v>
                </c:pt>
                <c:pt idx="29">
                  <c:v>0.54304102976669333</c:v>
                </c:pt>
                <c:pt idx="30">
                  <c:v>0.51704327843738029</c:v>
                </c:pt>
                <c:pt idx="31">
                  <c:v>0.49342105263157887</c:v>
                </c:pt>
                <c:pt idx="32">
                  <c:v>0.47186298497029</c:v>
                </c:pt>
                <c:pt idx="33">
                  <c:v>0.45210984594775611</c:v>
                </c:pt>
                <c:pt idx="34">
                  <c:v>0.43394406943105102</c:v>
                </c:pt>
                <c:pt idx="35">
                  <c:v>0.41718170580964142</c:v>
                </c:pt>
                <c:pt idx="36">
                  <c:v>0.41064638783269969</c:v>
                </c:pt>
                <c:pt idx="37">
                  <c:v>0.40166617078250511</c:v>
                </c:pt>
                <c:pt idx="38">
                  <c:v>0.38726333907056787</c:v>
                </c:pt>
                <c:pt idx="39">
                  <c:v>0.37385765715868169</c:v>
                </c:pt>
                <c:pt idx="40">
                  <c:v>0.36134903640256949</c:v>
                </c:pt>
                <c:pt idx="41">
                  <c:v>0.34965034965034952</c:v>
                </c:pt>
                <c:pt idx="42">
                  <c:v>0.33868539889613636</c:v>
                </c:pt>
                <c:pt idx="43">
                  <c:v>0.32838725370955957</c:v>
                </c:pt>
                <c:pt idx="44">
                  <c:v>0.32000000000000006</c:v>
                </c:pt>
                <c:pt idx="45">
                  <c:v>0.32000000000000006</c:v>
                </c:pt>
                <c:pt idx="46">
                  <c:v>0.32000000000000006</c:v>
                </c:pt>
                <c:pt idx="47">
                  <c:v>0.32000000000000006</c:v>
                </c:pt>
                <c:pt idx="48">
                  <c:v>0.32000000000000006</c:v>
                </c:pt>
                <c:pt idx="49">
                  <c:v>0.32000000000000006</c:v>
                </c:pt>
                <c:pt idx="50">
                  <c:v>0.32000000000000006</c:v>
                </c:pt>
                <c:pt idx="51">
                  <c:v>0.32000000000000006</c:v>
                </c:pt>
                <c:pt idx="52">
                  <c:v>0.32000000000000006</c:v>
                </c:pt>
                <c:pt idx="53">
                  <c:v>0.32000000000000006</c:v>
                </c:pt>
                <c:pt idx="54">
                  <c:v>0.32000000000000006</c:v>
                </c:pt>
                <c:pt idx="55">
                  <c:v>0.32000000000000006</c:v>
                </c:pt>
                <c:pt idx="56">
                  <c:v>0.32000000000000006</c:v>
                </c:pt>
                <c:pt idx="57">
                  <c:v>0.32000000000000006</c:v>
                </c:pt>
                <c:pt idx="58">
                  <c:v>0.32000000000000006</c:v>
                </c:pt>
                <c:pt idx="59">
                  <c:v>0.32000000000000006</c:v>
                </c:pt>
              </c:numCache>
            </c:numRef>
          </c:yVal>
          <c:smooth val="0"/>
          <c:extLst>
            <c:ext xmlns:c16="http://schemas.microsoft.com/office/drawing/2014/chart" uri="{C3380CC4-5D6E-409C-BE32-E72D297353CC}">
              <c16:uniqueId val="{00000004-59CE-4CE5-904B-F5D508895283}"/>
            </c:ext>
          </c:extLst>
        </c:ser>
        <c:ser>
          <c:idx val="4"/>
          <c:order val="5"/>
          <c:tx>
            <c:v>ZC(89年~94年)</c:v>
          </c:tx>
          <c:spPr>
            <a:ln w="19050" cap="rnd" cmpd="sng" algn="ctr">
              <a:solidFill>
                <a:schemeClr val="accent5">
                  <a:shade val="95000"/>
                  <a:satMod val="105000"/>
                </a:schemeClr>
              </a:solidFill>
              <a:prstDash val="solid"/>
              <a:round/>
            </a:ln>
            <a:effectLst/>
          </c:spPr>
          <c:marker>
            <c:symbol val="none"/>
          </c:marker>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一般工址Cs!$BE$43:$BE$102</c:f>
              <c:numCache>
                <c:formatCode>0.0000_ </c:formatCode>
                <c:ptCount val="60"/>
                <c:pt idx="0">
                  <c:v>0.33</c:v>
                </c:pt>
                <c:pt idx="1">
                  <c:v>0.33</c:v>
                </c:pt>
                <c:pt idx="2">
                  <c:v>0.50265045600000002</c:v>
                </c:pt>
                <c:pt idx="3">
                  <c:v>0.73403161920000015</c:v>
                </c:pt>
                <c:pt idx="4">
                  <c:v>0.6470816880000001</c:v>
                </c:pt>
                <c:pt idx="5">
                  <c:v>0.6470816880000001</c:v>
                </c:pt>
                <c:pt idx="6">
                  <c:v>0.6470816880000001</c:v>
                </c:pt>
                <c:pt idx="7">
                  <c:v>0.6794039999999999</c:v>
                </c:pt>
                <c:pt idx="8">
                  <c:v>0.82500000000000007</c:v>
                </c:pt>
                <c:pt idx="9">
                  <c:v>0.82500000000000007</c:v>
                </c:pt>
                <c:pt idx="10">
                  <c:v>0.82500000000000007</c:v>
                </c:pt>
                <c:pt idx="11">
                  <c:v>0.82500000000000007</c:v>
                </c:pt>
                <c:pt idx="12">
                  <c:v>0.82500000000000007</c:v>
                </c:pt>
                <c:pt idx="13">
                  <c:v>0.82500000000000007</c:v>
                </c:pt>
                <c:pt idx="14">
                  <c:v>0.82500000000000007</c:v>
                </c:pt>
                <c:pt idx="15">
                  <c:v>0.82500000000000007</c:v>
                </c:pt>
                <c:pt idx="16">
                  <c:v>0.82500000000000007</c:v>
                </c:pt>
                <c:pt idx="17">
                  <c:v>0.75344996719300705</c:v>
                </c:pt>
                <c:pt idx="18">
                  <c:v>0.75344996719300705</c:v>
                </c:pt>
                <c:pt idx="19">
                  <c:v>0.66521203462242684</c:v>
                </c:pt>
                <c:pt idx="20">
                  <c:v>0.75749534825964537</c:v>
                </c:pt>
                <c:pt idx="21">
                  <c:v>0.75749534825964537</c:v>
                </c:pt>
                <c:pt idx="22">
                  <c:v>0.76071220549387619</c:v>
                </c:pt>
                <c:pt idx="23">
                  <c:v>0.75749534825964537</c:v>
                </c:pt>
                <c:pt idx="24">
                  <c:v>0.72318409924441396</c:v>
                </c:pt>
                <c:pt idx="25">
                  <c:v>0.69251144398156439</c:v>
                </c:pt>
                <c:pt idx="26">
                  <c:v>0.66489688026962368</c:v>
                </c:pt>
                <c:pt idx="27">
                  <c:v>0.63988007143841563</c:v>
                </c:pt>
                <c:pt idx="28">
                  <c:v>0.61709087720011535</c:v>
                </c:pt>
                <c:pt idx="29">
                  <c:v>0.5962280005798547</c:v>
                </c:pt>
                <c:pt idx="30">
                  <c:v>0.57704347721812677</c:v>
                </c:pt>
                <c:pt idx="31">
                  <c:v>0.55933121294915489</c:v>
                </c:pt>
                <c:pt idx="32">
                  <c:v>0.54291838127032743</c:v>
                </c:pt>
                <c:pt idx="33">
                  <c:v>0.52765887659886879</c:v>
                </c:pt>
                <c:pt idx="34">
                  <c:v>0.51342826870102132</c:v>
                </c:pt>
                <c:pt idx="35">
                  <c:v>0.50011986906249251</c:v>
                </c:pt>
                <c:pt idx="36">
                  <c:v>0.49488308476461657</c:v>
                </c:pt>
                <c:pt idx="37">
                  <c:v>0.48764163168834601</c:v>
                </c:pt>
                <c:pt idx="38">
                  <c:v>0.47591368759788233</c:v>
                </c:pt>
                <c:pt idx="39">
                  <c:v>0.46486636588086166</c:v>
                </c:pt>
                <c:pt idx="40">
                  <c:v>0.45443859214674887</c:v>
                </c:pt>
                <c:pt idx="41">
                  <c:v>0.44457658245017151</c:v>
                </c:pt>
                <c:pt idx="42">
                  <c:v>0.43523277057951987</c:v>
                </c:pt>
                <c:pt idx="43">
                  <c:v>0.42636492115254276</c:v>
                </c:pt>
                <c:pt idx="44">
                  <c:v>0.41793539177745959</c:v>
                </c:pt>
                <c:pt idx="45">
                  <c:v>0.40991051565265846</c:v>
                </c:pt>
                <c:pt idx="46">
                  <c:v>0.40226008212339687</c:v>
                </c:pt>
                <c:pt idx="47">
                  <c:v>0.39495689740855155</c:v>
                </c:pt>
                <c:pt idx="48">
                  <c:v>0.3879764113262622</c:v>
                </c:pt>
                <c:pt idx="49">
                  <c:v>0.3812963986536389</c:v>
                </c:pt>
                <c:pt idx="50">
                  <c:v>0.37489668594962339</c:v>
                </c:pt>
                <c:pt idx="51">
                  <c:v>0.36875891639698605</c:v>
                </c:pt>
                <c:pt idx="52">
                  <c:v>0.36286634658756023</c:v>
                </c:pt>
                <c:pt idx="53">
                  <c:v>0.35720367026533623</c:v>
                </c:pt>
                <c:pt idx="54">
                  <c:v>0.35175686491635949</c:v>
                </c:pt>
                <c:pt idx="55">
                  <c:v>0.34090592884642262</c:v>
                </c:pt>
                <c:pt idx="56">
                  <c:v>0.33605307224227426</c:v>
                </c:pt>
                <c:pt idx="57">
                  <c:v>0.33136931029067396</c:v>
                </c:pt>
                <c:pt idx="58">
                  <c:v>0.33</c:v>
                </c:pt>
                <c:pt idx="59">
                  <c:v>0.33</c:v>
                </c:pt>
              </c:numCache>
            </c:numRef>
          </c:yVal>
          <c:smooth val="0"/>
          <c:extLst>
            <c:ext xmlns:c16="http://schemas.microsoft.com/office/drawing/2014/chart" uri="{C3380CC4-5D6E-409C-BE32-E72D297353CC}">
              <c16:uniqueId val="{00000005-59CE-4CE5-904B-F5D508895283}"/>
            </c:ext>
          </c:extLst>
        </c:ser>
        <c:ser>
          <c:idx val="2"/>
          <c:order val="6"/>
          <c:tx>
            <c:v>ZC(86年~88年)</c:v>
          </c:tx>
          <c:spPr>
            <a:ln w="19050" cap="rnd" cmpd="sng" algn="ctr">
              <a:solidFill>
                <a:schemeClr val="accent3">
                  <a:shade val="95000"/>
                  <a:satMod val="105000"/>
                </a:schemeClr>
              </a:solidFill>
              <a:prstDash val="solid"/>
              <a:round/>
            </a:ln>
            <a:effectLst/>
          </c:spPr>
          <c:marker>
            <c:symbol val="none"/>
          </c:marker>
          <c:xVal>
            <c:numRef>
              <c:f>一般工址Cs!$I$43:$I$102</c:f>
              <c:numCache>
                <c:formatCode>0.0000_ </c:formatCode>
                <c:ptCount val="60"/>
                <c:pt idx="0">
                  <c:v>1E-3</c:v>
                </c:pt>
                <c:pt idx="1">
                  <c:v>0.03</c:v>
                </c:pt>
                <c:pt idx="2">
                  <c:v>8.9300000000000004E-2</c:v>
                </c:pt>
                <c:pt idx="3">
                  <c:v>0.16876000000000002</c:v>
                </c:pt>
                <c:pt idx="4">
                  <c:v>0.1389</c:v>
                </c:pt>
                <c:pt idx="5">
                  <c:v>0.1389</c:v>
                </c:pt>
                <c:pt idx="6">
                  <c:v>0.1389</c:v>
                </c:pt>
                <c:pt idx="7">
                  <c:v>0.15</c:v>
                </c:pt>
                <c:pt idx="8">
                  <c:v>0.2</c:v>
                </c:pt>
                <c:pt idx="9">
                  <c:v>0.32</c:v>
                </c:pt>
                <c:pt idx="10">
                  <c:v>0.25</c:v>
                </c:pt>
                <c:pt idx="11">
                  <c:v>0.33300000000000002</c:v>
                </c:pt>
                <c:pt idx="12">
                  <c:v>0.50627999999999995</c:v>
                </c:pt>
                <c:pt idx="13">
                  <c:v>0.52449999999999997</c:v>
                </c:pt>
                <c:pt idx="14">
                  <c:v>0.5575</c:v>
                </c:pt>
                <c:pt idx="15">
                  <c:v>0.51</c:v>
                </c:pt>
                <c:pt idx="16">
                  <c:v>0.46500000000000002</c:v>
                </c:pt>
                <c:pt idx="17">
                  <c:v>0.7</c:v>
                </c:pt>
                <c:pt idx="18">
                  <c:v>0.7</c:v>
                </c:pt>
                <c:pt idx="19">
                  <c:v>0.84379999999999999</c:v>
                </c:pt>
                <c:pt idx="20">
                  <c:v>0.69440000000000002</c:v>
                </c:pt>
                <c:pt idx="21">
                  <c:v>0.69440000000000002</c:v>
                </c:pt>
                <c:pt idx="22">
                  <c:v>0.69</c:v>
                </c:pt>
                <c:pt idx="23">
                  <c:v>0.69440000000000002</c:v>
                </c:pt>
                <c:pt idx="24">
                  <c:v>0.74440000000000006</c:v>
                </c:pt>
                <c:pt idx="25">
                  <c:v>0.79440000000000011</c:v>
                </c:pt>
                <c:pt idx="26">
                  <c:v>0.84440000000000015</c:v>
                </c:pt>
                <c:pt idx="27">
                  <c:v>0.89440000000000019</c:v>
                </c:pt>
                <c:pt idx="28">
                  <c:v>0.94440000000000024</c:v>
                </c:pt>
                <c:pt idx="29">
                  <c:v>0.99440000000000028</c:v>
                </c:pt>
                <c:pt idx="30">
                  <c:v>1.0444000000000002</c:v>
                </c:pt>
                <c:pt idx="31">
                  <c:v>1.0944000000000003</c:v>
                </c:pt>
                <c:pt idx="32">
                  <c:v>1.1444000000000003</c:v>
                </c:pt>
                <c:pt idx="33">
                  <c:v>1.1944000000000004</c:v>
                </c:pt>
                <c:pt idx="34">
                  <c:v>1.2444000000000004</c:v>
                </c:pt>
                <c:pt idx="35">
                  <c:v>1.2944000000000004</c:v>
                </c:pt>
                <c:pt idx="36">
                  <c:v>1.3149999999999999</c:v>
                </c:pt>
                <c:pt idx="37">
                  <c:v>1.3444000000000005</c:v>
                </c:pt>
                <c:pt idx="38">
                  <c:v>1.3944000000000005</c:v>
                </c:pt>
                <c:pt idx="39">
                  <c:v>1.4444000000000006</c:v>
                </c:pt>
                <c:pt idx="40">
                  <c:v>1.4944000000000006</c:v>
                </c:pt>
                <c:pt idx="41">
                  <c:v>1.5444000000000007</c:v>
                </c:pt>
                <c:pt idx="42">
                  <c:v>1.5944000000000007</c:v>
                </c:pt>
                <c:pt idx="43">
                  <c:v>1.6444000000000007</c:v>
                </c:pt>
                <c:pt idx="44">
                  <c:v>1.6944000000000008</c:v>
                </c:pt>
                <c:pt idx="45">
                  <c:v>1.7444000000000008</c:v>
                </c:pt>
                <c:pt idx="46">
                  <c:v>1.7944000000000009</c:v>
                </c:pt>
                <c:pt idx="47">
                  <c:v>1.8444000000000009</c:v>
                </c:pt>
                <c:pt idx="48">
                  <c:v>1.894400000000001</c:v>
                </c:pt>
                <c:pt idx="49">
                  <c:v>1.944400000000001</c:v>
                </c:pt>
                <c:pt idx="50">
                  <c:v>1.9944000000000011</c:v>
                </c:pt>
                <c:pt idx="51">
                  <c:v>2.0444000000000009</c:v>
                </c:pt>
                <c:pt idx="52">
                  <c:v>2.0944000000000007</c:v>
                </c:pt>
                <c:pt idx="53">
                  <c:v>2.1444000000000005</c:v>
                </c:pt>
                <c:pt idx="54">
                  <c:v>2.1944000000000004</c:v>
                </c:pt>
                <c:pt idx="55">
                  <c:v>2.2999999999999998</c:v>
                </c:pt>
                <c:pt idx="56">
                  <c:v>2.35</c:v>
                </c:pt>
                <c:pt idx="57">
                  <c:v>2.4</c:v>
                </c:pt>
                <c:pt idx="58">
                  <c:v>2.4500000000000002</c:v>
                </c:pt>
                <c:pt idx="59">
                  <c:v>2.5</c:v>
                </c:pt>
              </c:numCache>
            </c:numRef>
          </c:xVal>
          <c:yVal>
            <c:numRef>
              <c:f>一般工址Cs!$BC$43:$BC$102</c:f>
              <c:numCache>
                <c:formatCode>0.0000_ </c:formatCode>
                <c:ptCount val="60"/>
                <c:pt idx="0">
                  <c:v>0.33</c:v>
                </c:pt>
                <c:pt idx="1">
                  <c:v>0.33</c:v>
                </c:pt>
                <c:pt idx="2">
                  <c:v>0.50265045600000002</c:v>
                </c:pt>
                <c:pt idx="3">
                  <c:v>0.73403161920000015</c:v>
                </c:pt>
                <c:pt idx="4">
                  <c:v>0.6470816880000001</c:v>
                </c:pt>
                <c:pt idx="5">
                  <c:v>0.6470816880000001</c:v>
                </c:pt>
                <c:pt idx="6">
                  <c:v>0.6470816880000001</c:v>
                </c:pt>
                <c:pt idx="7">
                  <c:v>0.6794039999999999</c:v>
                </c:pt>
                <c:pt idx="8">
                  <c:v>0.82500000000000007</c:v>
                </c:pt>
                <c:pt idx="9">
                  <c:v>0.82500000000000007</c:v>
                </c:pt>
                <c:pt idx="10">
                  <c:v>0.82500000000000007</c:v>
                </c:pt>
                <c:pt idx="11">
                  <c:v>0.82500000000000007</c:v>
                </c:pt>
                <c:pt idx="12">
                  <c:v>0.82500000000000007</c:v>
                </c:pt>
                <c:pt idx="13">
                  <c:v>0.82500000000000007</c:v>
                </c:pt>
                <c:pt idx="14">
                  <c:v>0.82500000000000007</c:v>
                </c:pt>
                <c:pt idx="15">
                  <c:v>0.82500000000000007</c:v>
                </c:pt>
                <c:pt idx="16">
                  <c:v>0.82500000000000007</c:v>
                </c:pt>
                <c:pt idx="17">
                  <c:v>0.75344996719300705</c:v>
                </c:pt>
                <c:pt idx="18">
                  <c:v>0.75344996719300705</c:v>
                </c:pt>
                <c:pt idx="19">
                  <c:v>0.66521203462242684</c:v>
                </c:pt>
                <c:pt idx="20">
                  <c:v>0.75749534825964537</c:v>
                </c:pt>
                <c:pt idx="21">
                  <c:v>0.75749534825964537</c:v>
                </c:pt>
                <c:pt idx="22">
                  <c:v>0.76071220549387619</c:v>
                </c:pt>
                <c:pt idx="23">
                  <c:v>0.75749534825964537</c:v>
                </c:pt>
                <c:pt idx="24">
                  <c:v>0.72318409924441396</c:v>
                </c:pt>
                <c:pt idx="25">
                  <c:v>0.69251144398156439</c:v>
                </c:pt>
                <c:pt idx="26">
                  <c:v>0.66489688026962368</c:v>
                </c:pt>
                <c:pt idx="27">
                  <c:v>0.63988007143841563</c:v>
                </c:pt>
                <c:pt idx="28">
                  <c:v>0.61709087720011535</c:v>
                </c:pt>
                <c:pt idx="29">
                  <c:v>0.5962280005798547</c:v>
                </c:pt>
                <c:pt idx="30">
                  <c:v>0.57704347721812677</c:v>
                </c:pt>
                <c:pt idx="31">
                  <c:v>0.55933121294915489</c:v>
                </c:pt>
                <c:pt idx="32">
                  <c:v>0.54291838127032743</c:v>
                </c:pt>
                <c:pt idx="33">
                  <c:v>0.52765887659886879</c:v>
                </c:pt>
                <c:pt idx="34">
                  <c:v>0.51342826870102132</c:v>
                </c:pt>
                <c:pt idx="35">
                  <c:v>0.50011986906249251</c:v>
                </c:pt>
                <c:pt idx="36">
                  <c:v>0.49488308476461657</c:v>
                </c:pt>
                <c:pt idx="37">
                  <c:v>0.48764163168834601</c:v>
                </c:pt>
                <c:pt idx="38">
                  <c:v>0.47591368759788233</c:v>
                </c:pt>
                <c:pt idx="39">
                  <c:v>0.46486636588086166</c:v>
                </c:pt>
                <c:pt idx="40">
                  <c:v>0.45443859214674887</c:v>
                </c:pt>
                <c:pt idx="41">
                  <c:v>0.44457658245017151</c:v>
                </c:pt>
                <c:pt idx="42">
                  <c:v>0.43523277057951987</c:v>
                </c:pt>
                <c:pt idx="43">
                  <c:v>0.42636492115254276</c:v>
                </c:pt>
                <c:pt idx="44">
                  <c:v>0.41793539177745959</c:v>
                </c:pt>
                <c:pt idx="45">
                  <c:v>0.40991051565265846</c:v>
                </c:pt>
                <c:pt idx="46">
                  <c:v>0.40226008212339687</c:v>
                </c:pt>
                <c:pt idx="47">
                  <c:v>0.39495689740855155</c:v>
                </c:pt>
                <c:pt idx="48">
                  <c:v>0.3879764113262622</c:v>
                </c:pt>
                <c:pt idx="49">
                  <c:v>0.3812963986536389</c:v>
                </c:pt>
                <c:pt idx="50">
                  <c:v>0.37489668594962339</c:v>
                </c:pt>
                <c:pt idx="51">
                  <c:v>0.36875891639698605</c:v>
                </c:pt>
                <c:pt idx="52">
                  <c:v>0.36286634658756023</c:v>
                </c:pt>
                <c:pt idx="53">
                  <c:v>0.35720367026533623</c:v>
                </c:pt>
                <c:pt idx="54">
                  <c:v>0.35175686491635949</c:v>
                </c:pt>
                <c:pt idx="55">
                  <c:v>0.34090592884642262</c:v>
                </c:pt>
                <c:pt idx="56">
                  <c:v>0.33605307224227426</c:v>
                </c:pt>
                <c:pt idx="57">
                  <c:v>0.33136931029067396</c:v>
                </c:pt>
                <c:pt idx="58">
                  <c:v>0.33</c:v>
                </c:pt>
                <c:pt idx="59">
                  <c:v>0.33</c:v>
                </c:pt>
              </c:numCache>
            </c:numRef>
          </c:yVal>
          <c:smooth val="0"/>
          <c:extLst>
            <c:ext xmlns:c16="http://schemas.microsoft.com/office/drawing/2014/chart" uri="{C3380CC4-5D6E-409C-BE32-E72D297353CC}">
              <c16:uniqueId val="{00000006-59CE-4CE5-904B-F5D508895283}"/>
            </c:ext>
          </c:extLst>
        </c:ser>
        <c:dLbls>
          <c:showLegendKey val="0"/>
          <c:showVal val="0"/>
          <c:showCatName val="0"/>
          <c:showSerName val="0"/>
          <c:showPercent val="0"/>
          <c:showBubbleSize val="0"/>
        </c:dLbls>
        <c:axId val="192679872"/>
        <c:axId val="192677568"/>
      </c:scatterChart>
      <c:valAx>
        <c:axId val="192679872"/>
        <c:scaling>
          <c:orientation val="minMax"/>
          <c:max val="2.5"/>
        </c:scaling>
        <c:delete val="0"/>
        <c:axPos val="b"/>
        <c:minorGridlines>
          <c:spPr>
            <a:ln w="9525" cap="flat" cmpd="sng" algn="ctr">
              <a:solidFill>
                <a:schemeClr val="tx1">
                  <a:tint val="50000"/>
                  <a:shade val="95000"/>
                  <a:satMod val="105000"/>
                </a:schemeClr>
              </a:solidFill>
              <a:prstDash val="solid"/>
              <a:round/>
            </a:ln>
            <a:effectLst/>
          </c:spPr>
        </c:minorGridlines>
        <c:title>
          <c:tx>
            <c:rich>
              <a:bodyPr rot="0" spcFirstLastPara="1" vertOverflow="ellipsis" vert="horz" wrap="square" anchor="ctr" anchorCtr="1"/>
              <a:lstStyle/>
              <a:p>
                <a:pPr>
                  <a:defRPr sz="1400" b="1" i="0" u="none" strike="noStrike" kern="1200" baseline="0">
                    <a:solidFill>
                      <a:schemeClr val="tx1"/>
                    </a:solidFill>
                    <a:latin typeface="+mn-lt"/>
                    <a:ea typeface="+mn-ea"/>
                    <a:cs typeface="+mn-cs"/>
                  </a:defRPr>
                </a:pPr>
                <a:r>
                  <a:rPr lang="en-US" altLang="en-US" sz="1400"/>
                  <a:t>T (sec)</a:t>
                </a:r>
              </a:p>
            </c:rich>
          </c:tx>
          <c:layout>
            <c:manualLayout>
              <c:xMode val="edge"/>
              <c:yMode val="edge"/>
              <c:x val="0.49247678023425762"/>
              <c:y val="0.92203664691711251"/>
            </c:manualLayout>
          </c:layout>
          <c:overlay val="0"/>
          <c:spPr>
            <a:noFill/>
            <a:ln>
              <a:noFill/>
            </a:ln>
            <a:effectLst/>
          </c:spPr>
          <c:txPr>
            <a:bodyPr rot="0" spcFirstLastPara="1" vertOverflow="ellipsis" vert="horz" wrap="square" anchor="ctr" anchorCtr="1"/>
            <a:lstStyle/>
            <a:p>
              <a:pPr>
                <a:defRPr sz="1400" b="1" i="0" u="none" strike="noStrike" kern="1200" baseline="0">
                  <a:solidFill>
                    <a:schemeClr val="tx1"/>
                  </a:solidFill>
                  <a:latin typeface="+mn-lt"/>
                  <a:ea typeface="+mn-ea"/>
                  <a:cs typeface="+mn-cs"/>
                </a:defRPr>
              </a:pPr>
              <a:endParaRPr lang="zh-TW"/>
            </a:p>
          </c:txPr>
        </c:title>
        <c:numFmt formatCode="0.0_ " sourceLinked="0"/>
        <c:majorTickMark val="out"/>
        <c:minorTickMark val="in"/>
        <c:tickLblPos val="nextTo"/>
        <c:spPr>
          <a:noFill/>
          <a:ln w="9525" cap="flat" cmpd="sng" algn="ctr">
            <a:solidFill>
              <a:schemeClr val="tx1">
                <a:tint val="75000"/>
                <a:shade val="95000"/>
                <a:satMod val="105000"/>
              </a:schemeClr>
            </a:solidFill>
            <a:prstDash val="solid"/>
            <a:round/>
          </a:ln>
          <a:effectLst/>
        </c:spPr>
        <c:txPr>
          <a:bodyPr rot="0" spcFirstLastPara="1" vertOverflow="ellipsis" wrap="square" anchor="ctr" anchorCtr="1"/>
          <a:lstStyle/>
          <a:p>
            <a:pPr>
              <a:defRPr sz="1200" b="1" i="0" u="none" strike="noStrike" kern="1200" baseline="0">
                <a:solidFill>
                  <a:srgbClr val="000000"/>
                </a:solidFill>
                <a:latin typeface="+mn-lt"/>
                <a:ea typeface="新細明體"/>
                <a:cs typeface="新細明體"/>
              </a:defRPr>
            </a:pPr>
            <a:endParaRPr lang="zh-TW"/>
          </a:p>
        </c:txPr>
        <c:crossAx val="192677568"/>
        <c:crosses val="autoZero"/>
        <c:crossBetween val="midCat"/>
        <c:minorUnit val="0.1"/>
      </c:valAx>
      <c:valAx>
        <c:axId val="192677568"/>
        <c:scaling>
          <c:orientation val="minMax"/>
        </c:scaling>
        <c:delete val="0"/>
        <c:axPos val="l"/>
        <c:majorGridlines>
          <c:spPr>
            <a:ln w="9525" cap="flat" cmpd="sng" algn="ctr">
              <a:solidFill>
                <a:schemeClr val="tx1">
                  <a:tint val="75000"/>
                  <a:shade val="95000"/>
                  <a:satMod val="105000"/>
                </a:schemeClr>
              </a:solidFill>
              <a:prstDash val="solid"/>
              <a:round/>
            </a:ln>
            <a:effectLst/>
          </c:spPr>
        </c:majorGridlines>
        <c:title>
          <c:tx>
            <c:rich>
              <a:bodyPr rot="-5400000" spcFirstLastPara="1" vertOverflow="ellipsis" vert="horz" wrap="square" anchor="ctr" anchorCtr="1"/>
              <a:lstStyle/>
              <a:p>
                <a:pPr>
                  <a:defRPr sz="1400" b="1" i="0" u="none" strike="noStrike" kern="1200" baseline="0">
                    <a:solidFill>
                      <a:schemeClr val="tx1"/>
                    </a:solidFill>
                    <a:latin typeface="+mn-lt"/>
                    <a:ea typeface="+mn-ea"/>
                    <a:cs typeface="+mn-cs"/>
                  </a:defRPr>
                </a:pPr>
                <a:r>
                  <a:rPr lang="en-US" altLang="zh-TW" sz="1400">
                    <a:latin typeface="+mn-lt"/>
                  </a:rPr>
                  <a:t>S</a:t>
                </a:r>
                <a:r>
                  <a:rPr lang="en-US" altLang="zh-TW" sz="1400" baseline="-25000">
                    <a:latin typeface="+mn-lt"/>
                  </a:rPr>
                  <a:t>aD</a:t>
                </a:r>
                <a:endParaRPr lang="zh-TW" altLang="en-US" sz="1400">
                  <a:latin typeface="+mn-lt"/>
                </a:endParaRPr>
              </a:p>
            </c:rich>
          </c:tx>
          <c:layout>
            <c:manualLayout>
              <c:xMode val="edge"/>
              <c:yMode val="edge"/>
              <c:x val="5.425861020771079E-3"/>
              <c:y val="0.47099803322194422"/>
            </c:manualLayout>
          </c:layout>
          <c:overlay val="0"/>
          <c:spPr>
            <a:noFill/>
            <a:ln>
              <a:noFill/>
            </a:ln>
            <a:effectLst/>
          </c:spPr>
          <c:txPr>
            <a:bodyPr rot="-5400000" spcFirstLastPara="1" vertOverflow="ellipsis" vert="horz" wrap="square" anchor="ctr" anchorCtr="1"/>
            <a:lstStyle/>
            <a:p>
              <a:pPr>
                <a:defRPr sz="1400" b="1" i="0" u="none" strike="noStrike" kern="1200" baseline="0">
                  <a:solidFill>
                    <a:schemeClr val="tx1"/>
                  </a:solidFill>
                  <a:latin typeface="+mn-lt"/>
                  <a:ea typeface="+mn-ea"/>
                  <a:cs typeface="+mn-cs"/>
                </a:defRPr>
              </a:pPr>
              <a:endParaRPr lang="zh-TW" altLang="en-US"/>
            </a:p>
          </c:txPr>
        </c:title>
        <c:numFmt formatCode="0.0_ " sourceLinked="0"/>
        <c:majorTickMark val="out"/>
        <c:minorTickMark val="none"/>
        <c:tickLblPos val="nextTo"/>
        <c:spPr>
          <a:noFill/>
          <a:ln w="9525" cap="flat" cmpd="sng" algn="ctr">
            <a:solidFill>
              <a:schemeClr val="tx1">
                <a:tint val="75000"/>
                <a:shade val="95000"/>
                <a:satMod val="105000"/>
              </a:schemeClr>
            </a:solidFill>
            <a:prstDash val="solid"/>
            <a:round/>
          </a:ln>
          <a:effectLst/>
        </c:spPr>
        <c:txPr>
          <a:bodyPr rot="-60000000" spcFirstLastPara="1" vertOverflow="ellipsis" vert="horz" wrap="square" anchor="ctr" anchorCtr="1"/>
          <a:lstStyle/>
          <a:p>
            <a:pPr>
              <a:defRPr sz="1100" b="1" i="0" u="none" strike="noStrike" kern="1200" baseline="0">
                <a:solidFill>
                  <a:schemeClr val="tx1"/>
                </a:solidFill>
                <a:latin typeface="+mn-lt"/>
                <a:ea typeface="+mn-ea"/>
                <a:cs typeface="+mn-cs"/>
              </a:defRPr>
            </a:pPr>
            <a:endParaRPr lang="zh-TW"/>
          </a:p>
        </c:txPr>
        <c:crossAx val="192679872"/>
        <c:crosses val="autoZero"/>
        <c:crossBetween val="midCat"/>
      </c:valAx>
      <c:spPr>
        <a:solidFill>
          <a:schemeClr val="bg1"/>
        </a:solidFill>
        <a:ln>
          <a:noFill/>
        </a:ln>
        <a:effectLst/>
      </c:spPr>
    </c:plotArea>
    <c:legend>
      <c:legendPos val="r"/>
      <c:layout>
        <c:manualLayout>
          <c:xMode val="edge"/>
          <c:yMode val="edge"/>
          <c:x val="0.62946410579318179"/>
          <c:y val="8.57834149513578E-2"/>
          <c:w val="0.33519538966007245"/>
          <c:h val="0.40967741213778741"/>
        </c:manualLayout>
      </c:layout>
      <c:overlay val="1"/>
      <c:spPr>
        <a:noFill/>
        <a:ln>
          <a:noFill/>
        </a:ln>
        <a:effectLst/>
      </c:spPr>
      <c:txPr>
        <a:bodyPr rot="0" spcFirstLastPara="1" vertOverflow="ellipsis" vert="horz" wrap="square" anchor="ctr" anchorCtr="1"/>
        <a:lstStyle/>
        <a:p>
          <a:pPr>
            <a:defRPr sz="1400" b="1" i="0" u="none" strike="noStrike" kern="1200" baseline="0">
              <a:solidFill>
                <a:schemeClr val="tx1"/>
              </a:solidFill>
              <a:latin typeface="+mn-lt"/>
              <a:ea typeface="+mn-ea"/>
              <a:cs typeface="+mn-cs"/>
            </a:defRPr>
          </a:pPr>
          <a:endParaRPr lang="zh-TW"/>
        </a:p>
      </c:txPr>
    </c:legend>
    <c:plotVisOnly val="1"/>
    <c:dispBlanksAs val="gap"/>
    <c:showDLblsOverMax val="0"/>
  </c:chart>
  <c:spPr>
    <a:solidFill>
      <a:schemeClr val="bg1"/>
    </a:solidFill>
    <a:ln w="9525" cap="flat" cmpd="sng" algn="ctr">
      <a:solidFill>
        <a:schemeClr val="tx1">
          <a:tint val="75000"/>
          <a:shade val="95000"/>
          <a:satMod val="105000"/>
        </a:schemeClr>
      </a:solidFill>
      <a:prstDash val="solid"/>
      <a:round/>
    </a:ln>
    <a:effectLst/>
  </c:spPr>
  <c:txPr>
    <a:bodyPr/>
    <a:lstStyle/>
    <a:p>
      <a:pPr>
        <a:defRPr/>
      </a:pPr>
      <a:endParaRPr lang="zh-TW"/>
    </a:p>
  </c:txPr>
  <c:printSettings>
    <c:headerFooter/>
    <c:pageMargins b="0.75000000000000433" l="0.70000000000000062" r="0.70000000000000062" t="0.75000000000000433"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815047021943573"/>
          <c:y val="4.8571428571428557E-2"/>
          <c:w val="0.85423197492163006"/>
          <c:h val="0.81428571428571461"/>
        </c:manualLayout>
      </c:layout>
      <c:scatterChart>
        <c:scatterStyle val="lineMarker"/>
        <c:varyColors val="0"/>
        <c:ser>
          <c:idx val="0"/>
          <c:order val="0"/>
          <c:tx>
            <c:v>FuD</c:v>
          </c:tx>
          <c:spPr>
            <a:ln w="25400"/>
          </c:spPr>
          <c:marker>
            <c:symbol val="none"/>
          </c:marker>
          <c:xVal>
            <c:numRef>
              <c:f>台北盆地Cs!$R$41:$R$218</c:f>
              <c:numCache>
                <c:formatCode>General</c:formatCode>
                <c:ptCount val="178"/>
                <c:pt idx="0">
                  <c:v>1E-3</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pt idx="51">
                  <c:v>1.02</c:v>
                </c:pt>
                <c:pt idx="52">
                  <c:v>1.04</c:v>
                </c:pt>
                <c:pt idx="53">
                  <c:v>1.06</c:v>
                </c:pt>
                <c:pt idx="54">
                  <c:v>1.08</c:v>
                </c:pt>
                <c:pt idx="55">
                  <c:v>1.1000000000000001</c:v>
                </c:pt>
                <c:pt idx="56">
                  <c:v>1.1200000000000001</c:v>
                </c:pt>
                <c:pt idx="57">
                  <c:v>1.1399999999999999</c:v>
                </c:pt>
                <c:pt idx="58">
                  <c:v>1.1599999999999999</c:v>
                </c:pt>
                <c:pt idx="59">
                  <c:v>1.18</c:v>
                </c:pt>
                <c:pt idx="60">
                  <c:v>1.2</c:v>
                </c:pt>
                <c:pt idx="61">
                  <c:v>1.22</c:v>
                </c:pt>
                <c:pt idx="62">
                  <c:v>1.24</c:v>
                </c:pt>
                <c:pt idx="63">
                  <c:v>1.26</c:v>
                </c:pt>
                <c:pt idx="64">
                  <c:v>1.28</c:v>
                </c:pt>
                <c:pt idx="65">
                  <c:v>1.3</c:v>
                </c:pt>
                <c:pt idx="66">
                  <c:v>1.32</c:v>
                </c:pt>
                <c:pt idx="67">
                  <c:v>1.34</c:v>
                </c:pt>
                <c:pt idx="68">
                  <c:v>1.36</c:v>
                </c:pt>
                <c:pt idx="69">
                  <c:v>1.38</c:v>
                </c:pt>
                <c:pt idx="70">
                  <c:v>1.4</c:v>
                </c:pt>
                <c:pt idx="71">
                  <c:v>1.42</c:v>
                </c:pt>
                <c:pt idx="72">
                  <c:v>1.44</c:v>
                </c:pt>
                <c:pt idx="73">
                  <c:v>1.46</c:v>
                </c:pt>
                <c:pt idx="74">
                  <c:v>1.48</c:v>
                </c:pt>
                <c:pt idx="75">
                  <c:v>1.5</c:v>
                </c:pt>
                <c:pt idx="76">
                  <c:v>1.52</c:v>
                </c:pt>
                <c:pt idx="77">
                  <c:v>1.54</c:v>
                </c:pt>
                <c:pt idx="78">
                  <c:v>1.56</c:v>
                </c:pt>
                <c:pt idx="79">
                  <c:v>1.58</c:v>
                </c:pt>
                <c:pt idx="80">
                  <c:v>1.6</c:v>
                </c:pt>
                <c:pt idx="81">
                  <c:v>1.62</c:v>
                </c:pt>
                <c:pt idx="82">
                  <c:v>1.64</c:v>
                </c:pt>
                <c:pt idx="83">
                  <c:v>1.66</c:v>
                </c:pt>
                <c:pt idx="84">
                  <c:v>1.68</c:v>
                </c:pt>
                <c:pt idx="85">
                  <c:v>1.7</c:v>
                </c:pt>
                <c:pt idx="86">
                  <c:v>1.72</c:v>
                </c:pt>
                <c:pt idx="87">
                  <c:v>1.74</c:v>
                </c:pt>
                <c:pt idx="88">
                  <c:v>1.76</c:v>
                </c:pt>
                <c:pt idx="89">
                  <c:v>1.78</c:v>
                </c:pt>
                <c:pt idx="90">
                  <c:v>1.8</c:v>
                </c:pt>
                <c:pt idx="91">
                  <c:v>1.82</c:v>
                </c:pt>
                <c:pt idx="92">
                  <c:v>1.84</c:v>
                </c:pt>
                <c:pt idx="93">
                  <c:v>1.86</c:v>
                </c:pt>
                <c:pt idx="94">
                  <c:v>1.88</c:v>
                </c:pt>
                <c:pt idx="95">
                  <c:v>1.9</c:v>
                </c:pt>
                <c:pt idx="96">
                  <c:v>1.92</c:v>
                </c:pt>
                <c:pt idx="97">
                  <c:v>1.94</c:v>
                </c:pt>
                <c:pt idx="98">
                  <c:v>1.96</c:v>
                </c:pt>
                <c:pt idx="99">
                  <c:v>1.98</c:v>
                </c:pt>
                <c:pt idx="100">
                  <c:v>2</c:v>
                </c:pt>
                <c:pt idx="101">
                  <c:v>2.02</c:v>
                </c:pt>
                <c:pt idx="102">
                  <c:v>2.04</c:v>
                </c:pt>
                <c:pt idx="103">
                  <c:v>2.06</c:v>
                </c:pt>
                <c:pt idx="104">
                  <c:v>2.08</c:v>
                </c:pt>
                <c:pt idx="105">
                  <c:v>2.1</c:v>
                </c:pt>
                <c:pt idx="106">
                  <c:v>2.12</c:v>
                </c:pt>
                <c:pt idx="107">
                  <c:v>2.14</c:v>
                </c:pt>
                <c:pt idx="108">
                  <c:v>2.16</c:v>
                </c:pt>
                <c:pt idx="109">
                  <c:v>2.1800000000000002</c:v>
                </c:pt>
                <c:pt idx="110">
                  <c:v>2.2000000000000002</c:v>
                </c:pt>
                <c:pt idx="111">
                  <c:v>2.2200000000000002</c:v>
                </c:pt>
                <c:pt idx="112">
                  <c:v>2.2400000000000002</c:v>
                </c:pt>
                <c:pt idx="113">
                  <c:v>2.2599999999999998</c:v>
                </c:pt>
                <c:pt idx="114">
                  <c:v>2.2799999999999998</c:v>
                </c:pt>
                <c:pt idx="115">
                  <c:v>2.2999999999999998</c:v>
                </c:pt>
                <c:pt idx="116">
                  <c:v>2.3199999999999998</c:v>
                </c:pt>
                <c:pt idx="117">
                  <c:v>2.34</c:v>
                </c:pt>
                <c:pt idx="118">
                  <c:v>2.36</c:v>
                </c:pt>
                <c:pt idx="119">
                  <c:v>2.38</c:v>
                </c:pt>
                <c:pt idx="120">
                  <c:v>2.4</c:v>
                </c:pt>
                <c:pt idx="121">
                  <c:v>2.42</c:v>
                </c:pt>
                <c:pt idx="122">
                  <c:v>2.44</c:v>
                </c:pt>
                <c:pt idx="123">
                  <c:v>2.46</c:v>
                </c:pt>
                <c:pt idx="124">
                  <c:v>2.48</c:v>
                </c:pt>
                <c:pt idx="125">
                  <c:v>2.5</c:v>
                </c:pt>
                <c:pt idx="126">
                  <c:v>2.52</c:v>
                </c:pt>
                <c:pt idx="127">
                  <c:v>2.54</c:v>
                </c:pt>
                <c:pt idx="128">
                  <c:v>2.56</c:v>
                </c:pt>
                <c:pt idx="129">
                  <c:v>2.58</c:v>
                </c:pt>
                <c:pt idx="130">
                  <c:v>2.6</c:v>
                </c:pt>
                <c:pt idx="131">
                  <c:v>2.62</c:v>
                </c:pt>
                <c:pt idx="132">
                  <c:v>2.64</c:v>
                </c:pt>
                <c:pt idx="133">
                  <c:v>2.66</c:v>
                </c:pt>
                <c:pt idx="134">
                  <c:v>2.68</c:v>
                </c:pt>
                <c:pt idx="135">
                  <c:v>2.7</c:v>
                </c:pt>
                <c:pt idx="136">
                  <c:v>2.72</c:v>
                </c:pt>
                <c:pt idx="137">
                  <c:v>2.74</c:v>
                </c:pt>
                <c:pt idx="138">
                  <c:v>2.76</c:v>
                </c:pt>
                <c:pt idx="139">
                  <c:v>2.78</c:v>
                </c:pt>
                <c:pt idx="140">
                  <c:v>2.8</c:v>
                </c:pt>
                <c:pt idx="141">
                  <c:v>2.82</c:v>
                </c:pt>
                <c:pt idx="142">
                  <c:v>2.84</c:v>
                </c:pt>
                <c:pt idx="143">
                  <c:v>2.86</c:v>
                </c:pt>
                <c:pt idx="144">
                  <c:v>2.88</c:v>
                </c:pt>
                <c:pt idx="145">
                  <c:v>2.9</c:v>
                </c:pt>
                <c:pt idx="146">
                  <c:v>2.92</c:v>
                </c:pt>
                <c:pt idx="147">
                  <c:v>2.94</c:v>
                </c:pt>
                <c:pt idx="148">
                  <c:v>2.96</c:v>
                </c:pt>
                <c:pt idx="149">
                  <c:v>2.98</c:v>
                </c:pt>
                <c:pt idx="150">
                  <c:v>3</c:v>
                </c:pt>
                <c:pt idx="151">
                  <c:v>3.02</c:v>
                </c:pt>
                <c:pt idx="152">
                  <c:v>3.04</c:v>
                </c:pt>
                <c:pt idx="153">
                  <c:v>3.06</c:v>
                </c:pt>
                <c:pt idx="154">
                  <c:v>3.08</c:v>
                </c:pt>
                <c:pt idx="155">
                  <c:v>3.1</c:v>
                </c:pt>
                <c:pt idx="156">
                  <c:v>3.12</c:v>
                </c:pt>
                <c:pt idx="157">
                  <c:v>3.14</c:v>
                </c:pt>
                <c:pt idx="158">
                  <c:v>3.16</c:v>
                </c:pt>
                <c:pt idx="159">
                  <c:v>3.18</c:v>
                </c:pt>
                <c:pt idx="160">
                  <c:v>3.2</c:v>
                </c:pt>
                <c:pt idx="161">
                  <c:v>3.22</c:v>
                </c:pt>
                <c:pt idx="162">
                  <c:v>3.24</c:v>
                </c:pt>
                <c:pt idx="163">
                  <c:v>3.26</c:v>
                </c:pt>
                <c:pt idx="164">
                  <c:v>3.28</c:v>
                </c:pt>
                <c:pt idx="165">
                  <c:v>3.3</c:v>
                </c:pt>
                <c:pt idx="166">
                  <c:v>3.32</c:v>
                </c:pt>
                <c:pt idx="167">
                  <c:v>3.34</c:v>
                </c:pt>
                <c:pt idx="168">
                  <c:v>3.36</c:v>
                </c:pt>
                <c:pt idx="169">
                  <c:v>3.38</c:v>
                </c:pt>
                <c:pt idx="170">
                  <c:v>3.4</c:v>
                </c:pt>
                <c:pt idx="171">
                  <c:v>3.42</c:v>
                </c:pt>
                <c:pt idx="172">
                  <c:v>3.44</c:v>
                </c:pt>
                <c:pt idx="173">
                  <c:v>3.46</c:v>
                </c:pt>
                <c:pt idx="174">
                  <c:v>3.48</c:v>
                </c:pt>
                <c:pt idx="175">
                  <c:v>3.5</c:v>
                </c:pt>
                <c:pt idx="176">
                  <c:v>3.52</c:v>
                </c:pt>
                <c:pt idx="177">
                  <c:v>4</c:v>
                </c:pt>
              </c:numCache>
            </c:numRef>
          </c:xVal>
          <c:yVal>
            <c:numRef>
              <c:f>台北盆地Cs!$U$41:$U$218</c:f>
              <c:numCache>
                <c:formatCode>General</c:formatCode>
                <c:ptCount val="178"/>
                <c:pt idx="0">
                  <c:v>1.0021122820710884</c:v>
                </c:pt>
                <c:pt idx="1">
                  <c:v>1.0422456414217667</c:v>
                </c:pt>
                <c:pt idx="2">
                  <c:v>1.0844912828435334</c:v>
                </c:pt>
                <c:pt idx="3">
                  <c:v>1.1267369242653</c:v>
                </c:pt>
                <c:pt idx="4">
                  <c:v>1.1689825656870667</c:v>
                </c:pt>
                <c:pt idx="5">
                  <c:v>1.2112282071088334</c:v>
                </c:pt>
                <c:pt idx="6">
                  <c:v>1.2534738485306001</c:v>
                </c:pt>
                <c:pt idx="7">
                  <c:v>1.2957194899523667</c:v>
                </c:pt>
                <c:pt idx="8">
                  <c:v>1.3379651313741334</c:v>
                </c:pt>
                <c:pt idx="9">
                  <c:v>1.3802107727959001</c:v>
                </c:pt>
                <c:pt idx="10">
                  <c:v>1.4224564142176668</c:v>
                </c:pt>
                <c:pt idx="11">
                  <c:v>1.4647020556394335</c:v>
                </c:pt>
                <c:pt idx="12">
                  <c:v>1.5069476970612001</c:v>
                </c:pt>
                <c:pt idx="13">
                  <c:v>1.5491933384829668</c:v>
                </c:pt>
                <c:pt idx="14">
                  <c:v>1.5491933384829668</c:v>
                </c:pt>
                <c:pt idx="15">
                  <c:v>1.5491933384829668</c:v>
                </c:pt>
                <c:pt idx="16">
                  <c:v>1.5491933384829668</c:v>
                </c:pt>
                <c:pt idx="17">
                  <c:v>1.5491933384829668</c:v>
                </c:pt>
                <c:pt idx="18">
                  <c:v>1.5491933384829668</c:v>
                </c:pt>
                <c:pt idx="19">
                  <c:v>1.5491933384829668</c:v>
                </c:pt>
                <c:pt idx="20">
                  <c:v>1.5491933384829668</c:v>
                </c:pt>
                <c:pt idx="21">
                  <c:v>1.5491933384829668</c:v>
                </c:pt>
                <c:pt idx="22">
                  <c:v>1.5491933384829668</c:v>
                </c:pt>
                <c:pt idx="23">
                  <c:v>1.5491933384829668</c:v>
                </c:pt>
                <c:pt idx="24">
                  <c:v>1.5491933384829668</c:v>
                </c:pt>
                <c:pt idx="25">
                  <c:v>1.5491933384829668</c:v>
                </c:pt>
                <c:pt idx="26">
                  <c:v>1.5491933384829668</c:v>
                </c:pt>
                <c:pt idx="27">
                  <c:v>1.5491933384829668</c:v>
                </c:pt>
                <c:pt idx="28">
                  <c:v>1.5491933384829668</c:v>
                </c:pt>
                <c:pt idx="29">
                  <c:v>1.5491933384829668</c:v>
                </c:pt>
                <c:pt idx="30">
                  <c:v>1.5491933384829668</c:v>
                </c:pt>
                <c:pt idx="31">
                  <c:v>1.5491933384829668</c:v>
                </c:pt>
                <c:pt idx="32">
                  <c:v>1.5491933384829668</c:v>
                </c:pt>
                <c:pt idx="33">
                  <c:v>1.5491933384829668</c:v>
                </c:pt>
                <c:pt idx="34">
                  <c:v>1.5491933384829668</c:v>
                </c:pt>
                <c:pt idx="35">
                  <c:v>1.5491933384829668</c:v>
                </c:pt>
                <c:pt idx="36">
                  <c:v>1.5491933384829668</c:v>
                </c:pt>
                <c:pt idx="37">
                  <c:v>1.5491933384829668</c:v>
                </c:pt>
                <c:pt idx="38">
                  <c:v>1.5491933384829668</c:v>
                </c:pt>
                <c:pt idx="39">
                  <c:v>1.5491933384829668</c:v>
                </c:pt>
                <c:pt idx="40">
                  <c:v>1.5549935946951603</c:v>
                </c:pt>
                <c:pt idx="41">
                  <c:v>1.560793850907354</c:v>
                </c:pt>
                <c:pt idx="42">
                  <c:v>1.5665941071195475</c:v>
                </c:pt>
                <c:pt idx="43">
                  <c:v>1.5723943633317412</c:v>
                </c:pt>
                <c:pt idx="44">
                  <c:v>1.5781946195439347</c:v>
                </c:pt>
                <c:pt idx="45">
                  <c:v>1.5839948757561284</c:v>
                </c:pt>
                <c:pt idx="46">
                  <c:v>1.5897951319683219</c:v>
                </c:pt>
                <c:pt idx="47">
                  <c:v>1.5955953881805154</c:v>
                </c:pt>
                <c:pt idx="48">
                  <c:v>1.6013956443927091</c:v>
                </c:pt>
                <c:pt idx="49">
                  <c:v>1.6071959006049026</c:v>
                </c:pt>
                <c:pt idx="50">
                  <c:v>1.6129961568170963</c:v>
                </c:pt>
                <c:pt idx="51">
                  <c:v>1.6187964130292898</c:v>
                </c:pt>
                <c:pt idx="52">
                  <c:v>1.6245966692414835</c:v>
                </c:pt>
                <c:pt idx="53">
                  <c:v>1.630396925453677</c:v>
                </c:pt>
                <c:pt idx="54">
                  <c:v>1.6361971816658705</c:v>
                </c:pt>
                <c:pt idx="55">
                  <c:v>1.6419974378780642</c:v>
                </c:pt>
                <c:pt idx="56">
                  <c:v>1.6477976940902577</c:v>
                </c:pt>
                <c:pt idx="57">
                  <c:v>1.6535979503024512</c:v>
                </c:pt>
                <c:pt idx="58">
                  <c:v>1.6593982065146449</c:v>
                </c:pt>
                <c:pt idx="59">
                  <c:v>1.6651984627268384</c:v>
                </c:pt>
                <c:pt idx="60">
                  <c:v>1.6709987189390321</c:v>
                </c:pt>
                <c:pt idx="61">
                  <c:v>1.6767989751512256</c:v>
                </c:pt>
                <c:pt idx="62">
                  <c:v>1.6825992313634193</c:v>
                </c:pt>
                <c:pt idx="63">
                  <c:v>1.6883994875756128</c:v>
                </c:pt>
                <c:pt idx="64">
                  <c:v>1.6941997437878062</c:v>
                </c:pt>
                <c:pt idx="65">
                  <c:v>1.7</c:v>
                </c:pt>
                <c:pt idx="66">
                  <c:v>1.7</c:v>
                </c:pt>
                <c:pt idx="67">
                  <c:v>1.7</c:v>
                </c:pt>
                <c:pt idx="68">
                  <c:v>1.7</c:v>
                </c:pt>
                <c:pt idx="69">
                  <c:v>1.7</c:v>
                </c:pt>
                <c:pt idx="70">
                  <c:v>1.7</c:v>
                </c:pt>
                <c:pt idx="71">
                  <c:v>1.7</c:v>
                </c:pt>
                <c:pt idx="72">
                  <c:v>1.7</c:v>
                </c:pt>
                <c:pt idx="73">
                  <c:v>1.7</c:v>
                </c:pt>
                <c:pt idx="74">
                  <c:v>1.7</c:v>
                </c:pt>
                <c:pt idx="75">
                  <c:v>1.7</c:v>
                </c:pt>
                <c:pt idx="76">
                  <c:v>1.7</c:v>
                </c:pt>
                <c:pt idx="77">
                  <c:v>1.7</c:v>
                </c:pt>
                <c:pt idx="78">
                  <c:v>1.7</c:v>
                </c:pt>
                <c:pt idx="79">
                  <c:v>1.7</c:v>
                </c:pt>
                <c:pt idx="80">
                  <c:v>1.7</c:v>
                </c:pt>
                <c:pt idx="81">
                  <c:v>1.7</c:v>
                </c:pt>
                <c:pt idx="82">
                  <c:v>1.7</c:v>
                </c:pt>
                <c:pt idx="83">
                  <c:v>1.7</c:v>
                </c:pt>
                <c:pt idx="84">
                  <c:v>1.7</c:v>
                </c:pt>
                <c:pt idx="85">
                  <c:v>1.7</c:v>
                </c:pt>
                <c:pt idx="86">
                  <c:v>1.7</c:v>
                </c:pt>
                <c:pt idx="87">
                  <c:v>1.7</c:v>
                </c:pt>
                <c:pt idx="88">
                  <c:v>1.7</c:v>
                </c:pt>
                <c:pt idx="89">
                  <c:v>1.7</c:v>
                </c:pt>
                <c:pt idx="90">
                  <c:v>1.7</c:v>
                </c:pt>
                <c:pt idx="91">
                  <c:v>1.7</c:v>
                </c:pt>
                <c:pt idx="92">
                  <c:v>1.7</c:v>
                </c:pt>
                <c:pt idx="93">
                  <c:v>1.7</c:v>
                </c:pt>
                <c:pt idx="94">
                  <c:v>1.7</c:v>
                </c:pt>
                <c:pt idx="95">
                  <c:v>1.7</c:v>
                </c:pt>
                <c:pt idx="96">
                  <c:v>1.7</c:v>
                </c:pt>
                <c:pt idx="97">
                  <c:v>1.7</c:v>
                </c:pt>
                <c:pt idx="98">
                  <c:v>1.7</c:v>
                </c:pt>
                <c:pt idx="99">
                  <c:v>1.7</c:v>
                </c:pt>
                <c:pt idx="100">
                  <c:v>1.7</c:v>
                </c:pt>
                <c:pt idx="101">
                  <c:v>1.7</c:v>
                </c:pt>
                <c:pt idx="102">
                  <c:v>1.7</c:v>
                </c:pt>
                <c:pt idx="103">
                  <c:v>1.7</c:v>
                </c:pt>
                <c:pt idx="104">
                  <c:v>1.7</c:v>
                </c:pt>
                <c:pt idx="105">
                  <c:v>1.7</c:v>
                </c:pt>
                <c:pt idx="106">
                  <c:v>1.7</c:v>
                </c:pt>
                <c:pt idx="107">
                  <c:v>1.7</c:v>
                </c:pt>
                <c:pt idx="108">
                  <c:v>1.7</c:v>
                </c:pt>
                <c:pt idx="109">
                  <c:v>1.7</c:v>
                </c:pt>
                <c:pt idx="110">
                  <c:v>1.7</c:v>
                </c:pt>
                <c:pt idx="111">
                  <c:v>1.7</c:v>
                </c:pt>
                <c:pt idx="112">
                  <c:v>1.7</c:v>
                </c:pt>
                <c:pt idx="113">
                  <c:v>1.7</c:v>
                </c:pt>
                <c:pt idx="114">
                  <c:v>1.7</c:v>
                </c:pt>
                <c:pt idx="115">
                  <c:v>1.7</c:v>
                </c:pt>
                <c:pt idx="116">
                  <c:v>1.7</c:v>
                </c:pt>
                <c:pt idx="117">
                  <c:v>1.7</c:v>
                </c:pt>
                <c:pt idx="118">
                  <c:v>1.7</c:v>
                </c:pt>
                <c:pt idx="119">
                  <c:v>1.7</c:v>
                </c:pt>
                <c:pt idx="120">
                  <c:v>1.7</c:v>
                </c:pt>
                <c:pt idx="121">
                  <c:v>1.7</c:v>
                </c:pt>
                <c:pt idx="122">
                  <c:v>1.7</c:v>
                </c:pt>
                <c:pt idx="123">
                  <c:v>1.7</c:v>
                </c:pt>
                <c:pt idx="124">
                  <c:v>1.7</c:v>
                </c:pt>
                <c:pt idx="125">
                  <c:v>1.7</c:v>
                </c:pt>
                <c:pt idx="126">
                  <c:v>1.7</c:v>
                </c:pt>
                <c:pt idx="127">
                  <c:v>1.7</c:v>
                </c:pt>
                <c:pt idx="128">
                  <c:v>1.7</c:v>
                </c:pt>
                <c:pt idx="129">
                  <c:v>1.7</c:v>
                </c:pt>
                <c:pt idx="130">
                  <c:v>1.7</c:v>
                </c:pt>
                <c:pt idx="131">
                  <c:v>1.7</c:v>
                </c:pt>
                <c:pt idx="132">
                  <c:v>1.7</c:v>
                </c:pt>
                <c:pt idx="133">
                  <c:v>1.7</c:v>
                </c:pt>
                <c:pt idx="134">
                  <c:v>1.7</c:v>
                </c:pt>
                <c:pt idx="135">
                  <c:v>1.7</c:v>
                </c:pt>
                <c:pt idx="136">
                  <c:v>1.7</c:v>
                </c:pt>
                <c:pt idx="137">
                  <c:v>1.7</c:v>
                </c:pt>
                <c:pt idx="138">
                  <c:v>1.7</c:v>
                </c:pt>
                <c:pt idx="139">
                  <c:v>1.7</c:v>
                </c:pt>
                <c:pt idx="140">
                  <c:v>1.7</c:v>
                </c:pt>
                <c:pt idx="141">
                  <c:v>1.7</c:v>
                </c:pt>
                <c:pt idx="142">
                  <c:v>1.7</c:v>
                </c:pt>
                <c:pt idx="143">
                  <c:v>1.7</c:v>
                </c:pt>
                <c:pt idx="144">
                  <c:v>1.7</c:v>
                </c:pt>
                <c:pt idx="145">
                  <c:v>1.7</c:v>
                </c:pt>
                <c:pt idx="146">
                  <c:v>1.7</c:v>
                </c:pt>
                <c:pt idx="147">
                  <c:v>1.7</c:v>
                </c:pt>
                <c:pt idx="148">
                  <c:v>1.7</c:v>
                </c:pt>
                <c:pt idx="149">
                  <c:v>1.7</c:v>
                </c:pt>
                <c:pt idx="150">
                  <c:v>1.7</c:v>
                </c:pt>
                <c:pt idx="151">
                  <c:v>1.7</c:v>
                </c:pt>
                <c:pt idx="152">
                  <c:v>1.7</c:v>
                </c:pt>
                <c:pt idx="153">
                  <c:v>1.7</c:v>
                </c:pt>
                <c:pt idx="154">
                  <c:v>1.7</c:v>
                </c:pt>
                <c:pt idx="155">
                  <c:v>1.7</c:v>
                </c:pt>
                <c:pt idx="156">
                  <c:v>1.7</c:v>
                </c:pt>
                <c:pt idx="157">
                  <c:v>1.7</c:v>
                </c:pt>
                <c:pt idx="158">
                  <c:v>1.7</c:v>
                </c:pt>
                <c:pt idx="159">
                  <c:v>1.7</c:v>
                </c:pt>
                <c:pt idx="160">
                  <c:v>1.7</c:v>
                </c:pt>
                <c:pt idx="161">
                  <c:v>1.7</c:v>
                </c:pt>
                <c:pt idx="162">
                  <c:v>1.7</c:v>
                </c:pt>
                <c:pt idx="163">
                  <c:v>1.7</c:v>
                </c:pt>
                <c:pt idx="164">
                  <c:v>1.7</c:v>
                </c:pt>
                <c:pt idx="165">
                  <c:v>1.7</c:v>
                </c:pt>
                <c:pt idx="166">
                  <c:v>1.7</c:v>
                </c:pt>
                <c:pt idx="167">
                  <c:v>1.7</c:v>
                </c:pt>
                <c:pt idx="168">
                  <c:v>1.7</c:v>
                </c:pt>
                <c:pt idx="169">
                  <c:v>1.7</c:v>
                </c:pt>
                <c:pt idx="170">
                  <c:v>1.7</c:v>
                </c:pt>
                <c:pt idx="171">
                  <c:v>1.7</c:v>
                </c:pt>
                <c:pt idx="172">
                  <c:v>1.7</c:v>
                </c:pt>
                <c:pt idx="173">
                  <c:v>1.7</c:v>
                </c:pt>
                <c:pt idx="174">
                  <c:v>1.7</c:v>
                </c:pt>
                <c:pt idx="175">
                  <c:v>1.7</c:v>
                </c:pt>
                <c:pt idx="176">
                  <c:v>1.7</c:v>
                </c:pt>
                <c:pt idx="177">
                  <c:v>1.7</c:v>
                </c:pt>
              </c:numCache>
            </c:numRef>
          </c:yVal>
          <c:smooth val="0"/>
          <c:extLst>
            <c:ext xmlns:c16="http://schemas.microsoft.com/office/drawing/2014/chart" uri="{C3380CC4-5D6E-409C-BE32-E72D297353CC}">
              <c16:uniqueId val="{00000000-4249-43E1-AAE5-DF7A3316AF1A}"/>
            </c:ext>
          </c:extLst>
        </c:ser>
        <c:ser>
          <c:idx val="2"/>
          <c:order val="1"/>
          <c:tx>
            <c:v>FuM</c:v>
          </c:tx>
          <c:spPr>
            <a:ln>
              <a:solidFill>
                <a:srgbClr val="00B050"/>
              </a:solidFill>
              <a:prstDash val="sysDash"/>
            </a:ln>
          </c:spPr>
          <c:marker>
            <c:symbol val="none"/>
          </c:marker>
          <c:xVal>
            <c:numRef>
              <c:f>台北盆地Cs!$R$41:$R$218</c:f>
              <c:numCache>
                <c:formatCode>General</c:formatCode>
                <c:ptCount val="178"/>
                <c:pt idx="0">
                  <c:v>1E-3</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pt idx="51">
                  <c:v>1.02</c:v>
                </c:pt>
                <c:pt idx="52">
                  <c:v>1.04</c:v>
                </c:pt>
                <c:pt idx="53">
                  <c:v>1.06</c:v>
                </c:pt>
                <c:pt idx="54">
                  <c:v>1.08</c:v>
                </c:pt>
                <c:pt idx="55">
                  <c:v>1.1000000000000001</c:v>
                </c:pt>
                <c:pt idx="56">
                  <c:v>1.1200000000000001</c:v>
                </c:pt>
                <c:pt idx="57">
                  <c:v>1.1399999999999999</c:v>
                </c:pt>
                <c:pt idx="58">
                  <c:v>1.1599999999999999</c:v>
                </c:pt>
                <c:pt idx="59">
                  <c:v>1.18</c:v>
                </c:pt>
                <c:pt idx="60">
                  <c:v>1.2</c:v>
                </c:pt>
                <c:pt idx="61">
                  <c:v>1.22</c:v>
                </c:pt>
                <c:pt idx="62">
                  <c:v>1.24</c:v>
                </c:pt>
                <c:pt idx="63">
                  <c:v>1.26</c:v>
                </c:pt>
                <c:pt idx="64">
                  <c:v>1.28</c:v>
                </c:pt>
                <c:pt idx="65">
                  <c:v>1.3</c:v>
                </c:pt>
                <c:pt idx="66">
                  <c:v>1.32</c:v>
                </c:pt>
                <c:pt idx="67">
                  <c:v>1.34</c:v>
                </c:pt>
                <c:pt idx="68">
                  <c:v>1.36</c:v>
                </c:pt>
                <c:pt idx="69">
                  <c:v>1.38</c:v>
                </c:pt>
                <c:pt idx="70">
                  <c:v>1.4</c:v>
                </c:pt>
                <c:pt idx="71">
                  <c:v>1.42</c:v>
                </c:pt>
                <c:pt idx="72">
                  <c:v>1.44</c:v>
                </c:pt>
                <c:pt idx="73">
                  <c:v>1.46</c:v>
                </c:pt>
                <c:pt idx="74">
                  <c:v>1.48</c:v>
                </c:pt>
                <c:pt idx="75">
                  <c:v>1.5</c:v>
                </c:pt>
                <c:pt idx="76">
                  <c:v>1.52</c:v>
                </c:pt>
                <c:pt idx="77">
                  <c:v>1.54</c:v>
                </c:pt>
                <c:pt idx="78">
                  <c:v>1.56</c:v>
                </c:pt>
                <c:pt idx="79">
                  <c:v>1.58</c:v>
                </c:pt>
                <c:pt idx="80">
                  <c:v>1.6</c:v>
                </c:pt>
                <c:pt idx="81">
                  <c:v>1.62</c:v>
                </c:pt>
                <c:pt idx="82">
                  <c:v>1.64</c:v>
                </c:pt>
                <c:pt idx="83">
                  <c:v>1.66</c:v>
                </c:pt>
                <c:pt idx="84">
                  <c:v>1.68</c:v>
                </c:pt>
                <c:pt idx="85">
                  <c:v>1.7</c:v>
                </c:pt>
                <c:pt idx="86">
                  <c:v>1.72</c:v>
                </c:pt>
                <c:pt idx="87">
                  <c:v>1.74</c:v>
                </c:pt>
                <c:pt idx="88">
                  <c:v>1.76</c:v>
                </c:pt>
                <c:pt idx="89">
                  <c:v>1.78</c:v>
                </c:pt>
                <c:pt idx="90">
                  <c:v>1.8</c:v>
                </c:pt>
                <c:pt idx="91">
                  <c:v>1.82</c:v>
                </c:pt>
                <c:pt idx="92">
                  <c:v>1.84</c:v>
                </c:pt>
                <c:pt idx="93">
                  <c:v>1.86</c:v>
                </c:pt>
                <c:pt idx="94">
                  <c:v>1.88</c:v>
                </c:pt>
                <c:pt idx="95">
                  <c:v>1.9</c:v>
                </c:pt>
                <c:pt idx="96">
                  <c:v>1.92</c:v>
                </c:pt>
                <c:pt idx="97">
                  <c:v>1.94</c:v>
                </c:pt>
                <c:pt idx="98">
                  <c:v>1.96</c:v>
                </c:pt>
                <c:pt idx="99">
                  <c:v>1.98</c:v>
                </c:pt>
                <c:pt idx="100">
                  <c:v>2</c:v>
                </c:pt>
                <c:pt idx="101">
                  <c:v>2.02</c:v>
                </c:pt>
                <c:pt idx="102">
                  <c:v>2.04</c:v>
                </c:pt>
                <c:pt idx="103">
                  <c:v>2.06</c:v>
                </c:pt>
                <c:pt idx="104">
                  <c:v>2.08</c:v>
                </c:pt>
                <c:pt idx="105">
                  <c:v>2.1</c:v>
                </c:pt>
                <c:pt idx="106">
                  <c:v>2.12</c:v>
                </c:pt>
                <c:pt idx="107">
                  <c:v>2.14</c:v>
                </c:pt>
                <c:pt idx="108">
                  <c:v>2.16</c:v>
                </c:pt>
                <c:pt idx="109">
                  <c:v>2.1800000000000002</c:v>
                </c:pt>
                <c:pt idx="110">
                  <c:v>2.2000000000000002</c:v>
                </c:pt>
                <c:pt idx="111">
                  <c:v>2.2200000000000002</c:v>
                </c:pt>
                <c:pt idx="112">
                  <c:v>2.2400000000000002</c:v>
                </c:pt>
                <c:pt idx="113">
                  <c:v>2.2599999999999998</c:v>
                </c:pt>
                <c:pt idx="114">
                  <c:v>2.2799999999999998</c:v>
                </c:pt>
                <c:pt idx="115">
                  <c:v>2.2999999999999998</c:v>
                </c:pt>
                <c:pt idx="116">
                  <c:v>2.3199999999999998</c:v>
                </c:pt>
                <c:pt idx="117">
                  <c:v>2.34</c:v>
                </c:pt>
                <c:pt idx="118">
                  <c:v>2.36</c:v>
                </c:pt>
                <c:pt idx="119">
                  <c:v>2.38</c:v>
                </c:pt>
                <c:pt idx="120">
                  <c:v>2.4</c:v>
                </c:pt>
                <c:pt idx="121">
                  <c:v>2.42</c:v>
                </c:pt>
                <c:pt idx="122">
                  <c:v>2.44</c:v>
                </c:pt>
                <c:pt idx="123">
                  <c:v>2.46</c:v>
                </c:pt>
                <c:pt idx="124">
                  <c:v>2.48</c:v>
                </c:pt>
                <c:pt idx="125">
                  <c:v>2.5</c:v>
                </c:pt>
                <c:pt idx="126">
                  <c:v>2.52</c:v>
                </c:pt>
                <c:pt idx="127">
                  <c:v>2.54</c:v>
                </c:pt>
                <c:pt idx="128">
                  <c:v>2.56</c:v>
                </c:pt>
                <c:pt idx="129">
                  <c:v>2.58</c:v>
                </c:pt>
                <c:pt idx="130">
                  <c:v>2.6</c:v>
                </c:pt>
                <c:pt idx="131">
                  <c:v>2.62</c:v>
                </c:pt>
                <c:pt idx="132">
                  <c:v>2.64</c:v>
                </c:pt>
                <c:pt idx="133">
                  <c:v>2.66</c:v>
                </c:pt>
                <c:pt idx="134">
                  <c:v>2.68</c:v>
                </c:pt>
                <c:pt idx="135">
                  <c:v>2.7</c:v>
                </c:pt>
                <c:pt idx="136">
                  <c:v>2.72</c:v>
                </c:pt>
                <c:pt idx="137">
                  <c:v>2.74</c:v>
                </c:pt>
                <c:pt idx="138">
                  <c:v>2.76</c:v>
                </c:pt>
                <c:pt idx="139">
                  <c:v>2.78</c:v>
                </c:pt>
                <c:pt idx="140">
                  <c:v>2.8</c:v>
                </c:pt>
                <c:pt idx="141">
                  <c:v>2.82</c:v>
                </c:pt>
                <c:pt idx="142">
                  <c:v>2.84</c:v>
                </c:pt>
                <c:pt idx="143">
                  <c:v>2.86</c:v>
                </c:pt>
                <c:pt idx="144">
                  <c:v>2.88</c:v>
                </c:pt>
                <c:pt idx="145">
                  <c:v>2.9</c:v>
                </c:pt>
                <c:pt idx="146">
                  <c:v>2.92</c:v>
                </c:pt>
                <c:pt idx="147">
                  <c:v>2.94</c:v>
                </c:pt>
                <c:pt idx="148">
                  <c:v>2.96</c:v>
                </c:pt>
                <c:pt idx="149">
                  <c:v>2.98</c:v>
                </c:pt>
                <c:pt idx="150">
                  <c:v>3</c:v>
                </c:pt>
                <c:pt idx="151">
                  <c:v>3.02</c:v>
                </c:pt>
                <c:pt idx="152">
                  <c:v>3.04</c:v>
                </c:pt>
                <c:pt idx="153">
                  <c:v>3.06</c:v>
                </c:pt>
                <c:pt idx="154">
                  <c:v>3.08</c:v>
                </c:pt>
                <c:pt idx="155">
                  <c:v>3.1</c:v>
                </c:pt>
                <c:pt idx="156">
                  <c:v>3.12</c:v>
                </c:pt>
                <c:pt idx="157">
                  <c:v>3.14</c:v>
                </c:pt>
                <c:pt idx="158">
                  <c:v>3.16</c:v>
                </c:pt>
                <c:pt idx="159">
                  <c:v>3.18</c:v>
                </c:pt>
                <c:pt idx="160">
                  <c:v>3.2</c:v>
                </c:pt>
                <c:pt idx="161">
                  <c:v>3.22</c:v>
                </c:pt>
                <c:pt idx="162">
                  <c:v>3.24</c:v>
                </c:pt>
                <c:pt idx="163">
                  <c:v>3.26</c:v>
                </c:pt>
                <c:pt idx="164">
                  <c:v>3.28</c:v>
                </c:pt>
                <c:pt idx="165">
                  <c:v>3.3</c:v>
                </c:pt>
                <c:pt idx="166">
                  <c:v>3.32</c:v>
                </c:pt>
                <c:pt idx="167">
                  <c:v>3.34</c:v>
                </c:pt>
                <c:pt idx="168">
                  <c:v>3.36</c:v>
                </c:pt>
                <c:pt idx="169">
                  <c:v>3.38</c:v>
                </c:pt>
                <c:pt idx="170">
                  <c:v>3.4</c:v>
                </c:pt>
                <c:pt idx="171">
                  <c:v>3.42</c:v>
                </c:pt>
                <c:pt idx="172">
                  <c:v>3.44</c:v>
                </c:pt>
                <c:pt idx="173">
                  <c:v>3.46</c:v>
                </c:pt>
                <c:pt idx="174">
                  <c:v>3.48</c:v>
                </c:pt>
                <c:pt idx="175">
                  <c:v>3.5</c:v>
                </c:pt>
                <c:pt idx="176">
                  <c:v>3.52</c:v>
                </c:pt>
                <c:pt idx="177">
                  <c:v>4</c:v>
                </c:pt>
              </c:numCache>
            </c:numRef>
          </c:xVal>
          <c:yVal>
            <c:numRef>
              <c:f>台北盆地Cs!$Z$41:$Z$218</c:f>
              <c:numCache>
                <c:formatCode>0.000_ </c:formatCode>
                <c:ptCount val="178"/>
                <c:pt idx="0">
                  <c:v>1.0036513802652378</c:v>
                </c:pt>
                <c:pt idx="1">
                  <c:v>1.0730276053047532</c:v>
                </c:pt>
                <c:pt idx="2">
                  <c:v>1.1460552106095068</c:v>
                </c:pt>
                <c:pt idx="3">
                  <c:v>1.2190828159142599</c:v>
                </c:pt>
                <c:pt idx="4">
                  <c:v>1.2921104212190131</c:v>
                </c:pt>
                <c:pt idx="5">
                  <c:v>1.3651380265237665</c:v>
                </c:pt>
                <c:pt idx="6">
                  <c:v>1.4381656318285199</c:v>
                </c:pt>
                <c:pt idx="7">
                  <c:v>1.511193237133273</c:v>
                </c:pt>
                <c:pt idx="8">
                  <c:v>1.5842208424380262</c:v>
                </c:pt>
                <c:pt idx="9">
                  <c:v>1.6572484477427796</c:v>
                </c:pt>
                <c:pt idx="10">
                  <c:v>1.730276053047533</c:v>
                </c:pt>
                <c:pt idx="11">
                  <c:v>1.8033036583522861</c:v>
                </c:pt>
                <c:pt idx="12">
                  <c:v>1.8763312636570393</c:v>
                </c:pt>
                <c:pt idx="13">
                  <c:v>1.9493588689617927</c:v>
                </c:pt>
                <c:pt idx="14">
                  <c:v>1.9493588689617927</c:v>
                </c:pt>
                <c:pt idx="15">
                  <c:v>1.9493588689617927</c:v>
                </c:pt>
                <c:pt idx="16">
                  <c:v>1.9493588689617927</c:v>
                </c:pt>
                <c:pt idx="17">
                  <c:v>1.9493588689617927</c:v>
                </c:pt>
                <c:pt idx="18">
                  <c:v>1.9493588689617927</c:v>
                </c:pt>
                <c:pt idx="19">
                  <c:v>1.9493588689617927</c:v>
                </c:pt>
                <c:pt idx="20">
                  <c:v>1.9493588689617927</c:v>
                </c:pt>
                <c:pt idx="21">
                  <c:v>1.9493588689617927</c:v>
                </c:pt>
                <c:pt idx="22">
                  <c:v>1.9493588689617927</c:v>
                </c:pt>
                <c:pt idx="23">
                  <c:v>1.9493588689617927</c:v>
                </c:pt>
                <c:pt idx="24">
                  <c:v>1.9493588689617927</c:v>
                </c:pt>
                <c:pt idx="25">
                  <c:v>1.9493588689617927</c:v>
                </c:pt>
                <c:pt idx="26">
                  <c:v>1.9493588689617927</c:v>
                </c:pt>
                <c:pt idx="27">
                  <c:v>1.9493588689617927</c:v>
                </c:pt>
                <c:pt idx="28">
                  <c:v>1.9493588689617927</c:v>
                </c:pt>
                <c:pt idx="29">
                  <c:v>1.9493588689617927</c:v>
                </c:pt>
                <c:pt idx="30">
                  <c:v>1.9493588689617927</c:v>
                </c:pt>
                <c:pt idx="31">
                  <c:v>1.9493588689617927</c:v>
                </c:pt>
                <c:pt idx="32">
                  <c:v>1.9493588689617927</c:v>
                </c:pt>
                <c:pt idx="33">
                  <c:v>1.9493588689617927</c:v>
                </c:pt>
                <c:pt idx="34">
                  <c:v>1.9493588689617927</c:v>
                </c:pt>
                <c:pt idx="35">
                  <c:v>1.9493588689617927</c:v>
                </c:pt>
                <c:pt idx="36">
                  <c:v>1.9493588689617927</c:v>
                </c:pt>
                <c:pt idx="37">
                  <c:v>1.9493588689617927</c:v>
                </c:pt>
                <c:pt idx="38">
                  <c:v>1.9493588689617927</c:v>
                </c:pt>
                <c:pt idx="39">
                  <c:v>1.9493588689617927</c:v>
                </c:pt>
                <c:pt idx="40">
                  <c:v>1.96669122015557</c:v>
                </c:pt>
                <c:pt idx="41">
                  <c:v>1.984023571349347</c:v>
                </c:pt>
                <c:pt idx="42">
                  <c:v>2.0013559225431243</c:v>
                </c:pt>
                <c:pt idx="43">
                  <c:v>2.0186882737369016</c:v>
                </c:pt>
                <c:pt idx="44">
                  <c:v>2.0360206249306785</c:v>
                </c:pt>
                <c:pt idx="45">
                  <c:v>2.0533529761244558</c:v>
                </c:pt>
                <c:pt idx="46">
                  <c:v>2.0706853273182331</c:v>
                </c:pt>
                <c:pt idx="47">
                  <c:v>2.0880176785120104</c:v>
                </c:pt>
                <c:pt idx="48">
                  <c:v>2.1053500297057872</c:v>
                </c:pt>
                <c:pt idx="49">
                  <c:v>2.1226823808995645</c:v>
                </c:pt>
                <c:pt idx="50">
                  <c:v>2.1400147320933418</c:v>
                </c:pt>
                <c:pt idx="51">
                  <c:v>2.1573470832871191</c:v>
                </c:pt>
                <c:pt idx="52">
                  <c:v>2.1746794344808964</c:v>
                </c:pt>
                <c:pt idx="53">
                  <c:v>2.1920117856746737</c:v>
                </c:pt>
                <c:pt idx="54">
                  <c:v>2.2093441368684505</c:v>
                </c:pt>
                <c:pt idx="55">
                  <c:v>2.2266764880622278</c:v>
                </c:pt>
                <c:pt idx="56">
                  <c:v>2.2440088392560051</c:v>
                </c:pt>
                <c:pt idx="57">
                  <c:v>2.261341190449782</c:v>
                </c:pt>
                <c:pt idx="58">
                  <c:v>2.2786735416435593</c:v>
                </c:pt>
                <c:pt idx="59">
                  <c:v>2.2960058928373366</c:v>
                </c:pt>
                <c:pt idx="60">
                  <c:v>2.3133382440311139</c:v>
                </c:pt>
                <c:pt idx="61">
                  <c:v>2.3306705952248912</c:v>
                </c:pt>
                <c:pt idx="62">
                  <c:v>2.348002946418668</c:v>
                </c:pt>
                <c:pt idx="63">
                  <c:v>2.3653352976124453</c:v>
                </c:pt>
                <c:pt idx="64">
                  <c:v>2.3826676488062226</c:v>
                </c:pt>
                <c:pt idx="65">
                  <c:v>2.4</c:v>
                </c:pt>
                <c:pt idx="66">
                  <c:v>2.4</c:v>
                </c:pt>
                <c:pt idx="67">
                  <c:v>2.4</c:v>
                </c:pt>
                <c:pt idx="68">
                  <c:v>2.4</c:v>
                </c:pt>
                <c:pt idx="69">
                  <c:v>2.4</c:v>
                </c:pt>
                <c:pt idx="70">
                  <c:v>2.4</c:v>
                </c:pt>
                <c:pt idx="71">
                  <c:v>2.4</c:v>
                </c:pt>
                <c:pt idx="72">
                  <c:v>2.4</c:v>
                </c:pt>
                <c:pt idx="73">
                  <c:v>2.4</c:v>
                </c:pt>
                <c:pt idx="74">
                  <c:v>2.4</c:v>
                </c:pt>
                <c:pt idx="75">
                  <c:v>2.4</c:v>
                </c:pt>
                <c:pt idx="76">
                  <c:v>2.4</c:v>
                </c:pt>
                <c:pt idx="77">
                  <c:v>2.4</c:v>
                </c:pt>
                <c:pt idx="78">
                  <c:v>2.4</c:v>
                </c:pt>
                <c:pt idx="79">
                  <c:v>2.4</c:v>
                </c:pt>
                <c:pt idx="80">
                  <c:v>2.4</c:v>
                </c:pt>
                <c:pt idx="81">
                  <c:v>2.4</c:v>
                </c:pt>
                <c:pt idx="82">
                  <c:v>2.4</c:v>
                </c:pt>
                <c:pt idx="83">
                  <c:v>2.4</c:v>
                </c:pt>
                <c:pt idx="84">
                  <c:v>2.4</c:v>
                </c:pt>
                <c:pt idx="85">
                  <c:v>2.4</c:v>
                </c:pt>
                <c:pt idx="86">
                  <c:v>2.4</c:v>
                </c:pt>
                <c:pt idx="87">
                  <c:v>2.4</c:v>
                </c:pt>
                <c:pt idx="88">
                  <c:v>2.4</c:v>
                </c:pt>
                <c:pt idx="89">
                  <c:v>2.4</c:v>
                </c:pt>
                <c:pt idx="90">
                  <c:v>2.4</c:v>
                </c:pt>
                <c:pt idx="91">
                  <c:v>2.4</c:v>
                </c:pt>
                <c:pt idx="92">
                  <c:v>2.4</c:v>
                </c:pt>
                <c:pt idx="93">
                  <c:v>2.4</c:v>
                </c:pt>
                <c:pt idx="94">
                  <c:v>2.4</c:v>
                </c:pt>
                <c:pt idx="95">
                  <c:v>2.4</c:v>
                </c:pt>
                <c:pt idx="96">
                  <c:v>2.4</c:v>
                </c:pt>
                <c:pt idx="97">
                  <c:v>2.4</c:v>
                </c:pt>
                <c:pt idx="98">
                  <c:v>2.4</c:v>
                </c:pt>
                <c:pt idx="99">
                  <c:v>2.4</c:v>
                </c:pt>
                <c:pt idx="100">
                  <c:v>2.4</c:v>
                </c:pt>
                <c:pt idx="101">
                  <c:v>2.4</c:v>
                </c:pt>
                <c:pt idx="102">
                  <c:v>2.4</c:v>
                </c:pt>
                <c:pt idx="103">
                  <c:v>2.4</c:v>
                </c:pt>
                <c:pt idx="104">
                  <c:v>2.4</c:v>
                </c:pt>
                <c:pt idx="105">
                  <c:v>2.4</c:v>
                </c:pt>
                <c:pt idx="106">
                  <c:v>2.4</c:v>
                </c:pt>
                <c:pt idx="107">
                  <c:v>2.4</c:v>
                </c:pt>
                <c:pt idx="108">
                  <c:v>2.4</c:v>
                </c:pt>
                <c:pt idx="109">
                  <c:v>2.4</c:v>
                </c:pt>
                <c:pt idx="110">
                  <c:v>2.4</c:v>
                </c:pt>
                <c:pt idx="111">
                  <c:v>2.4</c:v>
                </c:pt>
                <c:pt idx="112">
                  <c:v>2.4</c:v>
                </c:pt>
                <c:pt idx="113">
                  <c:v>2.4</c:v>
                </c:pt>
                <c:pt idx="114">
                  <c:v>2.4</c:v>
                </c:pt>
                <c:pt idx="115">
                  <c:v>2.4</c:v>
                </c:pt>
                <c:pt idx="116">
                  <c:v>2.4</c:v>
                </c:pt>
                <c:pt idx="117">
                  <c:v>2.4</c:v>
                </c:pt>
                <c:pt idx="118">
                  <c:v>2.4</c:v>
                </c:pt>
                <c:pt idx="119">
                  <c:v>2.4</c:v>
                </c:pt>
                <c:pt idx="120">
                  <c:v>2.4</c:v>
                </c:pt>
                <c:pt idx="121">
                  <c:v>2.4</c:v>
                </c:pt>
                <c:pt idx="122">
                  <c:v>2.4</c:v>
                </c:pt>
                <c:pt idx="123">
                  <c:v>2.4</c:v>
                </c:pt>
                <c:pt idx="124">
                  <c:v>2.4</c:v>
                </c:pt>
                <c:pt idx="125">
                  <c:v>2.4</c:v>
                </c:pt>
                <c:pt idx="126">
                  <c:v>2.4</c:v>
                </c:pt>
                <c:pt idx="127">
                  <c:v>2.4</c:v>
                </c:pt>
                <c:pt idx="128">
                  <c:v>2.4</c:v>
                </c:pt>
                <c:pt idx="129">
                  <c:v>2.4</c:v>
                </c:pt>
                <c:pt idx="130">
                  <c:v>2.4</c:v>
                </c:pt>
                <c:pt idx="131">
                  <c:v>2.4</c:v>
                </c:pt>
                <c:pt idx="132">
                  <c:v>2.4</c:v>
                </c:pt>
                <c:pt idx="133">
                  <c:v>2.4</c:v>
                </c:pt>
                <c:pt idx="134">
                  <c:v>2.4</c:v>
                </c:pt>
                <c:pt idx="135">
                  <c:v>2.4</c:v>
                </c:pt>
                <c:pt idx="136">
                  <c:v>2.4</c:v>
                </c:pt>
                <c:pt idx="137">
                  <c:v>2.4</c:v>
                </c:pt>
                <c:pt idx="138">
                  <c:v>2.4</c:v>
                </c:pt>
                <c:pt idx="139">
                  <c:v>2.4</c:v>
                </c:pt>
                <c:pt idx="140">
                  <c:v>2.4</c:v>
                </c:pt>
                <c:pt idx="141">
                  <c:v>2.4</c:v>
                </c:pt>
                <c:pt idx="142">
                  <c:v>2.4</c:v>
                </c:pt>
                <c:pt idx="143">
                  <c:v>2.4</c:v>
                </c:pt>
                <c:pt idx="144">
                  <c:v>2.4</c:v>
                </c:pt>
                <c:pt idx="145">
                  <c:v>2.4</c:v>
                </c:pt>
                <c:pt idx="146">
                  <c:v>2.4</c:v>
                </c:pt>
                <c:pt idx="147">
                  <c:v>2.4</c:v>
                </c:pt>
                <c:pt idx="148">
                  <c:v>2.4</c:v>
                </c:pt>
                <c:pt idx="149">
                  <c:v>2.4</c:v>
                </c:pt>
                <c:pt idx="150">
                  <c:v>2.4</c:v>
                </c:pt>
                <c:pt idx="151">
                  <c:v>2.4</c:v>
                </c:pt>
                <c:pt idx="152">
                  <c:v>2.4</c:v>
                </c:pt>
                <c:pt idx="153">
                  <c:v>2.4</c:v>
                </c:pt>
                <c:pt idx="154">
                  <c:v>2.4</c:v>
                </c:pt>
                <c:pt idx="155">
                  <c:v>2.4</c:v>
                </c:pt>
                <c:pt idx="156">
                  <c:v>2.4</c:v>
                </c:pt>
                <c:pt idx="157">
                  <c:v>2.4</c:v>
                </c:pt>
                <c:pt idx="158">
                  <c:v>2.4</c:v>
                </c:pt>
                <c:pt idx="159">
                  <c:v>2.4</c:v>
                </c:pt>
                <c:pt idx="160">
                  <c:v>2.4</c:v>
                </c:pt>
                <c:pt idx="161">
                  <c:v>2.4</c:v>
                </c:pt>
                <c:pt idx="162">
                  <c:v>2.4</c:v>
                </c:pt>
                <c:pt idx="163">
                  <c:v>2.4</c:v>
                </c:pt>
                <c:pt idx="164">
                  <c:v>2.4</c:v>
                </c:pt>
                <c:pt idx="165">
                  <c:v>2.4</c:v>
                </c:pt>
                <c:pt idx="166">
                  <c:v>2.4</c:v>
                </c:pt>
                <c:pt idx="167">
                  <c:v>2.4</c:v>
                </c:pt>
                <c:pt idx="168">
                  <c:v>2.4</c:v>
                </c:pt>
                <c:pt idx="169">
                  <c:v>2.4</c:v>
                </c:pt>
                <c:pt idx="170">
                  <c:v>2.4</c:v>
                </c:pt>
                <c:pt idx="171">
                  <c:v>2.4</c:v>
                </c:pt>
                <c:pt idx="172">
                  <c:v>2.4</c:v>
                </c:pt>
                <c:pt idx="173">
                  <c:v>2.4</c:v>
                </c:pt>
                <c:pt idx="174">
                  <c:v>2.4</c:v>
                </c:pt>
                <c:pt idx="175">
                  <c:v>2.4</c:v>
                </c:pt>
                <c:pt idx="176">
                  <c:v>2.4</c:v>
                </c:pt>
                <c:pt idx="177">
                  <c:v>2.4</c:v>
                </c:pt>
              </c:numCache>
            </c:numRef>
          </c:yVal>
          <c:smooth val="0"/>
          <c:extLst>
            <c:ext xmlns:c16="http://schemas.microsoft.com/office/drawing/2014/chart" uri="{C3380CC4-5D6E-409C-BE32-E72D297353CC}">
              <c16:uniqueId val="{00000001-4249-43E1-AAE5-DF7A3316AF1A}"/>
            </c:ext>
          </c:extLst>
        </c:ser>
        <c:ser>
          <c:idx val="3"/>
          <c:order val="2"/>
          <c:tx>
            <c:strRef>
              <c:f>台北盆地Cs!$AG$44:$AI$44</c:f>
              <c:strCache>
                <c:ptCount val="1"/>
                <c:pt idx="0">
                  <c:v>基本振動週期T= 0.534  s</c:v>
                </c:pt>
              </c:strCache>
            </c:strRef>
          </c:tx>
          <c:spPr>
            <a:ln w="19050">
              <a:solidFill>
                <a:schemeClr val="tx1">
                  <a:lumMod val="75000"/>
                  <a:lumOff val="25000"/>
                </a:schemeClr>
              </a:solidFill>
              <a:prstDash val="sysDash"/>
            </a:ln>
          </c:spPr>
          <c:marker>
            <c:symbol val="none"/>
          </c:marker>
          <c:xVal>
            <c:numRef>
              <c:f>台北盆地Cs!$AH$41:$AH$42</c:f>
              <c:numCache>
                <c:formatCode>0.000_ </c:formatCode>
                <c:ptCount val="2"/>
                <c:pt idx="0">
                  <c:v>0.53349999999999997</c:v>
                </c:pt>
                <c:pt idx="1">
                  <c:v>0.53349999999999997</c:v>
                </c:pt>
              </c:numCache>
            </c:numRef>
          </c:xVal>
          <c:yVal>
            <c:numRef>
              <c:f>台北盆地Cs!$AG$52:$AG$53</c:f>
              <c:numCache>
                <c:formatCode>0.000_ </c:formatCode>
                <c:ptCount val="2"/>
                <c:pt idx="0">
                  <c:v>0</c:v>
                </c:pt>
                <c:pt idx="1">
                  <c:v>2.4</c:v>
                </c:pt>
              </c:numCache>
            </c:numRef>
          </c:yVal>
          <c:smooth val="0"/>
          <c:extLst>
            <c:ext xmlns:c16="http://schemas.microsoft.com/office/drawing/2014/chart" uri="{C3380CC4-5D6E-409C-BE32-E72D297353CC}">
              <c16:uniqueId val="{00000002-4249-43E1-AAE5-DF7A3316AF1A}"/>
            </c:ext>
          </c:extLst>
        </c:ser>
        <c:dLbls>
          <c:showLegendKey val="0"/>
          <c:showVal val="0"/>
          <c:showCatName val="0"/>
          <c:showSerName val="0"/>
          <c:showPercent val="0"/>
          <c:showBubbleSize val="0"/>
        </c:dLbls>
        <c:axId val="199080704"/>
        <c:axId val="199081280"/>
      </c:scatterChart>
      <c:valAx>
        <c:axId val="199080704"/>
        <c:scaling>
          <c:orientation val="minMax"/>
          <c:max val="4"/>
        </c:scaling>
        <c:delete val="0"/>
        <c:axPos val="b"/>
        <c:majorGridlines>
          <c:spPr>
            <a:ln w="9525">
              <a:solidFill>
                <a:sysClr val="windowText" lastClr="000000"/>
              </a:solidFill>
            </a:ln>
          </c:spPr>
        </c:majorGridlines>
        <c:minorGridlines/>
        <c:title>
          <c:tx>
            <c:rich>
              <a:bodyPr/>
              <a:lstStyle/>
              <a:p>
                <a:pPr>
                  <a:defRPr/>
                </a:pPr>
                <a:r>
                  <a:rPr lang="en-US" altLang="zh-TW"/>
                  <a:t>Period T (sec)</a:t>
                </a:r>
                <a:endParaRPr lang="zh-TW" altLang="en-US"/>
              </a:p>
            </c:rich>
          </c:tx>
          <c:overlay val="0"/>
        </c:title>
        <c:numFmt formatCode="General" sourceLinked="1"/>
        <c:majorTickMark val="none"/>
        <c:minorTickMark val="none"/>
        <c:tickLblPos val="nextTo"/>
        <c:spPr>
          <a:ln w="15875">
            <a:solidFill>
              <a:sysClr val="windowText" lastClr="000000"/>
            </a:solidFill>
          </a:ln>
        </c:spPr>
        <c:txPr>
          <a:bodyPr rot="0" vert="horz"/>
          <a:lstStyle/>
          <a:p>
            <a:pPr>
              <a:defRPr sz="1000" b="0" i="0" u="none" strike="noStrike" baseline="0">
                <a:solidFill>
                  <a:srgbClr val="000000"/>
                </a:solidFill>
                <a:latin typeface="新細明體"/>
                <a:ea typeface="新細明體"/>
                <a:cs typeface="新細明體"/>
              </a:defRPr>
            </a:pPr>
            <a:endParaRPr lang="zh-TW"/>
          </a:p>
        </c:txPr>
        <c:crossAx val="199081280"/>
        <c:crosses val="autoZero"/>
        <c:crossBetween val="midCat"/>
        <c:majorUnit val="0.5"/>
        <c:minorUnit val="0.1"/>
      </c:valAx>
      <c:valAx>
        <c:axId val="199081280"/>
        <c:scaling>
          <c:orientation val="minMax"/>
        </c:scaling>
        <c:delete val="0"/>
        <c:axPos val="l"/>
        <c:majorGridlines>
          <c:spPr>
            <a:ln w="9525">
              <a:solidFill>
                <a:sysClr val="windowText" lastClr="000000"/>
              </a:solidFill>
            </a:ln>
          </c:spPr>
        </c:majorGridlines>
        <c:minorGridlines/>
        <c:title>
          <c:tx>
            <c:rich>
              <a:bodyPr/>
              <a:lstStyle/>
              <a:p>
                <a:pPr>
                  <a:defRPr/>
                </a:pPr>
                <a:r>
                  <a:rPr lang="en-US" altLang="zh-TW"/>
                  <a:t>Fu</a:t>
                </a:r>
              </a:p>
            </c:rich>
          </c:tx>
          <c:overlay val="0"/>
        </c:title>
        <c:numFmt formatCode="0.00_);\(0.00\)" sourceLinked="0"/>
        <c:majorTickMark val="none"/>
        <c:minorTickMark val="none"/>
        <c:tickLblPos val="nextTo"/>
        <c:spPr>
          <a:ln w="15875">
            <a:solidFill>
              <a:sysClr val="windowText" lastClr="000000"/>
            </a:solidFill>
          </a:ln>
        </c:spPr>
        <c:crossAx val="199080704"/>
        <c:crosses val="autoZero"/>
        <c:crossBetween val="midCat"/>
      </c:valAx>
      <c:spPr>
        <a:ln w="15875">
          <a:solidFill>
            <a:schemeClr val="tx1"/>
          </a:solidFill>
        </a:ln>
      </c:spPr>
    </c:plotArea>
    <c:legend>
      <c:legendPos val="r"/>
      <c:layout>
        <c:manualLayout>
          <c:xMode val="edge"/>
          <c:yMode val="edge"/>
          <c:x val="0.62665399583672732"/>
          <c:y val="0.58605864266966623"/>
          <c:w val="0.32094043887147428"/>
          <c:h val="0.25269201349831172"/>
        </c:manualLayout>
      </c:layout>
      <c:overlay val="0"/>
      <c:spPr>
        <a:solidFill>
          <a:schemeClr val="bg1"/>
        </a:solidFill>
      </c:spPr>
    </c:legend>
    <c:plotVisOnly val="1"/>
    <c:dispBlanksAs val="gap"/>
    <c:showDLblsOverMax val="0"/>
  </c:chart>
  <c:printSettings>
    <c:headerFooter/>
    <c:pageMargins b="0.75000000000000522" l="0.70000000000000062" r="0.70000000000000062" t="0.75000000000000522"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baseline="0">
                <a:solidFill>
                  <a:schemeClr val="tx1"/>
                </a:solidFill>
                <a:latin typeface="+mn-lt"/>
                <a:ea typeface="+mn-ea"/>
                <a:cs typeface="+mn-cs"/>
              </a:defRPr>
            </a:pPr>
            <a:r>
              <a:rPr lang="zh-TW" altLang="en-US" sz="1400" b="1" i="0" u="none" strike="noStrike" kern="1200" baseline="0">
                <a:solidFill>
                  <a:sysClr val="windowText" lastClr="000000"/>
                </a:solidFill>
                <a:latin typeface="微軟正黑體" panose="020B0604030504040204" pitchFamily="34" charset="-120"/>
                <a:ea typeface="微軟正黑體" panose="020B0604030504040204" pitchFamily="34" charset="-120"/>
              </a:rPr>
              <a:t>台北市萬華區規範最小地震橫力係數 </a:t>
            </a:r>
            <a:r>
              <a:rPr lang="el-GR" altLang="zh-TW" sz="1400" b="1" i="0" u="none" strike="noStrike" kern="1200" baseline="0">
                <a:solidFill>
                  <a:sysClr val="windowText" lastClr="000000"/>
                </a:solidFill>
                <a:latin typeface="微軟正黑體" panose="020B0604030504040204" pitchFamily="34" charset="-120"/>
                <a:ea typeface="微軟正黑體" panose="020B0604030504040204" pitchFamily="34" charset="-120"/>
              </a:rPr>
              <a:t>γ</a:t>
            </a:r>
            <a:r>
              <a:rPr lang="tr-TR" altLang="zh-TW" sz="1400" b="1" i="0" u="none" strike="noStrike" kern="1200" baseline="0">
                <a:solidFill>
                  <a:sysClr val="windowText" lastClr="000000"/>
                </a:solidFill>
                <a:latin typeface="微軟正黑體" panose="020B0604030504040204" pitchFamily="34" charset="-120"/>
                <a:ea typeface="微軟正黑體" panose="020B0604030504040204" pitchFamily="34" charset="-120"/>
              </a:rPr>
              <a:t>Cs</a:t>
            </a:r>
            <a:r>
              <a:rPr lang="en-US" altLang="zh-TW" sz="1400" b="1" i="0" u="none" strike="noStrike" kern="1200" baseline="0">
                <a:solidFill>
                  <a:sysClr val="windowText" lastClr="000000"/>
                </a:solidFill>
                <a:latin typeface="微軟正黑體" panose="020B0604030504040204" pitchFamily="34" charset="-120"/>
                <a:ea typeface="微軟正黑體" panose="020B0604030504040204" pitchFamily="34" charset="-120"/>
              </a:rPr>
              <a:t> </a:t>
            </a:r>
            <a:r>
              <a:rPr lang="zh-TW" altLang="en-US" sz="1400" b="1" i="0" u="none" strike="noStrike" kern="1200" baseline="0">
                <a:solidFill>
                  <a:sysClr val="windowText" lastClr="000000"/>
                </a:solidFill>
                <a:latin typeface="微軟正黑體" panose="020B0604030504040204" pitchFamily="34" charset="-120"/>
                <a:ea typeface="微軟正黑體" panose="020B0604030504040204" pitchFamily="34" charset="-120"/>
              </a:rPr>
              <a:t>之比較 </a:t>
            </a:r>
            <a:r>
              <a:rPr lang="en-US" altLang="zh-TW" sz="1400" b="1" i="0" u="none" strike="noStrike" kern="1200" baseline="0">
                <a:solidFill>
                  <a:sysClr val="windowText" lastClr="000000"/>
                </a:solidFill>
                <a:latin typeface="微軟正黑體" panose="020B0604030504040204" pitchFamily="34" charset="-120"/>
                <a:ea typeface="微軟正黑體" panose="020B0604030504040204" pitchFamily="34" charset="-120"/>
              </a:rPr>
              <a:t>[</a:t>
            </a:r>
            <a:r>
              <a:rPr lang="tr-TR" altLang="zh-TW" sz="1400" b="1" i="0" u="none" strike="noStrike" kern="1200" baseline="0">
                <a:solidFill>
                  <a:sysClr val="windowText" lastClr="000000"/>
                </a:solidFill>
                <a:latin typeface="微軟正黑體" panose="020B0604030504040204" pitchFamily="34" charset="-120"/>
                <a:ea typeface="微軟正黑體" panose="020B0604030504040204" pitchFamily="34" charset="-120"/>
              </a:rPr>
              <a:t>R=</a:t>
            </a:r>
            <a:r>
              <a:rPr lang="en-US" altLang="zh-TW" sz="1400" b="1" i="0" u="none" strike="noStrike" kern="1200" baseline="0">
                <a:solidFill>
                  <a:sysClr val="windowText" lastClr="000000"/>
                </a:solidFill>
                <a:latin typeface="微軟正黑體" panose="020B0604030504040204" pitchFamily="34" charset="-120"/>
                <a:ea typeface="微軟正黑體" panose="020B0604030504040204" pitchFamily="34" charset="-120"/>
              </a:rPr>
              <a:t>2.4</a:t>
            </a:r>
            <a:r>
              <a:rPr lang="tr-TR" altLang="zh-TW" sz="1400" b="1" i="0" u="none" strike="noStrike" kern="1200" baseline="0">
                <a:solidFill>
                  <a:sysClr val="windowText" lastClr="000000"/>
                </a:solidFill>
                <a:latin typeface="微軟正黑體" panose="020B0604030504040204" pitchFamily="34" charset="-120"/>
                <a:ea typeface="微軟正黑體" panose="020B0604030504040204" pitchFamily="34" charset="-120"/>
              </a:rPr>
              <a:t>]</a:t>
            </a:r>
            <a:endParaRPr lang="en-US" altLang="zh-TW" sz="1400" b="1" i="0" u="none" strike="noStrike" kern="1200" baseline="0">
              <a:solidFill>
                <a:sysClr val="windowText" lastClr="000000"/>
              </a:solidFill>
              <a:latin typeface="微軟正黑體" panose="020B0604030504040204" pitchFamily="34" charset="-120"/>
              <a:ea typeface="微軟正黑體" panose="020B0604030504040204" pitchFamily="34" charset="-120"/>
            </a:endParaRPr>
          </a:p>
        </c:rich>
      </c:tx>
      <c:overlay val="0"/>
      <c:spPr>
        <a:noFill/>
        <a:ln>
          <a:noFill/>
        </a:ln>
        <a:effectLst/>
      </c:spPr>
      <c:txPr>
        <a:bodyPr rot="0" spcFirstLastPara="1" vertOverflow="ellipsis" vert="horz" wrap="square" anchor="ctr" anchorCtr="1"/>
        <a:lstStyle/>
        <a:p>
          <a:pPr>
            <a:defRPr sz="1400" b="1" i="0" u="none" strike="noStrike" kern="1200" baseline="0">
              <a:solidFill>
                <a:schemeClr val="tx1"/>
              </a:solidFill>
              <a:latin typeface="+mn-lt"/>
              <a:ea typeface="+mn-ea"/>
              <a:cs typeface="+mn-cs"/>
            </a:defRPr>
          </a:pPr>
          <a:endParaRPr lang="en-US" altLang="zh-TW"/>
        </a:p>
      </c:txPr>
    </c:title>
    <c:autoTitleDeleted val="0"/>
    <c:plotArea>
      <c:layout>
        <c:manualLayout>
          <c:layoutTarget val="inner"/>
          <c:xMode val="edge"/>
          <c:yMode val="edge"/>
          <c:x val="0.10815047021943573"/>
          <c:y val="0.12017944921746322"/>
          <c:w val="0.85423197492163006"/>
          <c:h val="0.74267769859653221"/>
        </c:manualLayout>
      </c:layout>
      <c:scatterChart>
        <c:scatterStyle val="lineMarker"/>
        <c:varyColors val="0"/>
        <c:ser>
          <c:idx val="5"/>
          <c:order val="0"/>
          <c:tx>
            <c:v>Cs</c:v>
          </c:tx>
          <c:spPr>
            <a:ln w="28575" cap="rnd" cmpd="sng" algn="ctr">
              <a:solidFill>
                <a:schemeClr val="accent6">
                  <a:shade val="95000"/>
                  <a:satMod val="105000"/>
                </a:schemeClr>
              </a:solidFill>
              <a:prstDash val="solid"/>
              <a:round/>
            </a:ln>
            <a:effectLst/>
          </c:spPr>
          <c:marker>
            <c:symbol val="none"/>
          </c:marker>
          <c:xVal>
            <c:numRef>
              <c:f>台北盆地Cs!$R$41:$R$218</c:f>
              <c:numCache>
                <c:formatCode>General</c:formatCode>
                <c:ptCount val="178"/>
                <c:pt idx="0">
                  <c:v>1E-3</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pt idx="51">
                  <c:v>1.02</c:v>
                </c:pt>
                <c:pt idx="52">
                  <c:v>1.04</c:v>
                </c:pt>
                <c:pt idx="53">
                  <c:v>1.06</c:v>
                </c:pt>
                <c:pt idx="54">
                  <c:v>1.08</c:v>
                </c:pt>
                <c:pt idx="55">
                  <c:v>1.1000000000000001</c:v>
                </c:pt>
                <c:pt idx="56">
                  <c:v>1.1200000000000001</c:v>
                </c:pt>
                <c:pt idx="57">
                  <c:v>1.1399999999999999</c:v>
                </c:pt>
                <c:pt idx="58">
                  <c:v>1.1599999999999999</c:v>
                </c:pt>
                <c:pt idx="59">
                  <c:v>1.18</c:v>
                </c:pt>
                <c:pt idx="60">
                  <c:v>1.2</c:v>
                </c:pt>
                <c:pt idx="61">
                  <c:v>1.22</c:v>
                </c:pt>
                <c:pt idx="62">
                  <c:v>1.24</c:v>
                </c:pt>
                <c:pt idx="63">
                  <c:v>1.26</c:v>
                </c:pt>
                <c:pt idx="64">
                  <c:v>1.28</c:v>
                </c:pt>
                <c:pt idx="65">
                  <c:v>1.3</c:v>
                </c:pt>
                <c:pt idx="66">
                  <c:v>1.32</c:v>
                </c:pt>
                <c:pt idx="67">
                  <c:v>1.34</c:v>
                </c:pt>
                <c:pt idx="68">
                  <c:v>1.36</c:v>
                </c:pt>
                <c:pt idx="69">
                  <c:v>1.38</c:v>
                </c:pt>
                <c:pt idx="70">
                  <c:v>1.4</c:v>
                </c:pt>
                <c:pt idx="71">
                  <c:v>1.42</c:v>
                </c:pt>
                <c:pt idx="72">
                  <c:v>1.44</c:v>
                </c:pt>
                <c:pt idx="73">
                  <c:v>1.46</c:v>
                </c:pt>
                <c:pt idx="74">
                  <c:v>1.48</c:v>
                </c:pt>
                <c:pt idx="75">
                  <c:v>1.5</c:v>
                </c:pt>
                <c:pt idx="76">
                  <c:v>1.52</c:v>
                </c:pt>
                <c:pt idx="77">
                  <c:v>1.54</c:v>
                </c:pt>
                <c:pt idx="78">
                  <c:v>1.56</c:v>
                </c:pt>
                <c:pt idx="79">
                  <c:v>1.58</c:v>
                </c:pt>
                <c:pt idx="80">
                  <c:v>1.6</c:v>
                </c:pt>
                <c:pt idx="81">
                  <c:v>1.62</c:v>
                </c:pt>
                <c:pt idx="82">
                  <c:v>1.64</c:v>
                </c:pt>
                <c:pt idx="83">
                  <c:v>1.66</c:v>
                </c:pt>
                <c:pt idx="84">
                  <c:v>1.68</c:v>
                </c:pt>
                <c:pt idx="85">
                  <c:v>1.7</c:v>
                </c:pt>
                <c:pt idx="86">
                  <c:v>1.72</c:v>
                </c:pt>
                <c:pt idx="87">
                  <c:v>1.74</c:v>
                </c:pt>
                <c:pt idx="88">
                  <c:v>1.76</c:v>
                </c:pt>
                <c:pt idx="89">
                  <c:v>1.78</c:v>
                </c:pt>
                <c:pt idx="90">
                  <c:v>1.8</c:v>
                </c:pt>
                <c:pt idx="91">
                  <c:v>1.82</c:v>
                </c:pt>
                <c:pt idx="92">
                  <c:v>1.84</c:v>
                </c:pt>
                <c:pt idx="93">
                  <c:v>1.86</c:v>
                </c:pt>
                <c:pt idx="94">
                  <c:v>1.88</c:v>
                </c:pt>
                <c:pt idx="95">
                  <c:v>1.9</c:v>
                </c:pt>
                <c:pt idx="96">
                  <c:v>1.92</c:v>
                </c:pt>
                <c:pt idx="97">
                  <c:v>1.94</c:v>
                </c:pt>
                <c:pt idx="98">
                  <c:v>1.96</c:v>
                </c:pt>
                <c:pt idx="99">
                  <c:v>1.98</c:v>
                </c:pt>
                <c:pt idx="100">
                  <c:v>2</c:v>
                </c:pt>
                <c:pt idx="101">
                  <c:v>2.02</c:v>
                </c:pt>
                <c:pt idx="102">
                  <c:v>2.04</c:v>
                </c:pt>
                <c:pt idx="103">
                  <c:v>2.06</c:v>
                </c:pt>
                <c:pt idx="104">
                  <c:v>2.08</c:v>
                </c:pt>
                <c:pt idx="105">
                  <c:v>2.1</c:v>
                </c:pt>
                <c:pt idx="106">
                  <c:v>2.12</c:v>
                </c:pt>
                <c:pt idx="107">
                  <c:v>2.14</c:v>
                </c:pt>
                <c:pt idx="108">
                  <c:v>2.16</c:v>
                </c:pt>
                <c:pt idx="109">
                  <c:v>2.1800000000000002</c:v>
                </c:pt>
                <c:pt idx="110">
                  <c:v>2.2000000000000002</c:v>
                </c:pt>
                <c:pt idx="111">
                  <c:v>2.2200000000000002</c:v>
                </c:pt>
                <c:pt idx="112">
                  <c:v>2.2400000000000002</c:v>
                </c:pt>
                <c:pt idx="113">
                  <c:v>2.2599999999999998</c:v>
                </c:pt>
                <c:pt idx="114">
                  <c:v>2.2799999999999998</c:v>
                </c:pt>
                <c:pt idx="115">
                  <c:v>2.2999999999999998</c:v>
                </c:pt>
                <c:pt idx="116">
                  <c:v>2.3199999999999998</c:v>
                </c:pt>
                <c:pt idx="117">
                  <c:v>2.34</c:v>
                </c:pt>
                <c:pt idx="118">
                  <c:v>2.36</c:v>
                </c:pt>
                <c:pt idx="119">
                  <c:v>2.38</c:v>
                </c:pt>
                <c:pt idx="120">
                  <c:v>2.4</c:v>
                </c:pt>
                <c:pt idx="121">
                  <c:v>2.42</c:v>
                </c:pt>
                <c:pt idx="122">
                  <c:v>2.44</c:v>
                </c:pt>
                <c:pt idx="123">
                  <c:v>2.46</c:v>
                </c:pt>
                <c:pt idx="124">
                  <c:v>2.48</c:v>
                </c:pt>
                <c:pt idx="125">
                  <c:v>2.5</c:v>
                </c:pt>
                <c:pt idx="126">
                  <c:v>2.52</c:v>
                </c:pt>
                <c:pt idx="127">
                  <c:v>2.54</c:v>
                </c:pt>
                <c:pt idx="128">
                  <c:v>2.56</c:v>
                </c:pt>
                <c:pt idx="129">
                  <c:v>2.58</c:v>
                </c:pt>
                <c:pt idx="130">
                  <c:v>2.6</c:v>
                </c:pt>
                <c:pt idx="131">
                  <c:v>2.62</c:v>
                </c:pt>
                <c:pt idx="132">
                  <c:v>2.64</c:v>
                </c:pt>
                <c:pt idx="133">
                  <c:v>2.66</c:v>
                </c:pt>
                <c:pt idx="134">
                  <c:v>2.68</c:v>
                </c:pt>
                <c:pt idx="135">
                  <c:v>2.7</c:v>
                </c:pt>
                <c:pt idx="136">
                  <c:v>2.72</c:v>
                </c:pt>
                <c:pt idx="137">
                  <c:v>2.74</c:v>
                </c:pt>
                <c:pt idx="138">
                  <c:v>2.76</c:v>
                </c:pt>
                <c:pt idx="139">
                  <c:v>2.78</c:v>
                </c:pt>
                <c:pt idx="140">
                  <c:v>2.8</c:v>
                </c:pt>
                <c:pt idx="141">
                  <c:v>2.82</c:v>
                </c:pt>
                <c:pt idx="142">
                  <c:v>2.84</c:v>
                </c:pt>
                <c:pt idx="143">
                  <c:v>2.86</c:v>
                </c:pt>
                <c:pt idx="144">
                  <c:v>2.88</c:v>
                </c:pt>
                <c:pt idx="145">
                  <c:v>2.9</c:v>
                </c:pt>
                <c:pt idx="146">
                  <c:v>2.92</c:v>
                </c:pt>
                <c:pt idx="147">
                  <c:v>2.94</c:v>
                </c:pt>
                <c:pt idx="148">
                  <c:v>2.96</c:v>
                </c:pt>
                <c:pt idx="149">
                  <c:v>2.98</c:v>
                </c:pt>
                <c:pt idx="150">
                  <c:v>3</c:v>
                </c:pt>
                <c:pt idx="151">
                  <c:v>3.02</c:v>
                </c:pt>
                <c:pt idx="152">
                  <c:v>3.04</c:v>
                </c:pt>
                <c:pt idx="153">
                  <c:v>3.06</c:v>
                </c:pt>
                <c:pt idx="154">
                  <c:v>3.08</c:v>
                </c:pt>
                <c:pt idx="155">
                  <c:v>3.1</c:v>
                </c:pt>
                <c:pt idx="156">
                  <c:v>3.12</c:v>
                </c:pt>
                <c:pt idx="157">
                  <c:v>3.14</c:v>
                </c:pt>
                <c:pt idx="158">
                  <c:v>3.16</c:v>
                </c:pt>
                <c:pt idx="159">
                  <c:v>3.18</c:v>
                </c:pt>
                <c:pt idx="160">
                  <c:v>3.2</c:v>
                </c:pt>
                <c:pt idx="161">
                  <c:v>3.22</c:v>
                </c:pt>
                <c:pt idx="162">
                  <c:v>3.24</c:v>
                </c:pt>
                <c:pt idx="163">
                  <c:v>3.26</c:v>
                </c:pt>
                <c:pt idx="164">
                  <c:v>3.28</c:v>
                </c:pt>
                <c:pt idx="165">
                  <c:v>3.3</c:v>
                </c:pt>
                <c:pt idx="166">
                  <c:v>3.32</c:v>
                </c:pt>
                <c:pt idx="167">
                  <c:v>3.34</c:v>
                </c:pt>
                <c:pt idx="168">
                  <c:v>3.36</c:v>
                </c:pt>
                <c:pt idx="169">
                  <c:v>3.38</c:v>
                </c:pt>
                <c:pt idx="170">
                  <c:v>3.4</c:v>
                </c:pt>
                <c:pt idx="171">
                  <c:v>3.42</c:v>
                </c:pt>
                <c:pt idx="172">
                  <c:v>3.44</c:v>
                </c:pt>
                <c:pt idx="173">
                  <c:v>3.46</c:v>
                </c:pt>
                <c:pt idx="174">
                  <c:v>3.48</c:v>
                </c:pt>
                <c:pt idx="175">
                  <c:v>3.5</c:v>
                </c:pt>
                <c:pt idx="176">
                  <c:v>3.52</c:v>
                </c:pt>
                <c:pt idx="177">
                  <c:v>4</c:v>
                </c:pt>
              </c:numCache>
            </c:numRef>
          </c:xVal>
          <c:yVal>
            <c:numRef>
              <c:f>台北盆地Cs!$AE$41:$AE$218</c:f>
              <c:numCache>
                <c:formatCode>0.0000_ </c:formatCode>
                <c:ptCount val="178"/>
                <c:pt idx="0">
                  <c:v>0.22196509158657643</c:v>
                </c:pt>
                <c:pt idx="1">
                  <c:v>0.22640608783864374</c:v>
                </c:pt>
                <c:pt idx="2">
                  <c:v>0.23049995878039592</c:v>
                </c:pt>
                <c:pt idx="3">
                  <c:v>0.23410335346015823</c:v>
                </c:pt>
                <c:pt idx="4">
                  <c:v>0.23729943421363453</c:v>
                </c:pt>
                <c:pt idx="5">
                  <c:v>0.24015356841042249</c:v>
                </c:pt>
                <c:pt idx="6">
                  <c:v>0.2427178464446143</c:v>
                </c:pt>
                <c:pt idx="7">
                  <c:v>0.24503428974851324</c:v>
                </c:pt>
                <c:pt idx="8">
                  <c:v>0.24713717153020973</c:v>
                </c:pt>
                <c:pt idx="9">
                  <c:v>0.24905472392334602</c:v>
                </c:pt>
                <c:pt idx="10">
                  <c:v>0.2508104128276239</c:v>
                </c:pt>
                <c:pt idx="11">
                  <c:v>0.25242390298933765</c:v>
                </c:pt>
                <c:pt idx="12">
                  <c:v>0.25391179771385436</c:v>
                </c:pt>
                <c:pt idx="13">
                  <c:v>0.25528821230979432</c:v>
                </c:pt>
                <c:pt idx="14">
                  <c:v>0.25528821230979432</c:v>
                </c:pt>
                <c:pt idx="15">
                  <c:v>0.25528821230979432</c:v>
                </c:pt>
                <c:pt idx="16">
                  <c:v>0.25528821230979432</c:v>
                </c:pt>
                <c:pt idx="17">
                  <c:v>0.25528821230979432</c:v>
                </c:pt>
                <c:pt idx="18">
                  <c:v>0.25528821230979432</c:v>
                </c:pt>
                <c:pt idx="19">
                  <c:v>0.25528821230979432</c:v>
                </c:pt>
                <c:pt idx="20">
                  <c:v>0.25528821230979432</c:v>
                </c:pt>
                <c:pt idx="21">
                  <c:v>0.25528821230979432</c:v>
                </c:pt>
                <c:pt idx="22">
                  <c:v>0.25528821230979432</c:v>
                </c:pt>
                <c:pt idx="23">
                  <c:v>0.25528821230979432</c:v>
                </c:pt>
                <c:pt idx="24">
                  <c:v>0.25528821230979432</c:v>
                </c:pt>
                <c:pt idx="25">
                  <c:v>0.25528821230979432</c:v>
                </c:pt>
                <c:pt idx="26">
                  <c:v>0.25528821230979432</c:v>
                </c:pt>
                <c:pt idx="27">
                  <c:v>0.25528821230979432</c:v>
                </c:pt>
                <c:pt idx="28">
                  <c:v>0.25528821230979432</c:v>
                </c:pt>
                <c:pt idx="29">
                  <c:v>0.25528821230979432</c:v>
                </c:pt>
                <c:pt idx="30">
                  <c:v>0.25528821230979432</c:v>
                </c:pt>
                <c:pt idx="31">
                  <c:v>0.25528821230979432</c:v>
                </c:pt>
                <c:pt idx="32">
                  <c:v>0.25528821230979432</c:v>
                </c:pt>
                <c:pt idx="33">
                  <c:v>0.25528821230979432</c:v>
                </c:pt>
                <c:pt idx="34">
                  <c:v>0.25528821230979432</c:v>
                </c:pt>
                <c:pt idx="35">
                  <c:v>0.25528821230979432</c:v>
                </c:pt>
                <c:pt idx="36">
                  <c:v>0.25528821230979432</c:v>
                </c:pt>
                <c:pt idx="37">
                  <c:v>0.25528821230979432</c:v>
                </c:pt>
                <c:pt idx="38">
                  <c:v>0.25528821230979432</c:v>
                </c:pt>
                <c:pt idx="39">
                  <c:v>0.25528821230979432</c:v>
                </c:pt>
                <c:pt idx="40">
                  <c:v>0.25394484493136704</c:v>
                </c:pt>
                <c:pt idx="41">
                  <c:v>0.2526249487611667</c:v>
                </c:pt>
                <c:pt idx="42">
                  <c:v>0.25132791399578047</c:v>
                </c:pt>
                <c:pt idx="43">
                  <c:v>0.25005315177475557</c:v>
                </c:pt>
                <c:pt idx="44">
                  <c:v>0.24880009328917699</c:v>
                </c:pt>
                <c:pt idx="45">
                  <c:v>0.24756818893539248</c:v>
                </c:pt>
                <c:pt idx="46">
                  <c:v>0.24635690751123934</c:v>
                </c:pt>
                <c:pt idx="47">
                  <c:v>0.24516573545230272</c:v>
                </c:pt>
                <c:pt idx="48">
                  <c:v>0.24399417610589982</c:v>
                </c:pt>
                <c:pt idx="49">
                  <c:v>0.24284174904063224</c:v>
                </c:pt>
                <c:pt idx="50">
                  <c:v>0.24170798938949117</c:v>
                </c:pt>
                <c:pt idx="51">
                  <c:v>0.24059244722462775</c:v>
                </c:pt>
                <c:pt idx="52">
                  <c:v>0.24003404779391946</c:v>
                </c:pt>
                <c:pt idx="53">
                  <c:v>0.23954603092967788</c:v>
                </c:pt>
                <c:pt idx="54">
                  <c:v>0.2390614740675438</c:v>
                </c:pt>
                <c:pt idx="55">
                  <c:v>0.23858034054077554</c:v>
                </c:pt>
                <c:pt idx="56">
                  <c:v>0.23810259419889956</c:v>
                </c:pt>
                <c:pt idx="57">
                  <c:v>0.23762819939865659</c:v>
                </c:pt>
                <c:pt idx="58">
                  <c:v>0.23715712099513658</c:v>
                </c:pt>
                <c:pt idx="59">
                  <c:v>0.23668932433309983</c:v>
                </c:pt>
                <c:pt idx="60">
                  <c:v>0.23622477523847807</c:v>
                </c:pt>
                <c:pt idx="61">
                  <c:v>0.23576344001005231</c:v>
                </c:pt>
                <c:pt idx="62">
                  <c:v>0.23530528541130327</c:v>
                </c:pt>
                <c:pt idx="63">
                  <c:v>0.23485027866242872</c:v>
                </c:pt>
                <c:pt idx="64">
                  <c:v>0.23439838743252578</c:v>
                </c:pt>
                <c:pt idx="65">
                  <c:v>0.23394957983193276</c:v>
                </c:pt>
                <c:pt idx="66">
                  <c:v>0.23196333078686024</c:v>
                </c:pt>
                <c:pt idx="67">
                  <c:v>0.23003637275805844</c:v>
                </c:pt>
                <c:pt idx="68">
                  <c:v>0.22816608996539792</c:v>
                </c:pt>
                <c:pt idx="69">
                  <c:v>0.22635001826817686</c:v>
                </c:pt>
                <c:pt idx="70">
                  <c:v>0.22458583433373353</c:v>
                </c:pt>
                <c:pt idx="71">
                  <c:v>0.22287134572138717</c:v>
                </c:pt>
                <c:pt idx="72">
                  <c:v>0.22120448179271712</c:v>
                </c:pt>
                <c:pt idx="73">
                  <c:v>0.21958328536894212</c:v>
                </c:pt>
                <c:pt idx="74">
                  <c:v>0.21800590506472861</c:v>
                </c:pt>
                <c:pt idx="75">
                  <c:v>0.21647058823529414</c:v>
                </c:pt>
                <c:pt idx="76">
                  <c:v>0.21497567448031846</c:v>
                </c:pt>
                <c:pt idx="77">
                  <c:v>0.2128123976863473</c:v>
                </c:pt>
                <c:pt idx="78">
                  <c:v>0.21008403361344538</c:v>
                </c:pt>
                <c:pt idx="79">
                  <c:v>0.20742474204871825</c:v>
                </c:pt>
                <c:pt idx="80">
                  <c:v>0.20483193277310924</c:v>
                </c:pt>
                <c:pt idx="81">
                  <c:v>0.20230314347961406</c:v>
                </c:pt>
                <c:pt idx="82">
                  <c:v>0.19983603197376512</c:v>
                </c:pt>
                <c:pt idx="83">
                  <c:v>0.19742836893793664</c:v>
                </c:pt>
                <c:pt idx="84">
                  <c:v>0.19507803121248501</c:v>
                </c:pt>
                <c:pt idx="85">
                  <c:v>0.19278299555116166</c:v>
                </c:pt>
                <c:pt idx="86">
                  <c:v>0.19054133281219465</c:v>
                </c:pt>
                <c:pt idx="87">
                  <c:v>0.18835120254998552</c:v>
                </c:pt>
                <c:pt idx="88">
                  <c:v>0.18621084797555384</c:v>
                </c:pt>
                <c:pt idx="89">
                  <c:v>0.18411859125672742</c:v>
                </c:pt>
                <c:pt idx="90">
                  <c:v>0.18207282913165268</c:v>
                </c:pt>
                <c:pt idx="91">
                  <c:v>0.18007202881152462</c:v>
                </c:pt>
                <c:pt idx="92">
                  <c:v>0.17811472415052979</c:v>
                </c:pt>
                <c:pt idx="93">
                  <c:v>0.1761995120628897</c:v>
                </c:pt>
                <c:pt idx="94">
                  <c:v>0.17432504916860364</c:v>
                </c:pt>
                <c:pt idx="95">
                  <c:v>0.1724900486510394</c:v>
                </c:pt>
                <c:pt idx="96">
                  <c:v>0.1706932773109244</c:v>
                </c:pt>
                <c:pt idx="97">
                  <c:v>0.16893355280256434</c:v>
                </c:pt>
                <c:pt idx="98">
                  <c:v>0.16720974103927286</c:v>
                </c:pt>
                <c:pt idx="99">
                  <c:v>0.16552075375604788</c:v>
                </c:pt>
                <c:pt idx="100">
                  <c:v>0.16386554621848742</c:v>
                </c:pt>
                <c:pt idx="101">
                  <c:v>0.16224311506780933</c:v>
                </c:pt>
                <c:pt idx="102">
                  <c:v>0.16065249629263473</c:v>
                </c:pt>
                <c:pt idx="103">
                  <c:v>0.15909276331891981</c:v>
                </c:pt>
                <c:pt idx="104">
                  <c:v>0.15756302521008403</c:v>
                </c:pt>
                <c:pt idx="105">
                  <c:v>0.15606242496998801</c:v>
                </c:pt>
                <c:pt idx="106">
                  <c:v>0.15459013794196924</c:v>
                </c:pt>
                <c:pt idx="107">
                  <c:v>0.15314537029765177</c:v>
                </c:pt>
                <c:pt idx="108">
                  <c:v>0.15172735760971054</c:v>
                </c:pt>
                <c:pt idx="109">
                  <c:v>0.15033536350319945</c:v>
                </c:pt>
                <c:pt idx="110">
                  <c:v>0.14896867838044309</c:v>
                </c:pt>
                <c:pt idx="111">
                  <c:v>0.14762661821485351</c:v>
                </c:pt>
                <c:pt idx="112">
                  <c:v>0.14630852340936373</c:v>
                </c:pt>
                <c:pt idx="113">
                  <c:v>0.14501375771547559</c:v>
                </c:pt>
                <c:pt idx="114">
                  <c:v>0.14374170720919952</c:v>
                </c:pt>
                <c:pt idx="115">
                  <c:v>0.14249177932042384</c:v>
                </c:pt>
                <c:pt idx="116">
                  <c:v>0.14126340191248918</c:v>
                </c:pt>
                <c:pt idx="117">
                  <c:v>0.14005602240896362</c:v>
                </c:pt>
                <c:pt idx="118">
                  <c:v>0.13886910696481983</c:v>
                </c:pt>
                <c:pt idx="119">
                  <c:v>0.13770213967940118</c:v>
                </c:pt>
                <c:pt idx="120">
                  <c:v>0.13655462184873951</c:v>
                </c:pt>
                <c:pt idx="121">
                  <c:v>0.13542607125494827</c:v>
                </c:pt>
                <c:pt idx="122">
                  <c:v>0.13431602149056346</c:v>
                </c:pt>
                <c:pt idx="123">
                  <c:v>0.13322402131584343</c:v>
                </c:pt>
                <c:pt idx="124">
                  <c:v>0.13214963404716726</c:v>
                </c:pt>
                <c:pt idx="125">
                  <c:v>0.13109243697478992</c:v>
                </c:pt>
                <c:pt idx="126">
                  <c:v>0.13005202080832334</c:v>
                </c:pt>
                <c:pt idx="127">
                  <c:v>0.12902798914841526</c:v>
                </c:pt>
                <c:pt idx="128">
                  <c:v>0.12801995798319329</c:v>
                </c:pt>
                <c:pt idx="129">
                  <c:v>0.12702755520812978</c:v>
                </c:pt>
                <c:pt idx="130">
                  <c:v>0.12605042016806725</c:v>
                </c:pt>
                <c:pt idx="131">
                  <c:v>0.12508820322021938</c:v>
                </c:pt>
                <c:pt idx="132">
                  <c:v>0.12414056531703591</c:v>
                </c:pt>
                <c:pt idx="133">
                  <c:v>0.12320717760788527</c:v>
                </c:pt>
                <c:pt idx="134">
                  <c:v>0.12228772105857269</c:v>
                </c:pt>
                <c:pt idx="135">
                  <c:v>0.12138188608776843</c:v>
                </c:pt>
                <c:pt idx="136">
                  <c:v>0.12048937221947603</c:v>
                </c:pt>
                <c:pt idx="137">
                  <c:v>0.11960988775072072</c:v>
                </c:pt>
                <c:pt idx="138">
                  <c:v>0.11874314943368654</c:v>
                </c:pt>
                <c:pt idx="139">
                  <c:v>0.11788888217157369</c:v>
                </c:pt>
                <c:pt idx="140">
                  <c:v>0.11704681872749099</c:v>
                </c:pt>
                <c:pt idx="141">
                  <c:v>0.11621669944573576</c:v>
                </c:pt>
                <c:pt idx="142">
                  <c:v>0.11539827198485028</c:v>
                </c:pt>
                <c:pt idx="143">
                  <c:v>0.11459129106187932</c:v>
                </c:pt>
                <c:pt idx="144">
                  <c:v>0.11379551820728293</c:v>
                </c:pt>
                <c:pt idx="145">
                  <c:v>0.11301072152999132</c:v>
                </c:pt>
                <c:pt idx="146">
                  <c:v>0.11223667549211466</c:v>
                </c:pt>
                <c:pt idx="147">
                  <c:v>0.11147316069284859</c:v>
                </c:pt>
                <c:pt idx="148">
                  <c:v>0.11071996366114015</c:v>
                </c:pt>
                <c:pt idx="149">
                  <c:v>0.10997687665670294</c:v>
                </c:pt>
                <c:pt idx="150">
                  <c:v>0.10924369747899161</c:v>
                </c:pt>
                <c:pt idx="151">
                  <c:v>0.10852022928376648</c:v>
                </c:pt>
                <c:pt idx="152">
                  <c:v>0.10780628040689962</c:v>
                </c:pt>
                <c:pt idx="153">
                  <c:v>0.1071016641950898</c:v>
                </c:pt>
                <c:pt idx="154">
                  <c:v>0.10640619884317365</c:v>
                </c:pt>
                <c:pt idx="155">
                  <c:v>0.1057197072377338</c:v>
                </c:pt>
                <c:pt idx="156">
                  <c:v>0.10504201680672269</c:v>
                </c:pt>
                <c:pt idx="157">
                  <c:v>0.10437295937483275</c:v>
                </c:pt>
                <c:pt idx="158">
                  <c:v>0.10371237102435912</c:v>
                </c:pt>
                <c:pt idx="159">
                  <c:v>0.10306009196131283</c:v>
                </c:pt>
                <c:pt idx="160">
                  <c:v>0.10241596638655462</c:v>
                </c:pt>
                <c:pt idx="161">
                  <c:v>0.10177984237173129</c:v>
                </c:pt>
                <c:pt idx="162">
                  <c:v>0.10115157173980703</c:v>
                </c:pt>
                <c:pt idx="163">
                  <c:v>0.10084033613445378</c:v>
                </c:pt>
                <c:pt idx="164">
                  <c:v>0.10084033613445378</c:v>
                </c:pt>
                <c:pt idx="165">
                  <c:v>0.10084033613445378</c:v>
                </c:pt>
                <c:pt idx="166">
                  <c:v>0.10084033613445378</c:v>
                </c:pt>
                <c:pt idx="167">
                  <c:v>0.10084033613445378</c:v>
                </c:pt>
                <c:pt idx="168">
                  <c:v>0.10084033613445378</c:v>
                </c:pt>
                <c:pt idx="169">
                  <c:v>0.10084033613445378</c:v>
                </c:pt>
                <c:pt idx="170">
                  <c:v>0.10084033613445378</c:v>
                </c:pt>
                <c:pt idx="171">
                  <c:v>0.10084033613445378</c:v>
                </c:pt>
                <c:pt idx="172">
                  <c:v>0.10084033613445378</c:v>
                </c:pt>
                <c:pt idx="173">
                  <c:v>0.10084033613445378</c:v>
                </c:pt>
                <c:pt idx="174">
                  <c:v>0.10084033613445378</c:v>
                </c:pt>
                <c:pt idx="175">
                  <c:v>0.10084033613445378</c:v>
                </c:pt>
                <c:pt idx="176">
                  <c:v>0.10084033613445378</c:v>
                </c:pt>
                <c:pt idx="177">
                  <c:v>0.10084033613445378</c:v>
                </c:pt>
              </c:numCache>
            </c:numRef>
          </c:yVal>
          <c:smooth val="0"/>
          <c:extLst>
            <c:ext xmlns:c16="http://schemas.microsoft.com/office/drawing/2014/chart" uri="{C3380CC4-5D6E-409C-BE32-E72D297353CC}">
              <c16:uniqueId val="{00000000-3812-44EA-B688-B8214141C928}"/>
            </c:ext>
          </c:extLst>
        </c:ser>
        <c:ser>
          <c:idx val="8"/>
          <c:order val="1"/>
          <c:tx>
            <c:strRef>
              <c:f>台北盆地Cs!$AM$40</c:f>
              <c:strCache>
                <c:ptCount val="1"/>
                <c:pt idx="0">
                  <c:v>民71年(γZKC, K=1)</c:v>
                </c:pt>
              </c:strCache>
            </c:strRef>
          </c:tx>
          <c:spPr>
            <a:ln w="28575" cap="rnd" cmpd="sng" algn="ctr">
              <a:solidFill>
                <a:schemeClr val="accent3">
                  <a:lumMod val="60000"/>
                  <a:shade val="95000"/>
                  <a:satMod val="105000"/>
                </a:schemeClr>
              </a:solidFill>
              <a:prstDash val="solid"/>
              <a:round/>
            </a:ln>
            <a:effectLst/>
          </c:spPr>
          <c:marker>
            <c:symbol val="none"/>
          </c:marker>
          <c:xVal>
            <c:numRef>
              <c:f>台北盆地Cs!$AJ$41:$AJ$218</c:f>
              <c:numCache>
                <c:formatCode>General</c:formatCode>
                <c:ptCount val="178"/>
                <c:pt idx="0">
                  <c:v>1E-3</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pt idx="51">
                  <c:v>1.02</c:v>
                </c:pt>
                <c:pt idx="52">
                  <c:v>1.04</c:v>
                </c:pt>
                <c:pt idx="53">
                  <c:v>1.06</c:v>
                </c:pt>
                <c:pt idx="54">
                  <c:v>1.08</c:v>
                </c:pt>
                <c:pt idx="55">
                  <c:v>1.1000000000000001</c:v>
                </c:pt>
                <c:pt idx="56">
                  <c:v>1.1200000000000001</c:v>
                </c:pt>
                <c:pt idx="57">
                  <c:v>1.1399999999999999</c:v>
                </c:pt>
                <c:pt idx="58">
                  <c:v>1.1599999999999999</c:v>
                </c:pt>
                <c:pt idx="59">
                  <c:v>1.18</c:v>
                </c:pt>
                <c:pt idx="60">
                  <c:v>1.2</c:v>
                </c:pt>
                <c:pt idx="61">
                  <c:v>1.22</c:v>
                </c:pt>
                <c:pt idx="62">
                  <c:v>1.24</c:v>
                </c:pt>
                <c:pt idx="63">
                  <c:v>1.26</c:v>
                </c:pt>
                <c:pt idx="64">
                  <c:v>1.28</c:v>
                </c:pt>
                <c:pt idx="65">
                  <c:v>1.3</c:v>
                </c:pt>
                <c:pt idx="66">
                  <c:v>1.32</c:v>
                </c:pt>
                <c:pt idx="67">
                  <c:v>1.34</c:v>
                </c:pt>
                <c:pt idx="68">
                  <c:v>1.36</c:v>
                </c:pt>
                <c:pt idx="69">
                  <c:v>1.38</c:v>
                </c:pt>
                <c:pt idx="70">
                  <c:v>1.4</c:v>
                </c:pt>
                <c:pt idx="71">
                  <c:v>1.42</c:v>
                </c:pt>
                <c:pt idx="72">
                  <c:v>1.44</c:v>
                </c:pt>
                <c:pt idx="73">
                  <c:v>1.46</c:v>
                </c:pt>
                <c:pt idx="74">
                  <c:v>1.48</c:v>
                </c:pt>
                <c:pt idx="75">
                  <c:v>1.5</c:v>
                </c:pt>
                <c:pt idx="76">
                  <c:v>1.52</c:v>
                </c:pt>
                <c:pt idx="77">
                  <c:v>1.54</c:v>
                </c:pt>
                <c:pt idx="78">
                  <c:v>1.56</c:v>
                </c:pt>
                <c:pt idx="79">
                  <c:v>1.58</c:v>
                </c:pt>
                <c:pt idx="80">
                  <c:v>1.6</c:v>
                </c:pt>
                <c:pt idx="81">
                  <c:v>1.62</c:v>
                </c:pt>
                <c:pt idx="82">
                  <c:v>1.64</c:v>
                </c:pt>
                <c:pt idx="83">
                  <c:v>1.66</c:v>
                </c:pt>
                <c:pt idx="84">
                  <c:v>1.68</c:v>
                </c:pt>
                <c:pt idx="85">
                  <c:v>1.7</c:v>
                </c:pt>
                <c:pt idx="86">
                  <c:v>1.72</c:v>
                </c:pt>
                <c:pt idx="87">
                  <c:v>1.74</c:v>
                </c:pt>
                <c:pt idx="88">
                  <c:v>1.76</c:v>
                </c:pt>
                <c:pt idx="89">
                  <c:v>1.78</c:v>
                </c:pt>
                <c:pt idx="90">
                  <c:v>1.8</c:v>
                </c:pt>
                <c:pt idx="91">
                  <c:v>1.82</c:v>
                </c:pt>
                <c:pt idx="92">
                  <c:v>1.84</c:v>
                </c:pt>
                <c:pt idx="93">
                  <c:v>1.86</c:v>
                </c:pt>
                <c:pt idx="94">
                  <c:v>1.88</c:v>
                </c:pt>
                <c:pt idx="95">
                  <c:v>1.9</c:v>
                </c:pt>
                <c:pt idx="96">
                  <c:v>1.92</c:v>
                </c:pt>
                <c:pt idx="97">
                  <c:v>1.94</c:v>
                </c:pt>
                <c:pt idx="98">
                  <c:v>1.96</c:v>
                </c:pt>
                <c:pt idx="99">
                  <c:v>1.98</c:v>
                </c:pt>
                <c:pt idx="100">
                  <c:v>2</c:v>
                </c:pt>
                <c:pt idx="101">
                  <c:v>2.02</c:v>
                </c:pt>
                <c:pt idx="102">
                  <c:v>2.04</c:v>
                </c:pt>
                <c:pt idx="103">
                  <c:v>2.06</c:v>
                </c:pt>
                <c:pt idx="104">
                  <c:v>2.08</c:v>
                </c:pt>
                <c:pt idx="105">
                  <c:v>2.1</c:v>
                </c:pt>
                <c:pt idx="106">
                  <c:v>2.12</c:v>
                </c:pt>
                <c:pt idx="107">
                  <c:v>2.14</c:v>
                </c:pt>
                <c:pt idx="108">
                  <c:v>2.16</c:v>
                </c:pt>
                <c:pt idx="109">
                  <c:v>2.1800000000000002</c:v>
                </c:pt>
                <c:pt idx="110">
                  <c:v>2.2000000000000002</c:v>
                </c:pt>
                <c:pt idx="111">
                  <c:v>2.2200000000000002</c:v>
                </c:pt>
                <c:pt idx="112">
                  <c:v>2.2400000000000002</c:v>
                </c:pt>
                <c:pt idx="113">
                  <c:v>2.2599999999999998</c:v>
                </c:pt>
                <c:pt idx="114">
                  <c:v>2.2799999999999998</c:v>
                </c:pt>
                <c:pt idx="115">
                  <c:v>2.2999999999999998</c:v>
                </c:pt>
                <c:pt idx="116">
                  <c:v>2.3199999999999998</c:v>
                </c:pt>
                <c:pt idx="117">
                  <c:v>2.34</c:v>
                </c:pt>
                <c:pt idx="118">
                  <c:v>2.36</c:v>
                </c:pt>
                <c:pt idx="119">
                  <c:v>2.38</c:v>
                </c:pt>
                <c:pt idx="120">
                  <c:v>2.4</c:v>
                </c:pt>
                <c:pt idx="121">
                  <c:v>2.42</c:v>
                </c:pt>
                <c:pt idx="122">
                  <c:v>2.44</c:v>
                </c:pt>
                <c:pt idx="123">
                  <c:v>2.46</c:v>
                </c:pt>
                <c:pt idx="124">
                  <c:v>2.48</c:v>
                </c:pt>
                <c:pt idx="125">
                  <c:v>2.5</c:v>
                </c:pt>
                <c:pt idx="126">
                  <c:v>2.52</c:v>
                </c:pt>
                <c:pt idx="127">
                  <c:v>2.54</c:v>
                </c:pt>
                <c:pt idx="128">
                  <c:v>2.56</c:v>
                </c:pt>
                <c:pt idx="129">
                  <c:v>2.58</c:v>
                </c:pt>
                <c:pt idx="130">
                  <c:v>2.6</c:v>
                </c:pt>
                <c:pt idx="131">
                  <c:v>2.62</c:v>
                </c:pt>
                <c:pt idx="132">
                  <c:v>2.64</c:v>
                </c:pt>
                <c:pt idx="133">
                  <c:v>2.66</c:v>
                </c:pt>
                <c:pt idx="134">
                  <c:v>2.68</c:v>
                </c:pt>
                <c:pt idx="135">
                  <c:v>2.7</c:v>
                </c:pt>
                <c:pt idx="136">
                  <c:v>2.72</c:v>
                </c:pt>
                <c:pt idx="137">
                  <c:v>2.74</c:v>
                </c:pt>
                <c:pt idx="138">
                  <c:v>2.76</c:v>
                </c:pt>
                <c:pt idx="139">
                  <c:v>2.78</c:v>
                </c:pt>
                <c:pt idx="140">
                  <c:v>2.8</c:v>
                </c:pt>
                <c:pt idx="141">
                  <c:v>2.82</c:v>
                </c:pt>
                <c:pt idx="142">
                  <c:v>2.84</c:v>
                </c:pt>
                <c:pt idx="143">
                  <c:v>2.86</c:v>
                </c:pt>
                <c:pt idx="144">
                  <c:v>2.88</c:v>
                </c:pt>
                <c:pt idx="145">
                  <c:v>2.9</c:v>
                </c:pt>
                <c:pt idx="146">
                  <c:v>2.92</c:v>
                </c:pt>
                <c:pt idx="147">
                  <c:v>2.94</c:v>
                </c:pt>
                <c:pt idx="148">
                  <c:v>2.96</c:v>
                </c:pt>
                <c:pt idx="149">
                  <c:v>2.98</c:v>
                </c:pt>
                <c:pt idx="150">
                  <c:v>3</c:v>
                </c:pt>
                <c:pt idx="151">
                  <c:v>3.02</c:v>
                </c:pt>
                <c:pt idx="152">
                  <c:v>3.04</c:v>
                </c:pt>
                <c:pt idx="153">
                  <c:v>3.06</c:v>
                </c:pt>
                <c:pt idx="154">
                  <c:v>3.08</c:v>
                </c:pt>
                <c:pt idx="155">
                  <c:v>3.1</c:v>
                </c:pt>
                <c:pt idx="156">
                  <c:v>3.12</c:v>
                </c:pt>
                <c:pt idx="157">
                  <c:v>3.14</c:v>
                </c:pt>
                <c:pt idx="158">
                  <c:v>3.16</c:v>
                </c:pt>
                <c:pt idx="159">
                  <c:v>3.18</c:v>
                </c:pt>
                <c:pt idx="160">
                  <c:v>3.2</c:v>
                </c:pt>
                <c:pt idx="161">
                  <c:v>3.22</c:v>
                </c:pt>
                <c:pt idx="162">
                  <c:v>3.24</c:v>
                </c:pt>
                <c:pt idx="163">
                  <c:v>3.26</c:v>
                </c:pt>
                <c:pt idx="164">
                  <c:v>3.28</c:v>
                </c:pt>
                <c:pt idx="165">
                  <c:v>3.3</c:v>
                </c:pt>
                <c:pt idx="166">
                  <c:v>3.32</c:v>
                </c:pt>
                <c:pt idx="167">
                  <c:v>3.34</c:v>
                </c:pt>
                <c:pt idx="168">
                  <c:v>3.36</c:v>
                </c:pt>
                <c:pt idx="169">
                  <c:v>3.38</c:v>
                </c:pt>
                <c:pt idx="170">
                  <c:v>3.4</c:v>
                </c:pt>
                <c:pt idx="171">
                  <c:v>3.42</c:v>
                </c:pt>
                <c:pt idx="172">
                  <c:v>3.44</c:v>
                </c:pt>
                <c:pt idx="173">
                  <c:v>3.46</c:v>
                </c:pt>
                <c:pt idx="174">
                  <c:v>3.48</c:v>
                </c:pt>
                <c:pt idx="175">
                  <c:v>3.5</c:v>
                </c:pt>
                <c:pt idx="176">
                  <c:v>3.52</c:v>
                </c:pt>
                <c:pt idx="177">
                  <c:v>4</c:v>
                </c:pt>
              </c:numCache>
            </c:numRef>
          </c:xVal>
          <c:yVal>
            <c:numRef>
              <c:f>台北盆地Cs!$AM$41:$AM$218</c:f>
              <c:numCache>
                <c:formatCode>General</c:formatCode>
                <c:ptCount val="178"/>
                <c:pt idx="0">
                  <c:v>0.16889999999999999</c:v>
                </c:pt>
                <c:pt idx="1">
                  <c:v>0.16889999999999999</c:v>
                </c:pt>
                <c:pt idx="2">
                  <c:v>0.16889999999999999</c:v>
                </c:pt>
                <c:pt idx="3">
                  <c:v>0.16889999999999999</c:v>
                </c:pt>
                <c:pt idx="4">
                  <c:v>0.16889999999999999</c:v>
                </c:pt>
                <c:pt idx="5">
                  <c:v>0.16889999999999999</c:v>
                </c:pt>
                <c:pt idx="6">
                  <c:v>0.16889999999999999</c:v>
                </c:pt>
                <c:pt idx="7">
                  <c:v>0.16889999999999999</c:v>
                </c:pt>
                <c:pt idx="8">
                  <c:v>0.16889999999999999</c:v>
                </c:pt>
                <c:pt idx="9">
                  <c:v>0.16889999999999999</c:v>
                </c:pt>
                <c:pt idx="10">
                  <c:v>0.16889999999999999</c:v>
                </c:pt>
                <c:pt idx="11">
                  <c:v>0.16889999999999999</c:v>
                </c:pt>
                <c:pt idx="12">
                  <c:v>0.16889999999999999</c:v>
                </c:pt>
                <c:pt idx="13">
                  <c:v>0.16889999999999999</c:v>
                </c:pt>
                <c:pt idx="14">
                  <c:v>0.16889999999999999</c:v>
                </c:pt>
                <c:pt idx="15">
                  <c:v>0.16889999999999999</c:v>
                </c:pt>
                <c:pt idx="16">
                  <c:v>0.16889999999999999</c:v>
                </c:pt>
                <c:pt idx="17">
                  <c:v>0.16889999999999999</c:v>
                </c:pt>
                <c:pt idx="18">
                  <c:v>0.16889999999999999</c:v>
                </c:pt>
                <c:pt idx="19">
                  <c:v>0.16889999999999999</c:v>
                </c:pt>
                <c:pt idx="20">
                  <c:v>0.16889999999999999</c:v>
                </c:pt>
                <c:pt idx="21">
                  <c:v>0.16889999999999999</c:v>
                </c:pt>
                <c:pt idx="22">
                  <c:v>0.16889999999999999</c:v>
                </c:pt>
                <c:pt idx="23">
                  <c:v>0.16889999999999999</c:v>
                </c:pt>
                <c:pt idx="24">
                  <c:v>0.16889999999999999</c:v>
                </c:pt>
                <c:pt idx="25">
                  <c:v>0.16889999999999999</c:v>
                </c:pt>
                <c:pt idx="26">
                  <c:v>0.16889999999999999</c:v>
                </c:pt>
                <c:pt idx="27">
                  <c:v>0.16889999999999999</c:v>
                </c:pt>
                <c:pt idx="28">
                  <c:v>0.16889999999999999</c:v>
                </c:pt>
                <c:pt idx="29">
                  <c:v>0.16889999999999999</c:v>
                </c:pt>
                <c:pt idx="30">
                  <c:v>0.16889999999999999</c:v>
                </c:pt>
                <c:pt idx="31">
                  <c:v>0.16889999999999999</c:v>
                </c:pt>
                <c:pt idx="32">
                  <c:v>0.16889999999999999</c:v>
                </c:pt>
                <c:pt idx="33">
                  <c:v>0.16889999999999999</c:v>
                </c:pt>
                <c:pt idx="34">
                  <c:v>0.16889999999999999</c:v>
                </c:pt>
                <c:pt idx="35">
                  <c:v>0.16889999999999999</c:v>
                </c:pt>
                <c:pt idx="36">
                  <c:v>0.16889999999999999</c:v>
                </c:pt>
                <c:pt idx="37">
                  <c:v>0.16889999999999999</c:v>
                </c:pt>
                <c:pt idx="38">
                  <c:v>0.16889999999999999</c:v>
                </c:pt>
                <c:pt idx="39">
                  <c:v>0.16889999999999999</c:v>
                </c:pt>
                <c:pt idx="40">
                  <c:v>0.16889999999999999</c:v>
                </c:pt>
                <c:pt idx="41">
                  <c:v>0.16889999999999999</c:v>
                </c:pt>
                <c:pt idx="42">
                  <c:v>0.16889999999999999</c:v>
                </c:pt>
                <c:pt idx="43">
                  <c:v>0.16889999999999999</c:v>
                </c:pt>
                <c:pt idx="44">
                  <c:v>0.16889999999999999</c:v>
                </c:pt>
                <c:pt idx="45">
                  <c:v>0.16889999999999999</c:v>
                </c:pt>
                <c:pt idx="46">
                  <c:v>0.16889999999999999</c:v>
                </c:pt>
                <c:pt idx="47">
                  <c:v>0.16889999999999999</c:v>
                </c:pt>
                <c:pt idx="48">
                  <c:v>0.16889999999999999</c:v>
                </c:pt>
                <c:pt idx="49">
                  <c:v>0.16889999999999999</c:v>
                </c:pt>
                <c:pt idx="50">
                  <c:v>0.16889999999999999</c:v>
                </c:pt>
                <c:pt idx="51">
                  <c:v>0.16889999999999999</c:v>
                </c:pt>
                <c:pt idx="52">
                  <c:v>0.16889999999999999</c:v>
                </c:pt>
                <c:pt idx="53">
                  <c:v>0.16889999999999999</c:v>
                </c:pt>
                <c:pt idx="54">
                  <c:v>0.16889999999999999</c:v>
                </c:pt>
                <c:pt idx="55">
                  <c:v>0.16889999999999999</c:v>
                </c:pt>
                <c:pt idx="56">
                  <c:v>0.16889999999999999</c:v>
                </c:pt>
                <c:pt idx="57">
                  <c:v>0.16889999999999999</c:v>
                </c:pt>
                <c:pt idx="58">
                  <c:v>0.16889999999999999</c:v>
                </c:pt>
                <c:pt idx="59">
                  <c:v>0.16889999999999999</c:v>
                </c:pt>
                <c:pt idx="60">
                  <c:v>0.16889999999999999</c:v>
                </c:pt>
                <c:pt idx="61">
                  <c:v>0.16889999999999999</c:v>
                </c:pt>
                <c:pt idx="62">
                  <c:v>0.16889999999999999</c:v>
                </c:pt>
                <c:pt idx="63">
                  <c:v>0.16889999999999999</c:v>
                </c:pt>
                <c:pt idx="64">
                  <c:v>0.16889999999999999</c:v>
                </c:pt>
                <c:pt idx="65">
                  <c:v>0.16889999999999999</c:v>
                </c:pt>
                <c:pt idx="66">
                  <c:v>0.16889999999999999</c:v>
                </c:pt>
                <c:pt idx="67">
                  <c:v>0.16889999999999999</c:v>
                </c:pt>
                <c:pt idx="68">
                  <c:v>0.16889999999999999</c:v>
                </c:pt>
                <c:pt idx="69">
                  <c:v>0.16889999999999999</c:v>
                </c:pt>
                <c:pt idx="70">
                  <c:v>0.16889999999999999</c:v>
                </c:pt>
                <c:pt idx="71">
                  <c:v>0.16889999999999999</c:v>
                </c:pt>
                <c:pt idx="72">
                  <c:v>0.16889999999999999</c:v>
                </c:pt>
                <c:pt idx="73">
                  <c:v>0.16889999999999999</c:v>
                </c:pt>
                <c:pt idx="74">
                  <c:v>0.16889999999999999</c:v>
                </c:pt>
                <c:pt idx="75">
                  <c:v>0.16889999999999999</c:v>
                </c:pt>
                <c:pt idx="76">
                  <c:v>0.16889999999999999</c:v>
                </c:pt>
                <c:pt idx="77">
                  <c:v>0.16889999999999999</c:v>
                </c:pt>
                <c:pt idx="78">
                  <c:v>0.16889999999999999</c:v>
                </c:pt>
                <c:pt idx="79">
                  <c:v>0.16889999999999999</c:v>
                </c:pt>
                <c:pt idx="80">
                  <c:v>0.16889999999999999</c:v>
                </c:pt>
                <c:pt idx="81">
                  <c:v>0.16889999999999999</c:v>
                </c:pt>
                <c:pt idx="82">
                  <c:v>0.16889999999999999</c:v>
                </c:pt>
                <c:pt idx="83">
                  <c:v>0.16819999999999999</c:v>
                </c:pt>
                <c:pt idx="84">
                  <c:v>0.16619999999999999</c:v>
                </c:pt>
                <c:pt idx="85">
                  <c:v>0.1643</c:v>
                </c:pt>
                <c:pt idx="86">
                  <c:v>0.16239999999999999</c:v>
                </c:pt>
                <c:pt idx="87">
                  <c:v>0.1605</c:v>
                </c:pt>
                <c:pt idx="88">
                  <c:v>0.15870000000000001</c:v>
                </c:pt>
                <c:pt idx="89">
                  <c:v>0.15690000000000001</c:v>
                </c:pt>
                <c:pt idx="90">
                  <c:v>0.15509999999999999</c:v>
                </c:pt>
                <c:pt idx="91">
                  <c:v>0.15340000000000001</c:v>
                </c:pt>
                <c:pt idx="92">
                  <c:v>0.15179999999999999</c:v>
                </c:pt>
                <c:pt idx="93">
                  <c:v>0.15010000000000001</c:v>
                </c:pt>
                <c:pt idx="94">
                  <c:v>0.14849999999999999</c:v>
                </c:pt>
                <c:pt idx="95">
                  <c:v>0.14699999999999999</c:v>
                </c:pt>
                <c:pt idx="96">
                  <c:v>0.1454</c:v>
                </c:pt>
                <c:pt idx="97">
                  <c:v>0.1439</c:v>
                </c:pt>
                <c:pt idx="98">
                  <c:v>0.14249999999999999</c:v>
                </c:pt>
                <c:pt idx="99">
                  <c:v>0.14099999999999999</c:v>
                </c:pt>
                <c:pt idx="100">
                  <c:v>0.1396</c:v>
                </c:pt>
                <c:pt idx="101">
                  <c:v>0.13819999999999999</c:v>
                </c:pt>
                <c:pt idx="102">
                  <c:v>0.13689999999999999</c:v>
                </c:pt>
                <c:pt idx="103">
                  <c:v>0.1356</c:v>
                </c:pt>
                <c:pt idx="104">
                  <c:v>0.1343</c:v>
                </c:pt>
                <c:pt idx="105">
                  <c:v>0.13300000000000001</c:v>
                </c:pt>
                <c:pt idx="106">
                  <c:v>0.13170000000000001</c:v>
                </c:pt>
                <c:pt idx="107">
                  <c:v>0.1305</c:v>
                </c:pt>
                <c:pt idx="108">
                  <c:v>0.1293</c:v>
                </c:pt>
                <c:pt idx="109">
                  <c:v>0.12809999999999999</c:v>
                </c:pt>
                <c:pt idx="110">
                  <c:v>0.12690000000000001</c:v>
                </c:pt>
                <c:pt idx="111">
                  <c:v>0.1258</c:v>
                </c:pt>
                <c:pt idx="112">
                  <c:v>0.12470000000000001</c:v>
                </c:pt>
                <c:pt idx="113">
                  <c:v>0.1236</c:v>
                </c:pt>
                <c:pt idx="114">
                  <c:v>0.1225</c:v>
                </c:pt>
                <c:pt idx="115">
                  <c:v>0.12139999999999999</c:v>
                </c:pt>
                <c:pt idx="116">
                  <c:v>0.12039999999999999</c:v>
                </c:pt>
                <c:pt idx="117">
                  <c:v>0.1193</c:v>
                </c:pt>
                <c:pt idx="118">
                  <c:v>0.1183</c:v>
                </c:pt>
                <c:pt idx="119">
                  <c:v>0.1173</c:v>
                </c:pt>
                <c:pt idx="120">
                  <c:v>0.1164</c:v>
                </c:pt>
                <c:pt idx="121">
                  <c:v>0.1154</c:v>
                </c:pt>
                <c:pt idx="122">
                  <c:v>0.1144</c:v>
                </c:pt>
                <c:pt idx="123">
                  <c:v>0.1135</c:v>
                </c:pt>
                <c:pt idx="124">
                  <c:v>0.11260000000000001</c:v>
                </c:pt>
                <c:pt idx="125">
                  <c:v>0.11169999999999999</c:v>
                </c:pt>
                <c:pt idx="126">
                  <c:v>0.1108</c:v>
                </c:pt>
                <c:pt idx="127">
                  <c:v>0.1099</c:v>
                </c:pt>
                <c:pt idx="128">
                  <c:v>0.1091</c:v>
                </c:pt>
                <c:pt idx="129">
                  <c:v>0.1082</c:v>
                </c:pt>
                <c:pt idx="130">
                  <c:v>0.1074</c:v>
                </c:pt>
                <c:pt idx="131">
                  <c:v>0.1066</c:v>
                </c:pt>
                <c:pt idx="132">
                  <c:v>0.10580000000000001</c:v>
                </c:pt>
                <c:pt idx="133">
                  <c:v>0.105</c:v>
                </c:pt>
                <c:pt idx="134">
                  <c:v>0.1042</c:v>
                </c:pt>
                <c:pt idx="135">
                  <c:v>0.10340000000000001</c:v>
                </c:pt>
                <c:pt idx="136">
                  <c:v>0.1027</c:v>
                </c:pt>
                <c:pt idx="137">
                  <c:v>0.1019</c:v>
                </c:pt>
                <c:pt idx="138">
                  <c:v>0.1012</c:v>
                </c:pt>
                <c:pt idx="139">
                  <c:v>0.1004</c:v>
                </c:pt>
                <c:pt idx="140">
                  <c:v>9.9699999999999997E-2</c:v>
                </c:pt>
                <c:pt idx="141">
                  <c:v>9.9000000000000005E-2</c:v>
                </c:pt>
                <c:pt idx="142">
                  <c:v>9.8299999999999998E-2</c:v>
                </c:pt>
                <c:pt idx="143">
                  <c:v>9.7600000000000006E-2</c:v>
                </c:pt>
                <c:pt idx="144">
                  <c:v>9.7000000000000003E-2</c:v>
                </c:pt>
                <c:pt idx="145">
                  <c:v>9.6299999999999997E-2</c:v>
                </c:pt>
                <c:pt idx="146">
                  <c:v>9.5600000000000004E-2</c:v>
                </c:pt>
                <c:pt idx="147">
                  <c:v>9.5000000000000001E-2</c:v>
                </c:pt>
                <c:pt idx="148">
                  <c:v>9.4299999999999995E-2</c:v>
                </c:pt>
                <c:pt idx="149">
                  <c:v>9.3700000000000006E-2</c:v>
                </c:pt>
                <c:pt idx="150">
                  <c:v>9.3100000000000002E-2</c:v>
                </c:pt>
                <c:pt idx="151">
                  <c:v>9.2499999999999999E-2</c:v>
                </c:pt>
                <c:pt idx="152">
                  <c:v>9.1899999999999996E-2</c:v>
                </c:pt>
                <c:pt idx="153">
                  <c:v>9.1300000000000006E-2</c:v>
                </c:pt>
                <c:pt idx="154">
                  <c:v>9.0700000000000003E-2</c:v>
                </c:pt>
                <c:pt idx="155">
                  <c:v>9.01E-2</c:v>
                </c:pt>
                <c:pt idx="156">
                  <c:v>8.9499999999999996E-2</c:v>
                </c:pt>
                <c:pt idx="157">
                  <c:v>8.8900000000000007E-2</c:v>
                </c:pt>
                <c:pt idx="158">
                  <c:v>8.8400000000000006E-2</c:v>
                </c:pt>
                <c:pt idx="159">
                  <c:v>8.7800000000000003E-2</c:v>
                </c:pt>
                <c:pt idx="160">
                  <c:v>8.7300000000000003E-2</c:v>
                </c:pt>
                <c:pt idx="161">
                  <c:v>8.6699999999999999E-2</c:v>
                </c:pt>
                <c:pt idx="162">
                  <c:v>8.6199999999999999E-2</c:v>
                </c:pt>
                <c:pt idx="163">
                  <c:v>8.5699999999999998E-2</c:v>
                </c:pt>
                <c:pt idx="164">
                  <c:v>8.5099999999999995E-2</c:v>
                </c:pt>
                <c:pt idx="165">
                  <c:v>8.4599999999999995E-2</c:v>
                </c:pt>
                <c:pt idx="166">
                  <c:v>8.4099999999999994E-2</c:v>
                </c:pt>
                <c:pt idx="167">
                  <c:v>8.3599999999999994E-2</c:v>
                </c:pt>
                <c:pt idx="168">
                  <c:v>8.3099999999999993E-2</c:v>
                </c:pt>
                <c:pt idx="169">
                  <c:v>8.2600000000000007E-2</c:v>
                </c:pt>
                <c:pt idx="170">
                  <c:v>8.2100000000000006E-2</c:v>
                </c:pt>
                <c:pt idx="171">
                  <c:v>8.1699999999999995E-2</c:v>
                </c:pt>
                <c:pt idx="172">
                  <c:v>8.1199999999999994E-2</c:v>
                </c:pt>
                <c:pt idx="173">
                  <c:v>8.0699999999999994E-2</c:v>
                </c:pt>
                <c:pt idx="174">
                  <c:v>8.0199999999999994E-2</c:v>
                </c:pt>
                <c:pt idx="175">
                  <c:v>7.9799999999999996E-2</c:v>
                </c:pt>
                <c:pt idx="176">
                  <c:v>7.9299999999999995E-2</c:v>
                </c:pt>
                <c:pt idx="177">
                  <c:v>7.0400000000000004E-2</c:v>
                </c:pt>
              </c:numCache>
            </c:numRef>
          </c:yVal>
          <c:smooth val="0"/>
          <c:extLst>
            <c:ext xmlns:c16="http://schemas.microsoft.com/office/drawing/2014/chart" uri="{C3380CC4-5D6E-409C-BE32-E72D297353CC}">
              <c16:uniqueId val="{00000001-3812-44EA-B688-B8214141C928}"/>
            </c:ext>
          </c:extLst>
        </c:ser>
        <c:dLbls>
          <c:showLegendKey val="0"/>
          <c:showVal val="0"/>
          <c:showCatName val="0"/>
          <c:showSerName val="0"/>
          <c:showPercent val="0"/>
          <c:showBubbleSize val="0"/>
        </c:dLbls>
        <c:axId val="200066752"/>
        <c:axId val="200067328"/>
      </c:scatterChart>
      <c:valAx>
        <c:axId val="200066752"/>
        <c:scaling>
          <c:orientation val="minMax"/>
          <c:max val="4"/>
        </c:scaling>
        <c:delete val="0"/>
        <c:axPos val="b"/>
        <c:majorGridlines>
          <c:spPr>
            <a:ln w="9525" cap="flat" cmpd="sng" algn="ctr">
              <a:solidFill>
                <a:sysClr val="windowText" lastClr="000000"/>
              </a:solidFill>
              <a:prstDash val="solid"/>
              <a:round/>
            </a:ln>
            <a:effectLst/>
          </c:spPr>
        </c:majorGridlines>
        <c:minorGridlines>
          <c:spPr>
            <a:ln w="9525" cap="flat" cmpd="sng" algn="ctr">
              <a:solidFill>
                <a:schemeClr val="tx1">
                  <a:tint val="50000"/>
                  <a:shade val="95000"/>
                  <a:satMod val="105000"/>
                </a:schemeClr>
              </a:solidFill>
              <a:prstDash val="solid"/>
              <a:round/>
            </a:ln>
            <a:effectLst/>
          </c:spPr>
        </c:minorGridlines>
        <c:title>
          <c:tx>
            <c:rich>
              <a:bodyPr rot="0" spcFirstLastPara="1" vertOverflow="ellipsis" vert="horz" wrap="square" anchor="ctr" anchorCtr="1"/>
              <a:lstStyle/>
              <a:p>
                <a:pPr>
                  <a:defRPr sz="1000" b="1" i="0" u="none" strike="noStrike" kern="1200" baseline="0">
                    <a:solidFill>
                      <a:schemeClr val="tx1"/>
                    </a:solidFill>
                    <a:latin typeface="+mn-lt"/>
                    <a:ea typeface="+mn-ea"/>
                    <a:cs typeface="+mn-cs"/>
                  </a:defRPr>
                </a:pPr>
                <a:r>
                  <a:rPr lang="en-US" altLang="zh-TW"/>
                  <a:t>Period T (sec)</a:t>
                </a:r>
                <a:endParaRPr lang="zh-TW" altLang="en-US"/>
              </a:p>
            </c:rich>
          </c:tx>
          <c:overlay val="0"/>
          <c:spPr>
            <a:noFill/>
            <a:ln>
              <a:noFill/>
            </a:ln>
            <a:effectLst/>
          </c:spPr>
          <c:txPr>
            <a:bodyPr rot="0" spcFirstLastPara="1" vertOverflow="ellipsis" vert="horz" wrap="square" anchor="ctr" anchorCtr="1"/>
            <a:lstStyle/>
            <a:p>
              <a:pPr>
                <a:defRPr sz="1000" b="1" i="0" u="none" strike="noStrike" kern="1200" baseline="0">
                  <a:solidFill>
                    <a:schemeClr val="tx1"/>
                  </a:solidFill>
                  <a:latin typeface="+mn-lt"/>
                  <a:ea typeface="+mn-ea"/>
                  <a:cs typeface="+mn-cs"/>
                </a:defRPr>
              </a:pPr>
              <a:endParaRPr lang="zh-TW" altLang="en-US"/>
            </a:p>
          </c:txPr>
        </c:title>
        <c:numFmt formatCode="General" sourceLinked="1"/>
        <c:majorTickMark val="none"/>
        <c:minorTickMark val="none"/>
        <c:tickLblPos val="nextTo"/>
        <c:spPr>
          <a:noFill/>
          <a:ln w="15875" cap="flat" cmpd="sng" algn="ctr">
            <a:solidFill>
              <a:sysClr val="windowText" lastClr="000000"/>
            </a:solidFill>
            <a:prstDash val="solid"/>
            <a:round/>
          </a:ln>
          <a:effectLst/>
        </c:spPr>
        <c:txPr>
          <a:bodyPr rot="0" spcFirstLastPara="1" vertOverflow="ellipsis" wrap="square" anchor="ctr" anchorCtr="1"/>
          <a:lstStyle/>
          <a:p>
            <a:pPr>
              <a:defRPr sz="1000" b="0" i="0" u="none" strike="noStrike" kern="1200" baseline="0">
                <a:solidFill>
                  <a:srgbClr val="000000"/>
                </a:solidFill>
                <a:latin typeface="新細明體"/>
                <a:ea typeface="新細明體"/>
                <a:cs typeface="新細明體"/>
              </a:defRPr>
            </a:pPr>
            <a:endParaRPr lang="zh-TW"/>
          </a:p>
        </c:txPr>
        <c:crossAx val="200067328"/>
        <c:crosses val="autoZero"/>
        <c:crossBetween val="midCat"/>
        <c:majorUnit val="0.5"/>
        <c:minorUnit val="0.1"/>
      </c:valAx>
      <c:valAx>
        <c:axId val="200067328"/>
        <c:scaling>
          <c:orientation val="minMax"/>
        </c:scaling>
        <c:delete val="0"/>
        <c:axPos val="l"/>
        <c:majorGridlines>
          <c:spPr>
            <a:ln w="9525" cap="flat" cmpd="sng" algn="ctr">
              <a:solidFill>
                <a:sysClr val="windowText" lastClr="000000"/>
              </a:solidFill>
              <a:prstDash val="solid"/>
              <a:round/>
            </a:ln>
            <a:effectLst/>
          </c:spPr>
        </c:majorGridlines>
        <c:minorGridlines>
          <c:spPr>
            <a:ln w="9525" cap="flat" cmpd="sng" algn="ctr">
              <a:solidFill>
                <a:schemeClr val="tx1">
                  <a:tint val="50000"/>
                  <a:shade val="95000"/>
                  <a:satMod val="105000"/>
                </a:schemeClr>
              </a:solidFill>
              <a:prstDash val="solid"/>
              <a:round/>
            </a:ln>
            <a:effectLst/>
          </c:spPr>
        </c:minorGridlines>
        <c:title>
          <c:tx>
            <c:rich>
              <a:bodyPr rot="-5400000" spcFirstLastPara="1" vertOverflow="ellipsis" vert="horz" wrap="square" anchor="ctr" anchorCtr="1"/>
              <a:lstStyle/>
              <a:p>
                <a:pPr>
                  <a:defRPr sz="1400" b="1" i="0" u="none" strike="noStrike" kern="1200" baseline="0">
                    <a:solidFill>
                      <a:schemeClr val="tx1"/>
                    </a:solidFill>
                    <a:latin typeface="+mn-lt"/>
                    <a:ea typeface="+mn-ea"/>
                    <a:cs typeface="+mn-cs"/>
                  </a:defRPr>
                </a:pPr>
                <a:r>
                  <a:rPr lang="el-GR" altLang="zh-TW" sz="1400" baseline="0"/>
                  <a:t>γ</a:t>
                </a:r>
                <a:r>
                  <a:rPr lang="en-US" altLang="zh-TW" sz="1400" baseline="0"/>
                  <a:t>Cs </a:t>
                </a:r>
                <a:endParaRPr lang="en-US" altLang="zh-TW" sz="1400"/>
              </a:p>
            </c:rich>
          </c:tx>
          <c:overlay val="0"/>
          <c:spPr>
            <a:noFill/>
            <a:ln>
              <a:noFill/>
            </a:ln>
            <a:effectLst/>
          </c:spPr>
          <c:txPr>
            <a:bodyPr rot="-5400000" spcFirstLastPara="1" vertOverflow="ellipsis" vert="horz" wrap="square" anchor="ctr" anchorCtr="1"/>
            <a:lstStyle/>
            <a:p>
              <a:pPr>
                <a:defRPr sz="1400" b="1" i="0" u="none" strike="noStrike" kern="1200" baseline="0">
                  <a:solidFill>
                    <a:schemeClr val="tx1"/>
                  </a:solidFill>
                  <a:latin typeface="+mn-lt"/>
                  <a:ea typeface="+mn-ea"/>
                  <a:cs typeface="+mn-cs"/>
                </a:defRPr>
              </a:pPr>
              <a:endParaRPr lang="en-US" altLang="zh-TW"/>
            </a:p>
          </c:txPr>
        </c:title>
        <c:numFmt formatCode="0.00_);\(0.00\)" sourceLinked="0"/>
        <c:majorTickMark val="none"/>
        <c:minorTickMark val="none"/>
        <c:tickLblPos val="nextTo"/>
        <c:spPr>
          <a:noFill/>
          <a:ln w="15875" cap="flat" cmpd="sng" algn="ctr">
            <a:solidFill>
              <a:sysClr val="windowText" lastClr="000000"/>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zh-TW"/>
          </a:p>
        </c:txPr>
        <c:crossAx val="200066752"/>
        <c:crosses val="autoZero"/>
        <c:crossBetween val="midCat"/>
      </c:valAx>
      <c:spPr>
        <a:solidFill>
          <a:schemeClr val="bg1"/>
        </a:solidFill>
        <a:ln w="15875">
          <a:solidFill>
            <a:schemeClr val="tx1"/>
          </a:solidFill>
        </a:ln>
        <a:effectLst/>
      </c:spPr>
    </c:plotArea>
    <c:legend>
      <c:legendPos val="r"/>
      <c:layout>
        <c:manualLayout>
          <c:xMode val="edge"/>
          <c:yMode val="edge"/>
          <c:x val="0.67458689007790373"/>
          <c:y val="0.14356154259359941"/>
          <c:w val="0.26335934794582133"/>
          <c:h val="0.1106453149827345"/>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zh-TW"/>
        </a:p>
      </c:txPr>
    </c:legend>
    <c:plotVisOnly val="1"/>
    <c:dispBlanksAs val="gap"/>
    <c:showDLblsOverMax val="0"/>
  </c:chart>
  <c:spPr>
    <a:solidFill>
      <a:schemeClr val="bg1"/>
    </a:solidFill>
    <a:ln w="9525" cap="flat" cmpd="sng" algn="ctr">
      <a:solidFill>
        <a:schemeClr val="tx1">
          <a:tint val="75000"/>
          <a:shade val="95000"/>
          <a:satMod val="105000"/>
        </a:schemeClr>
      </a:solidFill>
      <a:prstDash val="solid"/>
      <a:round/>
    </a:ln>
    <a:effectLst/>
  </c:spPr>
  <c:txPr>
    <a:bodyPr/>
    <a:lstStyle/>
    <a:p>
      <a:pPr>
        <a:defRPr/>
      </a:pPr>
      <a:endParaRPr lang="zh-TW"/>
    </a:p>
  </c:txPr>
  <c:printSettings>
    <c:headerFooter/>
    <c:pageMargins b="0.75000000000000544" l="0.70000000000000062" r="0.70000000000000062" t="0.75000000000000544"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1"/>
                </a:solidFill>
                <a:latin typeface="微軟正黑體" panose="020B0604030504040204" pitchFamily="34" charset="-120"/>
                <a:ea typeface="微軟正黑體" panose="020B0604030504040204" pitchFamily="34" charset="-120"/>
                <a:cs typeface="+mn-cs"/>
              </a:defRPr>
            </a:pPr>
            <a:r>
              <a:rPr lang="zh-TW" altLang="en-US" sz="1600">
                <a:latin typeface="微軟正黑體" panose="020B0604030504040204" pitchFamily="34" charset="-120"/>
                <a:ea typeface="微軟正黑體" panose="020B0604030504040204" pitchFamily="34" charset="-120"/>
              </a:rPr>
              <a:t>台北市萬華區設計反應譜比較圖</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solidFill>
              <a:latin typeface="微軟正黑體" panose="020B0604030504040204" pitchFamily="34" charset="-120"/>
              <a:ea typeface="微軟正黑體" panose="020B0604030504040204" pitchFamily="34" charset="-120"/>
              <a:cs typeface="+mn-cs"/>
            </a:defRPr>
          </a:pPr>
          <a:endParaRPr lang="zh-TW"/>
        </a:p>
      </c:txPr>
    </c:title>
    <c:autoTitleDeleted val="0"/>
    <c:plotArea>
      <c:layout>
        <c:manualLayout>
          <c:layoutTarget val="inner"/>
          <c:xMode val="edge"/>
          <c:yMode val="edge"/>
          <c:x val="0.10815049437803929"/>
          <c:y val="0.11499389057160583"/>
          <c:w val="0.85423197492163006"/>
          <c:h val="0.77553936108476074"/>
        </c:manualLayout>
      </c:layout>
      <c:scatterChart>
        <c:scatterStyle val="lineMarker"/>
        <c:varyColors val="0"/>
        <c:ser>
          <c:idx val="5"/>
          <c:order val="0"/>
          <c:tx>
            <c:strRef>
              <c:f>#REF!</c:f>
              <c:strCache>
                <c:ptCount val="1"/>
                <c:pt idx="0">
                  <c:v>#REF!</c:v>
                </c:pt>
              </c:strCache>
            </c:strRef>
          </c:tx>
          <c:spPr>
            <a:ln w="28575" cap="rnd" cmpd="sng" algn="ctr">
              <a:solidFill>
                <a:schemeClr val="accent6">
                  <a:shade val="95000"/>
                  <a:satMod val="105000"/>
                </a:schemeClr>
              </a:solidFill>
              <a:prstDash val="solid"/>
              <a:round/>
            </a:ln>
            <a:effectLst/>
          </c:spPr>
          <c:marker>
            <c:symbol val="none"/>
          </c:marker>
          <c:xVal>
            <c:numRef>
              <c:f>#REF!</c:f>
            </c:numRef>
          </c:xVal>
          <c:yVal>
            <c:numRef>
              <c:f>#REF!</c:f>
              <c:numCache>
                <c:formatCode>General</c:formatCode>
                <c:ptCount val="1"/>
                <c:pt idx="0">
                  <c:v>1</c:v>
                </c:pt>
              </c:numCache>
            </c:numRef>
          </c:yVal>
          <c:smooth val="0"/>
          <c:extLst>
            <c:ext xmlns:c16="http://schemas.microsoft.com/office/drawing/2014/chart" uri="{C3380CC4-5D6E-409C-BE32-E72D297353CC}">
              <c16:uniqueId val="{00000000-FC8F-454B-A1D6-DEEE0F879C22}"/>
            </c:ext>
          </c:extLst>
        </c:ser>
        <c:ser>
          <c:idx val="0"/>
          <c:order val="1"/>
          <c:tx>
            <c:strRef>
              <c:f>#REF!</c:f>
              <c:strCache>
                <c:ptCount val="1"/>
                <c:pt idx="0">
                  <c:v>#REF!</c:v>
                </c:pt>
              </c:strCache>
            </c:strRef>
          </c:tx>
          <c:spPr>
            <a:ln w="28575" cap="rnd" cmpd="sng" algn="ctr">
              <a:solidFill>
                <a:schemeClr val="accent1">
                  <a:shade val="95000"/>
                  <a:satMod val="105000"/>
                </a:schemeClr>
              </a:solidFill>
              <a:prstDash val="solid"/>
              <a:round/>
            </a:ln>
            <a:effectLst/>
          </c:spPr>
          <c:marker>
            <c:symbol val="none"/>
          </c:marker>
          <c:xVal>
            <c:numRef>
              <c:f>#REF!</c:f>
            </c:numRef>
          </c:xVal>
          <c:yVal>
            <c:numRef>
              <c:f>#REF!</c:f>
              <c:numCache>
                <c:formatCode>General</c:formatCode>
                <c:ptCount val="1"/>
                <c:pt idx="0">
                  <c:v>1</c:v>
                </c:pt>
              </c:numCache>
            </c:numRef>
          </c:yVal>
          <c:smooth val="0"/>
          <c:extLst>
            <c:ext xmlns:c16="http://schemas.microsoft.com/office/drawing/2014/chart" uri="{C3380CC4-5D6E-409C-BE32-E72D297353CC}">
              <c16:uniqueId val="{00000001-FC8F-454B-A1D6-DEEE0F879C22}"/>
            </c:ext>
          </c:extLst>
        </c:ser>
        <c:ser>
          <c:idx val="7"/>
          <c:order val="2"/>
          <c:tx>
            <c:strRef>
              <c:f>台北盆地Cs!$X$40</c:f>
              <c:strCache>
                <c:ptCount val="1"/>
                <c:pt idx="0">
                  <c:v>MCE,100年以後</c:v>
                </c:pt>
              </c:strCache>
            </c:strRef>
          </c:tx>
          <c:spPr>
            <a:ln w="28575" cap="rnd" cmpd="sng" algn="ctr">
              <a:solidFill>
                <a:schemeClr val="accent2">
                  <a:lumMod val="60000"/>
                  <a:shade val="95000"/>
                  <a:satMod val="105000"/>
                </a:schemeClr>
              </a:solidFill>
              <a:prstDash val="solid"/>
              <a:round/>
            </a:ln>
            <a:effectLst/>
          </c:spPr>
          <c:marker>
            <c:symbol val="none"/>
          </c:marker>
          <c:xVal>
            <c:numRef>
              <c:f>台北盆地Cs!$R$41:$R$218</c:f>
              <c:numCache>
                <c:formatCode>General</c:formatCode>
                <c:ptCount val="178"/>
                <c:pt idx="0">
                  <c:v>1E-3</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pt idx="51">
                  <c:v>1.02</c:v>
                </c:pt>
                <c:pt idx="52">
                  <c:v>1.04</c:v>
                </c:pt>
                <c:pt idx="53">
                  <c:v>1.06</c:v>
                </c:pt>
                <c:pt idx="54">
                  <c:v>1.08</c:v>
                </c:pt>
                <c:pt idx="55">
                  <c:v>1.1000000000000001</c:v>
                </c:pt>
                <c:pt idx="56">
                  <c:v>1.1200000000000001</c:v>
                </c:pt>
                <c:pt idx="57">
                  <c:v>1.1399999999999999</c:v>
                </c:pt>
                <c:pt idx="58">
                  <c:v>1.1599999999999999</c:v>
                </c:pt>
                <c:pt idx="59">
                  <c:v>1.18</c:v>
                </c:pt>
                <c:pt idx="60">
                  <c:v>1.2</c:v>
                </c:pt>
                <c:pt idx="61">
                  <c:v>1.22</c:v>
                </c:pt>
                <c:pt idx="62">
                  <c:v>1.24</c:v>
                </c:pt>
                <c:pt idx="63">
                  <c:v>1.26</c:v>
                </c:pt>
                <c:pt idx="64">
                  <c:v>1.28</c:v>
                </c:pt>
                <c:pt idx="65">
                  <c:v>1.3</c:v>
                </c:pt>
                <c:pt idx="66">
                  <c:v>1.32</c:v>
                </c:pt>
                <c:pt idx="67">
                  <c:v>1.34</c:v>
                </c:pt>
                <c:pt idx="68">
                  <c:v>1.36</c:v>
                </c:pt>
                <c:pt idx="69">
                  <c:v>1.38</c:v>
                </c:pt>
                <c:pt idx="70">
                  <c:v>1.4</c:v>
                </c:pt>
                <c:pt idx="71">
                  <c:v>1.42</c:v>
                </c:pt>
                <c:pt idx="72">
                  <c:v>1.44</c:v>
                </c:pt>
                <c:pt idx="73">
                  <c:v>1.46</c:v>
                </c:pt>
                <c:pt idx="74">
                  <c:v>1.48</c:v>
                </c:pt>
                <c:pt idx="75">
                  <c:v>1.5</c:v>
                </c:pt>
                <c:pt idx="76">
                  <c:v>1.52</c:v>
                </c:pt>
                <c:pt idx="77">
                  <c:v>1.54</c:v>
                </c:pt>
                <c:pt idx="78">
                  <c:v>1.56</c:v>
                </c:pt>
                <c:pt idx="79">
                  <c:v>1.58</c:v>
                </c:pt>
                <c:pt idx="80">
                  <c:v>1.6</c:v>
                </c:pt>
                <c:pt idx="81">
                  <c:v>1.62</c:v>
                </c:pt>
                <c:pt idx="82">
                  <c:v>1.64</c:v>
                </c:pt>
                <c:pt idx="83">
                  <c:v>1.66</c:v>
                </c:pt>
                <c:pt idx="84">
                  <c:v>1.68</c:v>
                </c:pt>
                <c:pt idx="85">
                  <c:v>1.7</c:v>
                </c:pt>
                <c:pt idx="86">
                  <c:v>1.72</c:v>
                </c:pt>
                <c:pt idx="87">
                  <c:v>1.74</c:v>
                </c:pt>
                <c:pt idx="88">
                  <c:v>1.76</c:v>
                </c:pt>
                <c:pt idx="89">
                  <c:v>1.78</c:v>
                </c:pt>
                <c:pt idx="90">
                  <c:v>1.8</c:v>
                </c:pt>
                <c:pt idx="91">
                  <c:v>1.82</c:v>
                </c:pt>
                <c:pt idx="92">
                  <c:v>1.84</c:v>
                </c:pt>
                <c:pt idx="93">
                  <c:v>1.86</c:v>
                </c:pt>
                <c:pt idx="94">
                  <c:v>1.88</c:v>
                </c:pt>
                <c:pt idx="95">
                  <c:v>1.9</c:v>
                </c:pt>
                <c:pt idx="96">
                  <c:v>1.92</c:v>
                </c:pt>
                <c:pt idx="97">
                  <c:v>1.94</c:v>
                </c:pt>
                <c:pt idx="98">
                  <c:v>1.96</c:v>
                </c:pt>
                <c:pt idx="99">
                  <c:v>1.98</c:v>
                </c:pt>
                <c:pt idx="100">
                  <c:v>2</c:v>
                </c:pt>
                <c:pt idx="101">
                  <c:v>2.02</c:v>
                </c:pt>
                <c:pt idx="102">
                  <c:v>2.04</c:v>
                </c:pt>
                <c:pt idx="103">
                  <c:v>2.06</c:v>
                </c:pt>
                <c:pt idx="104">
                  <c:v>2.08</c:v>
                </c:pt>
                <c:pt idx="105">
                  <c:v>2.1</c:v>
                </c:pt>
                <c:pt idx="106">
                  <c:v>2.12</c:v>
                </c:pt>
                <c:pt idx="107">
                  <c:v>2.14</c:v>
                </c:pt>
                <c:pt idx="108">
                  <c:v>2.16</c:v>
                </c:pt>
                <c:pt idx="109">
                  <c:v>2.1800000000000002</c:v>
                </c:pt>
                <c:pt idx="110">
                  <c:v>2.2000000000000002</c:v>
                </c:pt>
                <c:pt idx="111">
                  <c:v>2.2200000000000002</c:v>
                </c:pt>
                <c:pt idx="112">
                  <c:v>2.2400000000000002</c:v>
                </c:pt>
                <c:pt idx="113">
                  <c:v>2.2599999999999998</c:v>
                </c:pt>
                <c:pt idx="114">
                  <c:v>2.2799999999999998</c:v>
                </c:pt>
                <c:pt idx="115">
                  <c:v>2.2999999999999998</c:v>
                </c:pt>
                <c:pt idx="116">
                  <c:v>2.3199999999999998</c:v>
                </c:pt>
                <c:pt idx="117">
                  <c:v>2.34</c:v>
                </c:pt>
                <c:pt idx="118">
                  <c:v>2.36</c:v>
                </c:pt>
                <c:pt idx="119">
                  <c:v>2.38</c:v>
                </c:pt>
                <c:pt idx="120">
                  <c:v>2.4</c:v>
                </c:pt>
                <c:pt idx="121">
                  <c:v>2.42</c:v>
                </c:pt>
                <c:pt idx="122">
                  <c:v>2.44</c:v>
                </c:pt>
                <c:pt idx="123">
                  <c:v>2.46</c:v>
                </c:pt>
                <c:pt idx="124">
                  <c:v>2.48</c:v>
                </c:pt>
                <c:pt idx="125">
                  <c:v>2.5</c:v>
                </c:pt>
                <c:pt idx="126">
                  <c:v>2.52</c:v>
                </c:pt>
                <c:pt idx="127">
                  <c:v>2.54</c:v>
                </c:pt>
                <c:pt idx="128">
                  <c:v>2.56</c:v>
                </c:pt>
                <c:pt idx="129">
                  <c:v>2.58</c:v>
                </c:pt>
                <c:pt idx="130">
                  <c:v>2.6</c:v>
                </c:pt>
                <c:pt idx="131">
                  <c:v>2.62</c:v>
                </c:pt>
                <c:pt idx="132">
                  <c:v>2.64</c:v>
                </c:pt>
                <c:pt idx="133">
                  <c:v>2.66</c:v>
                </c:pt>
                <c:pt idx="134">
                  <c:v>2.68</c:v>
                </c:pt>
                <c:pt idx="135">
                  <c:v>2.7</c:v>
                </c:pt>
                <c:pt idx="136">
                  <c:v>2.72</c:v>
                </c:pt>
                <c:pt idx="137">
                  <c:v>2.74</c:v>
                </c:pt>
                <c:pt idx="138">
                  <c:v>2.76</c:v>
                </c:pt>
                <c:pt idx="139">
                  <c:v>2.78</c:v>
                </c:pt>
                <c:pt idx="140">
                  <c:v>2.8</c:v>
                </c:pt>
                <c:pt idx="141">
                  <c:v>2.82</c:v>
                </c:pt>
                <c:pt idx="142">
                  <c:v>2.84</c:v>
                </c:pt>
                <c:pt idx="143">
                  <c:v>2.86</c:v>
                </c:pt>
                <c:pt idx="144">
                  <c:v>2.88</c:v>
                </c:pt>
                <c:pt idx="145">
                  <c:v>2.9</c:v>
                </c:pt>
                <c:pt idx="146">
                  <c:v>2.92</c:v>
                </c:pt>
                <c:pt idx="147">
                  <c:v>2.94</c:v>
                </c:pt>
                <c:pt idx="148">
                  <c:v>2.96</c:v>
                </c:pt>
                <c:pt idx="149">
                  <c:v>2.98</c:v>
                </c:pt>
                <c:pt idx="150">
                  <c:v>3</c:v>
                </c:pt>
                <c:pt idx="151">
                  <c:v>3.02</c:v>
                </c:pt>
                <c:pt idx="152">
                  <c:v>3.04</c:v>
                </c:pt>
                <c:pt idx="153">
                  <c:v>3.06</c:v>
                </c:pt>
                <c:pt idx="154">
                  <c:v>3.08</c:v>
                </c:pt>
                <c:pt idx="155">
                  <c:v>3.1</c:v>
                </c:pt>
                <c:pt idx="156">
                  <c:v>3.12</c:v>
                </c:pt>
                <c:pt idx="157">
                  <c:v>3.14</c:v>
                </c:pt>
                <c:pt idx="158">
                  <c:v>3.16</c:v>
                </c:pt>
                <c:pt idx="159">
                  <c:v>3.18</c:v>
                </c:pt>
                <c:pt idx="160">
                  <c:v>3.2</c:v>
                </c:pt>
                <c:pt idx="161">
                  <c:v>3.22</c:v>
                </c:pt>
                <c:pt idx="162">
                  <c:v>3.24</c:v>
                </c:pt>
                <c:pt idx="163">
                  <c:v>3.26</c:v>
                </c:pt>
                <c:pt idx="164">
                  <c:v>3.28</c:v>
                </c:pt>
                <c:pt idx="165">
                  <c:v>3.3</c:v>
                </c:pt>
                <c:pt idx="166">
                  <c:v>3.32</c:v>
                </c:pt>
                <c:pt idx="167">
                  <c:v>3.34</c:v>
                </c:pt>
                <c:pt idx="168">
                  <c:v>3.36</c:v>
                </c:pt>
                <c:pt idx="169">
                  <c:v>3.38</c:v>
                </c:pt>
                <c:pt idx="170">
                  <c:v>3.4</c:v>
                </c:pt>
                <c:pt idx="171">
                  <c:v>3.42</c:v>
                </c:pt>
                <c:pt idx="172">
                  <c:v>3.44</c:v>
                </c:pt>
                <c:pt idx="173">
                  <c:v>3.46</c:v>
                </c:pt>
                <c:pt idx="174">
                  <c:v>3.48</c:v>
                </c:pt>
                <c:pt idx="175">
                  <c:v>3.5</c:v>
                </c:pt>
                <c:pt idx="176">
                  <c:v>3.52</c:v>
                </c:pt>
                <c:pt idx="177">
                  <c:v>4</c:v>
                </c:pt>
              </c:numCache>
            </c:numRef>
          </c:xVal>
          <c:yVal>
            <c:numRef>
              <c:f>台北盆地Cs!$X$41:$X$218</c:f>
              <c:numCache>
                <c:formatCode>General</c:formatCode>
                <c:ptCount val="178"/>
                <c:pt idx="0">
                  <c:v>0.32184615384615389</c:v>
                </c:pt>
                <c:pt idx="1">
                  <c:v>0.35692307692307695</c:v>
                </c:pt>
                <c:pt idx="2">
                  <c:v>0.3938461538461539</c:v>
                </c:pt>
                <c:pt idx="3">
                  <c:v>0.43076923076923079</c:v>
                </c:pt>
                <c:pt idx="4">
                  <c:v>0.46769230769230774</c:v>
                </c:pt>
                <c:pt idx="5">
                  <c:v>0.50461538461538458</c:v>
                </c:pt>
                <c:pt idx="6">
                  <c:v>0.54153846153846164</c:v>
                </c:pt>
                <c:pt idx="7">
                  <c:v>0.57846153846153858</c:v>
                </c:pt>
                <c:pt idx="8">
                  <c:v>0.61538461538461542</c:v>
                </c:pt>
                <c:pt idx="9">
                  <c:v>0.65230769230769237</c:v>
                </c:pt>
                <c:pt idx="10">
                  <c:v>0.68923076923076931</c:v>
                </c:pt>
                <c:pt idx="11">
                  <c:v>0.72615384615384615</c:v>
                </c:pt>
                <c:pt idx="12">
                  <c:v>0.7630769230769231</c:v>
                </c:pt>
                <c:pt idx="13">
                  <c:v>0.8</c:v>
                </c:pt>
                <c:pt idx="14">
                  <c:v>0.8</c:v>
                </c:pt>
                <c:pt idx="15">
                  <c:v>0.8</c:v>
                </c:pt>
                <c:pt idx="16">
                  <c:v>0.8</c:v>
                </c:pt>
                <c:pt idx="17">
                  <c:v>0.8</c:v>
                </c:pt>
                <c:pt idx="18">
                  <c:v>0.8</c:v>
                </c:pt>
                <c:pt idx="19">
                  <c:v>0.8</c:v>
                </c:pt>
                <c:pt idx="20">
                  <c:v>0.8</c:v>
                </c:pt>
                <c:pt idx="21">
                  <c:v>0.8</c:v>
                </c:pt>
                <c:pt idx="22">
                  <c:v>0.8</c:v>
                </c:pt>
                <c:pt idx="23">
                  <c:v>0.8</c:v>
                </c:pt>
                <c:pt idx="24">
                  <c:v>0.8</c:v>
                </c:pt>
                <c:pt idx="25">
                  <c:v>0.8</c:v>
                </c:pt>
                <c:pt idx="26">
                  <c:v>0.8</c:v>
                </c:pt>
                <c:pt idx="27">
                  <c:v>0.8</c:v>
                </c:pt>
                <c:pt idx="28">
                  <c:v>0.8</c:v>
                </c:pt>
                <c:pt idx="29">
                  <c:v>0.8</c:v>
                </c:pt>
                <c:pt idx="30">
                  <c:v>0.8</c:v>
                </c:pt>
                <c:pt idx="31">
                  <c:v>0.8</c:v>
                </c:pt>
                <c:pt idx="32">
                  <c:v>0.8</c:v>
                </c:pt>
                <c:pt idx="33">
                  <c:v>0.8</c:v>
                </c:pt>
                <c:pt idx="34">
                  <c:v>0.8</c:v>
                </c:pt>
                <c:pt idx="35">
                  <c:v>0.8</c:v>
                </c:pt>
                <c:pt idx="36">
                  <c:v>0.8</c:v>
                </c:pt>
                <c:pt idx="37">
                  <c:v>0.8</c:v>
                </c:pt>
                <c:pt idx="38">
                  <c:v>0.8</c:v>
                </c:pt>
                <c:pt idx="39">
                  <c:v>0.8</c:v>
                </c:pt>
                <c:pt idx="40">
                  <c:v>0.8</c:v>
                </c:pt>
                <c:pt idx="41">
                  <c:v>0.8</c:v>
                </c:pt>
                <c:pt idx="42">
                  <c:v>0.8</c:v>
                </c:pt>
                <c:pt idx="43">
                  <c:v>0.8</c:v>
                </c:pt>
                <c:pt idx="44">
                  <c:v>0.8</c:v>
                </c:pt>
                <c:pt idx="45">
                  <c:v>0.8</c:v>
                </c:pt>
                <c:pt idx="46">
                  <c:v>0.8</c:v>
                </c:pt>
                <c:pt idx="47">
                  <c:v>0.8</c:v>
                </c:pt>
                <c:pt idx="48">
                  <c:v>0.8</c:v>
                </c:pt>
                <c:pt idx="49">
                  <c:v>0.8</c:v>
                </c:pt>
                <c:pt idx="50">
                  <c:v>0.8</c:v>
                </c:pt>
                <c:pt idx="51">
                  <c:v>0.8</c:v>
                </c:pt>
                <c:pt idx="52">
                  <c:v>0.8</c:v>
                </c:pt>
                <c:pt idx="53">
                  <c:v>0.8</c:v>
                </c:pt>
                <c:pt idx="54">
                  <c:v>0.8</c:v>
                </c:pt>
                <c:pt idx="55">
                  <c:v>0.8</c:v>
                </c:pt>
                <c:pt idx="56">
                  <c:v>0.8</c:v>
                </c:pt>
                <c:pt idx="57">
                  <c:v>0.8</c:v>
                </c:pt>
                <c:pt idx="58">
                  <c:v>0.8</c:v>
                </c:pt>
                <c:pt idx="59">
                  <c:v>0.8</c:v>
                </c:pt>
                <c:pt idx="60">
                  <c:v>0.8</c:v>
                </c:pt>
                <c:pt idx="61">
                  <c:v>0.8</c:v>
                </c:pt>
                <c:pt idx="62">
                  <c:v>0.8</c:v>
                </c:pt>
                <c:pt idx="63">
                  <c:v>0.8</c:v>
                </c:pt>
                <c:pt idx="64">
                  <c:v>0.8</c:v>
                </c:pt>
                <c:pt idx="65">
                  <c:v>0.8</c:v>
                </c:pt>
                <c:pt idx="66">
                  <c:v>0.78787878787878785</c:v>
                </c:pt>
                <c:pt idx="67">
                  <c:v>0.77611940298507465</c:v>
                </c:pt>
                <c:pt idx="68">
                  <c:v>0.76470588235294112</c:v>
                </c:pt>
                <c:pt idx="69">
                  <c:v>0.75362318840579723</c:v>
                </c:pt>
                <c:pt idx="70">
                  <c:v>0.74285714285714288</c:v>
                </c:pt>
                <c:pt idx="71">
                  <c:v>0.73239436619718312</c:v>
                </c:pt>
                <c:pt idx="72">
                  <c:v>0.72222222222222232</c:v>
                </c:pt>
                <c:pt idx="73">
                  <c:v>0.71232876712328774</c:v>
                </c:pt>
                <c:pt idx="74">
                  <c:v>0.70270270270270274</c:v>
                </c:pt>
                <c:pt idx="75">
                  <c:v>0.69333333333333336</c:v>
                </c:pt>
                <c:pt idx="76">
                  <c:v>0.68421052631578949</c:v>
                </c:pt>
                <c:pt idx="77">
                  <c:v>0.67532467532467533</c:v>
                </c:pt>
                <c:pt idx="78">
                  <c:v>0.66666666666666663</c:v>
                </c:pt>
                <c:pt idx="79">
                  <c:v>0.65822784810126578</c:v>
                </c:pt>
                <c:pt idx="80">
                  <c:v>0.65</c:v>
                </c:pt>
                <c:pt idx="81">
                  <c:v>0.64197530864197527</c:v>
                </c:pt>
                <c:pt idx="82">
                  <c:v>0.63414634146341464</c:v>
                </c:pt>
                <c:pt idx="83">
                  <c:v>0.62650602409638556</c:v>
                </c:pt>
                <c:pt idx="84">
                  <c:v>0.61904761904761907</c:v>
                </c:pt>
                <c:pt idx="85">
                  <c:v>0.61176470588235299</c:v>
                </c:pt>
                <c:pt idx="86">
                  <c:v>0.60465116279069775</c:v>
                </c:pt>
                <c:pt idx="87">
                  <c:v>0.5977011494252874</c:v>
                </c:pt>
                <c:pt idx="88">
                  <c:v>0.59090909090909094</c:v>
                </c:pt>
                <c:pt idx="89">
                  <c:v>0.5842696629213483</c:v>
                </c:pt>
                <c:pt idx="90">
                  <c:v>0.57777777777777783</c:v>
                </c:pt>
                <c:pt idx="91">
                  <c:v>0.5714285714285714</c:v>
                </c:pt>
                <c:pt idx="92">
                  <c:v>0.56521739130434778</c:v>
                </c:pt>
                <c:pt idx="93">
                  <c:v>0.55913978494623651</c:v>
                </c:pt>
                <c:pt idx="94">
                  <c:v>0.55319148936170215</c:v>
                </c:pt>
                <c:pt idx="95">
                  <c:v>0.54736842105263162</c:v>
                </c:pt>
                <c:pt idx="96">
                  <c:v>0.54166666666666674</c:v>
                </c:pt>
                <c:pt idx="97">
                  <c:v>0.53608247422680411</c:v>
                </c:pt>
                <c:pt idx="98">
                  <c:v>0.53061224489795922</c:v>
                </c:pt>
                <c:pt idx="99">
                  <c:v>0.5252525252525253</c:v>
                </c:pt>
                <c:pt idx="100">
                  <c:v>0.52</c:v>
                </c:pt>
                <c:pt idx="101">
                  <c:v>0.51485148514851486</c:v>
                </c:pt>
                <c:pt idx="102">
                  <c:v>0.50980392156862742</c:v>
                </c:pt>
                <c:pt idx="103">
                  <c:v>0.50485436893203883</c:v>
                </c:pt>
                <c:pt idx="104">
                  <c:v>0.5</c:v>
                </c:pt>
                <c:pt idx="105">
                  <c:v>0.49523809523809526</c:v>
                </c:pt>
                <c:pt idx="106">
                  <c:v>0.49056603773584906</c:v>
                </c:pt>
                <c:pt idx="107">
                  <c:v>0.48598130841121495</c:v>
                </c:pt>
                <c:pt idx="108">
                  <c:v>0.48148148148148145</c:v>
                </c:pt>
                <c:pt idx="109">
                  <c:v>0.47706422018348621</c:v>
                </c:pt>
                <c:pt idx="110">
                  <c:v>0.47272727272727272</c:v>
                </c:pt>
                <c:pt idx="111">
                  <c:v>0.46846846846846846</c:v>
                </c:pt>
                <c:pt idx="112">
                  <c:v>0.46428571428571425</c:v>
                </c:pt>
                <c:pt idx="113">
                  <c:v>0.46017699115044253</c:v>
                </c:pt>
                <c:pt idx="114">
                  <c:v>0.45614035087719301</c:v>
                </c:pt>
                <c:pt idx="115">
                  <c:v>0.45217391304347831</c:v>
                </c:pt>
                <c:pt idx="116">
                  <c:v>0.44827586206896558</c:v>
                </c:pt>
                <c:pt idx="117">
                  <c:v>0.44444444444444448</c:v>
                </c:pt>
                <c:pt idx="118">
                  <c:v>0.44067796610169496</c:v>
                </c:pt>
                <c:pt idx="119">
                  <c:v>0.43697478991596644</c:v>
                </c:pt>
                <c:pt idx="120">
                  <c:v>0.43333333333333335</c:v>
                </c:pt>
                <c:pt idx="121">
                  <c:v>0.42975206611570249</c:v>
                </c:pt>
                <c:pt idx="122">
                  <c:v>0.42622950819672134</c:v>
                </c:pt>
                <c:pt idx="123">
                  <c:v>0.42276422764227645</c:v>
                </c:pt>
                <c:pt idx="124">
                  <c:v>0.41935483870967744</c:v>
                </c:pt>
                <c:pt idx="125">
                  <c:v>0.41600000000000004</c:v>
                </c:pt>
                <c:pt idx="126">
                  <c:v>0.41269841269841273</c:v>
                </c:pt>
                <c:pt idx="127">
                  <c:v>0.40944881889763779</c:v>
                </c:pt>
                <c:pt idx="128">
                  <c:v>0.40625</c:v>
                </c:pt>
                <c:pt idx="129">
                  <c:v>0.40310077519379844</c:v>
                </c:pt>
                <c:pt idx="130">
                  <c:v>0.4</c:v>
                </c:pt>
                <c:pt idx="131">
                  <c:v>0.39694656488549618</c:v>
                </c:pt>
                <c:pt idx="132">
                  <c:v>0.39393939393939392</c:v>
                </c:pt>
                <c:pt idx="133">
                  <c:v>0.39097744360902253</c:v>
                </c:pt>
                <c:pt idx="134">
                  <c:v>0.38805970149253732</c:v>
                </c:pt>
                <c:pt idx="135">
                  <c:v>0.38518518518518519</c:v>
                </c:pt>
                <c:pt idx="136">
                  <c:v>0.38235294117647056</c:v>
                </c:pt>
                <c:pt idx="137">
                  <c:v>0.37956204379562042</c:v>
                </c:pt>
                <c:pt idx="138">
                  <c:v>0.37681159420289861</c:v>
                </c:pt>
                <c:pt idx="139">
                  <c:v>0.37410071942446049</c:v>
                </c:pt>
                <c:pt idx="140">
                  <c:v>0.37142857142857144</c:v>
                </c:pt>
                <c:pt idx="141">
                  <c:v>0.36879432624113478</c:v>
                </c:pt>
                <c:pt idx="142">
                  <c:v>0.36619718309859156</c:v>
                </c:pt>
                <c:pt idx="143">
                  <c:v>0.36363636363636365</c:v>
                </c:pt>
                <c:pt idx="144">
                  <c:v>0.36111111111111116</c:v>
                </c:pt>
                <c:pt idx="145">
                  <c:v>0.35862068965517246</c:v>
                </c:pt>
                <c:pt idx="146">
                  <c:v>0.35616438356164387</c:v>
                </c:pt>
                <c:pt idx="147">
                  <c:v>0.35374149659863946</c:v>
                </c:pt>
                <c:pt idx="148">
                  <c:v>0.35135135135135137</c:v>
                </c:pt>
                <c:pt idx="149">
                  <c:v>0.34899328859060402</c:v>
                </c:pt>
                <c:pt idx="150">
                  <c:v>0.34666666666666668</c:v>
                </c:pt>
                <c:pt idx="151">
                  <c:v>0.3443708609271523</c:v>
                </c:pt>
                <c:pt idx="152">
                  <c:v>0.34210526315789475</c:v>
                </c:pt>
                <c:pt idx="153">
                  <c:v>0.33986928104575165</c:v>
                </c:pt>
                <c:pt idx="154">
                  <c:v>0.33766233766233766</c:v>
                </c:pt>
                <c:pt idx="155">
                  <c:v>0.33548387096774196</c:v>
                </c:pt>
                <c:pt idx="156">
                  <c:v>0.33333333333333331</c:v>
                </c:pt>
                <c:pt idx="157">
                  <c:v>0.33121019108280253</c:v>
                </c:pt>
                <c:pt idx="158">
                  <c:v>0.32911392405063289</c:v>
                </c:pt>
                <c:pt idx="159">
                  <c:v>0.32704402515723269</c:v>
                </c:pt>
                <c:pt idx="160">
                  <c:v>0.32500000000000001</c:v>
                </c:pt>
                <c:pt idx="161">
                  <c:v>0.32298136645962733</c:v>
                </c:pt>
                <c:pt idx="162">
                  <c:v>0.32098765432098764</c:v>
                </c:pt>
                <c:pt idx="163">
                  <c:v>0.32000000000000006</c:v>
                </c:pt>
                <c:pt idx="164">
                  <c:v>0.32000000000000006</c:v>
                </c:pt>
                <c:pt idx="165">
                  <c:v>0.32000000000000006</c:v>
                </c:pt>
                <c:pt idx="166">
                  <c:v>0.32000000000000006</c:v>
                </c:pt>
                <c:pt idx="167">
                  <c:v>0.32000000000000006</c:v>
                </c:pt>
                <c:pt idx="168">
                  <c:v>0.32000000000000006</c:v>
                </c:pt>
                <c:pt idx="169">
                  <c:v>0.32000000000000006</c:v>
                </c:pt>
                <c:pt idx="170">
                  <c:v>0.32000000000000006</c:v>
                </c:pt>
                <c:pt idx="171">
                  <c:v>0.32000000000000006</c:v>
                </c:pt>
                <c:pt idx="172">
                  <c:v>0.32000000000000006</c:v>
                </c:pt>
                <c:pt idx="173">
                  <c:v>0.32000000000000006</c:v>
                </c:pt>
                <c:pt idx="174">
                  <c:v>0.32000000000000006</c:v>
                </c:pt>
                <c:pt idx="175">
                  <c:v>0.32000000000000006</c:v>
                </c:pt>
                <c:pt idx="176">
                  <c:v>0.32000000000000006</c:v>
                </c:pt>
                <c:pt idx="177">
                  <c:v>0.32000000000000006</c:v>
                </c:pt>
              </c:numCache>
            </c:numRef>
          </c:yVal>
          <c:smooth val="0"/>
          <c:extLst>
            <c:ext xmlns:c16="http://schemas.microsoft.com/office/drawing/2014/chart" uri="{C3380CC4-5D6E-409C-BE32-E72D297353CC}">
              <c16:uniqueId val="{00000002-FC8F-454B-A1D6-DEEE0F879C22}"/>
            </c:ext>
          </c:extLst>
        </c:ser>
        <c:ser>
          <c:idx val="1"/>
          <c:order val="3"/>
          <c:tx>
            <c:strRef>
              <c:f>台北盆地Cs!$S$40</c:f>
              <c:strCache>
                <c:ptCount val="1"/>
                <c:pt idx="0">
                  <c:v>DBE,100年以後</c:v>
                </c:pt>
              </c:strCache>
            </c:strRef>
          </c:tx>
          <c:spPr>
            <a:ln w="28575" cap="rnd" cmpd="sng" algn="ctr">
              <a:solidFill>
                <a:schemeClr val="accent2">
                  <a:shade val="95000"/>
                  <a:satMod val="105000"/>
                </a:schemeClr>
              </a:solidFill>
              <a:prstDash val="solid"/>
              <a:round/>
            </a:ln>
            <a:effectLst/>
          </c:spPr>
          <c:marker>
            <c:symbol val="none"/>
          </c:marker>
          <c:xVal>
            <c:numRef>
              <c:f>台北盆地Cs!$R$41:$R$218</c:f>
              <c:numCache>
                <c:formatCode>General</c:formatCode>
                <c:ptCount val="178"/>
                <c:pt idx="0">
                  <c:v>1E-3</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pt idx="51">
                  <c:v>1.02</c:v>
                </c:pt>
                <c:pt idx="52">
                  <c:v>1.04</c:v>
                </c:pt>
                <c:pt idx="53">
                  <c:v>1.06</c:v>
                </c:pt>
                <c:pt idx="54">
                  <c:v>1.08</c:v>
                </c:pt>
                <c:pt idx="55">
                  <c:v>1.1000000000000001</c:v>
                </c:pt>
                <c:pt idx="56">
                  <c:v>1.1200000000000001</c:v>
                </c:pt>
                <c:pt idx="57">
                  <c:v>1.1399999999999999</c:v>
                </c:pt>
                <c:pt idx="58">
                  <c:v>1.1599999999999999</c:v>
                </c:pt>
                <c:pt idx="59">
                  <c:v>1.18</c:v>
                </c:pt>
                <c:pt idx="60">
                  <c:v>1.2</c:v>
                </c:pt>
                <c:pt idx="61">
                  <c:v>1.22</c:v>
                </c:pt>
                <c:pt idx="62">
                  <c:v>1.24</c:v>
                </c:pt>
                <c:pt idx="63">
                  <c:v>1.26</c:v>
                </c:pt>
                <c:pt idx="64">
                  <c:v>1.28</c:v>
                </c:pt>
                <c:pt idx="65">
                  <c:v>1.3</c:v>
                </c:pt>
                <c:pt idx="66">
                  <c:v>1.32</c:v>
                </c:pt>
                <c:pt idx="67">
                  <c:v>1.34</c:v>
                </c:pt>
                <c:pt idx="68">
                  <c:v>1.36</c:v>
                </c:pt>
                <c:pt idx="69">
                  <c:v>1.38</c:v>
                </c:pt>
                <c:pt idx="70">
                  <c:v>1.4</c:v>
                </c:pt>
                <c:pt idx="71">
                  <c:v>1.42</c:v>
                </c:pt>
                <c:pt idx="72">
                  <c:v>1.44</c:v>
                </c:pt>
                <c:pt idx="73">
                  <c:v>1.46</c:v>
                </c:pt>
                <c:pt idx="74">
                  <c:v>1.48</c:v>
                </c:pt>
                <c:pt idx="75">
                  <c:v>1.5</c:v>
                </c:pt>
                <c:pt idx="76">
                  <c:v>1.52</c:v>
                </c:pt>
                <c:pt idx="77">
                  <c:v>1.54</c:v>
                </c:pt>
                <c:pt idx="78">
                  <c:v>1.56</c:v>
                </c:pt>
                <c:pt idx="79">
                  <c:v>1.58</c:v>
                </c:pt>
                <c:pt idx="80">
                  <c:v>1.6</c:v>
                </c:pt>
                <c:pt idx="81">
                  <c:v>1.62</c:v>
                </c:pt>
                <c:pt idx="82">
                  <c:v>1.64</c:v>
                </c:pt>
                <c:pt idx="83">
                  <c:v>1.66</c:v>
                </c:pt>
                <c:pt idx="84">
                  <c:v>1.68</c:v>
                </c:pt>
                <c:pt idx="85">
                  <c:v>1.7</c:v>
                </c:pt>
                <c:pt idx="86">
                  <c:v>1.72</c:v>
                </c:pt>
                <c:pt idx="87">
                  <c:v>1.74</c:v>
                </c:pt>
                <c:pt idx="88">
                  <c:v>1.76</c:v>
                </c:pt>
                <c:pt idx="89">
                  <c:v>1.78</c:v>
                </c:pt>
                <c:pt idx="90">
                  <c:v>1.8</c:v>
                </c:pt>
                <c:pt idx="91">
                  <c:v>1.82</c:v>
                </c:pt>
                <c:pt idx="92">
                  <c:v>1.84</c:v>
                </c:pt>
                <c:pt idx="93">
                  <c:v>1.86</c:v>
                </c:pt>
                <c:pt idx="94">
                  <c:v>1.88</c:v>
                </c:pt>
                <c:pt idx="95">
                  <c:v>1.9</c:v>
                </c:pt>
                <c:pt idx="96">
                  <c:v>1.92</c:v>
                </c:pt>
                <c:pt idx="97">
                  <c:v>1.94</c:v>
                </c:pt>
                <c:pt idx="98">
                  <c:v>1.96</c:v>
                </c:pt>
                <c:pt idx="99">
                  <c:v>1.98</c:v>
                </c:pt>
                <c:pt idx="100">
                  <c:v>2</c:v>
                </c:pt>
                <c:pt idx="101">
                  <c:v>2.02</c:v>
                </c:pt>
                <c:pt idx="102">
                  <c:v>2.04</c:v>
                </c:pt>
                <c:pt idx="103">
                  <c:v>2.06</c:v>
                </c:pt>
                <c:pt idx="104">
                  <c:v>2.08</c:v>
                </c:pt>
                <c:pt idx="105">
                  <c:v>2.1</c:v>
                </c:pt>
                <c:pt idx="106">
                  <c:v>2.12</c:v>
                </c:pt>
                <c:pt idx="107">
                  <c:v>2.14</c:v>
                </c:pt>
                <c:pt idx="108">
                  <c:v>2.16</c:v>
                </c:pt>
                <c:pt idx="109">
                  <c:v>2.1800000000000002</c:v>
                </c:pt>
                <c:pt idx="110">
                  <c:v>2.2000000000000002</c:v>
                </c:pt>
                <c:pt idx="111">
                  <c:v>2.2200000000000002</c:v>
                </c:pt>
                <c:pt idx="112">
                  <c:v>2.2400000000000002</c:v>
                </c:pt>
                <c:pt idx="113">
                  <c:v>2.2599999999999998</c:v>
                </c:pt>
                <c:pt idx="114">
                  <c:v>2.2799999999999998</c:v>
                </c:pt>
                <c:pt idx="115">
                  <c:v>2.2999999999999998</c:v>
                </c:pt>
                <c:pt idx="116">
                  <c:v>2.3199999999999998</c:v>
                </c:pt>
                <c:pt idx="117">
                  <c:v>2.34</c:v>
                </c:pt>
                <c:pt idx="118">
                  <c:v>2.36</c:v>
                </c:pt>
                <c:pt idx="119">
                  <c:v>2.38</c:v>
                </c:pt>
                <c:pt idx="120">
                  <c:v>2.4</c:v>
                </c:pt>
                <c:pt idx="121">
                  <c:v>2.42</c:v>
                </c:pt>
                <c:pt idx="122">
                  <c:v>2.44</c:v>
                </c:pt>
                <c:pt idx="123">
                  <c:v>2.46</c:v>
                </c:pt>
                <c:pt idx="124">
                  <c:v>2.48</c:v>
                </c:pt>
                <c:pt idx="125">
                  <c:v>2.5</c:v>
                </c:pt>
                <c:pt idx="126">
                  <c:v>2.52</c:v>
                </c:pt>
                <c:pt idx="127">
                  <c:v>2.54</c:v>
                </c:pt>
                <c:pt idx="128">
                  <c:v>2.56</c:v>
                </c:pt>
                <c:pt idx="129">
                  <c:v>2.58</c:v>
                </c:pt>
                <c:pt idx="130">
                  <c:v>2.6</c:v>
                </c:pt>
                <c:pt idx="131">
                  <c:v>2.62</c:v>
                </c:pt>
                <c:pt idx="132">
                  <c:v>2.64</c:v>
                </c:pt>
                <c:pt idx="133">
                  <c:v>2.66</c:v>
                </c:pt>
                <c:pt idx="134">
                  <c:v>2.68</c:v>
                </c:pt>
                <c:pt idx="135">
                  <c:v>2.7</c:v>
                </c:pt>
                <c:pt idx="136">
                  <c:v>2.72</c:v>
                </c:pt>
                <c:pt idx="137">
                  <c:v>2.74</c:v>
                </c:pt>
                <c:pt idx="138">
                  <c:v>2.76</c:v>
                </c:pt>
                <c:pt idx="139">
                  <c:v>2.78</c:v>
                </c:pt>
                <c:pt idx="140">
                  <c:v>2.8</c:v>
                </c:pt>
                <c:pt idx="141">
                  <c:v>2.82</c:v>
                </c:pt>
                <c:pt idx="142">
                  <c:v>2.84</c:v>
                </c:pt>
                <c:pt idx="143">
                  <c:v>2.86</c:v>
                </c:pt>
                <c:pt idx="144">
                  <c:v>2.88</c:v>
                </c:pt>
                <c:pt idx="145">
                  <c:v>2.9</c:v>
                </c:pt>
                <c:pt idx="146">
                  <c:v>2.92</c:v>
                </c:pt>
                <c:pt idx="147">
                  <c:v>2.94</c:v>
                </c:pt>
                <c:pt idx="148">
                  <c:v>2.96</c:v>
                </c:pt>
                <c:pt idx="149">
                  <c:v>2.98</c:v>
                </c:pt>
                <c:pt idx="150">
                  <c:v>3</c:v>
                </c:pt>
                <c:pt idx="151">
                  <c:v>3.02</c:v>
                </c:pt>
                <c:pt idx="152">
                  <c:v>3.04</c:v>
                </c:pt>
                <c:pt idx="153">
                  <c:v>3.06</c:v>
                </c:pt>
                <c:pt idx="154">
                  <c:v>3.08</c:v>
                </c:pt>
                <c:pt idx="155">
                  <c:v>3.1</c:v>
                </c:pt>
                <c:pt idx="156">
                  <c:v>3.12</c:v>
                </c:pt>
                <c:pt idx="157">
                  <c:v>3.14</c:v>
                </c:pt>
                <c:pt idx="158">
                  <c:v>3.16</c:v>
                </c:pt>
                <c:pt idx="159">
                  <c:v>3.18</c:v>
                </c:pt>
                <c:pt idx="160">
                  <c:v>3.2</c:v>
                </c:pt>
                <c:pt idx="161">
                  <c:v>3.22</c:v>
                </c:pt>
                <c:pt idx="162">
                  <c:v>3.24</c:v>
                </c:pt>
                <c:pt idx="163">
                  <c:v>3.26</c:v>
                </c:pt>
                <c:pt idx="164">
                  <c:v>3.28</c:v>
                </c:pt>
                <c:pt idx="165">
                  <c:v>3.3</c:v>
                </c:pt>
                <c:pt idx="166">
                  <c:v>3.32</c:v>
                </c:pt>
                <c:pt idx="167">
                  <c:v>3.34</c:v>
                </c:pt>
                <c:pt idx="168">
                  <c:v>3.36</c:v>
                </c:pt>
                <c:pt idx="169">
                  <c:v>3.38</c:v>
                </c:pt>
                <c:pt idx="170">
                  <c:v>3.4</c:v>
                </c:pt>
                <c:pt idx="171">
                  <c:v>3.42</c:v>
                </c:pt>
                <c:pt idx="172">
                  <c:v>3.44</c:v>
                </c:pt>
                <c:pt idx="173">
                  <c:v>3.46</c:v>
                </c:pt>
                <c:pt idx="174">
                  <c:v>3.48</c:v>
                </c:pt>
                <c:pt idx="175">
                  <c:v>3.5</c:v>
                </c:pt>
                <c:pt idx="176">
                  <c:v>3.52</c:v>
                </c:pt>
                <c:pt idx="177">
                  <c:v>4</c:v>
                </c:pt>
              </c:numCache>
            </c:numRef>
          </c:xVal>
          <c:yVal>
            <c:numRef>
              <c:f>台北盆地Cs!$S$41:$S$218</c:f>
              <c:numCache>
                <c:formatCode>General</c:formatCode>
                <c:ptCount val="178"/>
                <c:pt idx="0">
                  <c:v>0.24138461538461536</c:v>
                </c:pt>
                <c:pt idx="1">
                  <c:v>0.26769230769230767</c:v>
                </c:pt>
                <c:pt idx="2">
                  <c:v>0.29538461538461541</c:v>
                </c:pt>
                <c:pt idx="3">
                  <c:v>0.32307692307692304</c:v>
                </c:pt>
                <c:pt idx="4">
                  <c:v>0.35076923076923078</c:v>
                </c:pt>
                <c:pt idx="5">
                  <c:v>0.37846153846153846</c:v>
                </c:pt>
                <c:pt idx="6">
                  <c:v>0.40615384615384614</c:v>
                </c:pt>
                <c:pt idx="7">
                  <c:v>0.43384615384615388</c:v>
                </c:pt>
                <c:pt idx="8">
                  <c:v>0.46153846153846145</c:v>
                </c:pt>
                <c:pt idx="9">
                  <c:v>0.48923076923076919</c:v>
                </c:pt>
                <c:pt idx="10">
                  <c:v>0.51692307692307693</c:v>
                </c:pt>
                <c:pt idx="11">
                  <c:v>0.54461538461538461</c:v>
                </c:pt>
                <c:pt idx="12">
                  <c:v>0.5723076923076923</c:v>
                </c:pt>
                <c:pt idx="13">
                  <c:v>0.6</c:v>
                </c:pt>
                <c:pt idx="14">
                  <c:v>0.6</c:v>
                </c:pt>
                <c:pt idx="15">
                  <c:v>0.6</c:v>
                </c:pt>
                <c:pt idx="16">
                  <c:v>0.6</c:v>
                </c:pt>
                <c:pt idx="17">
                  <c:v>0.6</c:v>
                </c:pt>
                <c:pt idx="18">
                  <c:v>0.6</c:v>
                </c:pt>
                <c:pt idx="19">
                  <c:v>0.6</c:v>
                </c:pt>
                <c:pt idx="20">
                  <c:v>0.6</c:v>
                </c:pt>
                <c:pt idx="21">
                  <c:v>0.6</c:v>
                </c:pt>
                <c:pt idx="22">
                  <c:v>0.6</c:v>
                </c:pt>
                <c:pt idx="23">
                  <c:v>0.6</c:v>
                </c:pt>
                <c:pt idx="24">
                  <c:v>0.6</c:v>
                </c:pt>
                <c:pt idx="25">
                  <c:v>0.6</c:v>
                </c:pt>
                <c:pt idx="26">
                  <c:v>0.6</c:v>
                </c:pt>
                <c:pt idx="27">
                  <c:v>0.6</c:v>
                </c:pt>
                <c:pt idx="28">
                  <c:v>0.6</c:v>
                </c:pt>
                <c:pt idx="29">
                  <c:v>0.6</c:v>
                </c:pt>
                <c:pt idx="30">
                  <c:v>0.6</c:v>
                </c:pt>
                <c:pt idx="31">
                  <c:v>0.6</c:v>
                </c:pt>
                <c:pt idx="32">
                  <c:v>0.6</c:v>
                </c:pt>
                <c:pt idx="33">
                  <c:v>0.6</c:v>
                </c:pt>
                <c:pt idx="34">
                  <c:v>0.6</c:v>
                </c:pt>
                <c:pt idx="35">
                  <c:v>0.6</c:v>
                </c:pt>
                <c:pt idx="36">
                  <c:v>0.6</c:v>
                </c:pt>
                <c:pt idx="37">
                  <c:v>0.6</c:v>
                </c:pt>
                <c:pt idx="38">
                  <c:v>0.6</c:v>
                </c:pt>
                <c:pt idx="39">
                  <c:v>0.6</c:v>
                </c:pt>
                <c:pt idx="40">
                  <c:v>0.6</c:v>
                </c:pt>
                <c:pt idx="41">
                  <c:v>0.6</c:v>
                </c:pt>
                <c:pt idx="42">
                  <c:v>0.6</c:v>
                </c:pt>
                <c:pt idx="43">
                  <c:v>0.6</c:v>
                </c:pt>
                <c:pt idx="44">
                  <c:v>0.6</c:v>
                </c:pt>
                <c:pt idx="45">
                  <c:v>0.6</c:v>
                </c:pt>
                <c:pt idx="46">
                  <c:v>0.6</c:v>
                </c:pt>
                <c:pt idx="47">
                  <c:v>0.6</c:v>
                </c:pt>
                <c:pt idx="48">
                  <c:v>0.6</c:v>
                </c:pt>
                <c:pt idx="49">
                  <c:v>0.6</c:v>
                </c:pt>
                <c:pt idx="50">
                  <c:v>0.6</c:v>
                </c:pt>
                <c:pt idx="51">
                  <c:v>0.6</c:v>
                </c:pt>
                <c:pt idx="52">
                  <c:v>0.6</c:v>
                </c:pt>
                <c:pt idx="53">
                  <c:v>0.6</c:v>
                </c:pt>
                <c:pt idx="54">
                  <c:v>0.6</c:v>
                </c:pt>
                <c:pt idx="55">
                  <c:v>0.6</c:v>
                </c:pt>
                <c:pt idx="56">
                  <c:v>0.6</c:v>
                </c:pt>
                <c:pt idx="57">
                  <c:v>0.6</c:v>
                </c:pt>
                <c:pt idx="58">
                  <c:v>0.6</c:v>
                </c:pt>
                <c:pt idx="59">
                  <c:v>0.6</c:v>
                </c:pt>
                <c:pt idx="60">
                  <c:v>0.6</c:v>
                </c:pt>
                <c:pt idx="61">
                  <c:v>0.6</c:v>
                </c:pt>
                <c:pt idx="62">
                  <c:v>0.6</c:v>
                </c:pt>
                <c:pt idx="63">
                  <c:v>0.6</c:v>
                </c:pt>
                <c:pt idx="64">
                  <c:v>0.6</c:v>
                </c:pt>
                <c:pt idx="65">
                  <c:v>0.6</c:v>
                </c:pt>
                <c:pt idx="66">
                  <c:v>0.59090909090909094</c:v>
                </c:pt>
                <c:pt idx="67">
                  <c:v>0.58208955223880599</c:v>
                </c:pt>
                <c:pt idx="68">
                  <c:v>0.57352941176470584</c:v>
                </c:pt>
                <c:pt idx="69">
                  <c:v>0.56521739130434789</c:v>
                </c:pt>
                <c:pt idx="70">
                  <c:v>0.55714285714285716</c:v>
                </c:pt>
                <c:pt idx="71">
                  <c:v>0.54929577464788737</c:v>
                </c:pt>
                <c:pt idx="72">
                  <c:v>0.54166666666666674</c:v>
                </c:pt>
                <c:pt idx="73">
                  <c:v>0.53424657534246578</c:v>
                </c:pt>
                <c:pt idx="74">
                  <c:v>0.52702702702702708</c:v>
                </c:pt>
                <c:pt idx="75">
                  <c:v>0.52</c:v>
                </c:pt>
                <c:pt idx="76">
                  <c:v>0.51315789473684215</c:v>
                </c:pt>
                <c:pt idx="77">
                  <c:v>0.50649350649350655</c:v>
                </c:pt>
                <c:pt idx="78">
                  <c:v>0.5</c:v>
                </c:pt>
                <c:pt idx="79">
                  <c:v>0.49367088607594939</c:v>
                </c:pt>
                <c:pt idx="80">
                  <c:v>0.48749999999999999</c:v>
                </c:pt>
                <c:pt idx="81">
                  <c:v>0.48148148148148145</c:v>
                </c:pt>
                <c:pt idx="82">
                  <c:v>0.47560975609756101</c:v>
                </c:pt>
                <c:pt idx="83">
                  <c:v>0.46987951807228917</c:v>
                </c:pt>
                <c:pt idx="84">
                  <c:v>0.4642857142857143</c:v>
                </c:pt>
                <c:pt idx="85">
                  <c:v>0.45882352941176474</c:v>
                </c:pt>
                <c:pt idx="86">
                  <c:v>0.45348837209302328</c:v>
                </c:pt>
                <c:pt idx="87">
                  <c:v>0.44827586206896552</c:v>
                </c:pt>
                <c:pt idx="88">
                  <c:v>0.44318181818181818</c:v>
                </c:pt>
                <c:pt idx="89">
                  <c:v>0.43820224719101125</c:v>
                </c:pt>
                <c:pt idx="90">
                  <c:v>0.43333333333333335</c:v>
                </c:pt>
                <c:pt idx="91">
                  <c:v>0.42857142857142855</c:v>
                </c:pt>
                <c:pt idx="92">
                  <c:v>0.42391304347826086</c:v>
                </c:pt>
                <c:pt idx="93">
                  <c:v>0.41935483870967744</c:v>
                </c:pt>
                <c:pt idx="94">
                  <c:v>0.41489361702127664</c:v>
                </c:pt>
                <c:pt idx="95">
                  <c:v>0.41052631578947374</c:v>
                </c:pt>
                <c:pt idx="96">
                  <c:v>0.40625000000000006</c:v>
                </c:pt>
                <c:pt idx="97">
                  <c:v>0.40206185567010311</c:v>
                </c:pt>
                <c:pt idx="98">
                  <c:v>0.39795918367346939</c:v>
                </c:pt>
                <c:pt idx="99">
                  <c:v>0.39393939393939398</c:v>
                </c:pt>
                <c:pt idx="100">
                  <c:v>0.39</c:v>
                </c:pt>
                <c:pt idx="101">
                  <c:v>0.38613861386138615</c:v>
                </c:pt>
                <c:pt idx="102">
                  <c:v>0.38235294117647062</c:v>
                </c:pt>
                <c:pt idx="103">
                  <c:v>0.37864077669902912</c:v>
                </c:pt>
                <c:pt idx="104">
                  <c:v>0.375</c:v>
                </c:pt>
                <c:pt idx="105">
                  <c:v>0.37142857142857144</c:v>
                </c:pt>
                <c:pt idx="106">
                  <c:v>0.36792452830188677</c:v>
                </c:pt>
                <c:pt idx="107">
                  <c:v>0.3644859813084112</c:v>
                </c:pt>
                <c:pt idx="108">
                  <c:v>0.3611111111111111</c:v>
                </c:pt>
                <c:pt idx="109">
                  <c:v>0.35779816513761464</c:v>
                </c:pt>
                <c:pt idx="110">
                  <c:v>0.35454545454545455</c:v>
                </c:pt>
                <c:pt idx="111">
                  <c:v>0.35135135135135132</c:v>
                </c:pt>
                <c:pt idx="112">
                  <c:v>0.3482142857142857</c:v>
                </c:pt>
                <c:pt idx="113">
                  <c:v>0.3451327433628319</c:v>
                </c:pt>
                <c:pt idx="114">
                  <c:v>0.3421052631578948</c:v>
                </c:pt>
                <c:pt idx="115">
                  <c:v>0.33913043478260874</c:v>
                </c:pt>
                <c:pt idx="116">
                  <c:v>0.3362068965517242</c:v>
                </c:pt>
                <c:pt idx="117">
                  <c:v>0.33333333333333337</c:v>
                </c:pt>
                <c:pt idx="118">
                  <c:v>0.33050847457627119</c:v>
                </c:pt>
                <c:pt idx="119">
                  <c:v>0.32773109243697479</c:v>
                </c:pt>
                <c:pt idx="120">
                  <c:v>0.32500000000000001</c:v>
                </c:pt>
                <c:pt idx="121">
                  <c:v>0.3223140495867769</c:v>
                </c:pt>
                <c:pt idx="122">
                  <c:v>0.31967213114754101</c:v>
                </c:pt>
                <c:pt idx="123">
                  <c:v>0.31707317073170732</c:v>
                </c:pt>
                <c:pt idx="124">
                  <c:v>0.31451612903225806</c:v>
                </c:pt>
                <c:pt idx="125">
                  <c:v>0.312</c:v>
                </c:pt>
                <c:pt idx="126">
                  <c:v>0.30952380952380953</c:v>
                </c:pt>
                <c:pt idx="127">
                  <c:v>0.30708661417322836</c:v>
                </c:pt>
                <c:pt idx="128">
                  <c:v>0.3046875</c:v>
                </c:pt>
                <c:pt idx="129">
                  <c:v>0.30232558139534882</c:v>
                </c:pt>
                <c:pt idx="130">
                  <c:v>0.3</c:v>
                </c:pt>
                <c:pt idx="131">
                  <c:v>0.29770992366412213</c:v>
                </c:pt>
                <c:pt idx="132">
                  <c:v>0.29545454545454547</c:v>
                </c:pt>
                <c:pt idx="133">
                  <c:v>0.2932330827067669</c:v>
                </c:pt>
                <c:pt idx="134">
                  <c:v>0.29104477611940299</c:v>
                </c:pt>
                <c:pt idx="135">
                  <c:v>0.28888888888888886</c:v>
                </c:pt>
                <c:pt idx="136">
                  <c:v>0.28676470588235292</c:v>
                </c:pt>
                <c:pt idx="137">
                  <c:v>0.28467153284671531</c:v>
                </c:pt>
                <c:pt idx="138">
                  <c:v>0.28260869565217395</c:v>
                </c:pt>
                <c:pt idx="139">
                  <c:v>0.28057553956834536</c:v>
                </c:pt>
                <c:pt idx="140">
                  <c:v>0.27857142857142858</c:v>
                </c:pt>
                <c:pt idx="141">
                  <c:v>0.27659574468085107</c:v>
                </c:pt>
                <c:pt idx="142">
                  <c:v>0.27464788732394368</c:v>
                </c:pt>
                <c:pt idx="143">
                  <c:v>0.27272727272727276</c:v>
                </c:pt>
                <c:pt idx="144">
                  <c:v>0.27083333333333337</c:v>
                </c:pt>
                <c:pt idx="145">
                  <c:v>0.26896551724137935</c:v>
                </c:pt>
                <c:pt idx="146">
                  <c:v>0.26712328767123289</c:v>
                </c:pt>
                <c:pt idx="147">
                  <c:v>0.26530612244897961</c:v>
                </c:pt>
                <c:pt idx="148">
                  <c:v>0.26351351351351354</c:v>
                </c:pt>
                <c:pt idx="149">
                  <c:v>0.26174496644295303</c:v>
                </c:pt>
                <c:pt idx="150">
                  <c:v>0.26</c:v>
                </c:pt>
                <c:pt idx="151">
                  <c:v>0.25827814569536423</c:v>
                </c:pt>
                <c:pt idx="152">
                  <c:v>0.25657894736842107</c:v>
                </c:pt>
                <c:pt idx="153">
                  <c:v>0.25490196078431371</c:v>
                </c:pt>
                <c:pt idx="154">
                  <c:v>0.25324675324675328</c:v>
                </c:pt>
                <c:pt idx="155">
                  <c:v>0.25161290322580643</c:v>
                </c:pt>
                <c:pt idx="156">
                  <c:v>0.25</c:v>
                </c:pt>
                <c:pt idx="157">
                  <c:v>0.24840764331210191</c:v>
                </c:pt>
                <c:pt idx="158">
                  <c:v>0.24683544303797469</c:v>
                </c:pt>
                <c:pt idx="159">
                  <c:v>0.24528301886792453</c:v>
                </c:pt>
                <c:pt idx="160">
                  <c:v>0.24374999999999999</c:v>
                </c:pt>
                <c:pt idx="161">
                  <c:v>0.24223602484472048</c:v>
                </c:pt>
                <c:pt idx="162">
                  <c:v>0.24074074074074073</c:v>
                </c:pt>
                <c:pt idx="163">
                  <c:v>0.24</c:v>
                </c:pt>
                <c:pt idx="164">
                  <c:v>0.24</c:v>
                </c:pt>
                <c:pt idx="165">
                  <c:v>0.24</c:v>
                </c:pt>
                <c:pt idx="166">
                  <c:v>0.24</c:v>
                </c:pt>
                <c:pt idx="167">
                  <c:v>0.24</c:v>
                </c:pt>
                <c:pt idx="168">
                  <c:v>0.24</c:v>
                </c:pt>
                <c:pt idx="169">
                  <c:v>0.24</c:v>
                </c:pt>
                <c:pt idx="170">
                  <c:v>0.24</c:v>
                </c:pt>
                <c:pt idx="171">
                  <c:v>0.24</c:v>
                </c:pt>
                <c:pt idx="172">
                  <c:v>0.24</c:v>
                </c:pt>
                <c:pt idx="173">
                  <c:v>0.24</c:v>
                </c:pt>
                <c:pt idx="174">
                  <c:v>0.24</c:v>
                </c:pt>
                <c:pt idx="175">
                  <c:v>0.24</c:v>
                </c:pt>
                <c:pt idx="176">
                  <c:v>0.24</c:v>
                </c:pt>
                <c:pt idx="177">
                  <c:v>0.24</c:v>
                </c:pt>
              </c:numCache>
            </c:numRef>
          </c:yVal>
          <c:smooth val="0"/>
          <c:extLst>
            <c:ext xmlns:c16="http://schemas.microsoft.com/office/drawing/2014/chart" uri="{C3380CC4-5D6E-409C-BE32-E72D297353CC}">
              <c16:uniqueId val="{00000003-FC8F-454B-A1D6-DEEE0F879C22}"/>
            </c:ext>
          </c:extLst>
        </c:ser>
        <c:ser>
          <c:idx val="8"/>
          <c:order val="4"/>
          <c:tx>
            <c:v>民78~86年</c:v>
          </c:tx>
          <c:spPr>
            <a:ln w="28575" cap="rnd" cmpd="sng" algn="ctr">
              <a:solidFill>
                <a:schemeClr val="accent3">
                  <a:lumMod val="60000"/>
                  <a:shade val="95000"/>
                  <a:satMod val="105000"/>
                </a:schemeClr>
              </a:solidFill>
              <a:prstDash val="solid"/>
              <a:round/>
            </a:ln>
            <a:effectLst/>
          </c:spPr>
          <c:marker>
            <c:symbol val="none"/>
          </c:marker>
          <c:xVal>
            <c:numRef>
              <c:f>台北盆地Cs!$AJ$41:$AJ$218</c:f>
              <c:numCache>
                <c:formatCode>General</c:formatCode>
                <c:ptCount val="178"/>
                <c:pt idx="0">
                  <c:v>1E-3</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pt idx="51">
                  <c:v>1.02</c:v>
                </c:pt>
                <c:pt idx="52">
                  <c:v>1.04</c:v>
                </c:pt>
                <c:pt idx="53">
                  <c:v>1.06</c:v>
                </c:pt>
                <c:pt idx="54">
                  <c:v>1.08</c:v>
                </c:pt>
                <c:pt idx="55">
                  <c:v>1.1000000000000001</c:v>
                </c:pt>
                <c:pt idx="56">
                  <c:v>1.1200000000000001</c:v>
                </c:pt>
                <c:pt idx="57">
                  <c:v>1.1399999999999999</c:v>
                </c:pt>
                <c:pt idx="58">
                  <c:v>1.1599999999999999</c:v>
                </c:pt>
                <c:pt idx="59">
                  <c:v>1.18</c:v>
                </c:pt>
                <c:pt idx="60">
                  <c:v>1.2</c:v>
                </c:pt>
                <c:pt idx="61">
                  <c:v>1.22</c:v>
                </c:pt>
                <c:pt idx="62">
                  <c:v>1.24</c:v>
                </c:pt>
                <c:pt idx="63">
                  <c:v>1.26</c:v>
                </c:pt>
                <c:pt idx="64">
                  <c:v>1.28</c:v>
                </c:pt>
                <c:pt idx="65">
                  <c:v>1.3</c:v>
                </c:pt>
                <c:pt idx="66">
                  <c:v>1.32</c:v>
                </c:pt>
                <c:pt idx="67">
                  <c:v>1.34</c:v>
                </c:pt>
                <c:pt idx="68">
                  <c:v>1.36</c:v>
                </c:pt>
                <c:pt idx="69">
                  <c:v>1.38</c:v>
                </c:pt>
                <c:pt idx="70">
                  <c:v>1.4</c:v>
                </c:pt>
                <c:pt idx="71">
                  <c:v>1.42</c:v>
                </c:pt>
                <c:pt idx="72">
                  <c:v>1.44</c:v>
                </c:pt>
                <c:pt idx="73">
                  <c:v>1.46</c:v>
                </c:pt>
                <c:pt idx="74">
                  <c:v>1.48</c:v>
                </c:pt>
                <c:pt idx="75">
                  <c:v>1.5</c:v>
                </c:pt>
                <c:pt idx="76">
                  <c:v>1.52</c:v>
                </c:pt>
                <c:pt idx="77">
                  <c:v>1.54</c:v>
                </c:pt>
                <c:pt idx="78">
                  <c:v>1.56</c:v>
                </c:pt>
                <c:pt idx="79">
                  <c:v>1.58</c:v>
                </c:pt>
                <c:pt idx="80">
                  <c:v>1.6</c:v>
                </c:pt>
                <c:pt idx="81">
                  <c:v>1.62</c:v>
                </c:pt>
                <c:pt idx="82">
                  <c:v>1.64</c:v>
                </c:pt>
                <c:pt idx="83">
                  <c:v>1.66</c:v>
                </c:pt>
                <c:pt idx="84">
                  <c:v>1.68</c:v>
                </c:pt>
                <c:pt idx="85">
                  <c:v>1.7</c:v>
                </c:pt>
                <c:pt idx="86">
                  <c:v>1.72</c:v>
                </c:pt>
                <c:pt idx="87">
                  <c:v>1.74</c:v>
                </c:pt>
                <c:pt idx="88">
                  <c:v>1.76</c:v>
                </c:pt>
                <c:pt idx="89">
                  <c:v>1.78</c:v>
                </c:pt>
                <c:pt idx="90">
                  <c:v>1.8</c:v>
                </c:pt>
                <c:pt idx="91">
                  <c:v>1.82</c:v>
                </c:pt>
                <c:pt idx="92">
                  <c:v>1.84</c:v>
                </c:pt>
                <c:pt idx="93">
                  <c:v>1.86</c:v>
                </c:pt>
                <c:pt idx="94">
                  <c:v>1.88</c:v>
                </c:pt>
                <c:pt idx="95">
                  <c:v>1.9</c:v>
                </c:pt>
                <c:pt idx="96">
                  <c:v>1.92</c:v>
                </c:pt>
                <c:pt idx="97">
                  <c:v>1.94</c:v>
                </c:pt>
                <c:pt idx="98">
                  <c:v>1.96</c:v>
                </c:pt>
                <c:pt idx="99">
                  <c:v>1.98</c:v>
                </c:pt>
                <c:pt idx="100">
                  <c:v>2</c:v>
                </c:pt>
                <c:pt idx="101">
                  <c:v>2.02</c:v>
                </c:pt>
                <c:pt idx="102">
                  <c:v>2.04</c:v>
                </c:pt>
                <c:pt idx="103">
                  <c:v>2.06</c:v>
                </c:pt>
                <c:pt idx="104">
                  <c:v>2.08</c:v>
                </c:pt>
                <c:pt idx="105">
                  <c:v>2.1</c:v>
                </c:pt>
                <c:pt idx="106">
                  <c:v>2.12</c:v>
                </c:pt>
                <c:pt idx="107">
                  <c:v>2.14</c:v>
                </c:pt>
                <c:pt idx="108">
                  <c:v>2.16</c:v>
                </c:pt>
                <c:pt idx="109">
                  <c:v>2.1800000000000002</c:v>
                </c:pt>
                <c:pt idx="110">
                  <c:v>2.2000000000000002</c:v>
                </c:pt>
                <c:pt idx="111">
                  <c:v>2.2200000000000002</c:v>
                </c:pt>
                <c:pt idx="112">
                  <c:v>2.2400000000000002</c:v>
                </c:pt>
                <c:pt idx="113">
                  <c:v>2.2599999999999998</c:v>
                </c:pt>
                <c:pt idx="114">
                  <c:v>2.2799999999999998</c:v>
                </c:pt>
                <c:pt idx="115">
                  <c:v>2.2999999999999998</c:v>
                </c:pt>
                <c:pt idx="116">
                  <c:v>2.3199999999999998</c:v>
                </c:pt>
                <c:pt idx="117">
                  <c:v>2.34</c:v>
                </c:pt>
                <c:pt idx="118">
                  <c:v>2.36</c:v>
                </c:pt>
                <c:pt idx="119">
                  <c:v>2.38</c:v>
                </c:pt>
                <c:pt idx="120">
                  <c:v>2.4</c:v>
                </c:pt>
                <c:pt idx="121">
                  <c:v>2.42</c:v>
                </c:pt>
                <c:pt idx="122">
                  <c:v>2.44</c:v>
                </c:pt>
                <c:pt idx="123">
                  <c:v>2.46</c:v>
                </c:pt>
                <c:pt idx="124">
                  <c:v>2.48</c:v>
                </c:pt>
                <c:pt idx="125">
                  <c:v>2.5</c:v>
                </c:pt>
                <c:pt idx="126">
                  <c:v>2.52</c:v>
                </c:pt>
                <c:pt idx="127">
                  <c:v>2.54</c:v>
                </c:pt>
                <c:pt idx="128">
                  <c:v>2.56</c:v>
                </c:pt>
                <c:pt idx="129">
                  <c:v>2.58</c:v>
                </c:pt>
                <c:pt idx="130">
                  <c:v>2.6</c:v>
                </c:pt>
                <c:pt idx="131">
                  <c:v>2.62</c:v>
                </c:pt>
                <c:pt idx="132">
                  <c:v>2.64</c:v>
                </c:pt>
                <c:pt idx="133">
                  <c:v>2.66</c:v>
                </c:pt>
                <c:pt idx="134">
                  <c:v>2.68</c:v>
                </c:pt>
                <c:pt idx="135">
                  <c:v>2.7</c:v>
                </c:pt>
                <c:pt idx="136">
                  <c:v>2.72</c:v>
                </c:pt>
                <c:pt idx="137">
                  <c:v>2.74</c:v>
                </c:pt>
                <c:pt idx="138">
                  <c:v>2.76</c:v>
                </c:pt>
                <c:pt idx="139">
                  <c:v>2.78</c:v>
                </c:pt>
                <c:pt idx="140">
                  <c:v>2.8</c:v>
                </c:pt>
                <c:pt idx="141">
                  <c:v>2.82</c:v>
                </c:pt>
                <c:pt idx="142">
                  <c:v>2.84</c:v>
                </c:pt>
                <c:pt idx="143">
                  <c:v>2.86</c:v>
                </c:pt>
                <c:pt idx="144">
                  <c:v>2.88</c:v>
                </c:pt>
                <c:pt idx="145">
                  <c:v>2.9</c:v>
                </c:pt>
                <c:pt idx="146">
                  <c:v>2.92</c:v>
                </c:pt>
                <c:pt idx="147">
                  <c:v>2.94</c:v>
                </c:pt>
                <c:pt idx="148">
                  <c:v>2.96</c:v>
                </c:pt>
                <c:pt idx="149">
                  <c:v>2.98</c:v>
                </c:pt>
                <c:pt idx="150">
                  <c:v>3</c:v>
                </c:pt>
                <c:pt idx="151">
                  <c:v>3.02</c:v>
                </c:pt>
                <c:pt idx="152">
                  <c:v>3.04</c:v>
                </c:pt>
                <c:pt idx="153">
                  <c:v>3.06</c:v>
                </c:pt>
                <c:pt idx="154">
                  <c:v>3.08</c:v>
                </c:pt>
                <c:pt idx="155">
                  <c:v>3.1</c:v>
                </c:pt>
                <c:pt idx="156">
                  <c:v>3.12</c:v>
                </c:pt>
                <c:pt idx="157">
                  <c:v>3.14</c:v>
                </c:pt>
                <c:pt idx="158">
                  <c:v>3.16</c:v>
                </c:pt>
                <c:pt idx="159">
                  <c:v>3.18</c:v>
                </c:pt>
                <c:pt idx="160">
                  <c:v>3.2</c:v>
                </c:pt>
                <c:pt idx="161">
                  <c:v>3.22</c:v>
                </c:pt>
                <c:pt idx="162">
                  <c:v>3.24</c:v>
                </c:pt>
                <c:pt idx="163">
                  <c:v>3.26</c:v>
                </c:pt>
                <c:pt idx="164">
                  <c:v>3.28</c:v>
                </c:pt>
                <c:pt idx="165">
                  <c:v>3.3</c:v>
                </c:pt>
                <c:pt idx="166">
                  <c:v>3.32</c:v>
                </c:pt>
                <c:pt idx="167">
                  <c:v>3.34</c:v>
                </c:pt>
                <c:pt idx="168">
                  <c:v>3.36</c:v>
                </c:pt>
                <c:pt idx="169">
                  <c:v>3.38</c:v>
                </c:pt>
                <c:pt idx="170">
                  <c:v>3.4</c:v>
                </c:pt>
                <c:pt idx="171">
                  <c:v>3.42</c:v>
                </c:pt>
                <c:pt idx="172">
                  <c:v>3.44</c:v>
                </c:pt>
                <c:pt idx="173">
                  <c:v>3.46</c:v>
                </c:pt>
                <c:pt idx="174">
                  <c:v>3.48</c:v>
                </c:pt>
                <c:pt idx="175">
                  <c:v>3.5</c:v>
                </c:pt>
                <c:pt idx="176">
                  <c:v>3.52</c:v>
                </c:pt>
                <c:pt idx="177">
                  <c:v>4</c:v>
                </c:pt>
              </c:numCache>
            </c:numRef>
          </c:xVal>
          <c:yVal>
            <c:numRef>
              <c:f>台北盆地Cs!$AN$41:$AN$218</c:f>
              <c:numCache>
                <c:formatCode>0.0000</c:formatCode>
                <c:ptCount val="178"/>
                <c:pt idx="0">
                  <c:v>0.25622293451612904</c:v>
                </c:pt>
                <c:pt idx="1">
                  <c:v>0.30824141032258062</c:v>
                </c:pt>
                <c:pt idx="2">
                  <c:v>0.36299770064516129</c:v>
                </c:pt>
                <c:pt idx="3">
                  <c:v>0.41775399096774191</c:v>
                </c:pt>
                <c:pt idx="4">
                  <c:v>0.47251028129032263</c:v>
                </c:pt>
                <c:pt idx="5">
                  <c:v>0.52726657161290325</c:v>
                </c:pt>
                <c:pt idx="6">
                  <c:v>0.5820228619354838</c:v>
                </c:pt>
                <c:pt idx="7">
                  <c:v>0.63371279999999997</c:v>
                </c:pt>
                <c:pt idx="8">
                  <c:v>0.63371279999999997</c:v>
                </c:pt>
                <c:pt idx="9">
                  <c:v>0.63371279999999997</c:v>
                </c:pt>
                <c:pt idx="10">
                  <c:v>0.63371279999999997</c:v>
                </c:pt>
                <c:pt idx="11">
                  <c:v>0.63371279999999997</c:v>
                </c:pt>
                <c:pt idx="12">
                  <c:v>0.63371279999999997</c:v>
                </c:pt>
                <c:pt idx="13">
                  <c:v>0.63371279999999997</c:v>
                </c:pt>
                <c:pt idx="14">
                  <c:v>0.63371279999999997</c:v>
                </c:pt>
                <c:pt idx="15">
                  <c:v>0.63371279999999997</c:v>
                </c:pt>
                <c:pt idx="16">
                  <c:v>0.63371279999999997</c:v>
                </c:pt>
                <c:pt idx="17">
                  <c:v>0.63371279999999997</c:v>
                </c:pt>
                <c:pt idx="18">
                  <c:v>0.63371279999999997</c:v>
                </c:pt>
                <c:pt idx="19">
                  <c:v>0.63371279999999997</c:v>
                </c:pt>
                <c:pt idx="20">
                  <c:v>0.63371279999999997</c:v>
                </c:pt>
                <c:pt idx="21">
                  <c:v>0.63371279999999997</c:v>
                </c:pt>
                <c:pt idx="22">
                  <c:v>0.63371279999999997</c:v>
                </c:pt>
                <c:pt idx="23">
                  <c:v>0.63371279999999997</c:v>
                </c:pt>
                <c:pt idx="24">
                  <c:v>0.63371279999999997</c:v>
                </c:pt>
                <c:pt idx="25">
                  <c:v>0.63371279999999997</c:v>
                </c:pt>
                <c:pt idx="26">
                  <c:v>0.63371279999999997</c:v>
                </c:pt>
                <c:pt idx="27">
                  <c:v>0.63371279999999997</c:v>
                </c:pt>
                <c:pt idx="28">
                  <c:v>0.63371279999999997</c:v>
                </c:pt>
                <c:pt idx="29">
                  <c:v>0.63371279999999997</c:v>
                </c:pt>
                <c:pt idx="30">
                  <c:v>0.63371279999999997</c:v>
                </c:pt>
                <c:pt idx="31">
                  <c:v>0.63371279999999997</c:v>
                </c:pt>
                <c:pt idx="32">
                  <c:v>0.63371279999999997</c:v>
                </c:pt>
                <c:pt idx="33">
                  <c:v>0.63371279999999997</c:v>
                </c:pt>
                <c:pt idx="34">
                  <c:v>0.63371279999999997</c:v>
                </c:pt>
                <c:pt idx="35">
                  <c:v>0.63371279999999997</c:v>
                </c:pt>
                <c:pt idx="36">
                  <c:v>0.63371279999999997</c:v>
                </c:pt>
                <c:pt idx="37">
                  <c:v>0.63371279999999997</c:v>
                </c:pt>
                <c:pt idx="38">
                  <c:v>0.63371279999999997</c:v>
                </c:pt>
                <c:pt idx="39">
                  <c:v>0.63371279999999997</c:v>
                </c:pt>
                <c:pt idx="40">
                  <c:v>0.63371279999999997</c:v>
                </c:pt>
                <c:pt idx="41">
                  <c:v>0.63371279999999997</c:v>
                </c:pt>
                <c:pt idx="42">
                  <c:v>0.63371279999999997</c:v>
                </c:pt>
                <c:pt idx="43">
                  <c:v>0.63371279999999997</c:v>
                </c:pt>
                <c:pt idx="44">
                  <c:v>0.63371279999999997</c:v>
                </c:pt>
                <c:pt idx="45">
                  <c:v>0.63371279999999997</c:v>
                </c:pt>
                <c:pt idx="46">
                  <c:v>0.63371279999999997</c:v>
                </c:pt>
                <c:pt idx="47">
                  <c:v>0.63371279999999997</c:v>
                </c:pt>
                <c:pt idx="48">
                  <c:v>0.63371279999999997</c:v>
                </c:pt>
                <c:pt idx="49">
                  <c:v>0.63371279999999997</c:v>
                </c:pt>
                <c:pt idx="50">
                  <c:v>0.63371279999999997</c:v>
                </c:pt>
                <c:pt idx="51">
                  <c:v>0.63371279999999997</c:v>
                </c:pt>
                <c:pt idx="52">
                  <c:v>0.63371279999999997</c:v>
                </c:pt>
                <c:pt idx="53">
                  <c:v>0.63371279999999997</c:v>
                </c:pt>
                <c:pt idx="54">
                  <c:v>0.63371279999999997</c:v>
                </c:pt>
                <c:pt idx="55">
                  <c:v>0.63371279999999997</c:v>
                </c:pt>
                <c:pt idx="56">
                  <c:v>0.63371279999999997</c:v>
                </c:pt>
                <c:pt idx="57">
                  <c:v>0.63371279999999997</c:v>
                </c:pt>
                <c:pt idx="58">
                  <c:v>0.63371279999999997</c:v>
                </c:pt>
                <c:pt idx="59">
                  <c:v>0.63371279999999997</c:v>
                </c:pt>
                <c:pt idx="60">
                  <c:v>0.63371279999999997</c:v>
                </c:pt>
                <c:pt idx="61">
                  <c:v>0.63371279999999997</c:v>
                </c:pt>
                <c:pt idx="62">
                  <c:v>0.63371279999999997</c:v>
                </c:pt>
                <c:pt idx="63">
                  <c:v>0.63371279999999997</c:v>
                </c:pt>
                <c:pt idx="64">
                  <c:v>0.63371279999999997</c:v>
                </c:pt>
                <c:pt idx="65">
                  <c:v>0.63371279999999997</c:v>
                </c:pt>
                <c:pt idx="66">
                  <c:v>0.63371279999999997</c:v>
                </c:pt>
                <c:pt idx="67">
                  <c:v>0.63371279999999997</c:v>
                </c:pt>
                <c:pt idx="68">
                  <c:v>0.63371279999999997</c:v>
                </c:pt>
                <c:pt idx="69">
                  <c:v>0.63371279999999997</c:v>
                </c:pt>
                <c:pt idx="70">
                  <c:v>0.63371279999999997</c:v>
                </c:pt>
                <c:pt idx="71">
                  <c:v>0.63371279999999997</c:v>
                </c:pt>
                <c:pt idx="72">
                  <c:v>0.63371279999999997</c:v>
                </c:pt>
                <c:pt idx="73">
                  <c:v>0.63371279999999997</c:v>
                </c:pt>
                <c:pt idx="74">
                  <c:v>0.63371279999999997</c:v>
                </c:pt>
                <c:pt idx="75">
                  <c:v>0.63371279999999997</c:v>
                </c:pt>
                <c:pt idx="76">
                  <c:v>0.63371279999999997</c:v>
                </c:pt>
                <c:pt idx="77">
                  <c:v>0.63371279999999997</c:v>
                </c:pt>
                <c:pt idx="78">
                  <c:v>0.63371279999999997</c:v>
                </c:pt>
                <c:pt idx="79">
                  <c:v>0.63371279999999997</c:v>
                </c:pt>
                <c:pt idx="80">
                  <c:v>0.63371279999999997</c:v>
                </c:pt>
                <c:pt idx="81">
                  <c:v>0.63371279999999997</c:v>
                </c:pt>
                <c:pt idx="82">
                  <c:v>0.63371279999999997</c:v>
                </c:pt>
                <c:pt idx="83">
                  <c:v>0.63116776867469881</c:v>
                </c:pt>
                <c:pt idx="84">
                  <c:v>0.62365386666666667</c:v>
                </c:pt>
                <c:pt idx="85">
                  <c:v>0.61631676235294108</c:v>
                </c:pt>
                <c:pt idx="86">
                  <c:v>0.60915028837209306</c:v>
                </c:pt>
                <c:pt idx="87">
                  <c:v>0.60214856091954028</c:v>
                </c:pt>
                <c:pt idx="88">
                  <c:v>0.59530596363636357</c:v>
                </c:pt>
                <c:pt idx="89">
                  <c:v>0.58861713258426962</c:v>
                </c:pt>
                <c:pt idx="90">
                  <c:v>0.58207694222222217</c:v>
                </c:pt>
                <c:pt idx="91">
                  <c:v>0.57568049230769225</c:v>
                </c:pt>
                <c:pt idx="92">
                  <c:v>0.56942309565217397</c:v>
                </c:pt>
                <c:pt idx="93">
                  <c:v>0.56330026666666655</c:v>
                </c:pt>
                <c:pt idx="94">
                  <c:v>0.55730771063829787</c:v>
                </c:pt>
                <c:pt idx="95">
                  <c:v>0.55144131368421045</c:v>
                </c:pt>
                <c:pt idx="96">
                  <c:v>0.54569713333333336</c:v>
                </c:pt>
                <c:pt idx="97">
                  <c:v>0.54007138969072155</c:v>
                </c:pt>
                <c:pt idx="98">
                  <c:v>0.53456045714285705</c:v>
                </c:pt>
                <c:pt idx="99">
                  <c:v>0.52916085656565648</c:v>
                </c:pt>
                <c:pt idx="100">
                  <c:v>0.52386924800000001</c:v>
                </c:pt>
                <c:pt idx="101">
                  <c:v>0.51868242376237617</c:v>
                </c:pt>
                <c:pt idx="102">
                  <c:v>0.51359730196078424</c:v>
                </c:pt>
                <c:pt idx="103">
                  <c:v>0.50861092038834943</c:v>
                </c:pt>
                <c:pt idx="104">
                  <c:v>0.50372043076923068</c:v>
                </c:pt>
                <c:pt idx="105">
                  <c:v>0.49892309333333329</c:v>
                </c:pt>
                <c:pt idx="106">
                  <c:v>0.49421627169811311</c:v>
                </c:pt>
                <c:pt idx="107">
                  <c:v>0.48959742803738315</c:v>
                </c:pt>
                <c:pt idx="108">
                  <c:v>0.48506411851851844</c:v>
                </c:pt>
                <c:pt idx="109">
                  <c:v>0.48061398899082564</c:v>
                </c:pt>
                <c:pt idx="110">
                  <c:v>0.47624477090909084</c:v>
                </c:pt>
                <c:pt idx="111">
                  <c:v>0.47195427747747737</c:v>
                </c:pt>
                <c:pt idx="112">
                  <c:v>0.46774039999999995</c:v>
                </c:pt>
                <c:pt idx="113">
                  <c:v>0.46360110442477881</c:v>
                </c:pt>
                <c:pt idx="114">
                  <c:v>0.45953442807017547</c:v>
                </c:pt>
                <c:pt idx="115">
                  <c:v>0.45553847652173918</c:v>
                </c:pt>
                <c:pt idx="116">
                  <c:v>0.45161142068965521</c:v>
                </c:pt>
                <c:pt idx="117">
                  <c:v>0.44775149401709402</c:v>
                </c:pt>
                <c:pt idx="118">
                  <c:v>0.44395698983050852</c:v>
                </c:pt>
                <c:pt idx="119">
                  <c:v>0.44022625882352939</c:v>
                </c:pt>
                <c:pt idx="120">
                  <c:v>0.43655770666666666</c:v>
                </c:pt>
                <c:pt idx="121">
                  <c:v>0.43294979173553716</c:v>
                </c:pt>
                <c:pt idx="122">
                  <c:v>0.42940102295081967</c:v>
                </c:pt>
                <c:pt idx="123">
                  <c:v>0.42590995772357726</c:v>
                </c:pt>
                <c:pt idx="124">
                  <c:v>0.42247520000000005</c:v>
                </c:pt>
                <c:pt idx="125">
                  <c:v>0.41909539840000004</c:v>
                </c:pt>
                <c:pt idx="126">
                  <c:v>0.41576924444444446</c:v>
                </c:pt>
                <c:pt idx="127">
                  <c:v>0.4124954708661418</c:v>
                </c:pt>
                <c:pt idx="128">
                  <c:v>0.40927284999999997</c:v>
                </c:pt>
                <c:pt idx="129">
                  <c:v>0.40610019224806199</c:v>
                </c:pt>
                <c:pt idx="130">
                  <c:v>0.40297634461538462</c:v>
                </c:pt>
                <c:pt idx="131">
                  <c:v>0.39990018931297711</c:v>
                </c:pt>
                <c:pt idx="132">
                  <c:v>0.39687064242424236</c:v>
                </c:pt>
                <c:pt idx="133">
                  <c:v>0.39388665263157896</c:v>
                </c:pt>
                <c:pt idx="134">
                  <c:v>0.39094720000000005</c:v>
                </c:pt>
                <c:pt idx="135">
                  <c:v>0.38805129481481487</c:v>
                </c:pt>
                <c:pt idx="136">
                  <c:v>0.38519797647058818</c:v>
                </c:pt>
                <c:pt idx="137">
                  <c:v>0.38238631240875909</c:v>
                </c:pt>
                <c:pt idx="138">
                  <c:v>0.37961539710144926</c:v>
                </c:pt>
                <c:pt idx="139">
                  <c:v>0.3768843510791367</c:v>
                </c:pt>
                <c:pt idx="140">
                  <c:v>0.37419231999999997</c:v>
                </c:pt>
                <c:pt idx="141">
                  <c:v>0.37153847375886523</c:v>
                </c:pt>
                <c:pt idx="142">
                  <c:v>0.36892200563380284</c:v>
                </c:pt>
                <c:pt idx="143">
                  <c:v>0.36634213146853151</c:v>
                </c:pt>
                <c:pt idx="144">
                  <c:v>0.36379808888888887</c:v>
                </c:pt>
                <c:pt idx="145">
                  <c:v>0.36128913655172412</c:v>
                </c:pt>
                <c:pt idx="146">
                  <c:v>0.35881455342465751</c:v>
                </c:pt>
                <c:pt idx="147">
                  <c:v>0.35637363809523809</c:v>
                </c:pt>
                <c:pt idx="148">
                  <c:v>0.35396570810810812</c:v>
                </c:pt>
                <c:pt idx="149">
                  <c:v>0.35159009932885904</c:v>
                </c:pt>
                <c:pt idx="150">
                  <c:v>0.3492461653333333</c:v>
                </c:pt>
                <c:pt idx="151">
                  <c:v>0.34693327682119202</c:v>
                </c:pt>
                <c:pt idx="152">
                  <c:v>0.34465082105263162</c:v>
                </c:pt>
                <c:pt idx="153">
                  <c:v>0.34239820130718951</c:v>
                </c:pt>
                <c:pt idx="154">
                  <c:v>0.34017483636363638</c:v>
                </c:pt>
                <c:pt idx="155">
                  <c:v>0.33798015999999997</c:v>
                </c:pt>
                <c:pt idx="156">
                  <c:v>0.33581362051282049</c:v>
                </c:pt>
                <c:pt idx="157">
                  <c:v>0.33367468025477703</c:v>
                </c:pt>
                <c:pt idx="158">
                  <c:v>0.33156281518987341</c:v>
                </c:pt>
                <c:pt idx="159">
                  <c:v>0.32947751446540879</c:v>
                </c:pt>
                <c:pt idx="160">
                  <c:v>0.32741828000000001</c:v>
                </c:pt>
                <c:pt idx="161">
                  <c:v>0.32538462608695651</c:v>
                </c:pt>
                <c:pt idx="162">
                  <c:v>0.32337607901234566</c:v>
                </c:pt>
                <c:pt idx="163">
                  <c:v>0.32139217668711656</c:v>
                </c:pt>
                <c:pt idx="164">
                  <c:v>0.31943246829268296</c:v>
                </c:pt>
                <c:pt idx="165">
                  <c:v>0.31749651393939388</c:v>
                </c:pt>
                <c:pt idx="166">
                  <c:v>0.31558388433734941</c:v>
                </c:pt>
                <c:pt idx="167">
                  <c:v>0.31369416047904197</c:v>
                </c:pt>
                <c:pt idx="168">
                  <c:v>0.31182693333333333</c:v>
                </c:pt>
                <c:pt idx="169">
                  <c:v>0.30998180355029586</c:v>
                </c:pt>
                <c:pt idx="170">
                  <c:v>0.30815838117647054</c:v>
                </c:pt>
                <c:pt idx="171">
                  <c:v>0.30635628538011694</c:v>
                </c:pt>
                <c:pt idx="172">
                  <c:v>0.30457514418604653</c:v>
                </c:pt>
                <c:pt idx="173">
                  <c:v>0.30281459421965323</c:v>
                </c:pt>
                <c:pt idx="174">
                  <c:v>0.30107428045977014</c:v>
                </c:pt>
                <c:pt idx="175">
                  <c:v>0.29935385599999997</c:v>
                </c:pt>
                <c:pt idx="176">
                  <c:v>0.29765298181818178</c:v>
                </c:pt>
                <c:pt idx="177">
                  <c:v>0.26404699999999998</c:v>
                </c:pt>
              </c:numCache>
            </c:numRef>
          </c:yVal>
          <c:smooth val="0"/>
          <c:extLst>
            <c:ext xmlns:c16="http://schemas.microsoft.com/office/drawing/2014/chart" uri="{C3380CC4-5D6E-409C-BE32-E72D297353CC}">
              <c16:uniqueId val="{00000004-FC8F-454B-A1D6-DEEE0F879C22}"/>
            </c:ext>
          </c:extLst>
        </c:ser>
        <c:ser>
          <c:idx val="2"/>
          <c:order val="5"/>
          <c:tx>
            <c:v>民71~78年</c:v>
          </c:tx>
          <c:spPr>
            <a:ln w="28575" cap="rnd" cmpd="sng" algn="ctr">
              <a:solidFill>
                <a:schemeClr val="accent3">
                  <a:shade val="95000"/>
                  <a:satMod val="105000"/>
                </a:schemeClr>
              </a:solidFill>
              <a:prstDash val="solid"/>
              <a:round/>
            </a:ln>
            <a:effectLst/>
          </c:spPr>
          <c:marker>
            <c:symbol val="none"/>
          </c:marker>
          <c:xVal>
            <c:numRef>
              <c:f>台北盆地Cs!$AP$41:$AP$218</c:f>
              <c:numCache>
                <c:formatCode>General</c:formatCode>
                <c:ptCount val="178"/>
                <c:pt idx="0">
                  <c:v>1E-3</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pt idx="51">
                  <c:v>1.02</c:v>
                </c:pt>
                <c:pt idx="52">
                  <c:v>1.04</c:v>
                </c:pt>
                <c:pt idx="53">
                  <c:v>1.06</c:v>
                </c:pt>
                <c:pt idx="54">
                  <c:v>1.08</c:v>
                </c:pt>
                <c:pt idx="55">
                  <c:v>1.1000000000000001</c:v>
                </c:pt>
                <c:pt idx="56">
                  <c:v>1.1200000000000001</c:v>
                </c:pt>
                <c:pt idx="57">
                  <c:v>1.1399999999999999</c:v>
                </c:pt>
                <c:pt idx="58">
                  <c:v>1.1599999999999999</c:v>
                </c:pt>
                <c:pt idx="59">
                  <c:v>1.18</c:v>
                </c:pt>
                <c:pt idx="60">
                  <c:v>1.2</c:v>
                </c:pt>
                <c:pt idx="61">
                  <c:v>1.22</c:v>
                </c:pt>
                <c:pt idx="62">
                  <c:v>1.24</c:v>
                </c:pt>
                <c:pt idx="63">
                  <c:v>1.26</c:v>
                </c:pt>
                <c:pt idx="64">
                  <c:v>1.28</c:v>
                </c:pt>
                <c:pt idx="65">
                  <c:v>1.3</c:v>
                </c:pt>
                <c:pt idx="66">
                  <c:v>1.32</c:v>
                </c:pt>
                <c:pt idx="67">
                  <c:v>1.34</c:v>
                </c:pt>
                <c:pt idx="68">
                  <c:v>1.36</c:v>
                </c:pt>
                <c:pt idx="69">
                  <c:v>1.38</c:v>
                </c:pt>
                <c:pt idx="70">
                  <c:v>1.4</c:v>
                </c:pt>
                <c:pt idx="71">
                  <c:v>1.42</c:v>
                </c:pt>
                <c:pt idx="72">
                  <c:v>1.44</c:v>
                </c:pt>
                <c:pt idx="73">
                  <c:v>1.46</c:v>
                </c:pt>
                <c:pt idx="74">
                  <c:v>1.48</c:v>
                </c:pt>
                <c:pt idx="75">
                  <c:v>1.5</c:v>
                </c:pt>
                <c:pt idx="76">
                  <c:v>1.52</c:v>
                </c:pt>
                <c:pt idx="77">
                  <c:v>1.54</c:v>
                </c:pt>
                <c:pt idx="78">
                  <c:v>1.56</c:v>
                </c:pt>
                <c:pt idx="79">
                  <c:v>1.58</c:v>
                </c:pt>
                <c:pt idx="80">
                  <c:v>1.6</c:v>
                </c:pt>
                <c:pt idx="81">
                  <c:v>1.62</c:v>
                </c:pt>
                <c:pt idx="82">
                  <c:v>1.64</c:v>
                </c:pt>
                <c:pt idx="83">
                  <c:v>1.66</c:v>
                </c:pt>
                <c:pt idx="84">
                  <c:v>1.68</c:v>
                </c:pt>
                <c:pt idx="85">
                  <c:v>1.7</c:v>
                </c:pt>
                <c:pt idx="86">
                  <c:v>1.72</c:v>
                </c:pt>
                <c:pt idx="87">
                  <c:v>1.74</c:v>
                </c:pt>
                <c:pt idx="88">
                  <c:v>1.76</c:v>
                </c:pt>
                <c:pt idx="89">
                  <c:v>1.78</c:v>
                </c:pt>
                <c:pt idx="90">
                  <c:v>1.8</c:v>
                </c:pt>
                <c:pt idx="91">
                  <c:v>1.82</c:v>
                </c:pt>
                <c:pt idx="92">
                  <c:v>1.84</c:v>
                </c:pt>
                <c:pt idx="93">
                  <c:v>1.86</c:v>
                </c:pt>
                <c:pt idx="94">
                  <c:v>1.88</c:v>
                </c:pt>
                <c:pt idx="95">
                  <c:v>1.9</c:v>
                </c:pt>
                <c:pt idx="96">
                  <c:v>1.92</c:v>
                </c:pt>
                <c:pt idx="97">
                  <c:v>1.94</c:v>
                </c:pt>
                <c:pt idx="98">
                  <c:v>1.96</c:v>
                </c:pt>
                <c:pt idx="99">
                  <c:v>1.98</c:v>
                </c:pt>
                <c:pt idx="100">
                  <c:v>2</c:v>
                </c:pt>
                <c:pt idx="101">
                  <c:v>2.02</c:v>
                </c:pt>
                <c:pt idx="102">
                  <c:v>2.04</c:v>
                </c:pt>
                <c:pt idx="103">
                  <c:v>2.06</c:v>
                </c:pt>
                <c:pt idx="104">
                  <c:v>2.08</c:v>
                </c:pt>
                <c:pt idx="105">
                  <c:v>2.1</c:v>
                </c:pt>
                <c:pt idx="106">
                  <c:v>2.12</c:v>
                </c:pt>
                <c:pt idx="107">
                  <c:v>2.14</c:v>
                </c:pt>
                <c:pt idx="108">
                  <c:v>2.16</c:v>
                </c:pt>
                <c:pt idx="109">
                  <c:v>2.1800000000000002</c:v>
                </c:pt>
                <c:pt idx="110">
                  <c:v>2.2000000000000002</c:v>
                </c:pt>
                <c:pt idx="111">
                  <c:v>2.2200000000000002</c:v>
                </c:pt>
                <c:pt idx="112">
                  <c:v>2.2400000000000002</c:v>
                </c:pt>
                <c:pt idx="113">
                  <c:v>2.2599999999999998</c:v>
                </c:pt>
                <c:pt idx="114">
                  <c:v>2.2799999999999998</c:v>
                </c:pt>
                <c:pt idx="115">
                  <c:v>2.2999999999999998</c:v>
                </c:pt>
                <c:pt idx="116">
                  <c:v>2.3199999999999998</c:v>
                </c:pt>
                <c:pt idx="117">
                  <c:v>2.34</c:v>
                </c:pt>
                <c:pt idx="118">
                  <c:v>2.36</c:v>
                </c:pt>
                <c:pt idx="119">
                  <c:v>2.38</c:v>
                </c:pt>
                <c:pt idx="120">
                  <c:v>2.4</c:v>
                </c:pt>
                <c:pt idx="121">
                  <c:v>2.42</c:v>
                </c:pt>
                <c:pt idx="122">
                  <c:v>2.44</c:v>
                </c:pt>
                <c:pt idx="123">
                  <c:v>2.46</c:v>
                </c:pt>
                <c:pt idx="124">
                  <c:v>2.48</c:v>
                </c:pt>
                <c:pt idx="125">
                  <c:v>2.5</c:v>
                </c:pt>
                <c:pt idx="126">
                  <c:v>2.52</c:v>
                </c:pt>
                <c:pt idx="127">
                  <c:v>2.54</c:v>
                </c:pt>
                <c:pt idx="128">
                  <c:v>2.56</c:v>
                </c:pt>
                <c:pt idx="129">
                  <c:v>2.58</c:v>
                </c:pt>
                <c:pt idx="130">
                  <c:v>2.6</c:v>
                </c:pt>
                <c:pt idx="131">
                  <c:v>2.62</c:v>
                </c:pt>
                <c:pt idx="132">
                  <c:v>2.64</c:v>
                </c:pt>
                <c:pt idx="133">
                  <c:v>2.66</c:v>
                </c:pt>
                <c:pt idx="134">
                  <c:v>2.68</c:v>
                </c:pt>
                <c:pt idx="135">
                  <c:v>2.7</c:v>
                </c:pt>
                <c:pt idx="136">
                  <c:v>2.72</c:v>
                </c:pt>
                <c:pt idx="137">
                  <c:v>2.74</c:v>
                </c:pt>
                <c:pt idx="138">
                  <c:v>2.76</c:v>
                </c:pt>
                <c:pt idx="139">
                  <c:v>2.78</c:v>
                </c:pt>
                <c:pt idx="140">
                  <c:v>2.8</c:v>
                </c:pt>
                <c:pt idx="141">
                  <c:v>2.82</c:v>
                </c:pt>
                <c:pt idx="142">
                  <c:v>2.84</c:v>
                </c:pt>
                <c:pt idx="143">
                  <c:v>2.86</c:v>
                </c:pt>
                <c:pt idx="144">
                  <c:v>2.88</c:v>
                </c:pt>
                <c:pt idx="145">
                  <c:v>2.9</c:v>
                </c:pt>
                <c:pt idx="146">
                  <c:v>2.92</c:v>
                </c:pt>
                <c:pt idx="147">
                  <c:v>2.94</c:v>
                </c:pt>
                <c:pt idx="148">
                  <c:v>2.96</c:v>
                </c:pt>
                <c:pt idx="149">
                  <c:v>2.98</c:v>
                </c:pt>
                <c:pt idx="150">
                  <c:v>3</c:v>
                </c:pt>
                <c:pt idx="151">
                  <c:v>3.02</c:v>
                </c:pt>
                <c:pt idx="152">
                  <c:v>3.04</c:v>
                </c:pt>
                <c:pt idx="153">
                  <c:v>3.06</c:v>
                </c:pt>
                <c:pt idx="154">
                  <c:v>3.08</c:v>
                </c:pt>
                <c:pt idx="155">
                  <c:v>3.1</c:v>
                </c:pt>
                <c:pt idx="156">
                  <c:v>3.12</c:v>
                </c:pt>
                <c:pt idx="157">
                  <c:v>3.14</c:v>
                </c:pt>
                <c:pt idx="158">
                  <c:v>3.16</c:v>
                </c:pt>
                <c:pt idx="159">
                  <c:v>3.18</c:v>
                </c:pt>
                <c:pt idx="160">
                  <c:v>3.2</c:v>
                </c:pt>
                <c:pt idx="161">
                  <c:v>3.22</c:v>
                </c:pt>
                <c:pt idx="162">
                  <c:v>3.24</c:v>
                </c:pt>
                <c:pt idx="163">
                  <c:v>3.26</c:v>
                </c:pt>
                <c:pt idx="164">
                  <c:v>3.28</c:v>
                </c:pt>
                <c:pt idx="165">
                  <c:v>3.3</c:v>
                </c:pt>
                <c:pt idx="166">
                  <c:v>3.32</c:v>
                </c:pt>
                <c:pt idx="167">
                  <c:v>3.34</c:v>
                </c:pt>
                <c:pt idx="168">
                  <c:v>3.36</c:v>
                </c:pt>
                <c:pt idx="169">
                  <c:v>3.38</c:v>
                </c:pt>
                <c:pt idx="170">
                  <c:v>3.4</c:v>
                </c:pt>
                <c:pt idx="171">
                  <c:v>3.42</c:v>
                </c:pt>
                <c:pt idx="172">
                  <c:v>3.44</c:v>
                </c:pt>
                <c:pt idx="173">
                  <c:v>3.46</c:v>
                </c:pt>
                <c:pt idx="174">
                  <c:v>3.48</c:v>
                </c:pt>
                <c:pt idx="175">
                  <c:v>3.5</c:v>
                </c:pt>
                <c:pt idx="176">
                  <c:v>3.52</c:v>
                </c:pt>
                <c:pt idx="177">
                  <c:v>4</c:v>
                </c:pt>
              </c:numCache>
            </c:numRef>
          </c:xVal>
          <c:yVal>
            <c:numRef>
              <c:f>台北盆地Cs!$AT$41:$AT$218</c:f>
              <c:numCache>
                <c:formatCode>0.0000</c:formatCode>
                <c:ptCount val="178"/>
                <c:pt idx="0">
                  <c:v>0.25622293451612904</c:v>
                </c:pt>
                <c:pt idx="1">
                  <c:v>0.30824141032258062</c:v>
                </c:pt>
                <c:pt idx="2">
                  <c:v>0.36299770064516129</c:v>
                </c:pt>
                <c:pt idx="3">
                  <c:v>0.41775399096774191</c:v>
                </c:pt>
                <c:pt idx="4">
                  <c:v>0.47251028129032263</c:v>
                </c:pt>
                <c:pt idx="5">
                  <c:v>0.52726657161290325</c:v>
                </c:pt>
                <c:pt idx="6">
                  <c:v>0.5820228619354838</c:v>
                </c:pt>
                <c:pt idx="7">
                  <c:v>0.63371279999999997</c:v>
                </c:pt>
                <c:pt idx="8">
                  <c:v>0.63371279999999997</c:v>
                </c:pt>
                <c:pt idx="9">
                  <c:v>0.63371279999999997</c:v>
                </c:pt>
                <c:pt idx="10">
                  <c:v>0.63371279999999997</c:v>
                </c:pt>
                <c:pt idx="11">
                  <c:v>0.63371279999999997</c:v>
                </c:pt>
                <c:pt idx="12">
                  <c:v>0.63371279999999997</c:v>
                </c:pt>
                <c:pt idx="13">
                  <c:v>0.63371279999999997</c:v>
                </c:pt>
                <c:pt idx="14">
                  <c:v>0.63371279999999997</c:v>
                </c:pt>
                <c:pt idx="15">
                  <c:v>0.63371279999999997</c:v>
                </c:pt>
                <c:pt idx="16">
                  <c:v>0.63371279999999997</c:v>
                </c:pt>
                <c:pt idx="17">
                  <c:v>0.63371279999999997</c:v>
                </c:pt>
                <c:pt idx="18">
                  <c:v>0.63371279999999997</c:v>
                </c:pt>
                <c:pt idx="19">
                  <c:v>0.63371279999999997</c:v>
                </c:pt>
                <c:pt idx="20">
                  <c:v>0.63371279999999997</c:v>
                </c:pt>
                <c:pt idx="21">
                  <c:v>0.63371279999999997</c:v>
                </c:pt>
                <c:pt idx="22">
                  <c:v>0.63371279999999997</c:v>
                </c:pt>
                <c:pt idx="23">
                  <c:v>0.63371279999999997</c:v>
                </c:pt>
                <c:pt idx="24">
                  <c:v>0.63371279999999997</c:v>
                </c:pt>
                <c:pt idx="25">
                  <c:v>0.63371279999999997</c:v>
                </c:pt>
                <c:pt idx="26">
                  <c:v>0.63371279999999997</c:v>
                </c:pt>
                <c:pt idx="27">
                  <c:v>0.63371279999999997</c:v>
                </c:pt>
                <c:pt idx="28">
                  <c:v>0.63371279999999997</c:v>
                </c:pt>
                <c:pt idx="29">
                  <c:v>0.63371279999999997</c:v>
                </c:pt>
                <c:pt idx="30">
                  <c:v>0.63371279999999997</c:v>
                </c:pt>
                <c:pt idx="31">
                  <c:v>0.63371279999999997</c:v>
                </c:pt>
                <c:pt idx="32">
                  <c:v>0.63371279999999997</c:v>
                </c:pt>
                <c:pt idx="33">
                  <c:v>0.63371279999999997</c:v>
                </c:pt>
                <c:pt idx="34">
                  <c:v>0.63371279999999997</c:v>
                </c:pt>
                <c:pt idx="35">
                  <c:v>0.63119305721783714</c:v>
                </c:pt>
                <c:pt idx="36">
                  <c:v>0.6223647475065478</c:v>
                </c:pt>
                <c:pt idx="37">
                  <c:v>0.61389680534778501</c:v>
                </c:pt>
                <c:pt idx="38">
                  <c:v>0.60576536281320226</c:v>
                </c:pt>
                <c:pt idx="39">
                  <c:v>0.59794870806955613</c:v>
                </c:pt>
                <c:pt idx="40">
                  <c:v>0.59042704125488699</c:v>
                </c:pt>
                <c:pt idx="41">
                  <c:v>0.58318226330970013</c:v>
                </c:pt>
                <c:pt idx="42">
                  <c:v>0.57619779263143089</c:v>
                </c:pt>
                <c:pt idx="43">
                  <c:v>0.56945840532096614</c:v>
                </c:pt>
                <c:pt idx="44">
                  <c:v>0.56295009551549868</c:v>
                </c:pt>
                <c:pt idx="45">
                  <c:v>0.55665995288965342</c:v>
                </c:pt>
                <c:pt idx="46">
                  <c:v>0.55057605488528416</c:v>
                </c:pt>
                <c:pt idx="47">
                  <c:v>0.54468737162179126</c:v>
                </c:pt>
                <c:pt idx="48">
                  <c:v>0.53898368176055833</c:v>
                </c:pt>
                <c:pt idx="49">
                  <c:v>0.53345549786275503</c:v>
                </c:pt>
                <c:pt idx="50">
                  <c:v>0.52809399999999995</c:v>
                </c:pt>
                <c:pt idx="51">
                  <c:v>0.52289097656072381</c:v>
                </c:pt>
                <c:pt idx="52">
                  <c:v>0.51783877134832079</c:v>
                </c:pt>
                <c:pt idx="53">
                  <c:v>0.51293023619569711</c:v>
                </c:pt>
                <c:pt idx="54">
                  <c:v>0.50815868842904366</c:v>
                </c:pt>
                <c:pt idx="55">
                  <c:v>0.50351787260506176</c:v>
                </c:pt>
                <c:pt idx="56">
                  <c:v>0.49900192602333704</c:v>
                </c:pt>
                <c:pt idx="57">
                  <c:v>0.4946053475814231</c:v>
                </c:pt>
                <c:pt idx="58">
                  <c:v>0.49032296959636018</c:v>
                </c:pt>
                <c:pt idx="59">
                  <c:v>0.48614993226439723</c:v>
                </c:pt>
                <c:pt idx="60">
                  <c:v>0.48208166047188866</c:v>
                </c:pt>
                <c:pt idx="61">
                  <c:v>0.47811384270577778</c:v>
                </c:pt>
                <c:pt idx="62">
                  <c:v>0.47424241184263832</c:v>
                </c:pt>
                <c:pt idx="63">
                  <c:v>0.4704635276216661</c:v>
                </c:pt>
                <c:pt idx="64">
                  <c:v>0.46677356062991077</c:v>
                </c:pt>
                <c:pt idx="65">
                  <c:v>0.46316907764792625</c:v>
                </c:pt>
                <c:pt idx="66">
                  <c:v>0.45964682822134151</c:v>
                </c:pt>
                <c:pt idx="67">
                  <c:v>0.45620373233896272</c:v>
                </c:pt>
                <c:pt idx="68">
                  <c:v>0.45283686911124027</c:v>
                </c:pt>
                <c:pt idx="69">
                  <c:v>0.44954346635451059</c:v>
                </c:pt>
                <c:pt idx="70">
                  <c:v>0.44632089099660122</c:v>
                </c:pt>
                <c:pt idx="71">
                  <c:v>0.44316664022833174</c:v>
                </c:pt>
                <c:pt idx="72">
                  <c:v>0.44007833333333335</c:v>
                </c:pt>
                <c:pt idx="73">
                  <c:v>0.43705370413557887</c:v>
                </c:pt>
                <c:pt idx="74">
                  <c:v>0.4340905940101768</c:v>
                </c:pt>
                <c:pt idx="75">
                  <c:v>0.43118694540844665</c:v>
                </c:pt>
                <c:pt idx="76">
                  <c:v>0.42834079585314461</c:v>
                </c:pt>
                <c:pt idx="77">
                  <c:v>0.4255502723640191</c:v>
                </c:pt>
                <c:pt idx="78">
                  <c:v>0.42281358627771842</c:v>
                </c:pt>
                <c:pt idx="79">
                  <c:v>0.42012902842949795</c:v>
                </c:pt>
                <c:pt idx="80">
                  <c:v>0.41749496466723995</c:v>
                </c:pt>
                <c:pt idx="81">
                  <c:v>0.41490983167103179</c:v>
                </c:pt>
                <c:pt idx="82">
                  <c:v>0.41237213305400766</c:v>
                </c:pt>
                <c:pt idx="83">
                  <c:v>0.4098804357223601</c:v>
                </c:pt>
                <c:pt idx="84">
                  <c:v>0.40743336647440487</c:v>
                </c:pt>
                <c:pt idx="85">
                  <c:v>0.40502960882036326</c:v>
                </c:pt>
                <c:pt idx="86">
                  <c:v>0.40266790000613273</c:v>
                </c:pt>
                <c:pt idx="87">
                  <c:v>0.40034702822575741</c:v>
                </c:pt>
                <c:pt idx="88">
                  <c:v>0.39806583000862383</c:v>
                </c:pt>
                <c:pt idx="89">
                  <c:v>0.3958231877685805</c:v>
                </c:pt>
                <c:pt idx="90">
                  <c:v>0.39361802750325803</c:v>
                </c:pt>
                <c:pt idx="91">
                  <c:v>0.39144931663282756</c:v>
                </c:pt>
                <c:pt idx="92">
                  <c:v>0.38931606196832119</c:v>
                </c:pt>
                <c:pt idx="93">
                  <c:v>0.38721730780043268</c:v>
                </c:pt>
                <c:pt idx="94">
                  <c:v>0.38515213410044563</c:v>
                </c:pt>
                <c:pt idx="95">
                  <c:v>0.38311965482559651</c:v>
                </c:pt>
                <c:pt idx="96">
                  <c:v>0.38111901632178274</c:v>
                </c:pt>
                <c:pt idx="97">
                  <c:v>0.3791493958170758</c:v>
                </c:pt>
                <c:pt idx="98">
                  <c:v>0.37721000000000005</c:v>
                </c:pt>
                <c:pt idx="99">
                  <c:v>0.37530006367699908</c:v>
                </c:pt>
                <c:pt idx="100">
                  <c:v>0.37341884850392859</c:v>
                </c:pt>
                <c:pt idx="101">
                  <c:v>0.37156564178679874</c:v>
                </c:pt>
                <c:pt idx="102">
                  <c:v>0.36973975534734393</c:v>
                </c:pt>
                <c:pt idx="103">
                  <c:v>0.36794052444931752</c:v>
                </c:pt>
                <c:pt idx="104">
                  <c:v>0.36616730678170761</c:v>
                </c:pt>
                <c:pt idx="105">
                  <c:v>0.36441948149534115</c:v>
                </c:pt>
                <c:pt idx="106">
                  <c:v>0.36269644828959491</c:v>
                </c:pt>
                <c:pt idx="107">
                  <c:v>0.36099762654616241</c:v>
                </c:pt>
                <c:pt idx="108">
                  <c:v>0.35932245450703876</c:v>
                </c:pt>
                <c:pt idx="109">
                  <c:v>0.3576703884940779</c:v>
                </c:pt>
                <c:pt idx="110">
                  <c:v>0.35604090216766332</c:v>
                </c:pt>
                <c:pt idx="111">
                  <c:v>0.35443348582219497</c:v>
                </c:pt>
                <c:pt idx="112">
                  <c:v>0.3528476457162496</c:v>
                </c:pt>
                <c:pt idx="113">
                  <c:v>0.35128290343541874</c:v>
                </c:pt>
                <c:pt idx="114">
                  <c:v>0.34973879528595364</c:v>
                </c:pt>
                <c:pt idx="115">
                  <c:v>0.34821487171747484</c:v>
                </c:pt>
                <c:pt idx="116">
                  <c:v>0.34671069677311162</c:v>
                </c:pt>
                <c:pt idx="117">
                  <c:v>0.34522584756554719</c:v>
                </c:pt>
                <c:pt idx="118">
                  <c:v>0.34375991377753601</c:v>
                </c:pt>
                <c:pt idx="119">
                  <c:v>0.34231249718555673</c:v>
                </c:pt>
                <c:pt idx="120">
                  <c:v>0.34088321120534326</c:v>
                </c:pt>
                <c:pt idx="121">
                  <c:v>0.33947168045811688</c:v>
                </c:pt>
                <c:pt idx="122">
                  <c:v>0.33807754035641385</c:v>
                </c:pt>
                <c:pt idx="123">
                  <c:v>0.33670043670847055</c:v>
                </c:pt>
                <c:pt idx="124">
                  <c:v>0.33534002534019297</c:v>
                </c:pt>
                <c:pt idx="125">
                  <c:v>0.33399597173379203</c:v>
                </c:pt>
                <c:pt idx="126">
                  <c:v>0.33266795068222471</c:v>
                </c:pt>
                <c:pt idx="127">
                  <c:v>0.33135564595863071</c:v>
                </c:pt>
                <c:pt idx="128">
                  <c:v>0.33005874999999996</c:v>
                </c:pt>
                <c:pt idx="129">
                  <c:v>0.32877696360435482</c:v>
                </c:pt>
                <c:pt idx="130">
                  <c:v>0.32750999564076722</c:v>
                </c:pt>
                <c:pt idx="131">
                  <c:v>0.32625756277157597</c:v>
                </c:pt>
                <c:pt idx="132">
                  <c:v>0.32501938918619871</c:v>
                </c:pt>
                <c:pt idx="133">
                  <c:v>0.32379520634597353</c:v>
                </c:pt>
                <c:pt idx="134">
                  <c:v>0.32258475273949316</c:v>
                </c:pt>
                <c:pt idx="135">
                  <c:v>0.3213877736479257</c:v>
                </c:pt>
                <c:pt idx="136">
                  <c:v>0.32020402091984301</c:v>
                </c:pt>
                <c:pt idx="137">
                  <c:v>0.31903325275510647</c:v>
                </c:pt>
                <c:pt idx="138">
                  <c:v>0.317875233497381</c:v>
                </c:pt>
                <c:pt idx="139">
                  <c:v>0.31672973343487448</c:v>
                </c:pt>
                <c:pt idx="140">
                  <c:v>0.31559652860891857</c:v>
                </c:pt>
                <c:pt idx="141">
                  <c:v>0.31447540063003088</c:v>
                </c:pt>
                <c:pt idx="142">
                  <c:v>0.31336613650111245</c:v>
                </c:pt>
                <c:pt idx="143">
                  <c:v>0.31226852844745862</c:v>
                </c:pt>
                <c:pt idx="144">
                  <c:v>0.3111823737532739</c:v>
                </c:pt>
                <c:pt idx="145">
                  <c:v>0.3101074746043978</c:v>
                </c:pt>
                <c:pt idx="146">
                  <c:v>0.30904363793696688</c:v>
                </c:pt>
                <c:pt idx="147">
                  <c:v>0.30799067529174751</c:v>
                </c:pt>
                <c:pt idx="148">
                  <c:v>0.30694840267389251</c:v>
                </c:pt>
                <c:pt idx="149">
                  <c:v>0.30591664041788214</c:v>
                </c:pt>
                <c:pt idx="150">
                  <c:v>0.30489521305742628</c:v>
                </c:pt>
                <c:pt idx="151">
                  <c:v>0.30388394920011319</c:v>
                </c:pt>
                <c:pt idx="152">
                  <c:v>0.30288268140660113</c:v>
                </c:pt>
                <c:pt idx="153">
                  <c:v>0.30189124607416018</c:v>
                </c:pt>
                <c:pt idx="154">
                  <c:v>0.30090948332438022</c:v>
                </c:pt>
                <c:pt idx="155">
                  <c:v>0.29993723689486945</c:v>
                </c:pt>
                <c:pt idx="156">
                  <c:v>0.29897435403477807</c:v>
                </c:pt>
                <c:pt idx="157">
                  <c:v>0.29802068540398741</c:v>
                </c:pt>
                <c:pt idx="158">
                  <c:v>0.29707608497581384</c:v>
                </c:pt>
                <c:pt idx="159">
                  <c:v>0.29614040994308399</c:v>
                </c:pt>
                <c:pt idx="160">
                  <c:v>0.29521352062744349</c:v>
                </c:pt>
                <c:pt idx="161">
                  <c:v>0.29429528039176833</c:v>
                </c:pt>
                <c:pt idx="162">
                  <c:v>0.29338555555555557</c:v>
                </c:pt>
                <c:pt idx="163">
                  <c:v>0.29248421531317204</c:v>
                </c:pt>
                <c:pt idx="164">
                  <c:v>0.29159113165485007</c:v>
                </c:pt>
                <c:pt idx="165">
                  <c:v>0.29070617929032011</c:v>
                </c:pt>
                <c:pt idx="166">
                  <c:v>0.28982923557497769</c:v>
                </c:pt>
                <c:pt idx="167">
                  <c:v>0.28896018043848515</c:v>
                </c:pt>
                <c:pt idx="168">
                  <c:v>0.28809889631571545</c:v>
                </c:pt>
                <c:pt idx="169">
                  <c:v>0.28724526807994516</c:v>
                </c:pt>
                <c:pt idx="170">
                  <c:v>0.28639918297821348</c:v>
                </c:pt>
                <c:pt idx="171">
                  <c:v>0.28556053056876296</c:v>
                </c:pt>
                <c:pt idx="172">
                  <c:v>0.28472920266048307</c:v>
                </c:pt>
                <c:pt idx="173">
                  <c:v>0.28390509325428204</c:v>
                </c:pt>
                <c:pt idx="174">
                  <c:v>0.28308809848631522</c:v>
                </c:pt>
                <c:pt idx="175">
                  <c:v>0.28227811657299973</c:v>
                </c:pt>
                <c:pt idx="176">
                  <c:v>0.28147504775774934</c:v>
                </c:pt>
                <c:pt idx="177">
                  <c:v>0.26404699999999998</c:v>
                </c:pt>
              </c:numCache>
            </c:numRef>
          </c:yVal>
          <c:smooth val="0"/>
          <c:extLst>
            <c:ext xmlns:c16="http://schemas.microsoft.com/office/drawing/2014/chart" uri="{C3380CC4-5D6E-409C-BE32-E72D297353CC}">
              <c16:uniqueId val="{00000005-FC8F-454B-A1D6-DEEE0F879C22}"/>
            </c:ext>
          </c:extLst>
        </c:ser>
        <c:ser>
          <c:idx val="3"/>
          <c:order val="6"/>
          <c:tx>
            <c:v>民86年(Z*C)</c:v>
          </c:tx>
          <c:spPr>
            <a:ln w="28575" cap="rnd" cmpd="sng" algn="ctr">
              <a:solidFill>
                <a:schemeClr val="accent4">
                  <a:shade val="95000"/>
                  <a:satMod val="105000"/>
                </a:schemeClr>
              </a:solidFill>
              <a:prstDash val="solid"/>
              <a:round/>
            </a:ln>
            <a:effectLst/>
          </c:spPr>
          <c:marker>
            <c:symbol val="none"/>
          </c:marker>
          <c:xVal>
            <c:numRef>
              <c:f>台北盆地Cs!$AV$41:$AV$218</c:f>
              <c:numCache>
                <c:formatCode>General</c:formatCode>
                <c:ptCount val="178"/>
                <c:pt idx="0">
                  <c:v>1E-3</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pt idx="51">
                  <c:v>1.02</c:v>
                </c:pt>
                <c:pt idx="52">
                  <c:v>1.04</c:v>
                </c:pt>
                <c:pt idx="53">
                  <c:v>1.06</c:v>
                </c:pt>
                <c:pt idx="54">
                  <c:v>1.08</c:v>
                </c:pt>
                <c:pt idx="55">
                  <c:v>1.1000000000000001</c:v>
                </c:pt>
                <c:pt idx="56">
                  <c:v>1.1200000000000001</c:v>
                </c:pt>
                <c:pt idx="57">
                  <c:v>1.1399999999999999</c:v>
                </c:pt>
                <c:pt idx="58">
                  <c:v>1.1599999999999999</c:v>
                </c:pt>
                <c:pt idx="59">
                  <c:v>1.18</c:v>
                </c:pt>
                <c:pt idx="60">
                  <c:v>1.2</c:v>
                </c:pt>
                <c:pt idx="61">
                  <c:v>1.22</c:v>
                </c:pt>
                <c:pt idx="62">
                  <c:v>1.24</c:v>
                </c:pt>
                <c:pt idx="63">
                  <c:v>1.26</c:v>
                </c:pt>
                <c:pt idx="64">
                  <c:v>1.28</c:v>
                </c:pt>
                <c:pt idx="65">
                  <c:v>1.3</c:v>
                </c:pt>
                <c:pt idx="66">
                  <c:v>1.32</c:v>
                </c:pt>
                <c:pt idx="67">
                  <c:v>1.34</c:v>
                </c:pt>
                <c:pt idx="68">
                  <c:v>1.36</c:v>
                </c:pt>
                <c:pt idx="69">
                  <c:v>1.38</c:v>
                </c:pt>
                <c:pt idx="70">
                  <c:v>1.4</c:v>
                </c:pt>
                <c:pt idx="71">
                  <c:v>1.42</c:v>
                </c:pt>
                <c:pt idx="72">
                  <c:v>1.44</c:v>
                </c:pt>
                <c:pt idx="73">
                  <c:v>1.46</c:v>
                </c:pt>
                <c:pt idx="74">
                  <c:v>1.48</c:v>
                </c:pt>
                <c:pt idx="75">
                  <c:v>1.5</c:v>
                </c:pt>
                <c:pt idx="76">
                  <c:v>1.52</c:v>
                </c:pt>
                <c:pt idx="77">
                  <c:v>1.54</c:v>
                </c:pt>
                <c:pt idx="78">
                  <c:v>1.56</c:v>
                </c:pt>
                <c:pt idx="79">
                  <c:v>1.58</c:v>
                </c:pt>
                <c:pt idx="80">
                  <c:v>1.6</c:v>
                </c:pt>
                <c:pt idx="81">
                  <c:v>1.62</c:v>
                </c:pt>
                <c:pt idx="82">
                  <c:v>1.64</c:v>
                </c:pt>
                <c:pt idx="83">
                  <c:v>1.66</c:v>
                </c:pt>
                <c:pt idx="84">
                  <c:v>1.68</c:v>
                </c:pt>
                <c:pt idx="85">
                  <c:v>1.7</c:v>
                </c:pt>
                <c:pt idx="86">
                  <c:v>1.72</c:v>
                </c:pt>
                <c:pt idx="87">
                  <c:v>1.74</c:v>
                </c:pt>
                <c:pt idx="88">
                  <c:v>1.76</c:v>
                </c:pt>
                <c:pt idx="89">
                  <c:v>1.78</c:v>
                </c:pt>
                <c:pt idx="90">
                  <c:v>1.8</c:v>
                </c:pt>
                <c:pt idx="91">
                  <c:v>1.82</c:v>
                </c:pt>
                <c:pt idx="92">
                  <c:v>1.84</c:v>
                </c:pt>
                <c:pt idx="93">
                  <c:v>1.86</c:v>
                </c:pt>
                <c:pt idx="94">
                  <c:v>1.88</c:v>
                </c:pt>
                <c:pt idx="95">
                  <c:v>1.9</c:v>
                </c:pt>
                <c:pt idx="96">
                  <c:v>1.92</c:v>
                </c:pt>
                <c:pt idx="97">
                  <c:v>1.94</c:v>
                </c:pt>
                <c:pt idx="98">
                  <c:v>1.96</c:v>
                </c:pt>
                <c:pt idx="99">
                  <c:v>1.98</c:v>
                </c:pt>
                <c:pt idx="100">
                  <c:v>2</c:v>
                </c:pt>
                <c:pt idx="101">
                  <c:v>2.02</c:v>
                </c:pt>
                <c:pt idx="102">
                  <c:v>2.04</c:v>
                </c:pt>
                <c:pt idx="103">
                  <c:v>2.06</c:v>
                </c:pt>
                <c:pt idx="104">
                  <c:v>2.08</c:v>
                </c:pt>
                <c:pt idx="105">
                  <c:v>2.1</c:v>
                </c:pt>
                <c:pt idx="106">
                  <c:v>2.12</c:v>
                </c:pt>
                <c:pt idx="107">
                  <c:v>2.14</c:v>
                </c:pt>
                <c:pt idx="108">
                  <c:v>2.16</c:v>
                </c:pt>
                <c:pt idx="109">
                  <c:v>2.1800000000000002</c:v>
                </c:pt>
                <c:pt idx="110">
                  <c:v>2.2000000000000002</c:v>
                </c:pt>
                <c:pt idx="111">
                  <c:v>2.2200000000000002</c:v>
                </c:pt>
                <c:pt idx="112">
                  <c:v>2.2400000000000002</c:v>
                </c:pt>
                <c:pt idx="113">
                  <c:v>2.2599999999999998</c:v>
                </c:pt>
                <c:pt idx="114">
                  <c:v>2.2799999999999998</c:v>
                </c:pt>
                <c:pt idx="115">
                  <c:v>2.2999999999999998</c:v>
                </c:pt>
                <c:pt idx="116">
                  <c:v>2.3199999999999998</c:v>
                </c:pt>
                <c:pt idx="117">
                  <c:v>2.34</c:v>
                </c:pt>
                <c:pt idx="118">
                  <c:v>2.36</c:v>
                </c:pt>
                <c:pt idx="119">
                  <c:v>2.38</c:v>
                </c:pt>
                <c:pt idx="120">
                  <c:v>2.4</c:v>
                </c:pt>
                <c:pt idx="121">
                  <c:v>2.42</c:v>
                </c:pt>
                <c:pt idx="122">
                  <c:v>2.44</c:v>
                </c:pt>
                <c:pt idx="123">
                  <c:v>2.46</c:v>
                </c:pt>
                <c:pt idx="124">
                  <c:v>2.48</c:v>
                </c:pt>
                <c:pt idx="125">
                  <c:v>2.5</c:v>
                </c:pt>
                <c:pt idx="126">
                  <c:v>2.52</c:v>
                </c:pt>
                <c:pt idx="127">
                  <c:v>2.54</c:v>
                </c:pt>
                <c:pt idx="128">
                  <c:v>2.56</c:v>
                </c:pt>
                <c:pt idx="129">
                  <c:v>2.58</c:v>
                </c:pt>
                <c:pt idx="130">
                  <c:v>2.6</c:v>
                </c:pt>
                <c:pt idx="131">
                  <c:v>2.62</c:v>
                </c:pt>
                <c:pt idx="132">
                  <c:v>2.64</c:v>
                </c:pt>
                <c:pt idx="133">
                  <c:v>2.66</c:v>
                </c:pt>
                <c:pt idx="134">
                  <c:v>2.68</c:v>
                </c:pt>
                <c:pt idx="135">
                  <c:v>2.7</c:v>
                </c:pt>
                <c:pt idx="136">
                  <c:v>2.72</c:v>
                </c:pt>
                <c:pt idx="137">
                  <c:v>2.74</c:v>
                </c:pt>
                <c:pt idx="138">
                  <c:v>2.76</c:v>
                </c:pt>
                <c:pt idx="139">
                  <c:v>2.78</c:v>
                </c:pt>
                <c:pt idx="140">
                  <c:v>2.8</c:v>
                </c:pt>
                <c:pt idx="141">
                  <c:v>2.82</c:v>
                </c:pt>
                <c:pt idx="142">
                  <c:v>2.84</c:v>
                </c:pt>
                <c:pt idx="143">
                  <c:v>2.86</c:v>
                </c:pt>
                <c:pt idx="144">
                  <c:v>2.88</c:v>
                </c:pt>
                <c:pt idx="145">
                  <c:v>2.9</c:v>
                </c:pt>
                <c:pt idx="146">
                  <c:v>2.92</c:v>
                </c:pt>
                <c:pt idx="147">
                  <c:v>2.94</c:v>
                </c:pt>
                <c:pt idx="148">
                  <c:v>2.96</c:v>
                </c:pt>
                <c:pt idx="149">
                  <c:v>2.98</c:v>
                </c:pt>
                <c:pt idx="150">
                  <c:v>3</c:v>
                </c:pt>
                <c:pt idx="151">
                  <c:v>3.02</c:v>
                </c:pt>
                <c:pt idx="152">
                  <c:v>3.04</c:v>
                </c:pt>
                <c:pt idx="153">
                  <c:v>3.06</c:v>
                </c:pt>
                <c:pt idx="154">
                  <c:v>3.08</c:v>
                </c:pt>
                <c:pt idx="155">
                  <c:v>3.1</c:v>
                </c:pt>
                <c:pt idx="156">
                  <c:v>3.12</c:v>
                </c:pt>
                <c:pt idx="157">
                  <c:v>3.14</c:v>
                </c:pt>
                <c:pt idx="158">
                  <c:v>3.16</c:v>
                </c:pt>
                <c:pt idx="159">
                  <c:v>3.18</c:v>
                </c:pt>
                <c:pt idx="160">
                  <c:v>3.2</c:v>
                </c:pt>
                <c:pt idx="161">
                  <c:v>3.22</c:v>
                </c:pt>
                <c:pt idx="162">
                  <c:v>3.24</c:v>
                </c:pt>
                <c:pt idx="163">
                  <c:v>3.26</c:v>
                </c:pt>
                <c:pt idx="164">
                  <c:v>3.28</c:v>
                </c:pt>
                <c:pt idx="165">
                  <c:v>3.3</c:v>
                </c:pt>
                <c:pt idx="166">
                  <c:v>3.32</c:v>
                </c:pt>
                <c:pt idx="167">
                  <c:v>3.34</c:v>
                </c:pt>
                <c:pt idx="168">
                  <c:v>3.36</c:v>
                </c:pt>
                <c:pt idx="169">
                  <c:v>3.38</c:v>
                </c:pt>
                <c:pt idx="170">
                  <c:v>3.4</c:v>
                </c:pt>
                <c:pt idx="171">
                  <c:v>3.42</c:v>
                </c:pt>
                <c:pt idx="172">
                  <c:v>3.44</c:v>
                </c:pt>
                <c:pt idx="173">
                  <c:v>3.46</c:v>
                </c:pt>
                <c:pt idx="174">
                  <c:v>3.48</c:v>
                </c:pt>
                <c:pt idx="175">
                  <c:v>3.5</c:v>
                </c:pt>
                <c:pt idx="176">
                  <c:v>3.52</c:v>
                </c:pt>
                <c:pt idx="177">
                  <c:v>4</c:v>
                </c:pt>
              </c:numCache>
            </c:numRef>
          </c:xVal>
          <c:yVal>
            <c:numRef>
              <c:f>台北盆地Cs!$AX$41:$AX$218</c:f>
              <c:numCache>
                <c:formatCode>General</c:formatCode>
                <c:ptCount val="178"/>
                <c:pt idx="0">
                  <c:v>0.23</c:v>
                </c:pt>
                <c:pt idx="1">
                  <c:v>0.23</c:v>
                </c:pt>
                <c:pt idx="2">
                  <c:v>0.2436344</c:v>
                </c:pt>
                <c:pt idx="3">
                  <c:v>0.27069159999999998</c:v>
                </c:pt>
                <c:pt idx="4">
                  <c:v>0.29774879999999998</c:v>
                </c:pt>
                <c:pt idx="5">
                  <c:v>0.32480599999999998</c:v>
                </c:pt>
                <c:pt idx="6">
                  <c:v>0.35186319999999999</c:v>
                </c:pt>
                <c:pt idx="7">
                  <c:v>0.37892039999999999</c:v>
                </c:pt>
                <c:pt idx="8">
                  <c:v>0.40597760000000005</c:v>
                </c:pt>
                <c:pt idx="9">
                  <c:v>0.43303479999999994</c:v>
                </c:pt>
                <c:pt idx="10">
                  <c:v>0.46</c:v>
                </c:pt>
                <c:pt idx="11">
                  <c:v>0.46</c:v>
                </c:pt>
                <c:pt idx="12">
                  <c:v>0.46</c:v>
                </c:pt>
                <c:pt idx="13">
                  <c:v>0.46</c:v>
                </c:pt>
                <c:pt idx="14">
                  <c:v>0.46</c:v>
                </c:pt>
                <c:pt idx="15">
                  <c:v>0.46</c:v>
                </c:pt>
                <c:pt idx="16">
                  <c:v>0.46</c:v>
                </c:pt>
                <c:pt idx="17">
                  <c:v>0.46</c:v>
                </c:pt>
                <c:pt idx="18">
                  <c:v>0.46</c:v>
                </c:pt>
                <c:pt idx="19">
                  <c:v>0.46</c:v>
                </c:pt>
                <c:pt idx="20">
                  <c:v>0.46</c:v>
                </c:pt>
                <c:pt idx="21">
                  <c:v>0.46</c:v>
                </c:pt>
                <c:pt idx="22">
                  <c:v>0.46</c:v>
                </c:pt>
                <c:pt idx="23">
                  <c:v>0.46</c:v>
                </c:pt>
                <c:pt idx="24">
                  <c:v>0.46</c:v>
                </c:pt>
                <c:pt idx="25">
                  <c:v>0.46</c:v>
                </c:pt>
                <c:pt idx="26">
                  <c:v>0.46</c:v>
                </c:pt>
                <c:pt idx="27">
                  <c:v>0.46</c:v>
                </c:pt>
                <c:pt idx="28">
                  <c:v>0.46</c:v>
                </c:pt>
                <c:pt idx="29">
                  <c:v>0.46</c:v>
                </c:pt>
                <c:pt idx="30">
                  <c:v>0.46</c:v>
                </c:pt>
                <c:pt idx="31">
                  <c:v>0.46</c:v>
                </c:pt>
                <c:pt idx="32">
                  <c:v>0.46</c:v>
                </c:pt>
                <c:pt idx="33">
                  <c:v>0.46</c:v>
                </c:pt>
                <c:pt idx="34">
                  <c:v>0.46</c:v>
                </c:pt>
                <c:pt idx="35">
                  <c:v>0.46</c:v>
                </c:pt>
                <c:pt idx="36">
                  <c:v>0.46</c:v>
                </c:pt>
                <c:pt idx="37">
                  <c:v>0.46</c:v>
                </c:pt>
                <c:pt idx="38">
                  <c:v>0.46</c:v>
                </c:pt>
                <c:pt idx="39">
                  <c:v>0.46</c:v>
                </c:pt>
                <c:pt idx="40">
                  <c:v>0.46</c:v>
                </c:pt>
                <c:pt idx="41">
                  <c:v>0.46</c:v>
                </c:pt>
                <c:pt idx="42">
                  <c:v>0.46</c:v>
                </c:pt>
                <c:pt idx="43">
                  <c:v>0.46</c:v>
                </c:pt>
                <c:pt idx="44">
                  <c:v>0.46</c:v>
                </c:pt>
                <c:pt idx="45">
                  <c:v>0.46</c:v>
                </c:pt>
                <c:pt idx="46">
                  <c:v>0.46</c:v>
                </c:pt>
                <c:pt idx="47">
                  <c:v>0.46</c:v>
                </c:pt>
                <c:pt idx="48">
                  <c:v>0.46</c:v>
                </c:pt>
                <c:pt idx="49">
                  <c:v>0.46</c:v>
                </c:pt>
                <c:pt idx="50">
                  <c:v>0.46</c:v>
                </c:pt>
                <c:pt idx="51">
                  <c:v>0.46</c:v>
                </c:pt>
                <c:pt idx="52">
                  <c:v>0.46</c:v>
                </c:pt>
                <c:pt idx="53">
                  <c:v>0.46</c:v>
                </c:pt>
                <c:pt idx="54">
                  <c:v>0.46</c:v>
                </c:pt>
                <c:pt idx="55">
                  <c:v>0.46</c:v>
                </c:pt>
                <c:pt idx="56">
                  <c:v>0.46</c:v>
                </c:pt>
                <c:pt idx="57">
                  <c:v>0.46</c:v>
                </c:pt>
                <c:pt idx="58">
                  <c:v>0.46</c:v>
                </c:pt>
                <c:pt idx="59">
                  <c:v>0.46</c:v>
                </c:pt>
                <c:pt idx="60">
                  <c:v>0.46</c:v>
                </c:pt>
                <c:pt idx="61">
                  <c:v>0.46</c:v>
                </c:pt>
                <c:pt idx="62">
                  <c:v>0.46</c:v>
                </c:pt>
                <c:pt idx="63">
                  <c:v>0.46</c:v>
                </c:pt>
                <c:pt idx="64">
                  <c:v>0.46</c:v>
                </c:pt>
                <c:pt idx="65">
                  <c:v>0.46</c:v>
                </c:pt>
                <c:pt idx="66">
                  <c:v>0.46</c:v>
                </c:pt>
                <c:pt idx="67">
                  <c:v>0.46</c:v>
                </c:pt>
                <c:pt idx="68">
                  <c:v>0.46</c:v>
                </c:pt>
                <c:pt idx="69">
                  <c:v>0.46</c:v>
                </c:pt>
                <c:pt idx="70">
                  <c:v>0.46</c:v>
                </c:pt>
                <c:pt idx="71">
                  <c:v>0.46</c:v>
                </c:pt>
                <c:pt idx="72">
                  <c:v>0.46</c:v>
                </c:pt>
                <c:pt idx="73">
                  <c:v>0.46</c:v>
                </c:pt>
                <c:pt idx="74">
                  <c:v>0.46</c:v>
                </c:pt>
                <c:pt idx="75">
                  <c:v>0.46</c:v>
                </c:pt>
                <c:pt idx="76">
                  <c:v>0.46</c:v>
                </c:pt>
                <c:pt idx="77">
                  <c:v>0.46</c:v>
                </c:pt>
                <c:pt idx="78">
                  <c:v>0.46</c:v>
                </c:pt>
                <c:pt idx="79">
                  <c:v>0.46</c:v>
                </c:pt>
                <c:pt idx="80">
                  <c:v>0.46</c:v>
                </c:pt>
                <c:pt idx="81">
                  <c:v>0.46</c:v>
                </c:pt>
                <c:pt idx="82">
                  <c:v>0.46</c:v>
                </c:pt>
                <c:pt idx="83">
                  <c:v>0.45722891566265061</c:v>
                </c:pt>
                <c:pt idx="84">
                  <c:v>0.45178571428571429</c:v>
                </c:pt>
                <c:pt idx="85">
                  <c:v>0.44647058823529412</c:v>
                </c:pt>
                <c:pt idx="86">
                  <c:v>0.44127906976744186</c:v>
                </c:pt>
                <c:pt idx="87">
                  <c:v>0.43620689655172418</c:v>
                </c:pt>
                <c:pt idx="88">
                  <c:v>0.43125000000000002</c:v>
                </c:pt>
                <c:pt idx="89">
                  <c:v>0.42640449438202244</c:v>
                </c:pt>
                <c:pt idx="90">
                  <c:v>0.42166666666666669</c:v>
                </c:pt>
                <c:pt idx="91">
                  <c:v>0.41703296703296699</c:v>
                </c:pt>
                <c:pt idx="92">
                  <c:v>0.41249999999999998</c:v>
                </c:pt>
                <c:pt idx="93">
                  <c:v>0.40806451612903222</c:v>
                </c:pt>
                <c:pt idx="94">
                  <c:v>0.40372340425531916</c:v>
                </c:pt>
                <c:pt idx="95">
                  <c:v>0.39947368421052637</c:v>
                </c:pt>
                <c:pt idx="96">
                  <c:v>0.39531250000000001</c:v>
                </c:pt>
                <c:pt idx="97">
                  <c:v>0.39123711340206185</c:v>
                </c:pt>
                <c:pt idx="98">
                  <c:v>0.38724489795918371</c:v>
                </c:pt>
                <c:pt idx="99">
                  <c:v>0.3833333333333333</c:v>
                </c:pt>
                <c:pt idx="100">
                  <c:v>0.3795</c:v>
                </c:pt>
                <c:pt idx="101">
                  <c:v>0.37574257425742574</c:v>
                </c:pt>
                <c:pt idx="102">
                  <c:v>0.37205882352941172</c:v>
                </c:pt>
                <c:pt idx="103">
                  <c:v>0.36844660194174755</c:v>
                </c:pt>
                <c:pt idx="104">
                  <c:v>0.36490384615384613</c:v>
                </c:pt>
                <c:pt idx="105">
                  <c:v>0.36142857142857138</c:v>
                </c:pt>
                <c:pt idx="106">
                  <c:v>0.35801886792452825</c:v>
                </c:pt>
                <c:pt idx="107">
                  <c:v>0.35467289719626166</c:v>
                </c:pt>
                <c:pt idx="108">
                  <c:v>0.35138888888888886</c:v>
                </c:pt>
                <c:pt idx="109">
                  <c:v>0.34816513761467888</c:v>
                </c:pt>
                <c:pt idx="110">
                  <c:v>0.34499999999999997</c:v>
                </c:pt>
                <c:pt idx="111">
                  <c:v>0.34189189189189184</c:v>
                </c:pt>
                <c:pt idx="112">
                  <c:v>0.33883928571428568</c:v>
                </c:pt>
                <c:pt idx="113">
                  <c:v>0.3358407079646018</c:v>
                </c:pt>
                <c:pt idx="114">
                  <c:v>0.3328947368421053</c:v>
                </c:pt>
                <c:pt idx="115">
                  <c:v>0.33</c:v>
                </c:pt>
                <c:pt idx="116">
                  <c:v>0.32715517241379316</c:v>
                </c:pt>
                <c:pt idx="117">
                  <c:v>0.32435897435897437</c:v>
                </c:pt>
                <c:pt idx="118">
                  <c:v>0.32161016949152543</c:v>
                </c:pt>
                <c:pt idx="119">
                  <c:v>0.31890756302521006</c:v>
                </c:pt>
                <c:pt idx="120">
                  <c:v>0.31625000000000003</c:v>
                </c:pt>
                <c:pt idx="121">
                  <c:v>0.3136363636363636</c:v>
                </c:pt>
                <c:pt idx="122">
                  <c:v>0.31106557377049182</c:v>
                </c:pt>
                <c:pt idx="123">
                  <c:v>0.30853658536585366</c:v>
                </c:pt>
                <c:pt idx="124">
                  <c:v>0.30604838709677418</c:v>
                </c:pt>
                <c:pt idx="125">
                  <c:v>0.30359999999999998</c:v>
                </c:pt>
                <c:pt idx="126">
                  <c:v>0.30119047619047623</c:v>
                </c:pt>
                <c:pt idx="127">
                  <c:v>0.29881889763779529</c:v>
                </c:pt>
                <c:pt idx="128">
                  <c:v>0.29648437500000002</c:v>
                </c:pt>
                <c:pt idx="129">
                  <c:v>0.29418604651162789</c:v>
                </c:pt>
                <c:pt idx="130">
                  <c:v>0.2919230769230769</c:v>
                </c:pt>
                <c:pt idx="131">
                  <c:v>0.28969465648854964</c:v>
                </c:pt>
                <c:pt idx="132">
                  <c:v>0.28749999999999998</c:v>
                </c:pt>
                <c:pt idx="133">
                  <c:v>0.28533834586466161</c:v>
                </c:pt>
                <c:pt idx="134">
                  <c:v>0.28320895522388057</c:v>
                </c:pt>
                <c:pt idx="135">
                  <c:v>0.28111111111111109</c:v>
                </c:pt>
                <c:pt idx="136">
                  <c:v>0.27904411764705883</c:v>
                </c:pt>
                <c:pt idx="137">
                  <c:v>0.27700729927007295</c:v>
                </c:pt>
                <c:pt idx="138">
                  <c:v>0.27500000000000002</c:v>
                </c:pt>
                <c:pt idx="139">
                  <c:v>0.27302158273381294</c:v>
                </c:pt>
                <c:pt idx="140">
                  <c:v>0.27107142857142857</c:v>
                </c:pt>
                <c:pt idx="141">
                  <c:v>0.26914893617021279</c:v>
                </c:pt>
                <c:pt idx="142">
                  <c:v>0.2672535211267606</c:v>
                </c:pt>
                <c:pt idx="143">
                  <c:v>0.26538461538461539</c:v>
                </c:pt>
                <c:pt idx="144">
                  <c:v>0.26354166666666667</c:v>
                </c:pt>
                <c:pt idx="145">
                  <c:v>0.2617241379310345</c:v>
                </c:pt>
                <c:pt idx="146">
                  <c:v>0.2599315068493151</c:v>
                </c:pt>
                <c:pt idx="147">
                  <c:v>0.25816326530612244</c:v>
                </c:pt>
                <c:pt idx="148">
                  <c:v>0.25641891891891894</c:v>
                </c:pt>
                <c:pt idx="149">
                  <c:v>0.25469798657718118</c:v>
                </c:pt>
                <c:pt idx="150">
                  <c:v>0.253</c:v>
                </c:pt>
                <c:pt idx="151">
                  <c:v>0.25132450331125827</c:v>
                </c:pt>
                <c:pt idx="152">
                  <c:v>0.24967105263157896</c:v>
                </c:pt>
                <c:pt idx="153">
                  <c:v>0.24803921568627452</c:v>
                </c:pt>
                <c:pt idx="154">
                  <c:v>0.24642857142857144</c:v>
                </c:pt>
                <c:pt idx="155">
                  <c:v>0.24483870967741936</c:v>
                </c:pt>
                <c:pt idx="156">
                  <c:v>0.24326923076923079</c:v>
                </c:pt>
                <c:pt idx="157">
                  <c:v>0.24171974522292994</c:v>
                </c:pt>
                <c:pt idx="158">
                  <c:v>0.24018987341772149</c:v>
                </c:pt>
                <c:pt idx="159">
                  <c:v>0.23867924528301887</c:v>
                </c:pt>
                <c:pt idx="160">
                  <c:v>0.23718749999999997</c:v>
                </c:pt>
                <c:pt idx="161">
                  <c:v>0.23571428571428568</c:v>
                </c:pt>
                <c:pt idx="162">
                  <c:v>0.23425925925925925</c:v>
                </c:pt>
                <c:pt idx="163">
                  <c:v>0.23282208588957054</c:v>
                </c:pt>
                <c:pt idx="164">
                  <c:v>0.23140243902439026</c:v>
                </c:pt>
                <c:pt idx="165">
                  <c:v>0.23</c:v>
                </c:pt>
                <c:pt idx="166">
                  <c:v>0.23</c:v>
                </c:pt>
                <c:pt idx="167">
                  <c:v>0.23</c:v>
                </c:pt>
                <c:pt idx="168">
                  <c:v>0.23</c:v>
                </c:pt>
                <c:pt idx="169">
                  <c:v>0.23</c:v>
                </c:pt>
                <c:pt idx="170">
                  <c:v>0.23</c:v>
                </c:pt>
                <c:pt idx="171">
                  <c:v>0.23</c:v>
                </c:pt>
                <c:pt idx="172">
                  <c:v>0.23</c:v>
                </c:pt>
                <c:pt idx="173">
                  <c:v>0.23</c:v>
                </c:pt>
                <c:pt idx="174">
                  <c:v>0.23</c:v>
                </c:pt>
                <c:pt idx="175">
                  <c:v>0.23</c:v>
                </c:pt>
                <c:pt idx="176">
                  <c:v>0.23</c:v>
                </c:pt>
                <c:pt idx="177">
                  <c:v>0.23</c:v>
                </c:pt>
              </c:numCache>
            </c:numRef>
          </c:yVal>
          <c:smooth val="0"/>
          <c:extLst>
            <c:ext xmlns:c16="http://schemas.microsoft.com/office/drawing/2014/chart" uri="{C3380CC4-5D6E-409C-BE32-E72D297353CC}">
              <c16:uniqueId val="{00000006-FC8F-454B-A1D6-DEEE0F879C22}"/>
            </c:ext>
          </c:extLst>
        </c:ser>
        <c:dLbls>
          <c:showLegendKey val="0"/>
          <c:showVal val="0"/>
          <c:showCatName val="0"/>
          <c:showSerName val="0"/>
          <c:showPercent val="0"/>
          <c:showBubbleSize val="0"/>
        </c:dLbls>
        <c:axId val="200066752"/>
        <c:axId val="200067328"/>
      </c:scatterChart>
      <c:valAx>
        <c:axId val="200066752"/>
        <c:scaling>
          <c:orientation val="minMax"/>
          <c:max val="4"/>
        </c:scaling>
        <c:delete val="0"/>
        <c:axPos val="b"/>
        <c:majorGridlines>
          <c:spPr>
            <a:ln w="9525" cap="flat" cmpd="sng" algn="ctr">
              <a:solidFill>
                <a:sysClr val="windowText" lastClr="000000"/>
              </a:solidFill>
              <a:prstDash val="solid"/>
              <a:round/>
            </a:ln>
            <a:effectLst/>
          </c:spPr>
        </c:majorGridlines>
        <c:minorGridlines>
          <c:spPr>
            <a:ln w="9525" cap="flat" cmpd="sng" algn="ctr">
              <a:solidFill>
                <a:schemeClr val="tx1">
                  <a:tint val="50000"/>
                  <a:shade val="95000"/>
                  <a:satMod val="105000"/>
                </a:schemeClr>
              </a:solidFill>
              <a:prstDash val="solid"/>
              <a:round/>
            </a:ln>
            <a:effectLst/>
          </c:spPr>
        </c:minorGridlines>
        <c:title>
          <c:tx>
            <c:rich>
              <a:bodyPr rot="0" spcFirstLastPara="1" vertOverflow="ellipsis" vert="horz" wrap="square" anchor="ctr" anchorCtr="1"/>
              <a:lstStyle/>
              <a:p>
                <a:pPr>
                  <a:defRPr sz="1000" b="1" i="0" u="none" strike="noStrike" kern="1200" baseline="0">
                    <a:solidFill>
                      <a:schemeClr val="tx1"/>
                    </a:solidFill>
                    <a:latin typeface="+mn-lt"/>
                    <a:ea typeface="+mn-ea"/>
                    <a:cs typeface="+mn-cs"/>
                  </a:defRPr>
                </a:pPr>
                <a:r>
                  <a:rPr lang="en-US" altLang="zh-TW"/>
                  <a:t>Period T (sec)</a:t>
                </a:r>
                <a:endParaRPr lang="zh-TW" altLang="en-US"/>
              </a:p>
            </c:rich>
          </c:tx>
          <c:layout>
            <c:manualLayout>
              <c:xMode val="edge"/>
              <c:yMode val="edge"/>
              <c:x val="0.45517126505150457"/>
              <c:y val="0.93437207780929654"/>
            </c:manualLayout>
          </c:layout>
          <c:overlay val="0"/>
          <c:spPr>
            <a:noFill/>
            <a:ln>
              <a:noFill/>
            </a:ln>
            <a:effectLst/>
          </c:spPr>
          <c:txPr>
            <a:bodyPr rot="0" spcFirstLastPara="1" vertOverflow="ellipsis" vert="horz" wrap="square" anchor="ctr" anchorCtr="1"/>
            <a:lstStyle/>
            <a:p>
              <a:pPr>
                <a:defRPr sz="1000" b="1" i="0" u="none" strike="noStrike" kern="1200" baseline="0">
                  <a:solidFill>
                    <a:schemeClr val="tx1"/>
                  </a:solidFill>
                  <a:latin typeface="+mn-lt"/>
                  <a:ea typeface="+mn-ea"/>
                  <a:cs typeface="+mn-cs"/>
                </a:defRPr>
              </a:pPr>
              <a:endParaRPr lang="zh-TW" altLang="en-US"/>
            </a:p>
          </c:txPr>
        </c:title>
        <c:numFmt formatCode="General" sourceLinked="1"/>
        <c:majorTickMark val="none"/>
        <c:minorTickMark val="none"/>
        <c:tickLblPos val="nextTo"/>
        <c:spPr>
          <a:noFill/>
          <a:ln w="15875" cap="flat" cmpd="sng" algn="ctr">
            <a:solidFill>
              <a:sysClr val="windowText" lastClr="000000"/>
            </a:solidFill>
            <a:prstDash val="solid"/>
            <a:round/>
          </a:ln>
          <a:effectLst/>
        </c:spPr>
        <c:txPr>
          <a:bodyPr rot="0" spcFirstLastPara="1" vertOverflow="ellipsis" wrap="square" anchor="ctr" anchorCtr="1"/>
          <a:lstStyle/>
          <a:p>
            <a:pPr>
              <a:defRPr sz="1000" b="0" i="0" u="none" strike="noStrike" kern="1200" baseline="0">
                <a:solidFill>
                  <a:srgbClr val="000000"/>
                </a:solidFill>
                <a:latin typeface="新細明體"/>
                <a:ea typeface="新細明體"/>
                <a:cs typeface="新細明體"/>
              </a:defRPr>
            </a:pPr>
            <a:endParaRPr lang="zh-TW"/>
          </a:p>
        </c:txPr>
        <c:crossAx val="200067328"/>
        <c:crosses val="autoZero"/>
        <c:crossBetween val="midCat"/>
        <c:majorUnit val="0.5"/>
        <c:minorUnit val="0.1"/>
      </c:valAx>
      <c:valAx>
        <c:axId val="200067328"/>
        <c:scaling>
          <c:orientation val="minMax"/>
        </c:scaling>
        <c:delete val="0"/>
        <c:axPos val="l"/>
        <c:majorGridlines>
          <c:spPr>
            <a:ln w="9525" cap="flat" cmpd="sng" algn="ctr">
              <a:solidFill>
                <a:sysClr val="windowText" lastClr="000000"/>
              </a:solidFill>
              <a:prstDash val="solid"/>
              <a:round/>
            </a:ln>
            <a:effectLst/>
          </c:spPr>
        </c:majorGridlines>
        <c:minorGridlines>
          <c:spPr>
            <a:ln w="9525" cap="flat" cmpd="sng" algn="ctr">
              <a:solidFill>
                <a:schemeClr val="tx1">
                  <a:tint val="50000"/>
                  <a:shade val="95000"/>
                  <a:satMod val="105000"/>
                </a:schemeClr>
              </a:solidFill>
              <a:prstDash val="solid"/>
              <a:round/>
            </a:ln>
            <a:effectLst/>
          </c:spPr>
        </c:minorGridlines>
        <c:title>
          <c:tx>
            <c:rich>
              <a:bodyPr rot="-5400000" spcFirstLastPara="1" vertOverflow="ellipsis" vert="horz" wrap="square" anchor="ctr" anchorCtr="1"/>
              <a:lstStyle/>
              <a:p>
                <a:pPr>
                  <a:defRPr sz="1400" b="1" i="0" u="none" strike="noStrike" kern="1200" baseline="0">
                    <a:solidFill>
                      <a:schemeClr val="tx1"/>
                    </a:solidFill>
                    <a:latin typeface="+mn-lt"/>
                    <a:ea typeface="+mn-ea"/>
                    <a:cs typeface="+mn-cs"/>
                  </a:defRPr>
                </a:pPr>
                <a:r>
                  <a:rPr lang="en-US" altLang="zh-TW" sz="1400"/>
                  <a:t>Sa(g)</a:t>
                </a:r>
                <a:r>
                  <a:rPr lang="en-US" altLang="zh-TW" sz="1400" baseline="0"/>
                  <a:t> </a:t>
                </a:r>
                <a:endParaRPr lang="en-US" altLang="zh-TW" sz="1400"/>
              </a:p>
            </c:rich>
          </c:tx>
          <c:overlay val="0"/>
          <c:spPr>
            <a:noFill/>
            <a:ln>
              <a:noFill/>
            </a:ln>
            <a:effectLst/>
          </c:spPr>
          <c:txPr>
            <a:bodyPr rot="-5400000" spcFirstLastPara="1" vertOverflow="ellipsis" vert="horz" wrap="square" anchor="ctr" anchorCtr="1"/>
            <a:lstStyle/>
            <a:p>
              <a:pPr>
                <a:defRPr sz="1400" b="1" i="0" u="none" strike="noStrike" kern="1200" baseline="0">
                  <a:solidFill>
                    <a:schemeClr val="tx1"/>
                  </a:solidFill>
                  <a:latin typeface="+mn-lt"/>
                  <a:ea typeface="+mn-ea"/>
                  <a:cs typeface="+mn-cs"/>
                </a:defRPr>
              </a:pPr>
              <a:endParaRPr lang="en-US" altLang="zh-TW"/>
            </a:p>
          </c:txPr>
        </c:title>
        <c:numFmt formatCode="0.00_);\(0.00\)" sourceLinked="0"/>
        <c:majorTickMark val="none"/>
        <c:minorTickMark val="none"/>
        <c:tickLblPos val="nextTo"/>
        <c:spPr>
          <a:noFill/>
          <a:ln w="15875" cap="flat" cmpd="sng" algn="ctr">
            <a:solidFill>
              <a:sysClr val="windowText" lastClr="000000"/>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zh-TW"/>
          </a:p>
        </c:txPr>
        <c:crossAx val="200066752"/>
        <c:crosses val="autoZero"/>
        <c:crossBetween val="midCat"/>
      </c:valAx>
      <c:spPr>
        <a:solidFill>
          <a:schemeClr val="bg1"/>
        </a:solidFill>
        <a:ln w="15875">
          <a:solidFill>
            <a:schemeClr val="tx1"/>
          </a:solidFill>
        </a:ln>
        <a:effectLst/>
      </c:spPr>
    </c:plotArea>
    <c:legend>
      <c:legendPos val="r"/>
      <c:layout>
        <c:manualLayout>
          <c:xMode val="edge"/>
          <c:yMode val="edge"/>
          <c:x val="0.67461041413137224"/>
          <c:y val="0.12545346733760329"/>
          <c:w val="0.20134929793843473"/>
          <c:h val="0.3363605491923623"/>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zh-TW"/>
        </a:p>
      </c:txPr>
    </c:legend>
    <c:plotVisOnly val="1"/>
    <c:dispBlanksAs val="gap"/>
    <c:showDLblsOverMax val="0"/>
  </c:chart>
  <c:spPr>
    <a:solidFill>
      <a:schemeClr val="bg1"/>
    </a:solidFill>
    <a:ln w="9525" cap="flat" cmpd="sng" algn="ctr">
      <a:solidFill>
        <a:schemeClr val="tx1">
          <a:tint val="75000"/>
          <a:shade val="95000"/>
          <a:satMod val="105000"/>
        </a:schemeClr>
      </a:solidFill>
      <a:prstDash val="solid"/>
      <a:round/>
    </a:ln>
    <a:effectLst/>
  </c:spPr>
  <c:txPr>
    <a:bodyPr/>
    <a:lstStyle/>
    <a:p>
      <a:pPr>
        <a:defRPr/>
      </a:pPr>
      <a:endParaRPr lang="zh-TW"/>
    </a:p>
  </c:txPr>
  <c:printSettings>
    <c:headerFooter/>
    <c:pageMargins b="0.75000000000000544" l="0.70000000000000062" r="0.70000000000000062" t="0.75000000000000544"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strRef>
              <c:f>一般工址Kz!$D$42</c:f>
              <c:strCache>
                <c:ptCount val="1"/>
                <c:pt idx="0">
                  <c:v>SaD</c:v>
                </c:pt>
              </c:strCache>
            </c:strRef>
          </c:tx>
          <c:marker>
            <c:symbol val="none"/>
          </c:marker>
          <c:xVal>
            <c:numRef>
              <c:f>一般工址Kz!$B$43:$B$96</c:f>
              <c:numCache>
                <c:formatCode>0.0000_ </c:formatCode>
                <c:ptCount val="54"/>
                <c:pt idx="0">
                  <c:v>1E-3</c:v>
                </c:pt>
                <c:pt idx="1">
                  <c:v>8.9300000000000004E-2</c:v>
                </c:pt>
                <c:pt idx="2">
                  <c:v>0.1125</c:v>
                </c:pt>
                <c:pt idx="3">
                  <c:v>0.11260000000000001</c:v>
                </c:pt>
                <c:pt idx="4">
                  <c:v>0.1193</c:v>
                </c:pt>
                <c:pt idx="5">
                  <c:v>0.16600000000000001</c:v>
                </c:pt>
                <c:pt idx="6">
                  <c:v>0.2</c:v>
                </c:pt>
                <c:pt idx="7">
                  <c:v>0.33749999999999997</c:v>
                </c:pt>
                <c:pt idx="8">
                  <c:v>0.33789999999999998</c:v>
                </c:pt>
                <c:pt idx="9">
                  <c:v>0.36099999999999999</c:v>
                </c:pt>
                <c:pt idx="10">
                  <c:v>0.35780000000000001</c:v>
                </c:pt>
                <c:pt idx="11">
                  <c:v>0.4</c:v>
                </c:pt>
                <c:pt idx="12">
                  <c:v>0.46700000000000003</c:v>
                </c:pt>
                <c:pt idx="13">
                  <c:v>0.499</c:v>
                </c:pt>
                <c:pt idx="14">
                  <c:v>0.5625</c:v>
                </c:pt>
                <c:pt idx="15">
                  <c:v>0.56320000000000003</c:v>
                </c:pt>
                <c:pt idx="16">
                  <c:v>0.59630000000000005</c:v>
                </c:pt>
                <c:pt idx="17">
                  <c:v>0.7</c:v>
                </c:pt>
                <c:pt idx="18">
                  <c:v>0.77800000000000002</c:v>
                </c:pt>
                <c:pt idx="19">
                  <c:v>0.8</c:v>
                </c:pt>
                <c:pt idx="20">
                  <c:v>0.83099999999999996</c:v>
                </c:pt>
                <c:pt idx="21">
                  <c:v>0.9</c:v>
                </c:pt>
                <c:pt idx="22">
                  <c:v>0.95</c:v>
                </c:pt>
                <c:pt idx="23">
                  <c:v>1</c:v>
                </c:pt>
                <c:pt idx="24">
                  <c:v>1.0371999999999999</c:v>
                </c:pt>
                <c:pt idx="25">
                  <c:v>1.1000000000000001</c:v>
                </c:pt>
                <c:pt idx="26">
                  <c:v>1.1499999999999999</c:v>
                </c:pt>
                <c:pt idx="27">
                  <c:v>1.2101</c:v>
                </c:pt>
                <c:pt idx="28">
                  <c:v>1.25</c:v>
                </c:pt>
                <c:pt idx="29">
                  <c:v>1.3</c:v>
                </c:pt>
                <c:pt idx="30">
                  <c:v>1.35</c:v>
                </c:pt>
                <c:pt idx="31">
                  <c:v>1.3847</c:v>
                </c:pt>
                <c:pt idx="32">
                  <c:v>1.45</c:v>
                </c:pt>
                <c:pt idx="33">
                  <c:v>1.5</c:v>
                </c:pt>
                <c:pt idx="34">
                  <c:v>1.55</c:v>
                </c:pt>
                <c:pt idx="35">
                  <c:v>1.6</c:v>
                </c:pt>
                <c:pt idx="36">
                  <c:v>1.65</c:v>
                </c:pt>
                <c:pt idx="37">
                  <c:v>1.7</c:v>
                </c:pt>
                <c:pt idx="38">
                  <c:v>1.75</c:v>
                </c:pt>
                <c:pt idx="39">
                  <c:v>1.8</c:v>
                </c:pt>
                <c:pt idx="40">
                  <c:v>1.85</c:v>
                </c:pt>
                <c:pt idx="41">
                  <c:v>1.9</c:v>
                </c:pt>
                <c:pt idx="42">
                  <c:v>1.9450000000000001</c:v>
                </c:pt>
                <c:pt idx="43">
                  <c:v>2</c:v>
                </c:pt>
                <c:pt idx="44">
                  <c:v>2.0779999999999998</c:v>
                </c:pt>
                <c:pt idx="45">
                  <c:v>2.1</c:v>
                </c:pt>
                <c:pt idx="46">
                  <c:v>2.15</c:v>
                </c:pt>
                <c:pt idx="47">
                  <c:v>2.2000000000000002</c:v>
                </c:pt>
                <c:pt idx="48">
                  <c:v>2.25</c:v>
                </c:pt>
                <c:pt idx="49">
                  <c:v>2.2999999999999998</c:v>
                </c:pt>
                <c:pt idx="50">
                  <c:v>2.35</c:v>
                </c:pt>
                <c:pt idx="51">
                  <c:v>2.4</c:v>
                </c:pt>
                <c:pt idx="52">
                  <c:v>2.4500000000000002</c:v>
                </c:pt>
                <c:pt idx="53">
                  <c:v>2.5</c:v>
                </c:pt>
              </c:numCache>
            </c:numRef>
          </c:xVal>
          <c:yVal>
            <c:numRef>
              <c:f>一般工址Kz!$D$43:$D$96</c:f>
              <c:numCache>
                <c:formatCode>0.000_ </c:formatCode>
                <c:ptCount val="54"/>
                <c:pt idx="0">
                  <c:v>0.35299999999999998</c:v>
                </c:pt>
                <c:pt idx="1">
                  <c:v>0.76200000000000001</c:v>
                </c:pt>
                <c:pt idx="2">
                  <c:v>0.86899999999999999</c:v>
                </c:pt>
                <c:pt idx="3">
                  <c:v>0.87</c:v>
                </c:pt>
                <c:pt idx="4">
                  <c:v>0.87</c:v>
                </c:pt>
                <c:pt idx="5">
                  <c:v>0.87</c:v>
                </c:pt>
                <c:pt idx="6">
                  <c:v>0.87</c:v>
                </c:pt>
                <c:pt idx="7">
                  <c:v>0.87</c:v>
                </c:pt>
                <c:pt idx="8">
                  <c:v>0.87</c:v>
                </c:pt>
                <c:pt idx="9">
                  <c:v>0.87</c:v>
                </c:pt>
                <c:pt idx="10">
                  <c:v>0.87</c:v>
                </c:pt>
                <c:pt idx="11">
                  <c:v>0.87</c:v>
                </c:pt>
                <c:pt idx="12">
                  <c:v>0.87</c:v>
                </c:pt>
                <c:pt idx="13">
                  <c:v>0.87</c:v>
                </c:pt>
                <c:pt idx="14">
                  <c:v>0.87</c:v>
                </c:pt>
                <c:pt idx="15">
                  <c:v>0.87</c:v>
                </c:pt>
                <c:pt idx="16">
                  <c:v>0.82173402649672977</c:v>
                </c:pt>
                <c:pt idx="17">
                  <c:v>0.70000000000000007</c:v>
                </c:pt>
                <c:pt idx="18">
                  <c:v>0.62982005141388175</c:v>
                </c:pt>
                <c:pt idx="19">
                  <c:v>0.61249999999999993</c:v>
                </c:pt>
                <c:pt idx="20">
                  <c:v>0.58965102286401927</c:v>
                </c:pt>
                <c:pt idx="21">
                  <c:v>0.5444444444444444</c:v>
                </c:pt>
                <c:pt idx="22">
                  <c:v>0.51578947368421058</c:v>
                </c:pt>
                <c:pt idx="23">
                  <c:v>0.49</c:v>
                </c:pt>
                <c:pt idx="24">
                  <c:v>0.47242576166602396</c:v>
                </c:pt>
                <c:pt idx="25">
                  <c:v>0.44545454545454544</c:v>
                </c:pt>
                <c:pt idx="26">
                  <c:v>0.42608695652173917</c:v>
                </c:pt>
                <c:pt idx="27">
                  <c:v>0.40492521279233123</c:v>
                </c:pt>
                <c:pt idx="28">
                  <c:v>0.39200000000000002</c:v>
                </c:pt>
                <c:pt idx="29">
                  <c:v>0.37692307692307692</c:v>
                </c:pt>
                <c:pt idx="30">
                  <c:v>0.36296296296296293</c:v>
                </c:pt>
                <c:pt idx="31">
                  <c:v>0.35386726366722032</c:v>
                </c:pt>
                <c:pt idx="32">
                  <c:v>0.34800000000000003</c:v>
                </c:pt>
                <c:pt idx="33">
                  <c:v>0.34800000000000003</c:v>
                </c:pt>
                <c:pt idx="34">
                  <c:v>0.34800000000000003</c:v>
                </c:pt>
                <c:pt idx="35">
                  <c:v>0.34800000000000003</c:v>
                </c:pt>
                <c:pt idx="36">
                  <c:v>0.34800000000000003</c:v>
                </c:pt>
                <c:pt idx="37">
                  <c:v>0.34800000000000003</c:v>
                </c:pt>
                <c:pt idx="38">
                  <c:v>0.34800000000000003</c:v>
                </c:pt>
                <c:pt idx="39">
                  <c:v>0.34800000000000003</c:v>
                </c:pt>
                <c:pt idx="40">
                  <c:v>0.34800000000000003</c:v>
                </c:pt>
                <c:pt idx="41">
                  <c:v>0.34800000000000003</c:v>
                </c:pt>
                <c:pt idx="42">
                  <c:v>0.34800000000000003</c:v>
                </c:pt>
                <c:pt idx="43">
                  <c:v>0.34800000000000003</c:v>
                </c:pt>
                <c:pt idx="44">
                  <c:v>0.34800000000000003</c:v>
                </c:pt>
                <c:pt idx="45">
                  <c:v>0.34800000000000003</c:v>
                </c:pt>
                <c:pt idx="46">
                  <c:v>0.34800000000000003</c:v>
                </c:pt>
                <c:pt idx="47">
                  <c:v>0.34800000000000003</c:v>
                </c:pt>
                <c:pt idx="48">
                  <c:v>0.34800000000000003</c:v>
                </c:pt>
                <c:pt idx="49">
                  <c:v>0.34800000000000003</c:v>
                </c:pt>
                <c:pt idx="50">
                  <c:v>0.34800000000000003</c:v>
                </c:pt>
                <c:pt idx="51">
                  <c:v>0.34800000000000003</c:v>
                </c:pt>
                <c:pt idx="52">
                  <c:v>0.34800000000000003</c:v>
                </c:pt>
                <c:pt idx="53">
                  <c:v>0.34800000000000003</c:v>
                </c:pt>
              </c:numCache>
            </c:numRef>
          </c:yVal>
          <c:smooth val="0"/>
          <c:extLst>
            <c:ext xmlns:c16="http://schemas.microsoft.com/office/drawing/2014/chart" uri="{C3380CC4-5D6E-409C-BE32-E72D297353CC}">
              <c16:uniqueId val="{00000000-EB31-4480-B60D-F541A1F4EC91}"/>
            </c:ext>
          </c:extLst>
        </c:ser>
        <c:ser>
          <c:idx val="1"/>
          <c:order val="1"/>
          <c:tx>
            <c:strRef>
              <c:f>一般工址Kz!$P$42</c:f>
              <c:strCache>
                <c:ptCount val="1"/>
                <c:pt idx="0">
                  <c:v>SaM</c:v>
                </c:pt>
              </c:strCache>
            </c:strRef>
          </c:tx>
          <c:marker>
            <c:symbol val="none"/>
          </c:marker>
          <c:xVal>
            <c:numRef>
              <c:f>一般工址Kz!$B$43:$B$96</c:f>
              <c:numCache>
                <c:formatCode>0.0000_ </c:formatCode>
                <c:ptCount val="54"/>
                <c:pt idx="0">
                  <c:v>1E-3</c:v>
                </c:pt>
                <c:pt idx="1">
                  <c:v>8.9300000000000004E-2</c:v>
                </c:pt>
                <c:pt idx="2">
                  <c:v>0.1125</c:v>
                </c:pt>
                <c:pt idx="3">
                  <c:v>0.11260000000000001</c:v>
                </c:pt>
                <c:pt idx="4">
                  <c:v>0.1193</c:v>
                </c:pt>
                <c:pt idx="5">
                  <c:v>0.16600000000000001</c:v>
                </c:pt>
                <c:pt idx="6">
                  <c:v>0.2</c:v>
                </c:pt>
                <c:pt idx="7">
                  <c:v>0.33749999999999997</c:v>
                </c:pt>
                <c:pt idx="8">
                  <c:v>0.33789999999999998</c:v>
                </c:pt>
                <c:pt idx="9">
                  <c:v>0.36099999999999999</c:v>
                </c:pt>
                <c:pt idx="10">
                  <c:v>0.35780000000000001</c:v>
                </c:pt>
                <c:pt idx="11">
                  <c:v>0.4</c:v>
                </c:pt>
                <c:pt idx="12">
                  <c:v>0.46700000000000003</c:v>
                </c:pt>
                <c:pt idx="13">
                  <c:v>0.499</c:v>
                </c:pt>
                <c:pt idx="14">
                  <c:v>0.5625</c:v>
                </c:pt>
                <c:pt idx="15">
                  <c:v>0.56320000000000003</c:v>
                </c:pt>
                <c:pt idx="16">
                  <c:v>0.59630000000000005</c:v>
                </c:pt>
                <c:pt idx="17">
                  <c:v>0.7</c:v>
                </c:pt>
                <c:pt idx="18">
                  <c:v>0.77800000000000002</c:v>
                </c:pt>
                <c:pt idx="19">
                  <c:v>0.8</c:v>
                </c:pt>
                <c:pt idx="20">
                  <c:v>0.83099999999999996</c:v>
                </c:pt>
                <c:pt idx="21">
                  <c:v>0.9</c:v>
                </c:pt>
                <c:pt idx="22">
                  <c:v>0.95</c:v>
                </c:pt>
                <c:pt idx="23">
                  <c:v>1</c:v>
                </c:pt>
                <c:pt idx="24">
                  <c:v>1.0371999999999999</c:v>
                </c:pt>
                <c:pt idx="25">
                  <c:v>1.1000000000000001</c:v>
                </c:pt>
                <c:pt idx="26">
                  <c:v>1.1499999999999999</c:v>
                </c:pt>
                <c:pt idx="27">
                  <c:v>1.2101</c:v>
                </c:pt>
                <c:pt idx="28">
                  <c:v>1.25</c:v>
                </c:pt>
                <c:pt idx="29">
                  <c:v>1.3</c:v>
                </c:pt>
                <c:pt idx="30">
                  <c:v>1.35</c:v>
                </c:pt>
                <c:pt idx="31">
                  <c:v>1.3847</c:v>
                </c:pt>
                <c:pt idx="32">
                  <c:v>1.45</c:v>
                </c:pt>
                <c:pt idx="33">
                  <c:v>1.5</c:v>
                </c:pt>
                <c:pt idx="34">
                  <c:v>1.55</c:v>
                </c:pt>
                <c:pt idx="35">
                  <c:v>1.6</c:v>
                </c:pt>
                <c:pt idx="36">
                  <c:v>1.65</c:v>
                </c:pt>
                <c:pt idx="37">
                  <c:v>1.7</c:v>
                </c:pt>
                <c:pt idx="38">
                  <c:v>1.75</c:v>
                </c:pt>
                <c:pt idx="39">
                  <c:v>1.8</c:v>
                </c:pt>
                <c:pt idx="40">
                  <c:v>1.85</c:v>
                </c:pt>
                <c:pt idx="41">
                  <c:v>1.9</c:v>
                </c:pt>
                <c:pt idx="42">
                  <c:v>1.9450000000000001</c:v>
                </c:pt>
                <c:pt idx="43">
                  <c:v>2</c:v>
                </c:pt>
                <c:pt idx="44">
                  <c:v>2.0779999999999998</c:v>
                </c:pt>
                <c:pt idx="45">
                  <c:v>2.1</c:v>
                </c:pt>
                <c:pt idx="46">
                  <c:v>2.15</c:v>
                </c:pt>
                <c:pt idx="47">
                  <c:v>2.2000000000000002</c:v>
                </c:pt>
                <c:pt idx="48">
                  <c:v>2.25</c:v>
                </c:pt>
                <c:pt idx="49">
                  <c:v>2.2999999999999998</c:v>
                </c:pt>
                <c:pt idx="50">
                  <c:v>2.35</c:v>
                </c:pt>
                <c:pt idx="51">
                  <c:v>2.4</c:v>
                </c:pt>
                <c:pt idx="52">
                  <c:v>2.4500000000000002</c:v>
                </c:pt>
                <c:pt idx="53">
                  <c:v>2.5</c:v>
                </c:pt>
              </c:numCache>
            </c:numRef>
          </c:xVal>
          <c:yVal>
            <c:numRef>
              <c:f>一般工址Kz!$P$43:$P$96</c:f>
              <c:numCache>
                <c:formatCode>0.000_ </c:formatCode>
                <c:ptCount val="54"/>
                <c:pt idx="0">
                  <c:v>0.441</c:v>
                </c:pt>
                <c:pt idx="1">
                  <c:v>0.92600000000000005</c:v>
                </c:pt>
                <c:pt idx="2">
                  <c:v>1.0529999999999999</c:v>
                </c:pt>
                <c:pt idx="3">
                  <c:v>1.0529999999999999</c:v>
                </c:pt>
                <c:pt idx="4">
                  <c:v>1.0900000000000001</c:v>
                </c:pt>
                <c:pt idx="5">
                  <c:v>1.0900000000000001</c:v>
                </c:pt>
                <c:pt idx="6">
                  <c:v>1.0900000000000001</c:v>
                </c:pt>
                <c:pt idx="7">
                  <c:v>1.0900000000000001</c:v>
                </c:pt>
                <c:pt idx="8">
                  <c:v>1.0900000000000001</c:v>
                </c:pt>
                <c:pt idx="9">
                  <c:v>1.0900000000000001</c:v>
                </c:pt>
                <c:pt idx="10">
                  <c:v>1.0900000000000001</c:v>
                </c:pt>
                <c:pt idx="11">
                  <c:v>1.0900000000000001</c:v>
                </c:pt>
                <c:pt idx="12">
                  <c:v>1.0900000000000001</c:v>
                </c:pt>
                <c:pt idx="13">
                  <c:v>1.0900000000000001</c:v>
                </c:pt>
                <c:pt idx="14">
                  <c:v>1.0900000000000001</c:v>
                </c:pt>
                <c:pt idx="15">
                  <c:v>1.0900000000000001</c:v>
                </c:pt>
                <c:pt idx="16">
                  <c:v>1.0900000000000001</c:v>
                </c:pt>
                <c:pt idx="17">
                  <c:v>0.92857142857142871</c:v>
                </c:pt>
                <c:pt idx="18">
                  <c:v>0.83547557840616971</c:v>
                </c:pt>
                <c:pt idx="19">
                  <c:v>0.8125</c:v>
                </c:pt>
                <c:pt idx="20">
                  <c:v>0.78219013237063784</c:v>
                </c:pt>
                <c:pt idx="21">
                  <c:v>0.72222222222222221</c:v>
                </c:pt>
                <c:pt idx="22">
                  <c:v>0.68421052631578949</c:v>
                </c:pt>
                <c:pt idx="23">
                  <c:v>0.65</c:v>
                </c:pt>
                <c:pt idx="24">
                  <c:v>0.62668723486309308</c:v>
                </c:pt>
                <c:pt idx="25">
                  <c:v>0.59090909090909083</c:v>
                </c:pt>
                <c:pt idx="26">
                  <c:v>0.56521739130434789</c:v>
                </c:pt>
                <c:pt idx="27">
                  <c:v>0.53714569043880678</c:v>
                </c:pt>
                <c:pt idx="28">
                  <c:v>0.52</c:v>
                </c:pt>
                <c:pt idx="29">
                  <c:v>0.5</c:v>
                </c:pt>
                <c:pt idx="30">
                  <c:v>0.48148148148148145</c:v>
                </c:pt>
                <c:pt idx="31">
                  <c:v>0.46941575792590451</c:v>
                </c:pt>
                <c:pt idx="32">
                  <c:v>0.44827586206896552</c:v>
                </c:pt>
                <c:pt idx="33">
                  <c:v>0.43600000000000005</c:v>
                </c:pt>
                <c:pt idx="34">
                  <c:v>0.43600000000000005</c:v>
                </c:pt>
                <c:pt idx="35">
                  <c:v>0.43600000000000005</c:v>
                </c:pt>
                <c:pt idx="36">
                  <c:v>0.43600000000000005</c:v>
                </c:pt>
                <c:pt idx="37">
                  <c:v>0.43600000000000005</c:v>
                </c:pt>
                <c:pt idx="38">
                  <c:v>0.43600000000000005</c:v>
                </c:pt>
                <c:pt idx="39">
                  <c:v>0.43600000000000005</c:v>
                </c:pt>
                <c:pt idx="40">
                  <c:v>0.43600000000000005</c:v>
                </c:pt>
                <c:pt idx="41">
                  <c:v>0.43600000000000005</c:v>
                </c:pt>
                <c:pt idx="42">
                  <c:v>0.43600000000000005</c:v>
                </c:pt>
                <c:pt idx="43">
                  <c:v>0.43600000000000005</c:v>
                </c:pt>
                <c:pt idx="44">
                  <c:v>0.43600000000000005</c:v>
                </c:pt>
                <c:pt idx="45">
                  <c:v>0.43600000000000005</c:v>
                </c:pt>
                <c:pt idx="46">
                  <c:v>0.43600000000000005</c:v>
                </c:pt>
                <c:pt idx="47">
                  <c:v>0.43600000000000005</c:v>
                </c:pt>
                <c:pt idx="48">
                  <c:v>0.43600000000000005</c:v>
                </c:pt>
                <c:pt idx="49">
                  <c:v>0.43600000000000005</c:v>
                </c:pt>
                <c:pt idx="50">
                  <c:v>0.43600000000000005</c:v>
                </c:pt>
                <c:pt idx="51">
                  <c:v>0.43600000000000005</c:v>
                </c:pt>
                <c:pt idx="52">
                  <c:v>0.43600000000000005</c:v>
                </c:pt>
                <c:pt idx="53">
                  <c:v>0.43600000000000005</c:v>
                </c:pt>
              </c:numCache>
            </c:numRef>
          </c:yVal>
          <c:smooth val="0"/>
          <c:extLst>
            <c:ext xmlns:c16="http://schemas.microsoft.com/office/drawing/2014/chart" uri="{C3380CC4-5D6E-409C-BE32-E72D297353CC}">
              <c16:uniqueId val="{00000001-EB31-4480-B60D-F541A1F4EC91}"/>
            </c:ext>
          </c:extLst>
        </c:ser>
        <c:ser>
          <c:idx val="2"/>
          <c:order val="2"/>
          <c:tx>
            <c:strRef>
              <c:f>一般工址Kz!$K$42</c:f>
              <c:strCache>
                <c:ptCount val="1"/>
                <c:pt idx="0">
                  <c:v>SaD*</c:v>
                </c:pt>
              </c:strCache>
            </c:strRef>
          </c:tx>
          <c:marker>
            <c:symbol val="none"/>
          </c:marker>
          <c:xVal>
            <c:numRef>
              <c:f>一般工址Kz!$B$43:$B$96</c:f>
              <c:numCache>
                <c:formatCode>0.0000_ </c:formatCode>
                <c:ptCount val="54"/>
                <c:pt idx="0">
                  <c:v>1E-3</c:v>
                </c:pt>
                <c:pt idx="1">
                  <c:v>8.9300000000000004E-2</c:v>
                </c:pt>
                <c:pt idx="2">
                  <c:v>0.1125</c:v>
                </c:pt>
                <c:pt idx="3">
                  <c:v>0.11260000000000001</c:v>
                </c:pt>
                <c:pt idx="4">
                  <c:v>0.1193</c:v>
                </c:pt>
                <c:pt idx="5">
                  <c:v>0.16600000000000001</c:v>
                </c:pt>
                <c:pt idx="6">
                  <c:v>0.2</c:v>
                </c:pt>
                <c:pt idx="7">
                  <c:v>0.33749999999999997</c:v>
                </c:pt>
                <c:pt idx="8">
                  <c:v>0.33789999999999998</c:v>
                </c:pt>
                <c:pt idx="9">
                  <c:v>0.36099999999999999</c:v>
                </c:pt>
                <c:pt idx="10">
                  <c:v>0.35780000000000001</c:v>
                </c:pt>
                <c:pt idx="11">
                  <c:v>0.4</c:v>
                </c:pt>
                <c:pt idx="12">
                  <c:v>0.46700000000000003</c:v>
                </c:pt>
                <c:pt idx="13">
                  <c:v>0.499</c:v>
                </c:pt>
                <c:pt idx="14">
                  <c:v>0.5625</c:v>
                </c:pt>
                <c:pt idx="15">
                  <c:v>0.56320000000000003</c:v>
                </c:pt>
                <c:pt idx="16">
                  <c:v>0.59630000000000005</c:v>
                </c:pt>
                <c:pt idx="17">
                  <c:v>0.7</c:v>
                </c:pt>
                <c:pt idx="18">
                  <c:v>0.77800000000000002</c:v>
                </c:pt>
                <c:pt idx="19">
                  <c:v>0.8</c:v>
                </c:pt>
                <c:pt idx="20">
                  <c:v>0.83099999999999996</c:v>
                </c:pt>
                <c:pt idx="21">
                  <c:v>0.9</c:v>
                </c:pt>
                <c:pt idx="22">
                  <c:v>0.95</c:v>
                </c:pt>
                <c:pt idx="23">
                  <c:v>1</c:v>
                </c:pt>
                <c:pt idx="24">
                  <c:v>1.0371999999999999</c:v>
                </c:pt>
                <c:pt idx="25">
                  <c:v>1.1000000000000001</c:v>
                </c:pt>
                <c:pt idx="26">
                  <c:v>1.1499999999999999</c:v>
                </c:pt>
                <c:pt idx="27">
                  <c:v>1.2101</c:v>
                </c:pt>
                <c:pt idx="28">
                  <c:v>1.25</c:v>
                </c:pt>
                <c:pt idx="29">
                  <c:v>1.3</c:v>
                </c:pt>
                <c:pt idx="30">
                  <c:v>1.35</c:v>
                </c:pt>
                <c:pt idx="31">
                  <c:v>1.3847</c:v>
                </c:pt>
                <c:pt idx="32">
                  <c:v>1.45</c:v>
                </c:pt>
                <c:pt idx="33">
                  <c:v>1.5</c:v>
                </c:pt>
                <c:pt idx="34">
                  <c:v>1.55</c:v>
                </c:pt>
                <c:pt idx="35">
                  <c:v>1.6</c:v>
                </c:pt>
                <c:pt idx="36">
                  <c:v>1.65</c:v>
                </c:pt>
                <c:pt idx="37">
                  <c:v>1.7</c:v>
                </c:pt>
                <c:pt idx="38">
                  <c:v>1.75</c:v>
                </c:pt>
                <c:pt idx="39">
                  <c:v>1.8</c:v>
                </c:pt>
                <c:pt idx="40">
                  <c:v>1.85</c:v>
                </c:pt>
                <c:pt idx="41">
                  <c:v>1.9</c:v>
                </c:pt>
                <c:pt idx="42">
                  <c:v>1.9450000000000001</c:v>
                </c:pt>
                <c:pt idx="43">
                  <c:v>2</c:v>
                </c:pt>
                <c:pt idx="44">
                  <c:v>2.0779999999999998</c:v>
                </c:pt>
                <c:pt idx="45">
                  <c:v>2.1</c:v>
                </c:pt>
                <c:pt idx="46">
                  <c:v>2.15</c:v>
                </c:pt>
                <c:pt idx="47">
                  <c:v>2.2000000000000002</c:v>
                </c:pt>
                <c:pt idx="48">
                  <c:v>2.25</c:v>
                </c:pt>
                <c:pt idx="49">
                  <c:v>2.2999999999999998</c:v>
                </c:pt>
                <c:pt idx="50">
                  <c:v>2.35</c:v>
                </c:pt>
                <c:pt idx="51">
                  <c:v>2.4</c:v>
                </c:pt>
                <c:pt idx="52">
                  <c:v>2.4500000000000002</c:v>
                </c:pt>
                <c:pt idx="53">
                  <c:v>2.5</c:v>
                </c:pt>
              </c:numCache>
            </c:numRef>
          </c:xVal>
          <c:yVal>
            <c:numRef>
              <c:f>一般工址Kz!$K$43:$K$96</c:f>
              <c:numCache>
                <c:formatCode>0.000_ </c:formatCode>
                <c:ptCount val="54"/>
                <c:pt idx="0">
                  <c:v>0.32400000000000001</c:v>
                </c:pt>
                <c:pt idx="1">
                  <c:v>0.70099999999999996</c:v>
                </c:pt>
                <c:pt idx="2">
                  <c:v>0.8</c:v>
                </c:pt>
                <c:pt idx="3">
                  <c:v>0.8</c:v>
                </c:pt>
                <c:pt idx="4">
                  <c:v>0.8</c:v>
                </c:pt>
                <c:pt idx="5">
                  <c:v>0.8</c:v>
                </c:pt>
                <c:pt idx="6">
                  <c:v>0.8</c:v>
                </c:pt>
                <c:pt idx="7">
                  <c:v>0.8</c:v>
                </c:pt>
                <c:pt idx="8">
                  <c:v>0.8</c:v>
                </c:pt>
                <c:pt idx="9">
                  <c:v>0.8</c:v>
                </c:pt>
                <c:pt idx="10">
                  <c:v>0.8</c:v>
                </c:pt>
                <c:pt idx="11">
                  <c:v>0.8</c:v>
                </c:pt>
                <c:pt idx="12">
                  <c:v>0.8</c:v>
                </c:pt>
                <c:pt idx="13">
                  <c:v>0.8</c:v>
                </c:pt>
                <c:pt idx="14">
                  <c:v>0.8</c:v>
                </c:pt>
                <c:pt idx="15">
                  <c:v>0.79900568181818177</c:v>
                </c:pt>
                <c:pt idx="16">
                  <c:v>0.75465369780311919</c:v>
                </c:pt>
                <c:pt idx="17">
                  <c:v>0.6428571428571429</c:v>
                </c:pt>
                <c:pt idx="18">
                  <c:v>0.57840616966580971</c:v>
                </c:pt>
                <c:pt idx="19">
                  <c:v>0.5625</c:v>
                </c:pt>
                <c:pt idx="20">
                  <c:v>0.54151624548736466</c:v>
                </c:pt>
                <c:pt idx="21">
                  <c:v>0.5</c:v>
                </c:pt>
                <c:pt idx="22">
                  <c:v>0.47368421052631582</c:v>
                </c:pt>
                <c:pt idx="23">
                  <c:v>0.45</c:v>
                </c:pt>
                <c:pt idx="24">
                  <c:v>0.43386039336675669</c:v>
                </c:pt>
                <c:pt idx="25">
                  <c:v>0.40909090909090906</c:v>
                </c:pt>
                <c:pt idx="26">
                  <c:v>0.39130434782608697</c:v>
                </c:pt>
                <c:pt idx="27">
                  <c:v>0.37187009338071236</c:v>
                </c:pt>
                <c:pt idx="28">
                  <c:v>0.36</c:v>
                </c:pt>
                <c:pt idx="29">
                  <c:v>0.34615384615384615</c:v>
                </c:pt>
                <c:pt idx="30">
                  <c:v>0.33333333333333331</c:v>
                </c:pt>
                <c:pt idx="31">
                  <c:v>0.32498014010254928</c:v>
                </c:pt>
                <c:pt idx="32">
                  <c:v>0.32000000000000006</c:v>
                </c:pt>
                <c:pt idx="33">
                  <c:v>0.32000000000000006</c:v>
                </c:pt>
                <c:pt idx="34">
                  <c:v>0.32000000000000006</c:v>
                </c:pt>
                <c:pt idx="35">
                  <c:v>0.32000000000000006</c:v>
                </c:pt>
                <c:pt idx="36">
                  <c:v>0.32000000000000006</c:v>
                </c:pt>
                <c:pt idx="37">
                  <c:v>0.32000000000000006</c:v>
                </c:pt>
                <c:pt idx="38">
                  <c:v>0.32000000000000006</c:v>
                </c:pt>
                <c:pt idx="39">
                  <c:v>0.32000000000000006</c:v>
                </c:pt>
                <c:pt idx="40">
                  <c:v>0.32000000000000006</c:v>
                </c:pt>
                <c:pt idx="41">
                  <c:v>0.32000000000000006</c:v>
                </c:pt>
                <c:pt idx="42">
                  <c:v>0.32000000000000006</c:v>
                </c:pt>
                <c:pt idx="43">
                  <c:v>0.32000000000000006</c:v>
                </c:pt>
                <c:pt idx="44">
                  <c:v>0.32000000000000006</c:v>
                </c:pt>
                <c:pt idx="45">
                  <c:v>0.32000000000000006</c:v>
                </c:pt>
                <c:pt idx="46">
                  <c:v>0.32000000000000006</c:v>
                </c:pt>
                <c:pt idx="47">
                  <c:v>0.32000000000000006</c:v>
                </c:pt>
                <c:pt idx="48">
                  <c:v>0.32000000000000006</c:v>
                </c:pt>
                <c:pt idx="49">
                  <c:v>0.32000000000000006</c:v>
                </c:pt>
                <c:pt idx="50">
                  <c:v>0.32000000000000006</c:v>
                </c:pt>
                <c:pt idx="51">
                  <c:v>0.32000000000000006</c:v>
                </c:pt>
                <c:pt idx="52">
                  <c:v>0.32000000000000006</c:v>
                </c:pt>
                <c:pt idx="53">
                  <c:v>0.32000000000000006</c:v>
                </c:pt>
              </c:numCache>
            </c:numRef>
          </c:yVal>
          <c:smooth val="0"/>
          <c:extLst>
            <c:ext xmlns:c16="http://schemas.microsoft.com/office/drawing/2014/chart" uri="{C3380CC4-5D6E-409C-BE32-E72D297353CC}">
              <c16:uniqueId val="{00000002-EB31-4480-B60D-F541A1F4EC91}"/>
            </c:ext>
          </c:extLst>
        </c:ser>
        <c:dLbls>
          <c:showLegendKey val="0"/>
          <c:showVal val="0"/>
          <c:showCatName val="0"/>
          <c:showSerName val="0"/>
          <c:showPercent val="0"/>
          <c:showBubbleSize val="0"/>
        </c:dLbls>
        <c:axId val="199050944"/>
        <c:axId val="199051520"/>
      </c:scatterChart>
      <c:valAx>
        <c:axId val="199050944"/>
        <c:scaling>
          <c:orientation val="minMax"/>
          <c:max val="2.5"/>
        </c:scaling>
        <c:delete val="0"/>
        <c:axPos val="b"/>
        <c:minorGridlines/>
        <c:title>
          <c:tx>
            <c:rich>
              <a:bodyPr/>
              <a:lstStyle/>
              <a:p>
                <a:pPr>
                  <a:defRPr sz="1400"/>
                </a:pPr>
                <a:r>
                  <a:rPr lang="en-US" altLang="en-US" sz="1400"/>
                  <a:t>T (sec)</a:t>
                </a:r>
              </a:p>
            </c:rich>
          </c:tx>
          <c:overlay val="0"/>
        </c:title>
        <c:numFmt formatCode="0.0_ " sourceLinked="0"/>
        <c:majorTickMark val="out"/>
        <c:minorTickMark val="in"/>
        <c:tickLblPos val="nextTo"/>
        <c:txPr>
          <a:bodyPr rot="0" vert="horz"/>
          <a:lstStyle/>
          <a:p>
            <a:pPr>
              <a:defRPr sz="1000" b="0" i="0" u="none" strike="noStrike" baseline="0">
                <a:solidFill>
                  <a:srgbClr val="000000"/>
                </a:solidFill>
                <a:latin typeface="新細明體"/>
                <a:ea typeface="新細明體"/>
                <a:cs typeface="新細明體"/>
              </a:defRPr>
            </a:pPr>
            <a:endParaRPr lang="zh-TW"/>
          </a:p>
        </c:txPr>
        <c:crossAx val="199051520"/>
        <c:crosses val="autoZero"/>
        <c:crossBetween val="midCat"/>
        <c:minorUnit val="0.1"/>
      </c:valAx>
      <c:valAx>
        <c:axId val="199051520"/>
        <c:scaling>
          <c:orientation val="minMax"/>
        </c:scaling>
        <c:delete val="0"/>
        <c:axPos val="l"/>
        <c:majorGridlines/>
        <c:numFmt formatCode="0.0_ " sourceLinked="0"/>
        <c:majorTickMark val="out"/>
        <c:minorTickMark val="none"/>
        <c:tickLblPos val="nextTo"/>
        <c:crossAx val="199050944"/>
        <c:crosses val="autoZero"/>
        <c:crossBetween val="midCat"/>
      </c:valAx>
    </c:plotArea>
    <c:legend>
      <c:legendPos val="r"/>
      <c:layout>
        <c:manualLayout>
          <c:xMode val="edge"/>
          <c:yMode val="edge"/>
          <c:x val="0.79291907946072882"/>
          <c:y val="5.4545454545454515E-2"/>
          <c:w val="0.10618954353235832"/>
          <c:h val="0.2073729337228683"/>
        </c:manualLayout>
      </c:layout>
      <c:overlay val="1"/>
      <c:txPr>
        <a:bodyPr/>
        <a:lstStyle/>
        <a:p>
          <a:pPr>
            <a:defRPr sz="1400"/>
          </a:pPr>
          <a:endParaRPr lang="zh-TW"/>
        </a:p>
      </c:txPr>
    </c:legend>
    <c:plotVisOnly val="1"/>
    <c:dispBlanksAs val="gap"/>
    <c:showDLblsOverMax val="0"/>
  </c:chart>
  <c:printSettings>
    <c:headerFooter/>
    <c:pageMargins b="0.75000000000000433" l="0.70000000000000062" r="0.70000000000000062" t="0.75000000000000433"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strRef>
              <c:f>一般工址Kz!$I$42</c:f>
              <c:strCache>
                <c:ptCount val="1"/>
                <c:pt idx="0">
                  <c:v>I(SaD/FuD)m/1.4αy</c:v>
                </c:pt>
              </c:strCache>
            </c:strRef>
          </c:tx>
          <c:marker>
            <c:symbol val="none"/>
          </c:marker>
          <c:xVal>
            <c:numRef>
              <c:f>一般工址Kz!$B$43:$B$96</c:f>
              <c:numCache>
                <c:formatCode>0.0000_ </c:formatCode>
                <c:ptCount val="54"/>
                <c:pt idx="0">
                  <c:v>1E-3</c:v>
                </c:pt>
                <c:pt idx="1">
                  <c:v>8.9300000000000004E-2</c:v>
                </c:pt>
                <c:pt idx="2">
                  <c:v>0.1125</c:v>
                </c:pt>
                <c:pt idx="3">
                  <c:v>0.11260000000000001</c:v>
                </c:pt>
                <c:pt idx="4">
                  <c:v>0.1193</c:v>
                </c:pt>
                <c:pt idx="5">
                  <c:v>0.16600000000000001</c:v>
                </c:pt>
                <c:pt idx="6">
                  <c:v>0.2</c:v>
                </c:pt>
                <c:pt idx="7">
                  <c:v>0.33749999999999997</c:v>
                </c:pt>
                <c:pt idx="8">
                  <c:v>0.33789999999999998</c:v>
                </c:pt>
                <c:pt idx="9">
                  <c:v>0.36099999999999999</c:v>
                </c:pt>
                <c:pt idx="10">
                  <c:v>0.35780000000000001</c:v>
                </c:pt>
                <c:pt idx="11">
                  <c:v>0.4</c:v>
                </c:pt>
                <c:pt idx="12">
                  <c:v>0.46700000000000003</c:v>
                </c:pt>
                <c:pt idx="13">
                  <c:v>0.499</c:v>
                </c:pt>
                <c:pt idx="14">
                  <c:v>0.5625</c:v>
                </c:pt>
                <c:pt idx="15">
                  <c:v>0.56320000000000003</c:v>
                </c:pt>
                <c:pt idx="16">
                  <c:v>0.59630000000000005</c:v>
                </c:pt>
                <c:pt idx="17">
                  <c:v>0.7</c:v>
                </c:pt>
                <c:pt idx="18">
                  <c:v>0.77800000000000002</c:v>
                </c:pt>
                <c:pt idx="19">
                  <c:v>0.8</c:v>
                </c:pt>
                <c:pt idx="20">
                  <c:v>0.83099999999999996</c:v>
                </c:pt>
                <c:pt idx="21">
                  <c:v>0.9</c:v>
                </c:pt>
                <c:pt idx="22">
                  <c:v>0.95</c:v>
                </c:pt>
                <c:pt idx="23">
                  <c:v>1</c:v>
                </c:pt>
                <c:pt idx="24">
                  <c:v>1.0371999999999999</c:v>
                </c:pt>
                <c:pt idx="25">
                  <c:v>1.1000000000000001</c:v>
                </c:pt>
                <c:pt idx="26">
                  <c:v>1.1499999999999999</c:v>
                </c:pt>
                <c:pt idx="27">
                  <c:v>1.2101</c:v>
                </c:pt>
                <c:pt idx="28">
                  <c:v>1.25</c:v>
                </c:pt>
                <c:pt idx="29">
                  <c:v>1.3</c:v>
                </c:pt>
                <c:pt idx="30">
                  <c:v>1.35</c:v>
                </c:pt>
                <c:pt idx="31">
                  <c:v>1.3847</c:v>
                </c:pt>
                <c:pt idx="32">
                  <c:v>1.45</c:v>
                </c:pt>
                <c:pt idx="33">
                  <c:v>1.5</c:v>
                </c:pt>
                <c:pt idx="34">
                  <c:v>1.55</c:v>
                </c:pt>
                <c:pt idx="35">
                  <c:v>1.6</c:v>
                </c:pt>
                <c:pt idx="36">
                  <c:v>1.65</c:v>
                </c:pt>
                <c:pt idx="37">
                  <c:v>1.7</c:v>
                </c:pt>
                <c:pt idx="38">
                  <c:v>1.75</c:v>
                </c:pt>
                <c:pt idx="39">
                  <c:v>1.8</c:v>
                </c:pt>
                <c:pt idx="40">
                  <c:v>1.85</c:v>
                </c:pt>
                <c:pt idx="41">
                  <c:v>1.9</c:v>
                </c:pt>
                <c:pt idx="42">
                  <c:v>1.9450000000000001</c:v>
                </c:pt>
                <c:pt idx="43">
                  <c:v>2</c:v>
                </c:pt>
                <c:pt idx="44">
                  <c:v>2.0779999999999998</c:v>
                </c:pt>
                <c:pt idx="45">
                  <c:v>2.1</c:v>
                </c:pt>
                <c:pt idx="46">
                  <c:v>2.15</c:v>
                </c:pt>
                <c:pt idx="47">
                  <c:v>2.2000000000000002</c:v>
                </c:pt>
                <c:pt idx="48">
                  <c:v>2.25</c:v>
                </c:pt>
                <c:pt idx="49">
                  <c:v>2.2999999999999998</c:v>
                </c:pt>
                <c:pt idx="50">
                  <c:v>2.35</c:v>
                </c:pt>
                <c:pt idx="51">
                  <c:v>2.4</c:v>
                </c:pt>
                <c:pt idx="52">
                  <c:v>2.4500000000000002</c:v>
                </c:pt>
                <c:pt idx="53">
                  <c:v>2.5</c:v>
                </c:pt>
              </c:numCache>
            </c:numRef>
          </c:xVal>
          <c:yVal>
            <c:numRef>
              <c:f>一般工址Kz!$I$43:$I$96</c:f>
              <c:numCache>
                <c:formatCode>0.000_ </c:formatCode>
                <c:ptCount val="54"/>
                <c:pt idx="0">
                  <c:v>0.23300000000000001</c:v>
                </c:pt>
                <c:pt idx="1">
                  <c:v>0.246</c:v>
                </c:pt>
                <c:pt idx="2">
                  <c:v>0.247</c:v>
                </c:pt>
                <c:pt idx="3">
                  <c:v>0.247</c:v>
                </c:pt>
                <c:pt idx="4">
                  <c:v>0.247</c:v>
                </c:pt>
                <c:pt idx="5">
                  <c:v>0.247</c:v>
                </c:pt>
                <c:pt idx="6">
                  <c:v>0.247</c:v>
                </c:pt>
                <c:pt idx="7">
                  <c:v>0.247</c:v>
                </c:pt>
                <c:pt idx="8">
                  <c:v>0.247</c:v>
                </c:pt>
                <c:pt idx="9">
                  <c:v>0.24299999999999999</c:v>
                </c:pt>
                <c:pt idx="10">
                  <c:v>0.24299999999999999</c:v>
                </c:pt>
                <c:pt idx="11">
                  <c:v>0.23499999999999999</c:v>
                </c:pt>
                <c:pt idx="12">
                  <c:v>0.224</c:v>
                </c:pt>
                <c:pt idx="13">
                  <c:v>0.219</c:v>
                </c:pt>
                <c:pt idx="14">
                  <c:v>0.20699999999999999</c:v>
                </c:pt>
                <c:pt idx="15">
                  <c:v>0.20699999999999999</c:v>
                </c:pt>
                <c:pt idx="16">
                  <c:v>0.19600000000000001</c:v>
                </c:pt>
                <c:pt idx="17">
                  <c:v>0.16700000000000001</c:v>
                </c:pt>
                <c:pt idx="18">
                  <c:v>0.15</c:v>
                </c:pt>
                <c:pt idx="19">
                  <c:v>0.14599999999999999</c:v>
                </c:pt>
                <c:pt idx="20">
                  <c:v>0.14000000000000001</c:v>
                </c:pt>
                <c:pt idx="21">
                  <c:v>0.13</c:v>
                </c:pt>
                <c:pt idx="22">
                  <c:v>0.123</c:v>
                </c:pt>
                <c:pt idx="23">
                  <c:v>0.11700000000000001</c:v>
                </c:pt>
                <c:pt idx="24">
                  <c:v>0.113</c:v>
                </c:pt>
                <c:pt idx="25">
                  <c:v>0.106</c:v>
                </c:pt>
                <c:pt idx="26">
                  <c:v>0.10100000000000001</c:v>
                </c:pt>
                <c:pt idx="27">
                  <c:v>9.6000000000000002E-2</c:v>
                </c:pt>
                <c:pt idx="28">
                  <c:v>9.2999999999999999E-2</c:v>
                </c:pt>
                <c:pt idx="29">
                  <c:v>0.09</c:v>
                </c:pt>
                <c:pt idx="30">
                  <c:v>8.5999999999999993E-2</c:v>
                </c:pt>
                <c:pt idx="31">
                  <c:v>8.4000000000000005E-2</c:v>
                </c:pt>
                <c:pt idx="32">
                  <c:v>8.3000000000000004E-2</c:v>
                </c:pt>
                <c:pt idx="33">
                  <c:v>8.3000000000000004E-2</c:v>
                </c:pt>
                <c:pt idx="34">
                  <c:v>8.3000000000000004E-2</c:v>
                </c:pt>
                <c:pt idx="35">
                  <c:v>8.3000000000000004E-2</c:v>
                </c:pt>
                <c:pt idx="36">
                  <c:v>8.3000000000000004E-2</c:v>
                </c:pt>
                <c:pt idx="37">
                  <c:v>8.3000000000000004E-2</c:v>
                </c:pt>
                <c:pt idx="38">
                  <c:v>8.3000000000000004E-2</c:v>
                </c:pt>
                <c:pt idx="39">
                  <c:v>8.3000000000000004E-2</c:v>
                </c:pt>
                <c:pt idx="40">
                  <c:v>8.3000000000000004E-2</c:v>
                </c:pt>
                <c:pt idx="41">
                  <c:v>8.3000000000000004E-2</c:v>
                </c:pt>
                <c:pt idx="42">
                  <c:v>8.3000000000000004E-2</c:v>
                </c:pt>
                <c:pt idx="43">
                  <c:v>8.3000000000000004E-2</c:v>
                </c:pt>
                <c:pt idx="44">
                  <c:v>8.3000000000000004E-2</c:v>
                </c:pt>
                <c:pt idx="45">
                  <c:v>8.3000000000000004E-2</c:v>
                </c:pt>
                <c:pt idx="46">
                  <c:v>8.3000000000000004E-2</c:v>
                </c:pt>
                <c:pt idx="47">
                  <c:v>8.3000000000000004E-2</c:v>
                </c:pt>
                <c:pt idx="48">
                  <c:v>8.3000000000000004E-2</c:v>
                </c:pt>
                <c:pt idx="49">
                  <c:v>8.3000000000000004E-2</c:v>
                </c:pt>
                <c:pt idx="50">
                  <c:v>8.3000000000000004E-2</c:v>
                </c:pt>
                <c:pt idx="51">
                  <c:v>8.3000000000000004E-2</c:v>
                </c:pt>
                <c:pt idx="52">
                  <c:v>8.3000000000000004E-2</c:v>
                </c:pt>
                <c:pt idx="53">
                  <c:v>8.3000000000000004E-2</c:v>
                </c:pt>
              </c:numCache>
            </c:numRef>
          </c:yVal>
          <c:smooth val="0"/>
          <c:extLst>
            <c:ext xmlns:c16="http://schemas.microsoft.com/office/drawing/2014/chart" uri="{C3380CC4-5D6E-409C-BE32-E72D297353CC}">
              <c16:uniqueId val="{00000000-84CE-450D-8603-F0F15BEBE75F}"/>
            </c:ext>
          </c:extLst>
        </c:ser>
        <c:ser>
          <c:idx val="1"/>
          <c:order val="1"/>
          <c:tx>
            <c:strRef>
              <c:f>一般工址Kz!$N$42</c:f>
              <c:strCache>
                <c:ptCount val="1"/>
                <c:pt idx="0">
                  <c:v>IFuD(SaD*/FuD)m/4.2αy</c:v>
                </c:pt>
              </c:strCache>
            </c:strRef>
          </c:tx>
          <c:marker>
            <c:symbol val="none"/>
          </c:marker>
          <c:xVal>
            <c:numRef>
              <c:f>一般工址Kz!$B$43:$B$96</c:f>
              <c:numCache>
                <c:formatCode>0.0000_ </c:formatCode>
                <c:ptCount val="54"/>
                <c:pt idx="0">
                  <c:v>1E-3</c:v>
                </c:pt>
                <c:pt idx="1">
                  <c:v>8.9300000000000004E-2</c:v>
                </c:pt>
                <c:pt idx="2">
                  <c:v>0.1125</c:v>
                </c:pt>
                <c:pt idx="3">
                  <c:v>0.11260000000000001</c:v>
                </c:pt>
                <c:pt idx="4">
                  <c:v>0.1193</c:v>
                </c:pt>
                <c:pt idx="5">
                  <c:v>0.16600000000000001</c:v>
                </c:pt>
                <c:pt idx="6">
                  <c:v>0.2</c:v>
                </c:pt>
                <c:pt idx="7">
                  <c:v>0.33749999999999997</c:v>
                </c:pt>
                <c:pt idx="8">
                  <c:v>0.33789999999999998</c:v>
                </c:pt>
                <c:pt idx="9">
                  <c:v>0.36099999999999999</c:v>
                </c:pt>
                <c:pt idx="10">
                  <c:v>0.35780000000000001</c:v>
                </c:pt>
                <c:pt idx="11">
                  <c:v>0.4</c:v>
                </c:pt>
                <c:pt idx="12">
                  <c:v>0.46700000000000003</c:v>
                </c:pt>
                <c:pt idx="13">
                  <c:v>0.499</c:v>
                </c:pt>
                <c:pt idx="14">
                  <c:v>0.5625</c:v>
                </c:pt>
                <c:pt idx="15">
                  <c:v>0.56320000000000003</c:v>
                </c:pt>
                <c:pt idx="16">
                  <c:v>0.59630000000000005</c:v>
                </c:pt>
                <c:pt idx="17">
                  <c:v>0.7</c:v>
                </c:pt>
                <c:pt idx="18">
                  <c:v>0.77800000000000002</c:v>
                </c:pt>
                <c:pt idx="19">
                  <c:v>0.8</c:v>
                </c:pt>
                <c:pt idx="20">
                  <c:v>0.83099999999999996</c:v>
                </c:pt>
                <c:pt idx="21">
                  <c:v>0.9</c:v>
                </c:pt>
                <c:pt idx="22">
                  <c:v>0.95</c:v>
                </c:pt>
                <c:pt idx="23">
                  <c:v>1</c:v>
                </c:pt>
                <c:pt idx="24">
                  <c:v>1.0371999999999999</c:v>
                </c:pt>
                <c:pt idx="25">
                  <c:v>1.1000000000000001</c:v>
                </c:pt>
                <c:pt idx="26">
                  <c:v>1.1499999999999999</c:v>
                </c:pt>
                <c:pt idx="27">
                  <c:v>1.2101</c:v>
                </c:pt>
                <c:pt idx="28">
                  <c:v>1.25</c:v>
                </c:pt>
                <c:pt idx="29">
                  <c:v>1.3</c:v>
                </c:pt>
                <c:pt idx="30">
                  <c:v>1.35</c:v>
                </c:pt>
                <c:pt idx="31">
                  <c:v>1.3847</c:v>
                </c:pt>
                <c:pt idx="32">
                  <c:v>1.45</c:v>
                </c:pt>
                <c:pt idx="33">
                  <c:v>1.5</c:v>
                </c:pt>
                <c:pt idx="34">
                  <c:v>1.55</c:v>
                </c:pt>
                <c:pt idx="35">
                  <c:v>1.6</c:v>
                </c:pt>
                <c:pt idx="36">
                  <c:v>1.65</c:v>
                </c:pt>
                <c:pt idx="37">
                  <c:v>1.7</c:v>
                </c:pt>
                <c:pt idx="38">
                  <c:v>1.75</c:v>
                </c:pt>
                <c:pt idx="39">
                  <c:v>1.8</c:v>
                </c:pt>
                <c:pt idx="40">
                  <c:v>1.85</c:v>
                </c:pt>
                <c:pt idx="41">
                  <c:v>1.9</c:v>
                </c:pt>
                <c:pt idx="42">
                  <c:v>1.9450000000000001</c:v>
                </c:pt>
                <c:pt idx="43">
                  <c:v>2</c:v>
                </c:pt>
                <c:pt idx="44">
                  <c:v>2.0779999999999998</c:v>
                </c:pt>
                <c:pt idx="45">
                  <c:v>2.1</c:v>
                </c:pt>
                <c:pt idx="46">
                  <c:v>2.15</c:v>
                </c:pt>
                <c:pt idx="47">
                  <c:v>2.2000000000000002</c:v>
                </c:pt>
                <c:pt idx="48">
                  <c:v>2.25</c:v>
                </c:pt>
                <c:pt idx="49">
                  <c:v>2.2999999999999998</c:v>
                </c:pt>
                <c:pt idx="50">
                  <c:v>2.35</c:v>
                </c:pt>
                <c:pt idx="51">
                  <c:v>2.4</c:v>
                </c:pt>
                <c:pt idx="52">
                  <c:v>2.4500000000000002</c:v>
                </c:pt>
                <c:pt idx="53">
                  <c:v>2.5</c:v>
                </c:pt>
              </c:numCache>
            </c:numRef>
          </c:xVal>
          <c:yVal>
            <c:numRef>
              <c:f>一般工址Kz!$N$43:$N$96</c:f>
              <c:numCache>
                <c:formatCode>0.000_ </c:formatCode>
                <c:ptCount val="54"/>
                <c:pt idx="0">
                  <c:v>7.4999999999999997E-2</c:v>
                </c:pt>
                <c:pt idx="1">
                  <c:v>0.155</c:v>
                </c:pt>
                <c:pt idx="2">
                  <c:v>0.17599999999999999</c:v>
                </c:pt>
                <c:pt idx="3">
                  <c:v>0.17599999999999999</c:v>
                </c:pt>
                <c:pt idx="4">
                  <c:v>0.17599999999999999</c:v>
                </c:pt>
                <c:pt idx="5">
                  <c:v>0.17599999999999999</c:v>
                </c:pt>
                <c:pt idx="6">
                  <c:v>0.17599999999999999</c:v>
                </c:pt>
                <c:pt idx="7">
                  <c:v>0.17599999999999999</c:v>
                </c:pt>
                <c:pt idx="8">
                  <c:v>0.17599999999999999</c:v>
                </c:pt>
                <c:pt idx="9">
                  <c:v>0.17899999999999999</c:v>
                </c:pt>
                <c:pt idx="10">
                  <c:v>0.17799999999999999</c:v>
                </c:pt>
                <c:pt idx="11">
                  <c:v>0.183</c:v>
                </c:pt>
                <c:pt idx="12">
                  <c:v>0.191</c:v>
                </c:pt>
                <c:pt idx="13">
                  <c:v>0.191</c:v>
                </c:pt>
                <c:pt idx="14">
                  <c:v>0.191</c:v>
                </c:pt>
                <c:pt idx="15">
                  <c:v>0.19</c:v>
                </c:pt>
                <c:pt idx="16">
                  <c:v>0.18</c:v>
                </c:pt>
                <c:pt idx="17">
                  <c:v>0.153</c:v>
                </c:pt>
                <c:pt idx="18">
                  <c:v>0.13800000000000001</c:v>
                </c:pt>
                <c:pt idx="19">
                  <c:v>0.13400000000000001</c:v>
                </c:pt>
                <c:pt idx="20">
                  <c:v>0.129</c:v>
                </c:pt>
                <c:pt idx="21">
                  <c:v>0.11899999999999999</c:v>
                </c:pt>
                <c:pt idx="22">
                  <c:v>0.113</c:v>
                </c:pt>
                <c:pt idx="23">
                  <c:v>0.107</c:v>
                </c:pt>
                <c:pt idx="24">
                  <c:v>0.10299999999999999</c:v>
                </c:pt>
                <c:pt idx="25">
                  <c:v>9.7000000000000003E-2</c:v>
                </c:pt>
                <c:pt idx="26">
                  <c:v>9.2999999999999999E-2</c:v>
                </c:pt>
                <c:pt idx="27">
                  <c:v>8.8999999999999996E-2</c:v>
                </c:pt>
                <c:pt idx="28">
                  <c:v>8.5999999999999993E-2</c:v>
                </c:pt>
                <c:pt idx="29">
                  <c:v>8.2000000000000003E-2</c:v>
                </c:pt>
                <c:pt idx="30">
                  <c:v>7.9000000000000001E-2</c:v>
                </c:pt>
                <c:pt idx="31">
                  <c:v>7.6999999999999999E-2</c:v>
                </c:pt>
                <c:pt idx="32">
                  <c:v>7.5999999999999998E-2</c:v>
                </c:pt>
                <c:pt idx="33">
                  <c:v>7.5999999999999998E-2</c:v>
                </c:pt>
                <c:pt idx="34">
                  <c:v>7.5999999999999998E-2</c:v>
                </c:pt>
                <c:pt idx="35">
                  <c:v>7.5999999999999998E-2</c:v>
                </c:pt>
                <c:pt idx="36">
                  <c:v>7.5999999999999998E-2</c:v>
                </c:pt>
                <c:pt idx="37">
                  <c:v>7.5999999999999998E-2</c:v>
                </c:pt>
                <c:pt idx="38">
                  <c:v>7.5999999999999998E-2</c:v>
                </c:pt>
                <c:pt idx="39">
                  <c:v>7.5999999999999998E-2</c:v>
                </c:pt>
                <c:pt idx="40">
                  <c:v>7.5999999999999998E-2</c:v>
                </c:pt>
                <c:pt idx="41">
                  <c:v>7.5999999999999998E-2</c:v>
                </c:pt>
                <c:pt idx="42">
                  <c:v>7.5999999999999998E-2</c:v>
                </c:pt>
                <c:pt idx="43">
                  <c:v>7.5999999999999998E-2</c:v>
                </c:pt>
                <c:pt idx="44">
                  <c:v>7.5999999999999998E-2</c:v>
                </c:pt>
                <c:pt idx="45">
                  <c:v>7.5999999999999998E-2</c:v>
                </c:pt>
                <c:pt idx="46">
                  <c:v>7.5999999999999998E-2</c:v>
                </c:pt>
                <c:pt idx="47">
                  <c:v>7.5999999999999998E-2</c:v>
                </c:pt>
                <c:pt idx="48">
                  <c:v>7.5999999999999998E-2</c:v>
                </c:pt>
                <c:pt idx="49">
                  <c:v>7.5999999999999998E-2</c:v>
                </c:pt>
                <c:pt idx="50">
                  <c:v>7.5999999999999998E-2</c:v>
                </c:pt>
                <c:pt idx="51">
                  <c:v>7.5999999999999998E-2</c:v>
                </c:pt>
                <c:pt idx="52">
                  <c:v>7.5999999999999998E-2</c:v>
                </c:pt>
                <c:pt idx="53">
                  <c:v>7.5999999999999998E-2</c:v>
                </c:pt>
              </c:numCache>
            </c:numRef>
          </c:yVal>
          <c:smooth val="0"/>
          <c:extLst>
            <c:ext xmlns:c16="http://schemas.microsoft.com/office/drawing/2014/chart" uri="{C3380CC4-5D6E-409C-BE32-E72D297353CC}">
              <c16:uniqueId val="{00000001-84CE-450D-8603-F0F15BEBE75F}"/>
            </c:ext>
          </c:extLst>
        </c:ser>
        <c:ser>
          <c:idx val="2"/>
          <c:order val="2"/>
          <c:tx>
            <c:strRef>
              <c:f>一般工址Kz!$S$42</c:f>
              <c:strCache>
                <c:ptCount val="1"/>
                <c:pt idx="0">
                  <c:v>I(SaM/FuM)m/1.4αy</c:v>
                </c:pt>
              </c:strCache>
            </c:strRef>
          </c:tx>
          <c:marker>
            <c:symbol val="none"/>
          </c:marker>
          <c:xVal>
            <c:numRef>
              <c:f>一般工址Kz!$B$43:$B$96</c:f>
              <c:numCache>
                <c:formatCode>0.0000_ </c:formatCode>
                <c:ptCount val="54"/>
                <c:pt idx="0">
                  <c:v>1E-3</c:v>
                </c:pt>
                <c:pt idx="1">
                  <c:v>8.9300000000000004E-2</c:v>
                </c:pt>
                <c:pt idx="2">
                  <c:v>0.1125</c:v>
                </c:pt>
                <c:pt idx="3">
                  <c:v>0.11260000000000001</c:v>
                </c:pt>
                <c:pt idx="4">
                  <c:v>0.1193</c:v>
                </c:pt>
                <c:pt idx="5">
                  <c:v>0.16600000000000001</c:v>
                </c:pt>
                <c:pt idx="6">
                  <c:v>0.2</c:v>
                </c:pt>
                <c:pt idx="7">
                  <c:v>0.33749999999999997</c:v>
                </c:pt>
                <c:pt idx="8">
                  <c:v>0.33789999999999998</c:v>
                </c:pt>
                <c:pt idx="9">
                  <c:v>0.36099999999999999</c:v>
                </c:pt>
                <c:pt idx="10">
                  <c:v>0.35780000000000001</c:v>
                </c:pt>
                <c:pt idx="11">
                  <c:v>0.4</c:v>
                </c:pt>
                <c:pt idx="12">
                  <c:v>0.46700000000000003</c:v>
                </c:pt>
                <c:pt idx="13">
                  <c:v>0.499</c:v>
                </c:pt>
                <c:pt idx="14">
                  <c:v>0.5625</c:v>
                </c:pt>
                <c:pt idx="15">
                  <c:v>0.56320000000000003</c:v>
                </c:pt>
                <c:pt idx="16">
                  <c:v>0.59630000000000005</c:v>
                </c:pt>
                <c:pt idx="17">
                  <c:v>0.7</c:v>
                </c:pt>
                <c:pt idx="18">
                  <c:v>0.77800000000000002</c:v>
                </c:pt>
                <c:pt idx="19">
                  <c:v>0.8</c:v>
                </c:pt>
                <c:pt idx="20">
                  <c:v>0.83099999999999996</c:v>
                </c:pt>
                <c:pt idx="21">
                  <c:v>0.9</c:v>
                </c:pt>
                <c:pt idx="22">
                  <c:v>0.95</c:v>
                </c:pt>
                <c:pt idx="23">
                  <c:v>1</c:v>
                </c:pt>
                <c:pt idx="24">
                  <c:v>1.0371999999999999</c:v>
                </c:pt>
                <c:pt idx="25">
                  <c:v>1.1000000000000001</c:v>
                </c:pt>
                <c:pt idx="26">
                  <c:v>1.1499999999999999</c:v>
                </c:pt>
                <c:pt idx="27">
                  <c:v>1.2101</c:v>
                </c:pt>
                <c:pt idx="28">
                  <c:v>1.25</c:v>
                </c:pt>
                <c:pt idx="29">
                  <c:v>1.3</c:v>
                </c:pt>
                <c:pt idx="30">
                  <c:v>1.35</c:v>
                </c:pt>
                <c:pt idx="31">
                  <c:v>1.3847</c:v>
                </c:pt>
                <c:pt idx="32">
                  <c:v>1.45</c:v>
                </c:pt>
                <c:pt idx="33">
                  <c:v>1.5</c:v>
                </c:pt>
                <c:pt idx="34">
                  <c:v>1.55</c:v>
                </c:pt>
                <c:pt idx="35">
                  <c:v>1.6</c:v>
                </c:pt>
                <c:pt idx="36">
                  <c:v>1.65</c:v>
                </c:pt>
                <c:pt idx="37">
                  <c:v>1.7</c:v>
                </c:pt>
                <c:pt idx="38">
                  <c:v>1.75</c:v>
                </c:pt>
                <c:pt idx="39">
                  <c:v>1.8</c:v>
                </c:pt>
                <c:pt idx="40">
                  <c:v>1.85</c:v>
                </c:pt>
                <c:pt idx="41">
                  <c:v>1.9</c:v>
                </c:pt>
                <c:pt idx="42">
                  <c:v>1.9450000000000001</c:v>
                </c:pt>
                <c:pt idx="43">
                  <c:v>2</c:v>
                </c:pt>
                <c:pt idx="44">
                  <c:v>2.0779999999999998</c:v>
                </c:pt>
                <c:pt idx="45">
                  <c:v>2.1</c:v>
                </c:pt>
                <c:pt idx="46">
                  <c:v>2.15</c:v>
                </c:pt>
                <c:pt idx="47">
                  <c:v>2.2000000000000002</c:v>
                </c:pt>
                <c:pt idx="48">
                  <c:v>2.25</c:v>
                </c:pt>
                <c:pt idx="49">
                  <c:v>2.2999999999999998</c:v>
                </c:pt>
                <c:pt idx="50">
                  <c:v>2.35</c:v>
                </c:pt>
                <c:pt idx="51">
                  <c:v>2.4</c:v>
                </c:pt>
                <c:pt idx="52">
                  <c:v>2.4500000000000002</c:v>
                </c:pt>
                <c:pt idx="53">
                  <c:v>2.5</c:v>
                </c:pt>
              </c:numCache>
            </c:numRef>
          </c:xVal>
          <c:yVal>
            <c:numRef>
              <c:f>一般工址Kz!$S$43:$S$96</c:f>
              <c:numCache>
                <c:formatCode>0.000_ </c:formatCode>
                <c:ptCount val="54"/>
                <c:pt idx="0">
                  <c:v>0.26400000000000001</c:v>
                </c:pt>
                <c:pt idx="1">
                  <c:v>0.25700000000000001</c:v>
                </c:pt>
                <c:pt idx="2">
                  <c:v>0.25600000000000001</c:v>
                </c:pt>
                <c:pt idx="3">
                  <c:v>0.25600000000000001</c:v>
                </c:pt>
                <c:pt idx="4">
                  <c:v>0.25600000000000001</c:v>
                </c:pt>
                <c:pt idx="5">
                  <c:v>0.25600000000000001</c:v>
                </c:pt>
                <c:pt idx="6">
                  <c:v>0.25600000000000001</c:v>
                </c:pt>
                <c:pt idx="7">
                  <c:v>0.25600000000000001</c:v>
                </c:pt>
                <c:pt idx="8">
                  <c:v>0.25600000000000001</c:v>
                </c:pt>
                <c:pt idx="9">
                  <c:v>0.255</c:v>
                </c:pt>
                <c:pt idx="10">
                  <c:v>0.25600000000000001</c:v>
                </c:pt>
                <c:pt idx="11">
                  <c:v>0.24299999999999999</c:v>
                </c:pt>
                <c:pt idx="12">
                  <c:v>0.22700000000000001</c:v>
                </c:pt>
                <c:pt idx="13">
                  <c:v>0.22</c:v>
                </c:pt>
                <c:pt idx="14">
                  <c:v>0.20399999999999999</c:v>
                </c:pt>
                <c:pt idx="15">
                  <c:v>0.20399999999999999</c:v>
                </c:pt>
                <c:pt idx="16">
                  <c:v>0.19500000000000001</c:v>
                </c:pt>
                <c:pt idx="17">
                  <c:v>0.16600000000000001</c:v>
                </c:pt>
                <c:pt idx="18">
                  <c:v>0.14899999999999999</c:v>
                </c:pt>
                <c:pt idx="19">
                  <c:v>0.14499999999999999</c:v>
                </c:pt>
                <c:pt idx="20">
                  <c:v>0.14000000000000001</c:v>
                </c:pt>
                <c:pt idx="21">
                  <c:v>0.129</c:v>
                </c:pt>
                <c:pt idx="22">
                  <c:v>0.122</c:v>
                </c:pt>
                <c:pt idx="23">
                  <c:v>0.11600000000000001</c:v>
                </c:pt>
                <c:pt idx="24">
                  <c:v>0.112</c:v>
                </c:pt>
                <c:pt idx="25">
                  <c:v>0.106</c:v>
                </c:pt>
                <c:pt idx="26">
                  <c:v>0.10100000000000001</c:v>
                </c:pt>
                <c:pt idx="27">
                  <c:v>9.6000000000000002E-2</c:v>
                </c:pt>
                <c:pt idx="28">
                  <c:v>9.2999999999999999E-2</c:v>
                </c:pt>
                <c:pt idx="29">
                  <c:v>8.8999999999999996E-2</c:v>
                </c:pt>
                <c:pt idx="30">
                  <c:v>8.5999999999999993E-2</c:v>
                </c:pt>
                <c:pt idx="31">
                  <c:v>8.4000000000000005E-2</c:v>
                </c:pt>
                <c:pt idx="32">
                  <c:v>0.08</c:v>
                </c:pt>
                <c:pt idx="33">
                  <c:v>7.8E-2</c:v>
                </c:pt>
                <c:pt idx="34">
                  <c:v>7.8E-2</c:v>
                </c:pt>
                <c:pt idx="35">
                  <c:v>7.8E-2</c:v>
                </c:pt>
                <c:pt idx="36">
                  <c:v>7.8E-2</c:v>
                </c:pt>
                <c:pt idx="37">
                  <c:v>7.8E-2</c:v>
                </c:pt>
                <c:pt idx="38">
                  <c:v>7.8E-2</c:v>
                </c:pt>
                <c:pt idx="39">
                  <c:v>7.8E-2</c:v>
                </c:pt>
                <c:pt idx="40">
                  <c:v>7.8E-2</c:v>
                </c:pt>
                <c:pt idx="41">
                  <c:v>7.8E-2</c:v>
                </c:pt>
                <c:pt idx="42">
                  <c:v>7.8E-2</c:v>
                </c:pt>
                <c:pt idx="43">
                  <c:v>7.8E-2</c:v>
                </c:pt>
                <c:pt idx="44">
                  <c:v>7.8E-2</c:v>
                </c:pt>
                <c:pt idx="45">
                  <c:v>7.8E-2</c:v>
                </c:pt>
                <c:pt idx="46">
                  <c:v>7.8E-2</c:v>
                </c:pt>
                <c:pt idx="47">
                  <c:v>7.8E-2</c:v>
                </c:pt>
                <c:pt idx="48">
                  <c:v>7.8E-2</c:v>
                </c:pt>
                <c:pt idx="49">
                  <c:v>7.8E-2</c:v>
                </c:pt>
                <c:pt idx="50">
                  <c:v>7.8E-2</c:v>
                </c:pt>
                <c:pt idx="51">
                  <c:v>7.8E-2</c:v>
                </c:pt>
                <c:pt idx="52">
                  <c:v>7.8E-2</c:v>
                </c:pt>
                <c:pt idx="53">
                  <c:v>7.8E-2</c:v>
                </c:pt>
              </c:numCache>
            </c:numRef>
          </c:yVal>
          <c:smooth val="0"/>
          <c:extLst>
            <c:ext xmlns:c16="http://schemas.microsoft.com/office/drawing/2014/chart" uri="{C3380CC4-5D6E-409C-BE32-E72D297353CC}">
              <c16:uniqueId val="{00000002-84CE-450D-8603-F0F15BEBE75F}"/>
            </c:ext>
          </c:extLst>
        </c:ser>
        <c:dLbls>
          <c:showLegendKey val="0"/>
          <c:showVal val="0"/>
          <c:showCatName val="0"/>
          <c:showSerName val="0"/>
          <c:showPercent val="0"/>
          <c:showBubbleSize val="0"/>
        </c:dLbls>
        <c:axId val="199053824"/>
        <c:axId val="199054400"/>
      </c:scatterChart>
      <c:valAx>
        <c:axId val="199053824"/>
        <c:scaling>
          <c:orientation val="minMax"/>
          <c:max val="2.5"/>
        </c:scaling>
        <c:delete val="0"/>
        <c:axPos val="b"/>
        <c:minorGridlines/>
        <c:title>
          <c:tx>
            <c:rich>
              <a:bodyPr/>
              <a:lstStyle/>
              <a:p>
                <a:pPr>
                  <a:defRPr sz="1400"/>
                </a:pPr>
                <a:r>
                  <a:rPr lang="en-US" altLang="zh-TW" sz="1400"/>
                  <a:t>T (sec)</a:t>
                </a:r>
                <a:endParaRPr lang="zh-TW" altLang="en-US" sz="1400"/>
              </a:p>
            </c:rich>
          </c:tx>
          <c:overlay val="0"/>
        </c:title>
        <c:numFmt formatCode="0.0_ " sourceLinked="0"/>
        <c:majorTickMark val="out"/>
        <c:minorTickMark val="in"/>
        <c:tickLblPos val="nextTo"/>
        <c:txPr>
          <a:bodyPr rot="0" vert="horz"/>
          <a:lstStyle/>
          <a:p>
            <a:pPr>
              <a:defRPr sz="1000" b="0" i="0" u="none" strike="noStrike" baseline="0">
                <a:solidFill>
                  <a:srgbClr val="000000"/>
                </a:solidFill>
                <a:latin typeface="新細明體"/>
                <a:ea typeface="新細明體"/>
                <a:cs typeface="新細明體"/>
              </a:defRPr>
            </a:pPr>
            <a:endParaRPr lang="zh-TW"/>
          </a:p>
        </c:txPr>
        <c:crossAx val="199054400"/>
        <c:crosses val="autoZero"/>
        <c:crossBetween val="midCat"/>
        <c:minorUnit val="0.1"/>
      </c:valAx>
      <c:valAx>
        <c:axId val="199054400"/>
        <c:scaling>
          <c:orientation val="minMax"/>
        </c:scaling>
        <c:delete val="0"/>
        <c:axPos val="l"/>
        <c:majorGridlines/>
        <c:numFmt formatCode="0.00_ " sourceLinked="0"/>
        <c:majorTickMark val="out"/>
        <c:minorTickMark val="none"/>
        <c:tickLblPos val="nextTo"/>
        <c:crossAx val="199053824"/>
        <c:crosses val="autoZero"/>
        <c:crossBetween val="midCat"/>
      </c:valAx>
    </c:plotArea>
    <c:legend>
      <c:legendPos val="r"/>
      <c:layout>
        <c:manualLayout>
          <c:xMode val="edge"/>
          <c:yMode val="edge"/>
          <c:x val="0.59872135124974823"/>
          <c:y val="7.2791224260336296E-2"/>
          <c:w val="0.35190586440543137"/>
          <c:h val="0.23639457149871268"/>
        </c:manualLayout>
      </c:layout>
      <c:overlay val="1"/>
      <c:txPr>
        <a:bodyPr/>
        <a:lstStyle/>
        <a:p>
          <a:pPr>
            <a:defRPr sz="1400"/>
          </a:pPr>
          <a:endParaRPr lang="zh-TW"/>
        </a:p>
      </c:txPr>
    </c:legend>
    <c:plotVisOnly val="1"/>
    <c:dispBlanksAs val="gap"/>
    <c:showDLblsOverMax val="0"/>
  </c:chart>
  <c:printSettings>
    <c:headerFooter/>
    <c:pageMargins b="0.75000000000000433" l="0.70000000000000062" r="0.70000000000000062" t="0.75000000000000433" header="0.30000000000000032" footer="0.30000000000000032"/>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8927686640829972E-2"/>
          <c:y val="1.5392568897843061E-2"/>
          <c:w val="0.92341518682829926"/>
          <c:h val="0.82378366590685559"/>
        </c:manualLayout>
      </c:layout>
      <c:scatterChart>
        <c:scatterStyle val="lineMarker"/>
        <c:varyColors val="0"/>
        <c:ser>
          <c:idx val="0"/>
          <c:order val="0"/>
          <c:tx>
            <c:strRef>
              <c:f>一般工址Kz!$C$42</c:f>
              <c:strCache>
                <c:ptCount val="1"/>
                <c:pt idx="0">
                  <c:v>FuD</c:v>
                </c:pt>
              </c:strCache>
            </c:strRef>
          </c:tx>
          <c:marker>
            <c:symbol val="none"/>
          </c:marker>
          <c:xVal>
            <c:numRef>
              <c:f>一般工址Kz!$B$43:$B$96</c:f>
              <c:numCache>
                <c:formatCode>0.0000_ </c:formatCode>
                <c:ptCount val="54"/>
                <c:pt idx="0">
                  <c:v>1E-3</c:v>
                </c:pt>
                <c:pt idx="1">
                  <c:v>8.9300000000000004E-2</c:v>
                </c:pt>
                <c:pt idx="2">
                  <c:v>0.1125</c:v>
                </c:pt>
                <c:pt idx="3">
                  <c:v>0.11260000000000001</c:v>
                </c:pt>
                <c:pt idx="4">
                  <c:v>0.1193</c:v>
                </c:pt>
                <c:pt idx="5">
                  <c:v>0.16600000000000001</c:v>
                </c:pt>
                <c:pt idx="6">
                  <c:v>0.2</c:v>
                </c:pt>
                <c:pt idx="7">
                  <c:v>0.33749999999999997</c:v>
                </c:pt>
                <c:pt idx="8">
                  <c:v>0.33789999999999998</c:v>
                </c:pt>
                <c:pt idx="9">
                  <c:v>0.36099999999999999</c:v>
                </c:pt>
                <c:pt idx="10">
                  <c:v>0.35780000000000001</c:v>
                </c:pt>
                <c:pt idx="11">
                  <c:v>0.4</c:v>
                </c:pt>
                <c:pt idx="12">
                  <c:v>0.46700000000000003</c:v>
                </c:pt>
                <c:pt idx="13">
                  <c:v>0.499</c:v>
                </c:pt>
                <c:pt idx="14">
                  <c:v>0.5625</c:v>
                </c:pt>
                <c:pt idx="15">
                  <c:v>0.56320000000000003</c:v>
                </c:pt>
                <c:pt idx="16">
                  <c:v>0.59630000000000005</c:v>
                </c:pt>
                <c:pt idx="17">
                  <c:v>0.7</c:v>
                </c:pt>
                <c:pt idx="18">
                  <c:v>0.77800000000000002</c:v>
                </c:pt>
                <c:pt idx="19">
                  <c:v>0.8</c:v>
                </c:pt>
                <c:pt idx="20">
                  <c:v>0.83099999999999996</c:v>
                </c:pt>
                <c:pt idx="21">
                  <c:v>0.9</c:v>
                </c:pt>
                <c:pt idx="22">
                  <c:v>0.95</c:v>
                </c:pt>
                <c:pt idx="23">
                  <c:v>1</c:v>
                </c:pt>
                <c:pt idx="24">
                  <c:v>1.0371999999999999</c:v>
                </c:pt>
                <c:pt idx="25">
                  <c:v>1.1000000000000001</c:v>
                </c:pt>
                <c:pt idx="26">
                  <c:v>1.1499999999999999</c:v>
                </c:pt>
                <c:pt idx="27">
                  <c:v>1.2101</c:v>
                </c:pt>
                <c:pt idx="28">
                  <c:v>1.25</c:v>
                </c:pt>
                <c:pt idx="29">
                  <c:v>1.3</c:v>
                </c:pt>
                <c:pt idx="30">
                  <c:v>1.35</c:v>
                </c:pt>
                <c:pt idx="31">
                  <c:v>1.3847</c:v>
                </c:pt>
                <c:pt idx="32">
                  <c:v>1.45</c:v>
                </c:pt>
                <c:pt idx="33">
                  <c:v>1.5</c:v>
                </c:pt>
                <c:pt idx="34">
                  <c:v>1.55</c:v>
                </c:pt>
                <c:pt idx="35">
                  <c:v>1.6</c:v>
                </c:pt>
                <c:pt idx="36">
                  <c:v>1.65</c:v>
                </c:pt>
                <c:pt idx="37">
                  <c:v>1.7</c:v>
                </c:pt>
                <c:pt idx="38">
                  <c:v>1.75</c:v>
                </c:pt>
                <c:pt idx="39">
                  <c:v>1.8</c:v>
                </c:pt>
                <c:pt idx="40">
                  <c:v>1.85</c:v>
                </c:pt>
                <c:pt idx="41">
                  <c:v>1.9</c:v>
                </c:pt>
                <c:pt idx="42">
                  <c:v>1.9450000000000001</c:v>
                </c:pt>
                <c:pt idx="43">
                  <c:v>2</c:v>
                </c:pt>
                <c:pt idx="44">
                  <c:v>2.0779999999999998</c:v>
                </c:pt>
                <c:pt idx="45">
                  <c:v>2.1</c:v>
                </c:pt>
                <c:pt idx="46">
                  <c:v>2.15</c:v>
                </c:pt>
                <c:pt idx="47">
                  <c:v>2.2000000000000002</c:v>
                </c:pt>
                <c:pt idx="48">
                  <c:v>2.25</c:v>
                </c:pt>
                <c:pt idx="49">
                  <c:v>2.2999999999999998</c:v>
                </c:pt>
                <c:pt idx="50">
                  <c:v>2.35</c:v>
                </c:pt>
                <c:pt idx="51">
                  <c:v>2.4</c:v>
                </c:pt>
                <c:pt idx="52">
                  <c:v>2.4500000000000002</c:v>
                </c:pt>
                <c:pt idx="53">
                  <c:v>2.5</c:v>
                </c:pt>
              </c:numCache>
            </c:numRef>
          </c:xVal>
          <c:yVal>
            <c:numRef>
              <c:f>一般工址Kz!$C$43:$C$96</c:f>
              <c:numCache>
                <c:formatCode>0.000_ </c:formatCode>
                <c:ptCount val="54"/>
                <c:pt idx="0">
                  <c:v>1.0109999999999999</c:v>
                </c:pt>
                <c:pt idx="1">
                  <c:v>1.98</c:v>
                </c:pt>
                <c:pt idx="2">
                  <c:v>2.2349999999999999</c:v>
                </c:pt>
                <c:pt idx="3">
                  <c:v>2.2360000000000002</c:v>
                </c:pt>
                <c:pt idx="4">
                  <c:v>2.2360000000000002</c:v>
                </c:pt>
                <c:pt idx="5">
                  <c:v>2.2360000000000002</c:v>
                </c:pt>
                <c:pt idx="6">
                  <c:v>2.2360000000000002</c:v>
                </c:pt>
                <c:pt idx="7">
                  <c:v>2.2360000000000002</c:v>
                </c:pt>
                <c:pt idx="8">
                  <c:v>2.2360000000000002</c:v>
                </c:pt>
                <c:pt idx="9">
                  <c:v>2.3140000000000001</c:v>
                </c:pt>
                <c:pt idx="10">
                  <c:v>2.3039999999999998</c:v>
                </c:pt>
                <c:pt idx="11">
                  <c:v>2.4470000000000001</c:v>
                </c:pt>
                <c:pt idx="12">
                  <c:v>2.6739999999999999</c:v>
                </c:pt>
                <c:pt idx="13">
                  <c:v>2.782</c:v>
                </c:pt>
                <c:pt idx="14">
                  <c:v>2.9980000000000002</c:v>
                </c:pt>
                <c:pt idx="15">
                  <c:v>3</c:v>
                </c:pt>
                <c:pt idx="16">
                  <c:v>3</c:v>
                </c:pt>
                <c:pt idx="17">
                  <c:v>3</c:v>
                </c:pt>
                <c:pt idx="18">
                  <c:v>3</c:v>
                </c:pt>
                <c:pt idx="19">
                  <c:v>3</c:v>
                </c:pt>
                <c:pt idx="20">
                  <c:v>3</c:v>
                </c:pt>
                <c:pt idx="21">
                  <c:v>3</c:v>
                </c:pt>
                <c:pt idx="22">
                  <c:v>3</c:v>
                </c:pt>
                <c:pt idx="23">
                  <c:v>3</c:v>
                </c:pt>
                <c:pt idx="24">
                  <c:v>3</c:v>
                </c:pt>
                <c:pt idx="25">
                  <c:v>3</c:v>
                </c:pt>
                <c:pt idx="26">
                  <c:v>3</c:v>
                </c:pt>
                <c:pt idx="27">
                  <c:v>3</c:v>
                </c:pt>
                <c:pt idx="28">
                  <c:v>3</c:v>
                </c:pt>
                <c:pt idx="29">
                  <c:v>3</c:v>
                </c:pt>
                <c:pt idx="30">
                  <c:v>3</c:v>
                </c:pt>
                <c:pt idx="31">
                  <c:v>3</c:v>
                </c:pt>
                <c:pt idx="32">
                  <c:v>3</c:v>
                </c:pt>
                <c:pt idx="33">
                  <c:v>3</c:v>
                </c:pt>
                <c:pt idx="34">
                  <c:v>3</c:v>
                </c:pt>
                <c:pt idx="35">
                  <c:v>3</c:v>
                </c:pt>
                <c:pt idx="36">
                  <c:v>3</c:v>
                </c:pt>
                <c:pt idx="37">
                  <c:v>3</c:v>
                </c:pt>
                <c:pt idx="38">
                  <c:v>3</c:v>
                </c:pt>
                <c:pt idx="39">
                  <c:v>3</c:v>
                </c:pt>
                <c:pt idx="40">
                  <c:v>3</c:v>
                </c:pt>
                <c:pt idx="41">
                  <c:v>3</c:v>
                </c:pt>
                <c:pt idx="42">
                  <c:v>3</c:v>
                </c:pt>
                <c:pt idx="43">
                  <c:v>3</c:v>
                </c:pt>
                <c:pt idx="44">
                  <c:v>3</c:v>
                </c:pt>
                <c:pt idx="45">
                  <c:v>3</c:v>
                </c:pt>
                <c:pt idx="46">
                  <c:v>3</c:v>
                </c:pt>
                <c:pt idx="47">
                  <c:v>3</c:v>
                </c:pt>
                <c:pt idx="48">
                  <c:v>3</c:v>
                </c:pt>
                <c:pt idx="49">
                  <c:v>3</c:v>
                </c:pt>
                <c:pt idx="50">
                  <c:v>3</c:v>
                </c:pt>
                <c:pt idx="51">
                  <c:v>3</c:v>
                </c:pt>
                <c:pt idx="52">
                  <c:v>3</c:v>
                </c:pt>
                <c:pt idx="53">
                  <c:v>3</c:v>
                </c:pt>
              </c:numCache>
            </c:numRef>
          </c:yVal>
          <c:smooth val="0"/>
          <c:extLst>
            <c:ext xmlns:c16="http://schemas.microsoft.com/office/drawing/2014/chart" uri="{C3380CC4-5D6E-409C-BE32-E72D297353CC}">
              <c16:uniqueId val="{00000000-4549-4B15-8223-34B2606CC0BD}"/>
            </c:ext>
          </c:extLst>
        </c:ser>
        <c:ser>
          <c:idx val="1"/>
          <c:order val="1"/>
          <c:tx>
            <c:strRef>
              <c:f>一般工址Kz!$O$42</c:f>
              <c:strCache>
                <c:ptCount val="1"/>
                <c:pt idx="0">
                  <c:v>FuM</c:v>
                </c:pt>
              </c:strCache>
            </c:strRef>
          </c:tx>
          <c:marker>
            <c:symbol val="none"/>
          </c:marker>
          <c:xVal>
            <c:numRef>
              <c:f>一般工址Kz!$B$43:$B$96</c:f>
              <c:numCache>
                <c:formatCode>0.0000_ </c:formatCode>
                <c:ptCount val="54"/>
                <c:pt idx="0">
                  <c:v>1E-3</c:v>
                </c:pt>
                <c:pt idx="1">
                  <c:v>8.9300000000000004E-2</c:v>
                </c:pt>
                <c:pt idx="2">
                  <c:v>0.1125</c:v>
                </c:pt>
                <c:pt idx="3">
                  <c:v>0.11260000000000001</c:v>
                </c:pt>
                <c:pt idx="4">
                  <c:v>0.1193</c:v>
                </c:pt>
                <c:pt idx="5">
                  <c:v>0.16600000000000001</c:v>
                </c:pt>
                <c:pt idx="6">
                  <c:v>0.2</c:v>
                </c:pt>
                <c:pt idx="7">
                  <c:v>0.33749999999999997</c:v>
                </c:pt>
                <c:pt idx="8">
                  <c:v>0.33789999999999998</c:v>
                </c:pt>
                <c:pt idx="9">
                  <c:v>0.36099999999999999</c:v>
                </c:pt>
                <c:pt idx="10">
                  <c:v>0.35780000000000001</c:v>
                </c:pt>
                <c:pt idx="11">
                  <c:v>0.4</c:v>
                </c:pt>
                <c:pt idx="12">
                  <c:v>0.46700000000000003</c:v>
                </c:pt>
                <c:pt idx="13">
                  <c:v>0.499</c:v>
                </c:pt>
                <c:pt idx="14">
                  <c:v>0.5625</c:v>
                </c:pt>
                <c:pt idx="15">
                  <c:v>0.56320000000000003</c:v>
                </c:pt>
                <c:pt idx="16">
                  <c:v>0.59630000000000005</c:v>
                </c:pt>
                <c:pt idx="17">
                  <c:v>0.7</c:v>
                </c:pt>
                <c:pt idx="18">
                  <c:v>0.77800000000000002</c:v>
                </c:pt>
                <c:pt idx="19">
                  <c:v>0.8</c:v>
                </c:pt>
                <c:pt idx="20">
                  <c:v>0.83099999999999996</c:v>
                </c:pt>
                <c:pt idx="21">
                  <c:v>0.9</c:v>
                </c:pt>
                <c:pt idx="22">
                  <c:v>0.95</c:v>
                </c:pt>
                <c:pt idx="23">
                  <c:v>1</c:v>
                </c:pt>
                <c:pt idx="24">
                  <c:v>1.0371999999999999</c:v>
                </c:pt>
                <c:pt idx="25">
                  <c:v>1.1000000000000001</c:v>
                </c:pt>
                <c:pt idx="26">
                  <c:v>1.1499999999999999</c:v>
                </c:pt>
                <c:pt idx="27">
                  <c:v>1.2101</c:v>
                </c:pt>
                <c:pt idx="28">
                  <c:v>1.25</c:v>
                </c:pt>
                <c:pt idx="29">
                  <c:v>1.3</c:v>
                </c:pt>
                <c:pt idx="30">
                  <c:v>1.35</c:v>
                </c:pt>
                <c:pt idx="31">
                  <c:v>1.3847</c:v>
                </c:pt>
                <c:pt idx="32">
                  <c:v>1.45</c:v>
                </c:pt>
                <c:pt idx="33">
                  <c:v>1.5</c:v>
                </c:pt>
                <c:pt idx="34">
                  <c:v>1.55</c:v>
                </c:pt>
                <c:pt idx="35">
                  <c:v>1.6</c:v>
                </c:pt>
                <c:pt idx="36">
                  <c:v>1.65</c:v>
                </c:pt>
                <c:pt idx="37">
                  <c:v>1.7</c:v>
                </c:pt>
                <c:pt idx="38">
                  <c:v>1.75</c:v>
                </c:pt>
                <c:pt idx="39">
                  <c:v>1.8</c:v>
                </c:pt>
                <c:pt idx="40">
                  <c:v>1.85</c:v>
                </c:pt>
                <c:pt idx="41">
                  <c:v>1.9</c:v>
                </c:pt>
                <c:pt idx="42">
                  <c:v>1.9450000000000001</c:v>
                </c:pt>
                <c:pt idx="43">
                  <c:v>2</c:v>
                </c:pt>
                <c:pt idx="44">
                  <c:v>2.0779999999999998</c:v>
                </c:pt>
                <c:pt idx="45">
                  <c:v>2.1</c:v>
                </c:pt>
                <c:pt idx="46">
                  <c:v>2.15</c:v>
                </c:pt>
                <c:pt idx="47">
                  <c:v>2.2000000000000002</c:v>
                </c:pt>
                <c:pt idx="48">
                  <c:v>2.25</c:v>
                </c:pt>
                <c:pt idx="49">
                  <c:v>2.2999999999999998</c:v>
                </c:pt>
                <c:pt idx="50">
                  <c:v>2.35</c:v>
                </c:pt>
                <c:pt idx="51">
                  <c:v>2.4</c:v>
                </c:pt>
                <c:pt idx="52">
                  <c:v>2.4500000000000002</c:v>
                </c:pt>
                <c:pt idx="53">
                  <c:v>2.5</c:v>
                </c:pt>
              </c:numCache>
            </c:numRef>
          </c:xVal>
          <c:yVal>
            <c:numRef>
              <c:f>一般工址Kz!$O$43:$O$96</c:f>
              <c:numCache>
                <c:formatCode>0.000_ </c:formatCode>
                <c:ptCount val="54"/>
                <c:pt idx="0">
                  <c:v>1.014</c:v>
                </c:pt>
                <c:pt idx="1">
                  <c:v>2.2320000000000002</c:v>
                </c:pt>
                <c:pt idx="2">
                  <c:v>2.552</c:v>
                </c:pt>
                <c:pt idx="3">
                  <c:v>2.5529999999999999</c:v>
                </c:pt>
                <c:pt idx="4">
                  <c:v>2.6459999999999999</c:v>
                </c:pt>
                <c:pt idx="5">
                  <c:v>2.6459999999999999</c:v>
                </c:pt>
                <c:pt idx="6">
                  <c:v>2.6459999999999999</c:v>
                </c:pt>
                <c:pt idx="7">
                  <c:v>2.6459999999999999</c:v>
                </c:pt>
                <c:pt idx="8">
                  <c:v>2.6459999999999999</c:v>
                </c:pt>
                <c:pt idx="9">
                  <c:v>2.6640000000000001</c:v>
                </c:pt>
                <c:pt idx="10">
                  <c:v>2.6459999999999999</c:v>
                </c:pt>
                <c:pt idx="11">
                  <c:v>2.8860000000000001</c:v>
                </c:pt>
                <c:pt idx="12">
                  <c:v>3.266</c:v>
                </c:pt>
                <c:pt idx="13">
                  <c:v>3.448</c:v>
                </c:pt>
                <c:pt idx="14">
                  <c:v>3.8079999999999998</c:v>
                </c:pt>
                <c:pt idx="15">
                  <c:v>3.8119999999999998</c:v>
                </c:pt>
                <c:pt idx="16">
                  <c:v>4</c:v>
                </c:pt>
                <c:pt idx="17">
                  <c:v>4</c:v>
                </c:pt>
                <c:pt idx="18">
                  <c:v>4</c:v>
                </c:pt>
                <c:pt idx="19">
                  <c:v>4</c:v>
                </c:pt>
                <c:pt idx="20">
                  <c:v>4</c:v>
                </c:pt>
                <c:pt idx="21">
                  <c:v>4</c:v>
                </c:pt>
                <c:pt idx="22">
                  <c:v>4</c:v>
                </c:pt>
                <c:pt idx="23">
                  <c:v>4</c:v>
                </c:pt>
                <c:pt idx="24">
                  <c:v>4</c:v>
                </c:pt>
                <c:pt idx="25">
                  <c:v>4</c:v>
                </c:pt>
                <c:pt idx="26">
                  <c:v>4</c:v>
                </c:pt>
                <c:pt idx="27">
                  <c:v>4</c:v>
                </c:pt>
                <c:pt idx="28">
                  <c:v>4</c:v>
                </c:pt>
                <c:pt idx="29">
                  <c:v>4</c:v>
                </c:pt>
                <c:pt idx="30">
                  <c:v>4</c:v>
                </c:pt>
                <c:pt idx="31">
                  <c:v>4</c:v>
                </c:pt>
                <c:pt idx="32">
                  <c:v>4</c:v>
                </c:pt>
                <c:pt idx="33">
                  <c:v>4</c:v>
                </c:pt>
                <c:pt idx="34">
                  <c:v>4</c:v>
                </c:pt>
                <c:pt idx="35">
                  <c:v>4</c:v>
                </c:pt>
                <c:pt idx="36">
                  <c:v>4</c:v>
                </c:pt>
                <c:pt idx="37">
                  <c:v>4</c:v>
                </c:pt>
                <c:pt idx="38">
                  <c:v>4</c:v>
                </c:pt>
                <c:pt idx="39">
                  <c:v>4</c:v>
                </c:pt>
                <c:pt idx="40">
                  <c:v>4</c:v>
                </c:pt>
                <c:pt idx="41">
                  <c:v>4</c:v>
                </c:pt>
                <c:pt idx="42">
                  <c:v>4</c:v>
                </c:pt>
                <c:pt idx="43">
                  <c:v>4</c:v>
                </c:pt>
                <c:pt idx="44">
                  <c:v>4</c:v>
                </c:pt>
                <c:pt idx="45">
                  <c:v>4</c:v>
                </c:pt>
                <c:pt idx="46">
                  <c:v>4</c:v>
                </c:pt>
                <c:pt idx="47">
                  <c:v>4</c:v>
                </c:pt>
                <c:pt idx="48">
                  <c:v>4</c:v>
                </c:pt>
                <c:pt idx="49">
                  <c:v>4</c:v>
                </c:pt>
                <c:pt idx="50">
                  <c:v>4</c:v>
                </c:pt>
                <c:pt idx="51">
                  <c:v>4</c:v>
                </c:pt>
                <c:pt idx="52">
                  <c:v>4</c:v>
                </c:pt>
                <c:pt idx="53">
                  <c:v>4</c:v>
                </c:pt>
              </c:numCache>
            </c:numRef>
          </c:yVal>
          <c:smooth val="0"/>
          <c:extLst>
            <c:ext xmlns:c16="http://schemas.microsoft.com/office/drawing/2014/chart" uri="{C3380CC4-5D6E-409C-BE32-E72D297353CC}">
              <c16:uniqueId val="{00000001-4549-4B15-8223-34B2606CC0BD}"/>
            </c:ext>
          </c:extLst>
        </c:ser>
        <c:dLbls>
          <c:showLegendKey val="0"/>
          <c:showVal val="0"/>
          <c:showCatName val="0"/>
          <c:showSerName val="0"/>
          <c:showPercent val="0"/>
          <c:showBubbleSize val="0"/>
        </c:dLbls>
        <c:axId val="199056704"/>
        <c:axId val="199073792"/>
      </c:scatterChart>
      <c:valAx>
        <c:axId val="199056704"/>
        <c:scaling>
          <c:orientation val="minMax"/>
          <c:max val="2.5"/>
        </c:scaling>
        <c:delete val="0"/>
        <c:axPos val="b"/>
        <c:minorGridlines/>
        <c:title>
          <c:tx>
            <c:rich>
              <a:bodyPr/>
              <a:lstStyle/>
              <a:p>
                <a:pPr>
                  <a:defRPr sz="1400"/>
                </a:pPr>
                <a:r>
                  <a:rPr lang="en-US" altLang="zh-TW" sz="1400"/>
                  <a:t>T (sec)</a:t>
                </a:r>
                <a:endParaRPr lang="zh-TW" altLang="en-US" sz="1400"/>
              </a:p>
            </c:rich>
          </c:tx>
          <c:overlay val="0"/>
        </c:title>
        <c:numFmt formatCode="0.0_ " sourceLinked="0"/>
        <c:majorTickMark val="out"/>
        <c:minorTickMark val="in"/>
        <c:tickLblPos val="nextTo"/>
        <c:txPr>
          <a:bodyPr rot="0" vert="horz"/>
          <a:lstStyle/>
          <a:p>
            <a:pPr>
              <a:defRPr sz="1000" b="0" i="0" u="none" strike="noStrike" baseline="0">
                <a:solidFill>
                  <a:srgbClr val="000000"/>
                </a:solidFill>
                <a:latin typeface="新細明體"/>
                <a:ea typeface="新細明體"/>
                <a:cs typeface="新細明體"/>
              </a:defRPr>
            </a:pPr>
            <a:endParaRPr lang="zh-TW"/>
          </a:p>
        </c:txPr>
        <c:crossAx val="199073792"/>
        <c:crosses val="autoZero"/>
        <c:crossBetween val="midCat"/>
        <c:minorUnit val="0.1"/>
      </c:valAx>
      <c:valAx>
        <c:axId val="199073792"/>
        <c:scaling>
          <c:orientation val="minMax"/>
        </c:scaling>
        <c:delete val="0"/>
        <c:axPos val="l"/>
        <c:majorGridlines/>
        <c:minorGridlines/>
        <c:numFmt formatCode="0.0_ " sourceLinked="0"/>
        <c:majorTickMark val="out"/>
        <c:minorTickMark val="none"/>
        <c:tickLblPos val="nextTo"/>
        <c:crossAx val="199056704"/>
        <c:crosses val="autoZero"/>
        <c:crossBetween val="midCat"/>
      </c:valAx>
    </c:plotArea>
    <c:legend>
      <c:legendPos val="r"/>
      <c:layout>
        <c:manualLayout>
          <c:xMode val="edge"/>
          <c:yMode val="edge"/>
          <c:x val="0.75948998656928446"/>
          <c:y val="0.63769227474162182"/>
          <c:w val="0.12076844929225877"/>
          <c:h val="0.16965193890823016"/>
        </c:manualLayout>
      </c:layout>
      <c:overlay val="1"/>
      <c:txPr>
        <a:bodyPr/>
        <a:lstStyle/>
        <a:p>
          <a:pPr>
            <a:defRPr sz="1400"/>
          </a:pPr>
          <a:endParaRPr lang="zh-TW"/>
        </a:p>
      </c:txPr>
    </c:legend>
    <c:plotVisOnly val="1"/>
    <c:dispBlanksAs val="gap"/>
    <c:showDLblsOverMax val="0"/>
  </c:chart>
  <c:printSettings>
    <c:headerFooter/>
    <c:pageMargins b="0.75000000000000433" l="0.70000000000000062" r="0.70000000000000062" t="0.75000000000000433" header="0.30000000000000032" footer="0.30000000000000032"/>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一般工址Kz!$P$3</c:f>
          <c:strCache>
            <c:ptCount val="1"/>
            <c:pt idx="0">
              <c:v>規範最小地震橫力係數 Cs*載重組合係數之比較 [第一類, R=4]</c:v>
            </c:pt>
          </c:strCache>
        </c:strRef>
      </c:tx>
      <c:layout>
        <c:manualLayout>
          <c:xMode val="edge"/>
          <c:yMode val="edge"/>
          <c:x val="0.14041686234690212"/>
          <c:y val="1.7710478311359846E-2"/>
        </c:manualLayout>
      </c:layout>
      <c:overlay val="0"/>
      <c:txPr>
        <a:bodyPr/>
        <a:lstStyle/>
        <a:p>
          <a:pPr>
            <a:defRPr sz="1600"/>
          </a:pPr>
          <a:endParaRPr lang="zh-TW"/>
        </a:p>
      </c:txPr>
    </c:title>
    <c:autoTitleDeleted val="0"/>
    <c:plotArea>
      <c:layout>
        <c:manualLayout>
          <c:layoutTarget val="inner"/>
          <c:xMode val="edge"/>
          <c:yMode val="edge"/>
          <c:x val="8.2349727635584305E-2"/>
          <c:y val="0.10928305665629078"/>
          <c:w val="0.88023573930242049"/>
          <c:h val="0.76019124664681237"/>
        </c:manualLayout>
      </c:layout>
      <c:scatterChart>
        <c:scatterStyle val="lineMarker"/>
        <c:varyColors val="0"/>
        <c:ser>
          <c:idx val="0"/>
          <c:order val="0"/>
          <c:tx>
            <c:v>民100年以後</c:v>
          </c:tx>
          <c:marker>
            <c:symbol val="none"/>
          </c:marker>
          <c:dLbls>
            <c:delete val="1"/>
          </c:dLbls>
          <c:xVal>
            <c:numRef>
              <c:f>一般工址Kz!$B$43:$B$96</c:f>
              <c:numCache>
                <c:formatCode>0.0000_ </c:formatCode>
                <c:ptCount val="54"/>
                <c:pt idx="0">
                  <c:v>1E-3</c:v>
                </c:pt>
                <c:pt idx="1">
                  <c:v>8.9300000000000004E-2</c:v>
                </c:pt>
                <c:pt idx="2">
                  <c:v>0.1125</c:v>
                </c:pt>
                <c:pt idx="3">
                  <c:v>0.11260000000000001</c:v>
                </c:pt>
                <c:pt idx="4">
                  <c:v>0.1193</c:v>
                </c:pt>
                <c:pt idx="5">
                  <c:v>0.16600000000000001</c:v>
                </c:pt>
                <c:pt idx="6">
                  <c:v>0.2</c:v>
                </c:pt>
                <c:pt idx="7">
                  <c:v>0.33749999999999997</c:v>
                </c:pt>
                <c:pt idx="8">
                  <c:v>0.33789999999999998</c:v>
                </c:pt>
                <c:pt idx="9">
                  <c:v>0.36099999999999999</c:v>
                </c:pt>
                <c:pt idx="10">
                  <c:v>0.35780000000000001</c:v>
                </c:pt>
                <c:pt idx="11">
                  <c:v>0.4</c:v>
                </c:pt>
                <c:pt idx="12">
                  <c:v>0.46700000000000003</c:v>
                </c:pt>
                <c:pt idx="13">
                  <c:v>0.499</c:v>
                </c:pt>
                <c:pt idx="14">
                  <c:v>0.5625</c:v>
                </c:pt>
                <c:pt idx="15">
                  <c:v>0.56320000000000003</c:v>
                </c:pt>
                <c:pt idx="16">
                  <c:v>0.59630000000000005</c:v>
                </c:pt>
                <c:pt idx="17">
                  <c:v>0.7</c:v>
                </c:pt>
                <c:pt idx="18">
                  <c:v>0.77800000000000002</c:v>
                </c:pt>
                <c:pt idx="19">
                  <c:v>0.8</c:v>
                </c:pt>
                <c:pt idx="20">
                  <c:v>0.83099999999999996</c:v>
                </c:pt>
                <c:pt idx="21">
                  <c:v>0.9</c:v>
                </c:pt>
                <c:pt idx="22">
                  <c:v>0.95</c:v>
                </c:pt>
                <c:pt idx="23">
                  <c:v>1</c:v>
                </c:pt>
                <c:pt idx="24">
                  <c:v>1.0371999999999999</c:v>
                </c:pt>
                <c:pt idx="25">
                  <c:v>1.1000000000000001</c:v>
                </c:pt>
                <c:pt idx="26">
                  <c:v>1.1499999999999999</c:v>
                </c:pt>
                <c:pt idx="27">
                  <c:v>1.2101</c:v>
                </c:pt>
                <c:pt idx="28">
                  <c:v>1.25</c:v>
                </c:pt>
                <c:pt idx="29">
                  <c:v>1.3</c:v>
                </c:pt>
                <c:pt idx="30">
                  <c:v>1.35</c:v>
                </c:pt>
                <c:pt idx="31">
                  <c:v>1.3847</c:v>
                </c:pt>
                <c:pt idx="32">
                  <c:v>1.45</c:v>
                </c:pt>
                <c:pt idx="33">
                  <c:v>1.5</c:v>
                </c:pt>
                <c:pt idx="34">
                  <c:v>1.55</c:v>
                </c:pt>
                <c:pt idx="35">
                  <c:v>1.6</c:v>
                </c:pt>
                <c:pt idx="36">
                  <c:v>1.65</c:v>
                </c:pt>
                <c:pt idx="37">
                  <c:v>1.7</c:v>
                </c:pt>
                <c:pt idx="38">
                  <c:v>1.75</c:v>
                </c:pt>
                <c:pt idx="39">
                  <c:v>1.8</c:v>
                </c:pt>
                <c:pt idx="40">
                  <c:v>1.85</c:v>
                </c:pt>
                <c:pt idx="41">
                  <c:v>1.9</c:v>
                </c:pt>
                <c:pt idx="42">
                  <c:v>1.9450000000000001</c:v>
                </c:pt>
                <c:pt idx="43">
                  <c:v>2</c:v>
                </c:pt>
                <c:pt idx="44">
                  <c:v>2.0779999999999998</c:v>
                </c:pt>
                <c:pt idx="45">
                  <c:v>2.1</c:v>
                </c:pt>
                <c:pt idx="46">
                  <c:v>2.15</c:v>
                </c:pt>
                <c:pt idx="47">
                  <c:v>2.2000000000000002</c:v>
                </c:pt>
                <c:pt idx="48">
                  <c:v>2.25</c:v>
                </c:pt>
                <c:pt idx="49">
                  <c:v>2.2999999999999998</c:v>
                </c:pt>
                <c:pt idx="50">
                  <c:v>2.35</c:v>
                </c:pt>
                <c:pt idx="51">
                  <c:v>2.4</c:v>
                </c:pt>
                <c:pt idx="52">
                  <c:v>2.4500000000000002</c:v>
                </c:pt>
                <c:pt idx="53">
                  <c:v>2.5</c:v>
                </c:pt>
              </c:numCache>
            </c:numRef>
          </c:xVal>
          <c:yVal>
            <c:numRef>
              <c:f>一般工址Kz!$T$43:$T$96</c:f>
              <c:numCache>
                <c:formatCode>0.000_ </c:formatCode>
                <c:ptCount val="54"/>
                <c:pt idx="0">
                  <c:v>0.26400000000000001</c:v>
                </c:pt>
                <c:pt idx="1">
                  <c:v>0.25700000000000001</c:v>
                </c:pt>
                <c:pt idx="2">
                  <c:v>0.25600000000000001</c:v>
                </c:pt>
                <c:pt idx="3">
                  <c:v>0.25600000000000001</c:v>
                </c:pt>
                <c:pt idx="4">
                  <c:v>0.25600000000000001</c:v>
                </c:pt>
                <c:pt idx="5">
                  <c:v>0.25600000000000001</c:v>
                </c:pt>
                <c:pt idx="6">
                  <c:v>0.25600000000000001</c:v>
                </c:pt>
                <c:pt idx="7">
                  <c:v>0.25600000000000001</c:v>
                </c:pt>
                <c:pt idx="8">
                  <c:v>0.25600000000000001</c:v>
                </c:pt>
                <c:pt idx="9">
                  <c:v>0.255</c:v>
                </c:pt>
                <c:pt idx="10">
                  <c:v>0.25600000000000001</c:v>
                </c:pt>
                <c:pt idx="11">
                  <c:v>0.24299999999999999</c:v>
                </c:pt>
                <c:pt idx="12">
                  <c:v>0.22700000000000001</c:v>
                </c:pt>
                <c:pt idx="13">
                  <c:v>0.22</c:v>
                </c:pt>
                <c:pt idx="14">
                  <c:v>0.20699999999999999</c:v>
                </c:pt>
                <c:pt idx="15">
                  <c:v>0.20699999999999999</c:v>
                </c:pt>
                <c:pt idx="16">
                  <c:v>0.19600000000000001</c:v>
                </c:pt>
                <c:pt idx="17">
                  <c:v>0.16700000000000001</c:v>
                </c:pt>
                <c:pt idx="18">
                  <c:v>0.15</c:v>
                </c:pt>
                <c:pt idx="19">
                  <c:v>0.14599999999999999</c:v>
                </c:pt>
                <c:pt idx="20">
                  <c:v>0.14000000000000001</c:v>
                </c:pt>
                <c:pt idx="21">
                  <c:v>0.13</c:v>
                </c:pt>
                <c:pt idx="22">
                  <c:v>0.123</c:v>
                </c:pt>
                <c:pt idx="23">
                  <c:v>0.11700000000000001</c:v>
                </c:pt>
                <c:pt idx="24">
                  <c:v>0.113</c:v>
                </c:pt>
                <c:pt idx="25">
                  <c:v>0.106</c:v>
                </c:pt>
                <c:pt idx="26">
                  <c:v>0.10100000000000001</c:v>
                </c:pt>
                <c:pt idx="27">
                  <c:v>9.6000000000000002E-2</c:v>
                </c:pt>
                <c:pt idx="28">
                  <c:v>9.2999999999999999E-2</c:v>
                </c:pt>
                <c:pt idx="29">
                  <c:v>0.09</c:v>
                </c:pt>
                <c:pt idx="30">
                  <c:v>8.5999999999999993E-2</c:v>
                </c:pt>
                <c:pt idx="31">
                  <c:v>8.4000000000000005E-2</c:v>
                </c:pt>
                <c:pt idx="32">
                  <c:v>8.3000000000000004E-2</c:v>
                </c:pt>
                <c:pt idx="33">
                  <c:v>8.3000000000000004E-2</c:v>
                </c:pt>
                <c:pt idx="34">
                  <c:v>8.3000000000000004E-2</c:v>
                </c:pt>
                <c:pt idx="35">
                  <c:v>8.3000000000000004E-2</c:v>
                </c:pt>
                <c:pt idx="36">
                  <c:v>8.3000000000000004E-2</c:v>
                </c:pt>
                <c:pt idx="37">
                  <c:v>8.3000000000000004E-2</c:v>
                </c:pt>
                <c:pt idx="38">
                  <c:v>8.3000000000000004E-2</c:v>
                </c:pt>
                <c:pt idx="39">
                  <c:v>8.3000000000000004E-2</c:v>
                </c:pt>
                <c:pt idx="40">
                  <c:v>8.3000000000000004E-2</c:v>
                </c:pt>
                <c:pt idx="41">
                  <c:v>8.3000000000000004E-2</c:v>
                </c:pt>
                <c:pt idx="42">
                  <c:v>8.3000000000000004E-2</c:v>
                </c:pt>
                <c:pt idx="43">
                  <c:v>8.3000000000000004E-2</c:v>
                </c:pt>
                <c:pt idx="44">
                  <c:v>8.3000000000000004E-2</c:v>
                </c:pt>
                <c:pt idx="45">
                  <c:v>8.3000000000000004E-2</c:v>
                </c:pt>
                <c:pt idx="46">
                  <c:v>8.3000000000000004E-2</c:v>
                </c:pt>
                <c:pt idx="47">
                  <c:v>8.3000000000000004E-2</c:v>
                </c:pt>
                <c:pt idx="48">
                  <c:v>8.3000000000000004E-2</c:v>
                </c:pt>
                <c:pt idx="49">
                  <c:v>8.3000000000000004E-2</c:v>
                </c:pt>
                <c:pt idx="50">
                  <c:v>8.3000000000000004E-2</c:v>
                </c:pt>
                <c:pt idx="51">
                  <c:v>8.3000000000000004E-2</c:v>
                </c:pt>
                <c:pt idx="52">
                  <c:v>8.3000000000000004E-2</c:v>
                </c:pt>
                <c:pt idx="53">
                  <c:v>8.3000000000000004E-2</c:v>
                </c:pt>
              </c:numCache>
            </c:numRef>
          </c:yVal>
          <c:smooth val="0"/>
          <c:extLst>
            <c:ext xmlns:c16="http://schemas.microsoft.com/office/drawing/2014/chart" uri="{C3380CC4-5D6E-409C-BE32-E72D297353CC}">
              <c16:uniqueId val="{00000000-6BBC-421E-B7ED-D7D5DAD7B88F}"/>
            </c:ext>
          </c:extLst>
        </c:ser>
        <c:ser>
          <c:idx val="6"/>
          <c:order val="1"/>
          <c:tx>
            <c:v>民95~99年</c:v>
          </c:tx>
          <c:marker>
            <c:symbol val="none"/>
          </c:marker>
          <c:dLbls>
            <c:delete val="1"/>
          </c:dLbls>
          <c:xVal>
            <c:numRef>
              <c:f>一般工址Kz!$B$43:$B$96</c:f>
              <c:numCache>
                <c:formatCode>0.0000_ </c:formatCode>
                <c:ptCount val="54"/>
                <c:pt idx="0">
                  <c:v>1E-3</c:v>
                </c:pt>
                <c:pt idx="1">
                  <c:v>8.9300000000000004E-2</c:v>
                </c:pt>
                <c:pt idx="2">
                  <c:v>0.1125</c:v>
                </c:pt>
                <c:pt idx="3">
                  <c:v>0.11260000000000001</c:v>
                </c:pt>
                <c:pt idx="4">
                  <c:v>0.1193</c:v>
                </c:pt>
                <c:pt idx="5">
                  <c:v>0.16600000000000001</c:v>
                </c:pt>
                <c:pt idx="6">
                  <c:v>0.2</c:v>
                </c:pt>
                <c:pt idx="7">
                  <c:v>0.33749999999999997</c:v>
                </c:pt>
                <c:pt idx="8">
                  <c:v>0.33789999999999998</c:v>
                </c:pt>
                <c:pt idx="9">
                  <c:v>0.36099999999999999</c:v>
                </c:pt>
                <c:pt idx="10">
                  <c:v>0.35780000000000001</c:v>
                </c:pt>
                <c:pt idx="11">
                  <c:v>0.4</c:v>
                </c:pt>
                <c:pt idx="12">
                  <c:v>0.46700000000000003</c:v>
                </c:pt>
                <c:pt idx="13">
                  <c:v>0.499</c:v>
                </c:pt>
                <c:pt idx="14">
                  <c:v>0.5625</c:v>
                </c:pt>
                <c:pt idx="15">
                  <c:v>0.56320000000000003</c:v>
                </c:pt>
                <c:pt idx="16">
                  <c:v>0.59630000000000005</c:v>
                </c:pt>
                <c:pt idx="17">
                  <c:v>0.7</c:v>
                </c:pt>
                <c:pt idx="18">
                  <c:v>0.77800000000000002</c:v>
                </c:pt>
                <c:pt idx="19">
                  <c:v>0.8</c:v>
                </c:pt>
                <c:pt idx="20">
                  <c:v>0.83099999999999996</c:v>
                </c:pt>
                <c:pt idx="21">
                  <c:v>0.9</c:v>
                </c:pt>
                <c:pt idx="22">
                  <c:v>0.95</c:v>
                </c:pt>
                <c:pt idx="23">
                  <c:v>1</c:v>
                </c:pt>
                <c:pt idx="24">
                  <c:v>1.0371999999999999</c:v>
                </c:pt>
                <c:pt idx="25">
                  <c:v>1.1000000000000001</c:v>
                </c:pt>
                <c:pt idx="26">
                  <c:v>1.1499999999999999</c:v>
                </c:pt>
                <c:pt idx="27">
                  <c:v>1.2101</c:v>
                </c:pt>
                <c:pt idx="28">
                  <c:v>1.25</c:v>
                </c:pt>
                <c:pt idx="29">
                  <c:v>1.3</c:v>
                </c:pt>
                <c:pt idx="30">
                  <c:v>1.35</c:v>
                </c:pt>
                <c:pt idx="31">
                  <c:v>1.3847</c:v>
                </c:pt>
                <c:pt idx="32">
                  <c:v>1.45</c:v>
                </c:pt>
                <c:pt idx="33">
                  <c:v>1.5</c:v>
                </c:pt>
                <c:pt idx="34">
                  <c:v>1.55</c:v>
                </c:pt>
                <c:pt idx="35">
                  <c:v>1.6</c:v>
                </c:pt>
                <c:pt idx="36">
                  <c:v>1.65</c:v>
                </c:pt>
                <c:pt idx="37">
                  <c:v>1.7</c:v>
                </c:pt>
                <c:pt idx="38">
                  <c:v>1.75</c:v>
                </c:pt>
                <c:pt idx="39">
                  <c:v>1.8</c:v>
                </c:pt>
                <c:pt idx="40">
                  <c:v>1.85</c:v>
                </c:pt>
                <c:pt idx="41">
                  <c:v>1.9</c:v>
                </c:pt>
                <c:pt idx="42">
                  <c:v>1.9450000000000001</c:v>
                </c:pt>
                <c:pt idx="43">
                  <c:v>2</c:v>
                </c:pt>
                <c:pt idx="44">
                  <c:v>2.0779999999999998</c:v>
                </c:pt>
                <c:pt idx="45">
                  <c:v>2.1</c:v>
                </c:pt>
                <c:pt idx="46">
                  <c:v>2.15</c:v>
                </c:pt>
                <c:pt idx="47">
                  <c:v>2.2000000000000002</c:v>
                </c:pt>
                <c:pt idx="48">
                  <c:v>2.25</c:v>
                </c:pt>
                <c:pt idx="49">
                  <c:v>2.2999999999999998</c:v>
                </c:pt>
                <c:pt idx="50">
                  <c:v>2.35</c:v>
                </c:pt>
                <c:pt idx="51">
                  <c:v>2.4</c:v>
                </c:pt>
                <c:pt idx="52">
                  <c:v>2.4500000000000002</c:v>
                </c:pt>
                <c:pt idx="53">
                  <c:v>2.5</c:v>
                </c:pt>
              </c:numCache>
            </c:numRef>
          </c:xVal>
          <c:yVal>
            <c:numRef>
              <c:f>一般工址Kz!$AI$43:$AI$96</c:f>
              <c:numCache>
                <c:formatCode>0.0000_ </c:formatCode>
                <c:ptCount val="54"/>
                <c:pt idx="0">
                  <c:v>0.25168000000000001</c:v>
                </c:pt>
                <c:pt idx="1">
                  <c:v>0.24500666666666665</c:v>
                </c:pt>
                <c:pt idx="2">
                  <c:v>0.24405333333333332</c:v>
                </c:pt>
                <c:pt idx="3">
                  <c:v>0.24405333333333332</c:v>
                </c:pt>
                <c:pt idx="4">
                  <c:v>0.24405333333333332</c:v>
                </c:pt>
                <c:pt idx="5">
                  <c:v>0.24405333333333332</c:v>
                </c:pt>
                <c:pt idx="6">
                  <c:v>0.24405333333333332</c:v>
                </c:pt>
                <c:pt idx="7">
                  <c:v>0.24405333333333332</c:v>
                </c:pt>
                <c:pt idx="8">
                  <c:v>0.24405333333333332</c:v>
                </c:pt>
                <c:pt idx="9">
                  <c:v>0.24310000000000001</c:v>
                </c:pt>
                <c:pt idx="10">
                  <c:v>0.24405333333333332</c:v>
                </c:pt>
                <c:pt idx="11">
                  <c:v>0.23166</c:v>
                </c:pt>
                <c:pt idx="12">
                  <c:v>0.21640666666666666</c:v>
                </c:pt>
                <c:pt idx="13">
                  <c:v>0.20973333333333333</c:v>
                </c:pt>
                <c:pt idx="14">
                  <c:v>0.19733999999999996</c:v>
                </c:pt>
                <c:pt idx="15">
                  <c:v>0.19733999999999996</c:v>
                </c:pt>
                <c:pt idx="16">
                  <c:v>0.18685333333333334</c:v>
                </c:pt>
                <c:pt idx="17">
                  <c:v>0.15920666666666666</c:v>
                </c:pt>
                <c:pt idx="18">
                  <c:v>0.14299999999999999</c:v>
                </c:pt>
                <c:pt idx="19">
                  <c:v>0.13918666666666665</c:v>
                </c:pt>
                <c:pt idx="20">
                  <c:v>0.13346666666666668</c:v>
                </c:pt>
                <c:pt idx="21">
                  <c:v>0.12393333333333333</c:v>
                </c:pt>
                <c:pt idx="22">
                  <c:v>0.11726</c:v>
                </c:pt>
                <c:pt idx="23">
                  <c:v>0.11154</c:v>
                </c:pt>
                <c:pt idx="24">
                  <c:v>0.10772666666666667</c:v>
                </c:pt>
                <c:pt idx="25">
                  <c:v>0.10105333333333333</c:v>
                </c:pt>
                <c:pt idx="26">
                  <c:v>9.6286666666666673E-2</c:v>
                </c:pt>
                <c:pt idx="27">
                  <c:v>9.1520000000000004E-2</c:v>
                </c:pt>
                <c:pt idx="28">
                  <c:v>8.8659999999999989E-2</c:v>
                </c:pt>
                <c:pt idx="29">
                  <c:v>8.5799999999999987E-2</c:v>
                </c:pt>
                <c:pt idx="30">
                  <c:v>8.1986666666666652E-2</c:v>
                </c:pt>
                <c:pt idx="31">
                  <c:v>8.0079999999999998E-2</c:v>
                </c:pt>
                <c:pt idx="32">
                  <c:v>7.9126666666666665E-2</c:v>
                </c:pt>
                <c:pt idx="33">
                  <c:v>7.9126666666666665E-2</c:v>
                </c:pt>
                <c:pt idx="34">
                  <c:v>7.9126666666666665E-2</c:v>
                </c:pt>
                <c:pt idx="35">
                  <c:v>7.9126666666666665E-2</c:v>
                </c:pt>
                <c:pt idx="36">
                  <c:v>7.9126666666666665E-2</c:v>
                </c:pt>
                <c:pt idx="37">
                  <c:v>7.9126666666666665E-2</c:v>
                </c:pt>
                <c:pt idx="38">
                  <c:v>7.9126666666666665E-2</c:v>
                </c:pt>
                <c:pt idx="39">
                  <c:v>7.9126666666666665E-2</c:v>
                </c:pt>
                <c:pt idx="40">
                  <c:v>7.9126666666666665E-2</c:v>
                </c:pt>
                <c:pt idx="41">
                  <c:v>7.9126666666666665E-2</c:v>
                </c:pt>
                <c:pt idx="42">
                  <c:v>7.9126666666666665E-2</c:v>
                </c:pt>
                <c:pt idx="43">
                  <c:v>7.9126666666666665E-2</c:v>
                </c:pt>
                <c:pt idx="44">
                  <c:v>7.9126666666666665E-2</c:v>
                </c:pt>
                <c:pt idx="45">
                  <c:v>7.9126666666666665E-2</c:v>
                </c:pt>
                <c:pt idx="46">
                  <c:v>7.9126666666666665E-2</c:v>
                </c:pt>
                <c:pt idx="47">
                  <c:v>7.9126666666666665E-2</c:v>
                </c:pt>
                <c:pt idx="48">
                  <c:v>7.9126666666666665E-2</c:v>
                </c:pt>
                <c:pt idx="49">
                  <c:v>7.9126666666666665E-2</c:v>
                </c:pt>
                <c:pt idx="50">
                  <c:v>7.9126666666666665E-2</c:v>
                </c:pt>
                <c:pt idx="51">
                  <c:v>7.9126666666666665E-2</c:v>
                </c:pt>
                <c:pt idx="52">
                  <c:v>7.9126666666666665E-2</c:v>
                </c:pt>
                <c:pt idx="53">
                  <c:v>7.9126666666666665E-2</c:v>
                </c:pt>
              </c:numCache>
            </c:numRef>
          </c:yVal>
          <c:smooth val="0"/>
          <c:extLst>
            <c:ext xmlns:c16="http://schemas.microsoft.com/office/drawing/2014/chart" uri="{C3380CC4-5D6E-409C-BE32-E72D297353CC}">
              <c16:uniqueId val="{00000001-6BBC-421E-B7ED-D7D5DAD7B88F}"/>
            </c:ext>
          </c:extLst>
        </c:ser>
        <c:ser>
          <c:idx val="3"/>
          <c:order val="2"/>
          <c:tx>
            <c:v>民89~94</c:v>
          </c:tx>
          <c:marker>
            <c:symbol val="none"/>
          </c:marker>
          <c:dLbls>
            <c:delete val="1"/>
          </c:dLbls>
          <c:xVal>
            <c:numRef>
              <c:f>一般工址Kz!$B$43:$B$96</c:f>
              <c:numCache>
                <c:formatCode>0.0000_ </c:formatCode>
                <c:ptCount val="54"/>
                <c:pt idx="0">
                  <c:v>1E-3</c:v>
                </c:pt>
                <c:pt idx="1">
                  <c:v>8.9300000000000004E-2</c:v>
                </c:pt>
                <c:pt idx="2">
                  <c:v>0.1125</c:v>
                </c:pt>
                <c:pt idx="3">
                  <c:v>0.11260000000000001</c:v>
                </c:pt>
                <c:pt idx="4">
                  <c:v>0.1193</c:v>
                </c:pt>
                <c:pt idx="5">
                  <c:v>0.16600000000000001</c:v>
                </c:pt>
                <c:pt idx="6">
                  <c:v>0.2</c:v>
                </c:pt>
                <c:pt idx="7">
                  <c:v>0.33749999999999997</c:v>
                </c:pt>
                <c:pt idx="8">
                  <c:v>0.33789999999999998</c:v>
                </c:pt>
                <c:pt idx="9">
                  <c:v>0.36099999999999999</c:v>
                </c:pt>
                <c:pt idx="10">
                  <c:v>0.35780000000000001</c:v>
                </c:pt>
                <c:pt idx="11">
                  <c:v>0.4</c:v>
                </c:pt>
                <c:pt idx="12">
                  <c:v>0.46700000000000003</c:v>
                </c:pt>
                <c:pt idx="13">
                  <c:v>0.499</c:v>
                </c:pt>
                <c:pt idx="14">
                  <c:v>0.5625</c:v>
                </c:pt>
                <c:pt idx="15">
                  <c:v>0.56320000000000003</c:v>
                </c:pt>
                <c:pt idx="16">
                  <c:v>0.59630000000000005</c:v>
                </c:pt>
                <c:pt idx="17">
                  <c:v>0.7</c:v>
                </c:pt>
                <c:pt idx="18">
                  <c:v>0.77800000000000002</c:v>
                </c:pt>
                <c:pt idx="19">
                  <c:v>0.8</c:v>
                </c:pt>
                <c:pt idx="20">
                  <c:v>0.83099999999999996</c:v>
                </c:pt>
                <c:pt idx="21">
                  <c:v>0.9</c:v>
                </c:pt>
                <c:pt idx="22">
                  <c:v>0.95</c:v>
                </c:pt>
                <c:pt idx="23">
                  <c:v>1</c:v>
                </c:pt>
                <c:pt idx="24">
                  <c:v>1.0371999999999999</c:v>
                </c:pt>
                <c:pt idx="25">
                  <c:v>1.1000000000000001</c:v>
                </c:pt>
                <c:pt idx="26">
                  <c:v>1.1499999999999999</c:v>
                </c:pt>
                <c:pt idx="27">
                  <c:v>1.2101</c:v>
                </c:pt>
                <c:pt idx="28">
                  <c:v>1.25</c:v>
                </c:pt>
                <c:pt idx="29">
                  <c:v>1.3</c:v>
                </c:pt>
                <c:pt idx="30">
                  <c:v>1.35</c:v>
                </c:pt>
                <c:pt idx="31">
                  <c:v>1.3847</c:v>
                </c:pt>
                <c:pt idx="32">
                  <c:v>1.45</c:v>
                </c:pt>
                <c:pt idx="33">
                  <c:v>1.5</c:v>
                </c:pt>
                <c:pt idx="34">
                  <c:v>1.55</c:v>
                </c:pt>
                <c:pt idx="35">
                  <c:v>1.6</c:v>
                </c:pt>
                <c:pt idx="36">
                  <c:v>1.65</c:v>
                </c:pt>
                <c:pt idx="37">
                  <c:v>1.7</c:v>
                </c:pt>
                <c:pt idx="38">
                  <c:v>1.75</c:v>
                </c:pt>
                <c:pt idx="39">
                  <c:v>1.8</c:v>
                </c:pt>
                <c:pt idx="40">
                  <c:v>1.85</c:v>
                </c:pt>
                <c:pt idx="41">
                  <c:v>1.9</c:v>
                </c:pt>
                <c:pt idx="42">
                  <c:v>1.9450000000000001</c:v>
                </c:pt>
                <c:pt idx="43">
                  <c:v>2</c:v>
                </c:pt>
                <c:pt idx="44">
                  <c:v>2.0779999999999998</c:v>
                </c:pt>
                <c:pt idx="45">
                  <c:v>2.1</c:v>
                </c:pt>
                <c:pt idx="46">
                  <c:v>2.15</c:v>
                </c:pt>
                <c:pt idx="47">
                  <c:v>2.2000000000000002</c:v>
                </c:pt>
                <c:pt idx="48">
                  <c:v>2.25</c:v>
                </c:pt>
                <c:pt idx="49">
                  <c:v>2.2999999999999998</c:v>
                </c:pt>
                <c:pt idx="50">
                  <c:v>2.35</c:v>
                </c:pt>
                <c:pt idx="51">
                  <c:v>2.4</c:v>
                </c:pt>
                <c:pt idx="52">
                  <c:v>2.4500000000000002</c:v>
                </c:pt>
                <c:pt idx="53">
                  <c:v>2.5</c:v>
                </c:pt>
              </c:numCache>
            </c:numRef>
          </c:xVal>
          <c:yVal>
            <c:numRef>
              <c:f>一般工址Kz!$AH$43:$AH$96</c:f>
              <c:numCache>
                <c:formatCode>0.0000_ </c:formatCode>
                <c:ptCount val="54"/>
                <c:pt idx="0">
                  <c:v>0.22471428571428573</c:v>
                </c:pt>
                <c:pt idx="1">
                  <c:v>0.22471428571428573</c:v>
                </c:pt>
                <c:pt idx="2">
                  <c:v>0.22471428571428573</c:v>
                </c:pt>
                <c:pt idx="3">
                  <c:v>0.22471428571428573</c:v>
                </c:pt>
                <c:pt idx="4">
                  <c:v>0.22471428571428573</c:v>
                </c:pt>
                <c:pt idx="5">
                  <c:v>0.22471428571428573</c:v>
                </c:pt>
                <c:pt idx="6">
                  <c:v>0.22471428571428573</c:v>
                </c:pt>
                <c:pt idx="7">
                  <c:v>0.22471428571428573</c:v>
                </c:pt>
                <c:pt idx="8">
                  <c:v>0.22471428571428573</c:v>
                </c:pt>
                <c:pt idx="9">
                  <c:v>0.22471428571428573</c:v>
                </c:pt>
                <c:pt idx="10">
                  <c:v>0.22471428571428573</c:v>
                </c:pt>
                <c:pt idx="11">
                  <c:v>0.22471428571428573</c:v>
                </c:pt>
                <c:pt idx="12">
                  <c:v>0.22471428571428573</c:v>
                </c:pt>
                <c:pt idx="13">
                  <c:v>0.22471428571428573</c:v>
                </c:pt>
                <c:pt idx="14">
                  <c:v>0.22471428571428573</c:v>
                </c:pt>
                <c:pt idx="15">
                  <c:v>0.22471428571428573</c:v>
                </c:pt>
                <c:pt idx="16">
                  <c:v>0.22471428571428573</c:v>
                </c:pt>
                <c:pt idx="17">
                  <c:v>0.13681694642361905</c:v>
                </c:pt>
                <c:pt idx="18">
                  <c:v>0.12751233208101906</c:v>
                </c:pt>
                <c:pt idx="19">
                  <c:v>0.12516375831896401</c:v>
                </c:pt>
                <c:pt idx="20">
                  <c:v>0.12203129989449991</c:v>
                </c:pt>
                <c:pt idx="21">
                  <c:v>0.11571160396073564</c:v>
                </c:pt>
                <c:pt idx="22">
                  <c:v>0.11161507355398892</c:v>
                </c:pt>
                <c:pt idx="23">
                  <c:v>0.10786285714285716</c:v>
                </c:pt>
                <c:pt idx="24">
                  <c:v>0.10526813156580152</c:v>
                </c:pt>
                <c:pt idx="25">
                  <c:v>0.10122243874989292</c:v>
                </c:pt>
                <c:pt idx="26">
                  <c:v>9.8266772698971494E-2</c:v>
                </c:pt>
                <c:pt idx="27">
                  <c:v>9.4985594669179815E-2</c:v>
                </c:pt>
                <c:pt idx="28">
                  <c:v>9.2953392477809912E-2</c:v>
                </c:pt>
                <c:pt idx="29">
                  <c:v>9.0554426640270039E-2</c:v>
                </c:pt>
                <c:pt idx="30">
                  <c:v>8.9885714285714291E-2</c:v>
                </c:pt>
                <c:pt idx="31">
                  <c:v>8.9885714285714291E-2</c:v>
                </c:pt>
                <c:pt idx="32">
                  <c:v>8.9885714285714291E-2</c:v>
                </c:pt>
                <c:pt idx="33">
                  <c:v>8.9885714285714291E-2</c:v>
                </c:pt>
                <c:pt idx="34">
                  <c:v>8.9885714285714291E-2</c:v>
                </c:pt>
                <c:pt idx="35">
                  <c:v>8.9885714285714291E-2</c:v>
                </c:pt>
                <c:pt idx="36">
                  <c:v>8.9885714285714291E-2</c:v>
                </c:pt>
                <c:pt idx="37">
                  <c:v>8.9885714285714291E-2</c:v>
                </c:pt>
                <c:pt idx="38">
                  <c:v>8.9885714285714291E-2</c:v>
                </c:pt>
                <c:pt idx="39">
                  <c:v>8.9885714285714291E-2</c:v>
                </c:pt>
                <c:pt idx="40">
                  <c:v>8.9885714285714291E-2</c:v>
                </c:pt>
                <c:pt idx="41">
                  <c:v>8.9885714285714291E-2</c:v>
                </c:pt>
                <c:pt idx="42">
                  <c:v>8.9885714285714291E-2</c:v>
                </c:pt>
                <c:pt idx="43">
                  <c:v>8.9885714285714291E-2</c:v>
                </c:pt>
                <c:pt idx="44">
                  <c:v>8.9885714285714291E-2</c:v>
                </c:pt>
                <c:pt idx="45">
                  <c:v>8.9885714285714291E-2</c:v>
                </c:pt>
                <c:pt idx="46">
                  <c:v>8.9885714285714291E-2</c:v>
                </c:pt>
                <c:pt idx="47">
                  <c:v>8.9885714285714291E-2</c:v>
                </c:pt>
                <c:pt idx="48">
                  <c:v>8.9885714285714291E-2</c:v>
                </c:pt>
                <c:pt idx="49">
                  <c:v>8.9885714285714291E-2</c:v>
                </c:pt>
                <c:pt idx="50">
                  <c:v>8.9885714285714291E-2</c:v>
                </c:pt>
                <c:pt idx="51">
                  <c:v>8.9885714285714291E-2</c:v>
                </c:pt>
                <c:pt idx="52">
                  <c:v>8.9885714285714291E-2</c:v>
                </c:pt>
                <c:pt idx="53">
                  <c:v>8.9885714285714291E-2</c:v>
                </c:pt>
              </c:numCache>
            </c:numRef>
          </c:yVal>
          <c:smooth val="0"/>
          <c:extLst>
            <c:ext xmlns:c16="http://schemas.microsoft.com/office/drawing/2014/chart" uri="{C3380CC4-5D6E-409C-BE32-E72D297353CC}">
              <c16:uniqueId val="{00000002-6BBC-421E-B7ED-D7D5DAD7B88F}"/>
            </c:ext>
          </c:extLst>
        </c:ser>
        <c:ser>
          <c:idx val="2"/>
          <c:order val="3"/>
          <c:tx>
            <c:v>民86~88</c:v>
          </c:tx>
          <c:marker>
            <c:symbol val="none"/>
          </c:marker>
          <c:dLbls>
            <c:delete val="1"/>
          </c:dLbls>
          <c:xVal>
            <c:numRef>
              <c:f>一般工址Kz!$B$43:$B$95</c:f>
              <c:numCache>
                <c:formatCode>0.0000_ </c:formatCode>
                <c:ptCount val="53"/>
                <c:pt idx="0">
                  <c:v>1E-3</c:v>
                </c:pt>
                <c:pt idx="1">
                  <c:v>8.9300000000000004E-2</c:v>
                </c:pt>
                <c:pt idx="2">
                  <c:v>0.1125</c:v>
                </c:pt>
                <c:pt idx="3">
                  <c:v>0.11260000000000001</c:v>
                </c:pt>
                <c:pt idx="4">
                  <c:v>0.1193</c:v>
                </c:pt>
                <c:pt idx="5">
                  <c:v>0.16600000000000001</c:v>
                </c:pt>
                <c:pt idx="6">
                  <c:v>0.2</c:v>
                </c:pt>
                <c:pt idx="7">
                  <c:v>0.33749999999999997</c:v>
                </c:pt>
                <c:pt idx="8">
                  <c:v>0.33789999999999998</c:v>
                </c:pt>
                <c:pt idx="9">
                  <c:v>0.36099999999999999</c:v>
                </c:pt>
                <c:pt idx="10">
                  <c:v>0.35780000000000001</c:v>
                </c:pt>
                <c:pt idx="11">
                  <c:v>0.4</c:v>
                </c:pt>
                <c:pt idx="12">
                  <c:v>0.46700000000000003</c:v>
                </c:pt>
                <c:pt idx="13">
                  <c:v>0.499</c:v>
                </c:pt>
                <c:pt idx="14">
                  <c:v>0.5625</c:v>
                </c:pt>
                <c:pt idx="15">
                  <c:v>0.56320000000000003</c:v>
                </c:pt>
                <c:pt idx="16">
                  <c:v>0.59630000000000005</c:v>
                </c:pt>
                <c:pt idx="17">
                  <c:v>0.7</c:v>
                </c:pt>
                <c:pt idx="18">
                  <c:v>0.77800000000000002</c:v>
                </c:pt>
                <c:pt idx="19">
                  <c:v>0.8</c:v>
                </c:pt>
                <c:pt idx="20">
                  <c:v>0.83099999999999996</c:v>
                </c:pt>
                <c:pt idx="21">
                  <c:v>0.9</c:v>
                </c:pt>
                <c:pt idx="22">
                  <c:v>0.95</c:v>
                </c:pt>
                <c:pt idx="23">
                  <c:v>1</c:v>
                </c:pt>
                <c:pt idx="24">
                  <c:v>1.0371999999999999</c:v>
                </c:pt>
                <c:pt idx="25">
                  <c:v>1.1000000000000001</c:v>
                </c:pt>
                <c:pt idx="26">
                  <c:v>1.1499999999999999</c:v>
                </c:pt>
                <c:pt idx="27">
                  <c:v>1.2101</c:v>
                </c:pt>
                <c:pt idx="28">
                  <c:v>1.25</c:v>
                </c:pt>
                <c:pt idx="29">
                  <c:v>1.3</c:v>
                </c:pt>
                <c:pt idx="30">
                  <c:v>1.35</c:v>
                </c:pt>
                <c:pt idx="31">
                  <c:v>1.3847</c:v>
                </c:pt>
                <c:pt idx="32">
                  <c:v>1.45</c:v>
                </c:pt>
                <c:pt idx="33">
                  <c:v>1.5</c:v>
                </c:pt>
                <c:pt idx="34">
                  <c:v>1.55</c:v>
                </c:pt>
                <c:pt idx="35">
                  <c:v>1.6</c:v>
                </c:pt>
                <c:pt idx="36">
                  <c:v>1.65</c:v>
                </c:pt>
                <c:pt idx="37">
                  <c:v>1.7</c:v>
                </c:pt>
                <c:pt idx="38">
                  <c:v>1.75</c:v>
                </c:pt>
                <c:pt idx="39">
                  <c:v>1.8</c:v>
                </c:pt>
                <c:pt idx="40">
                  <c:v>1.85</c:v>
                </c:pt>
                <c:pt idx="41">
                  <c:v>1.9</c:v>
                </c:pt>
                <c:pt idx="42">
                  <c:v>1.9450000000000001</c:v>
                </c:pt>
                <c:pt idx="43">
                  <c:v>2</c:v>
                </c:pt>
                <c:pt idx="44">
                  <c:v>2.0779999999999998</c:v>
                </c:pt>
                <c:pt idx="45">
                  <c:v>2.1</c:v>
                </c:pt>
                <c:pt idx="46">
                  <c:v>2.15</c:v>
                </c:pt>
                <c:pt idx="47">
                  <c:v>2.2000000000000002</c:v>
                </c:pt>
                <c:pt idx="48">
                  <c:v>2.25</c:v>
                </c:pt>
                <c:pt idx="49">
                  <c:v>2.2999999999999998</c:v>
                </c:pt>
                <c:pt idx="50">
                  <c:v>2.35</c:v>
                </c:pt>
                <c:pt idx="51">
                  <c:v>2.4</c:v>
                </c:pt>
                <c:pt idx="52">
                  <c:v>2.4500000000000002</c:v>
                </c:pt>
              </c:numCache>
            </c:numRef>
          </c:xVal>
          <c:yVal>
            <c:numRef>
              <c:f>一般工址Kz!$AG$43:$AG$96</c:f>
              <c:numCache>
                <c:formatCode>0.0000_ </c:formatCode>
                <c:ptCount val="54"/>
                <c:pt idx="0">
                  <c:v>0.15661904761904763</c:v>
                </c:pt>
                <c:pt idx="1">
                  <c:v>0.15661904761904763</c:v>
                </c:pt>
                <c:pt idx="2">
                  <c:v>0.15661904761904763</c:v>
                </c:pt>
                <c:pt idx="3">
                  <c:v>0.15661904761904763</c:v>
                </c:pt>
                <c:pt idx="4">
                  <c:v>0.15661904761904763</c:v>
                </c:pt>
                <c:pt idx="5">
                  <c:v>0.15661904761904763</c:v>
                </c:pt>
                <c:pt idx="6">
                  <c:v>0.15661904761904763</c:v>
                </c:pt>
                <c:pt idx="7">
                  <c:v>0.15661904761904763</c:v>
                </c:pt>
                <c:pt idx="8">
                  <c:v>0.15661904761904763</c:v>
                </c:pt>
                <c:pt idx="9">
                  <c:v>0.15661904761904763</c:v>
                </c:pt>
                <c:pt idx="10">
                  <c:v>0.15661904761904763</c:v>
                </c:pt>
                <c:pt idx="11">
                  <c:v>0.15661904761904763</c:v>
                </c:pt>
                <c:pt idx="12">
                  <c:v>0.15661904761904763</c:v>
                </c:pt>
                <c:pt idx="13">
                  <c:v>0.15661904761904763</c:v>
                </c:pt>
                <c:pt idx="14">
                  <c:v>0.15661904761904763</c:v>
                </c:pt>
                <c:pt idx="15">
                  <c:v>0.15661904761904763</c:v>
                </c:pt>
                <c:pt idx="16">
                  <c:v>0.15661904761904763</c:v>
                </c:pt>
                <c:pt idx="17">
                  <c:v>9.5357265689189008E-2</c:v>
                </c:pt>
                <c:pt idx="18">
                  <c:v>8.8872231450407221E-2</c:v>
                </c:pt>
                <c:pt idx="19">
                  <c:v>8.7235346707156727E-2</c:v>
                </c:pt>
                <c:pt idx="20">
                  <c:v>8.5052118108287805E-2</c:v>
                </c:pt>
                <c:pt idx="21">
                  <c:v>8.064748154839152E-2</c:v>
                </c:pt>
                <c:pt idx="22">
                  <c:v>7.7792323992174103E-2</c:v>
                </c:pt>
                <c:pt idx="23">
                  <c:v>7.5177142857142859E-2</c:v>
                </c:pt>
                <c:pt idx="24">
                  <c:v>7.3368697757982868E-2</c:v>
                </c:pt>
                <c:pt idx="25">
                  <c:v>7.0548972462046583E-2</c:v>
                </c:pt>
                <c:pt idx="26">
                  <c:v>6.8488962790192259E-2</c:v>
                </c:pt>
                <c:pt idx="27">
                  <c:v>6.6202081133064722E-2</c:v>
                </c:pt>
                <c:pt idx="28">
                  <c:v>6.4785697787564475E-2</c:v>
                </c:pt>
                <c:pt idx="29">
                  <c:v>6.3113691294733681E-2</c:v>
                </c:pt>
                <c:pt idx="30">
                  <c:v>6.2647619047619063E-2</c:v>
                </c:pt>
                <c:pt idx="31">
                  <c:v>6.2647619047619063E-2</c:v>
                </c:pt>
                <c:pt idx="32">
                  <c:v>6.2647619047619063E-2</c:v>
                </c:pt>
                <c:pt idx="33">
                  <c:v>6.2647619047619063E-2</c:v>
                </c:pt>
                <c:pt idx="34">
                  <c:v>6.2647619047619063E-2</c:v>
                </c:pt>
                <c:pt idx="35">
                  <c:v>6.2647619047619063E-2</c:v>
                </c:pt>
                <c:pt idx="36">
                  <c:v>6.2647619047619063E-2</c:v>
                </c:pt>
                <c:pt idx="37">
                  <c:v>6.2647619047619063E-2</c:v>
                </c:pt>
                <c:pt idx="38">
                  <c:v>6.2647619047619063E-2</c:v>
                </c:pt>
                <c:pt idx="39">
                  <c:v>6.2647619047619063E-2</c:v>
                </c:pt>
                <c:pt idx="40">
                  <c:v>6.2647619047619063E-2</c:v>
                </c:pt>
                <c:pt idx="41">
                  <c:v>6.2647619047619063E-2</c:v>
                </c:pt>
                <c:pt idx="42">
                  <c:v>6.2647619047619063E-2</c:v>
                </c:pt>
                <c:pt idx="43">
                  <c:v>6.2647619047619063E-2</c:v>
                </c:pt>
                <c:pt idx="44">
                  <c:v>6.2647619047619063E-2</c:v>
                </c:pt>
                <c:pt idx="45">
                  <c:v>6.2647619047619063E-2</c:v>
                </c:pt>
                <c:pt idx="46">
                  <c:v>6.2647619047619063E-2</c:v>
                </c:pt>
                <c:pt idx="47">
                  <c:v>6.2647619047619063E-2</c:v>
                </c:pt>
                <c:pt idx="48">
                  <c:v>6.2647619047619063E-2</c:v>
                </c:pt>
                <c:pt idx="49">
                  <c:v>6.2647619047619063E-2</c:v>
                </c:pt>
                <c:pt idx="50">
                  <c:v>6.2647619047619063E-2</c:v>
                </c:pt>
                <c:pt idx="51">
                  <c:v>6.2647619047619063E-2</c:v>
                </c:pt>
                <c:pt idx="52">
                  <c:v>6.2647619047619063E-2</c:v>
                </c:pt>
                <c:pt idx="53">
                  <c:v>6.2647619047619063E-2</c:v>
                </c:pt>
              </c:numCache>
            </c:numRef>
          </c:yVal>
          <c:smooth val="0"/>
          <c:extLst>
            <c:ext xmlns:c16="http://schemas.microsoft.com/office/drawing/2014/chart" uri="{C3380CC4-5D6E-409C-BE32-E72D297353CC}">
              <c16:uniqueId val="{00000003-6BBC-421E-B7ED-D7D5DAD7B88F}"/>
            </c:ext>
          </c:extLst>
        </c:ser>
        <c:ser>
          <c:idx val="1"/>
          <c:order val="4"/>
          <c:tx>
            <c:v>民85年以前，K=1.0</c:v>
          </c:tx>
          <c:marker>
            <c:symbol val="none"/>
          </c:marker>
          <c:dLbls>
            <c:delete val="1"/>
          </c:dLbls>
          <c:xVal>
            <c:numRef>
              <c:f>一般工址Kz!$B$43:$B$96</c:f>
              <c:numCache>
                <c:formatCode>0.0000_ </c:formatCode>
                <c:ptCount val="54"/>
                <c:pt idx="0">
                  <c:v>1E-3</c:v>
                </c:pt>
                <c:pt idx="1">
                  <c:v>8.9300000000000004E-2</c:v>
                </c:pt>
                <c:pt idx="2">
                  <c:v>0.1125</c:v>
                </c:pt>
                <c:pt idx="3">
                  <c:v>0.11260000000000001</c:v>
                </c:pt>
                <c:pt idx="4">
                  <c:v>0.1193</c:v>
                </c:pt>
                <c:pt idx="5">
                  <c:v>0.16600000000000001</c:v>
                </c:pt>
                <c:pt idx="6">
                  <c:v>0.2</c:v>
                </c:pt>
                <c:pt idx="7">
                  <c:v>0.33749999999999997</c:v>
                </c:pt>
                <c:pt idx="8">
                  <c:v>0.33789999999999998</c:v>
                </c:pt>
                <c:pt idx="9">
                  <c:v>0.36099999999999999</c:v>
                </c:pt>
                <c:pt idx="10">
                  <c:v>0.35780000000000001</c:v>
                </c:pt>
                <c:pt idx="11">
                  <c:v>0.4</c:v>
                </c:pt>
                <c:pt idx="12">
                  <c:v>0.46700000000000003</c:v>
                </c:pt>
                <c:pt idx="13">
                  <c:v>0.499</c:v>
                </c:pt>
                <c:pt idx="14">
                  <c:v>0.5625</c:v>
                </c:pt>
                <c:pt idx="15">
                  <c:v>0.56320000000000003</c:v>
                </c:pt>
                <c:pt idx="16">
                  <c:v>0.59630000000000005</c:v>
                </c:pt>
                <c:pt idx="17">
                  <c:v>0.7</c:v>
                </c:pt>
                <c:pt idx="18">
                  <c:v>0.77800000000000002</c:v>
                </c:pt>
                <c:pt idx="19">
                  <c:v>0.8</c:v>
                </c:pt>
                <c:pt idx="20">
                  <c:v>0.83099999999999996</c:v>
                </c:pt>
                <c:pt idx="21">
                  <c:v>0.9</c:v>
                </c:pt>
                <c:pt idx="22">
                  <c:v>0.95</c:v>
                </c:pt>
                <c:pt idx="23">
                  <c:v>1</c:v>
                </c:pt>
                <c:pt idx="24">
                  <c:v>1.0371999999999999</c:v>
                </c:pt>
                <c:pt idx="25">
                  <c:v>1.1000000000000001</c:v>
                </c:pt>
                <c:pt idx="26">
                  <c:v>1.1499999999999999</c:v>
                </c:pt>
                <c:pt idx="27">
                  <c:v>1.2101</c:v>
                </c:pt>
                <c:pt idx="28">
                  <c:v>1.25</c:v>
                </c:pt>
                <c:pt idx="29">
                  <c:v>1.3</c:v>
                </c:pt>
                <c:pt idx="30">
                  <c:v>1.35</c:v>
                </c:pt>
                <c:pt idx="31">
                  <c:v>1.3847</c:v>
                </c:pt>
                <c:pt idx="32">
                  <c:v>1.45</c:v>
                </c:pt>
                <c:pt idx="33">
                  <c:v>1.5</c:v>
                </c:pt>
                <c:pt idx="34">
                  <c:v>1.55</c:v>
                </c:pt>
                <c:pt idx="35">
                  <c:v>1.6</c:v>
                </c:pt>
                <c:pt idx="36">
                  <c:v>1.65</c:v>
                </c:pt>
                <c:pt idx="37">
                  <c:v>1.7</c:v>
                </c:pt>
                <c:pt idx="38">
                  <c:v>1.75</c:v>
                </c:pt>
                <c:pt idx="39">
                  <c:v>1.8</c:v>
                </c:pt>
                <c:pt idx="40">
                  <c:v>1.85</c:v>
                </c:pt>
                <c:pt idx="41">
                  <c:v>1.9</c:v>
                </c:pt>
                <c:pt idx="42">
                  <c:v>1.9450000000000001</c:v>
                </c:pt>
                <c:pt idx="43">
                  <c:v>2</c:v>
                </c:pt>
                <c:pt idx="44">
                  <c:v>2.0779999999999998</c:v>
                </c:pt>
                <c:pt idx="45">
                  <c:v>2.1</c:v>
                </c:pt>
                <c:pt idx="46">
                  <c:v>2.15</c:v>
                </c:pt>
                <c:pt idx="47">
                  <c:v>2.2000000000000002</c:v>
                </c:pt>
                <c:pt idx="48">
                  <c:v>2.25</c:v>
                </c:pt>
                <c:pt idx="49">
                  <c:v>2.2999999999999998</c:v>
                </c:pt>
                <c:pt idx="50">
                  <c:v>2.35</c:v>
                </c:pt>
                <c:pt idx="51">
                  <c:v>2.4</c:v>
                </c:pt>
                <c:pt idx="52">
                  <c:v>2.4500000000000002</c:v>
                </c:pt>
                <c:pt idx="53">
                  <c:v>2.5</c:v>
                </c:pt>
              </c:numCache>
            </c:numRef>
          </c:xVal>
          <c:yVal>
            <c:numRef>
              <c:f>一般工址Kz!$Z$43:$Z$96</c:f>
              <c:numCache>
                <c:formatCode>0.0000_ </c:formatCode>
                <c:ptCount val="54"/>
                <c:pt idx="0">
                  <c:v>0.17159999999999997</c:v>
                </c:pt>
                <c:pt idx="1">
                  <c:v>0.17159999999999997</c:v>
                </c:pt>
                <c:pt idx="2">
                  <c:v>0.17159999999999997</c:v>
                </c:pt>
                <c:pt idx="3">
                  <c:v>0.17159999999999997</c:v>
                </c:pt>
                <c:pt idx="4">
                  <c:v>0.17159999999999997</c:v>
                </c:pt>
                <c:pt idx="5">
                  <c:v>0.17159999999999997</c:v>
                </c:pt>
                <c:pt idx="6">
                  <c:v>0.17159999999999997</c:v>
                </c:pt>
                <c:pt idx="7">
                  <c:v>0.17159999999999997</c:v>
                </c:pt>
                <c:pt idx="8">
                  <c:v>0.17159999999999997</c:v>
                </c:pt>
                <c:pt idx="9">
                  <c:v>0.17159999999999997</c:v>
                </c:pt>
                <c:pt idx="10">
                  <c:v>0.17159999999999997</c:v>
                </c:pt>
                <c:pt idx="11">
                  <c:v>0.17159999999999997</c:v>
                </c:pt>
                <c:pt idx="12">
                  <c:v>0.17159999999999997</c:v>
                </c:pt>
                <c:pt idx="13">
                  <c:v>0.17159999999999997</c:v>
                </c:pt>
                <c:pt idx="14">
                  <c:v>0.17159999999999997</c:v>
                </c:pt>
                <c:pt idx="15">
                  <c:v>0.17159999999999997</c:v>
                </c:pt>
                <c:pt idx="16">
                  <c:v>0.17159999999999997</c:v>
                </c:pt>
                <c:pt idx="17">
                  <c:v>0.17091769113481828</c:v>
                </c:pt>
                <c:pt idx="18">
                  <c:v>0.16212360006075024</c:v>
                </c:pt>
                <c:pt idx="19">
                  <c:v>0.15987886039123497</c:v>
                </c:pt>
                <c:pt idx="20">
                  <c:v>0.15686842118278702</c:v>
                </c:pt>
                <c:pt idx="21">
                  <c:v>0.15073523513469275</c:v>
                </c:pt>
                <c:pt idx="22">
                  <c:v>0.14671490434817705</c:v>
                </c:pt>
                <c:pt idx="23">
                  <c:v>0.14299999999999999</c:v>
                </c:pt>
                <c:pt idx="24">
                  <c:v>0.14041218041463818</c:v>
                </c:pt>
                <c:pt idx="25">
                  <c:v>0.13634515026211969</c:v>
                </c:pt>
                <c:pt idx="26">
                  <c:v>0.13334818757836486</c:v>
                </c:pt>
                <c:pt idx="27">
                  <c:v>0.1299946284321197</c:v>
                </c:pt>
                <c:pt idx="28">
                  <c:v>0.12790308831298797</c:v>
                </c:pt>
                <c:pt idx="29">
                  <c:v>0.12541929676090519</c:v>
                </c:pt>
                <c:pt idx="30">
                  <c:v>0.12307480411281346</c:v>
                </c:pt>
                <c:pt idx="31">
                  <c:v>0.12152291859706528</c:v>
                </c:pt>
                <c:pt idx="32">
                  <c:v>0.11875503619084815</c:v>
                </c:pt>
                <c:pt idx="33">
                  <c:v>0.11675901107266484</c:v>
                </c:pt>
                <c:pt idx="34">
                  <c:v>0.11486036403305735</c:v>
                </c:pt>
                <c:pt idx="35">
                  <c:v>0.11305142635101956</c:v>
                </c:pt>
                <c:pt idx="36">
                  <c:v>0.1113253490150978</c:v>
                </c:pt>
                <c:pt idx="37">
                  <c:v>0.10967599340517398</c:v>
                </c:pt>
                <c:pt idx="38">
                  <c:v>0.10809783928063897</c:v>
                </c:pt>
                <c:pt idx="39">
                  <c:v>0.10658590692748997</c:v>
                </c:pt>
                <c:pt idx="40">
                  <c:v>0.10513569095941452</c:v>
                </c:pt>
                <c:pt idx="41">
                  <c:v>0.10374310376573168</c:v>
                </c:pt>
                <c:pt idx="42">
                  <c:v>0.10253596773163669</c:v>
                </c:pt>
                <c:pt idx="43">
                  <c:v>0.10111626970967628</c:v>
                </c:pt>
                <c:pt idx="44">
                  <c:v>9.9200364028019711E-2</c:v>
                </c:pt>
                <c:pt idx="45">
                  <c:v>9.867937498595665E-2</c:v>
                </c:pt>
                <c:pt idx="46">
                  <c:v>9.7525190544277704E-2</c:v>
                </c:pt>
                <c:pt idx="47">
                  <c:v>9.6410580332243617E-2</c:v>
                </c:pt>
                <c:pt idx="48">
                  <c:v>9.5333333333333325E-2</c:v>
                </c:pt>
                <c:pt idx="49">
                  <c:v>9.4291407695597559E-2</c:v>
                </c:pt>
                <c:pt idx="50">
                  <c:v>9.3282914446642246E-2</c:v>
                </c:pt>
                <c:pt idx="51">
                  <c:v>9.2306103084610111E-2</c:v>
                </c:pt>
                <c:pt idx="52">
                  <c:v>9.1359348794991399E-2</c:v>
                </c:pt>
                <c:pt idx="53">
                  <c:v>9.0441141080815662E-2</c:v>
                </c:pt>
              </c:numCache>
            </c:numRef>
          </c:yVal>
          <c:smooth val="0"/>
          <c:extLst>
            <c:ext xmlns:c16="http://schemas.microsoft.com/office/drawing/2014/chart" uri="{C3380CC4-5D6E-409C-BE32-E72D297353CC}">
              <c16:uniqueId val="{00000004-6BBC-421E-B7ED-D7D5DAD7B88F}"/>
            </c:ext>
          </c:extLst>
        </c:ser>
        <c:ser>
          <c:idx val="4"/>
          <c:order val="5"/>
          <c:tx>
            <c:v>民85年以前，K=0.8</c:v>
          </c:tx>
          <c:marker>
            <c:symbol val="none"/>
          </c:marker>
          <c:dLbls>
            <c:delete val="1"/>
          </c:dLbls>
          <c:xVal>
            <c:numRef>
              <c:f>一般工址Kz!$B$43:$B$96</c:f>
              <c:numCache>
                <c:formatCode>0.0000_ </c:formatCode>
                <c:ptCount val="54"/>
                <c:pt idx="0">
                  <c:v>1E-3</c:v>
                </c:pt>
                <c:pt idx="1">
                  <c:v>8.9300000000000004E-2</c:v>
                </c:pt>
                <c:pt idx="2">
                  <c:v>0.1125</c:v>
                </c:pt>
                <c:pt idx="3">
                  <c:v>0.11260000000000001</c:v>
                </c:pt>
                <c:pt idx="4">
                  <c:v>0.1193</c:v>
                </c:pt>
                <c:pt idx="5">
                  <c:v>0.16600000000000001</c:v>
                </c:pt>
                <c:pt idx="6">
                  <c:v>0.2</c:v>
                </c:pt>
                <c:pt idx="7">
                  <c:v>0.33749999999999997</c:v>
                </c:pt>
                <c:pt idx="8">
                  <c:v>0.33789999999999998</c:v>
                </c:pt>
                <c:pt idx="9">
                  <c:v>0.36099999999999999</c:v>
                </c:pt>
                <c:pt idx="10">
                  <c:v>0.35780000000000001</c:v>
                </c:pt>
                <c:pt idx="11">
                  <c:v>0.4</c:v>
                </c:pt>
                <c:pt idx="12">
                  <c:v>0.46700000000000003</c:v>
                </c:pt>
                <c:pt idx="13">
                  <c:v>0.499</c:v>
                </c:pt>
                <c:pt idx="14">
                  <c:v>0.5625</c:v>
                </c:pt>
                <c:pt idx="15">
                  <c:v>0.56320000000000003</c:v>
                </c:pt>
                <c:pt idx="16">
                  <c:v>0.59630000000000005</c:v>
                </c:pt>
                <c:pt idx="17">
                  <c:v>0.7</c:v>
                </c:pt>
                <c:pt idx="18">
                  <c:v>0.77800000000000002</c:v>
                </c:pt>
                <c:pt idx="19">
                  <c:v>0.8</c:v>
                </c:pt>
                <c:pt idx="20">
                  <c:v>0.83099999999999996</c:v>
                </c:pt>
                <c:pt idx="21">
                  <c:v>0.9</c:v>
                </c:pt>
                <c:pt idx="22">
                  <c:v>0.95</c:v>
                </c:pt>
                <c:pt idx="23">
                  <c:v>1</c:v>
                </c:pt>
                <c:pt idx="24">
                  <c:v>1.0371999999999999</c:v>
                </c:pt>
                <c:pt idx="25">
                  <c:v>1.1000000000000001</c:v>
                </c:pt>
                <c:pt idx="26">
                  <c:v>1.1499999999999999</c:v>
                </c:pt>
                <c:pt idx="27">
                  <c:v>1.2101</c:v>
                </c:pt>
                <c:pt idx="28">
                  <c:v>1.25</c:v>
                </c:pt>
                <c:pt idx="29">
                  <c:v>1.3</c:v>
                </c:pt>
                <c:pt idx="30">
                  <c:v>1.35</c:v>
                </c:pt>
                <c:pt idx="31">
                  <c:v>1.3847</c:v>
                </c:pt>
                <c:pt idx="32">
                  <c:v>1.45</c:v>
                </c:pt>
                <c:pt idx="33">
                  <c:v>1.5</c:v>
                </c:pt>
                <c:pt idx="34">
                  <c:v>1.55</c:v>
                </c:pt>
                <c:pt idx="35">
                  <c:v>1.6</c:v>
                </c:pt>
                <c:pt idx="36">
                  <c:v>1.65</c:v>
                </c:pt>
                <c:pt idx="37">
                  <c:v>1.7</c:v>
                </c:pt>
                <c:pt idx="38">
                  <c:v>1.75</c:v>
                </c:pt>
                <c:pt idx="39">
                  <c:v>1.8</c:v>
                </c:pt>
                <c:pt idx="40">
                  <c:v>1.85</c:v>
                </c:pt>
                <c:pt idx="41">
                  <c:v>1.9</c:v>
                </c:pt>
                <c:pt idx="42">
                  <c:v>1.9450000000000001</c:v>
                </c:pt>
                <c:pt idx="43">
                  <c:v>2</c:v>
                </c:pt>
                <c:pt idx="44">
                  <c:v>2.0779999999999998</c:v>
                </c:pt>
                <c:pt idx="45">
                  <c:v>2.1</c:v>
                </c:pt>
                <c:pt idx="46">
                  <c:v>2.15</c:v>
                </c:pt>
                <c:pt idx="47">
                  <c:v>2.2000000000000002</c:v>
                </c:pt>
                <c:pt idx="48">
                  <c:v>2.25</c:v>
                </c:pt>
                <c:pt idx="49">
                  <c:v>2.2999999999999998</c:v>
                </c:pt>
                <c:pt idx="50">
                  <c:v>2.35</c:v>
                </c:pt>
                <c:pt idx="51">
                  <c:v>2.4</c:v>
                </c:pt>
                <c:pt idx="52">
                  <c:v>2.4500000000000002</c:v>
                </c:pt>
                <c:pt idx="53">
                  <c:v>2.5</c:v>
                </c:pt>
              </c:numCache>
            </c:numRef>
          </c:xVal>
          <c:yVal>
            <c:numRef>
              <c:f>一般工址Kz!$AA$43:$AA$96</c:f>
              <c:numCache>
                <c:formatCode>0.0000_ </c:formatCode>
                <c:ptCount val="54"/>
                <c:pt idx="0">
                  <c:v>0.13728000000000001</c:v>
                </c:pt>
                <c:pt idx="1">
                  <c:v>0.13728000000000001</c:v>
                </c:pt>
                <c:pt idx="2">
                  <c:v>0.13728000000000001</c:v>
                </c:pt>
                <c:pt idx="3">
                  <c:v>0.13728000000000001</c:v>
                </c:pt>
                <c:pt idx="4">
                  <c:v>0.13728000000000001</c:v>
                </c:pt>
                <c:pt idx="5">
                  <c:v>0.13728000000000001</c:v>
                </c:pt>
                <c:pt idx="6">
                  <c:v>0.13728000000000001</c:v>
                </c:pt>
                <c:pt idx="7">
                  <c:v>0.13728000000000001</c:v>
                </c:pt>
                <c:pt idx="8">
                  <c:v>0.13728000000000001</c:v>
                </c:pt>
                <c:pt idx="9">
                  <c:v>0.13728000000000001</c:v>
                </c:pt>
                <c:pt idx="10">
                  <c:v>0.13728000000000001</c:v>
                </c:pt>
                <c:pt idx="11">
                  <c:v>0.13728000000000001</c:v>
                </c:pt>
                <c:pt idx="12">
                  <c:v>0.13728000000000001</c:v>
                </c:pt>
                <c:pt idx="13">
                  <c:v>0.13728000000000001</c:v>
                </c:pt>
                <c:pt idx="14">
                  <c:v>0.13728000000000001</c:v>
                </c:pt>
                <c:pt idx="15">
                  <c:v>0.13728000000000001</c:v>
                </c:pt>
                <c:pt idx="16">
                  <c:v>0.13728000000000001</c:v>
                </c:pt>
                <c:pt idx="17">
                  <c:v>0.13673415290785465</c:v>
                </c:pt>
                <c:pt idx="18">
                  <c:v>0.12969888004860022</c:v>
                </c:pt>
                <c:pt idx="19">
                  <c:v>0.12790308831298799</c:v>
                </c:pt>
                <c:pt idx="20">
                  <c:v>0.12549473694622962</c:v>
                </c:pt>
                <c:pt idx="21">
                  <c:v>0.12058818810775422</c:v>
                </c:pt>
                <c:pt idx="22">
                  <c:v>0.11737192347854165</c:v>
                </c:pt>
                <c:pt idx="23">
                  <c:v>0.11440000000000002</c:v>
                </c:pt>
                <c:pt idx="24">
                  <c:v>0.11232974433171056</c:v>
                </c:pt>
                <c:pt idx="25">
                  <c:v>0.10907612020969577</c:v>
                </c:pt>
                <c:pt idx="26">
                  <c:v>0.1066785500626919</c:v>
                </c:pt>
                <c:pt idx="27">
                  <c:v>0.10399570274569576</c:v>
                </c:pt>
                <c:pt idx="28">
                  <c:v>0.10232247065039038</c:v>
                </c:pt>
                <c:pt idx="29">
                  <c:v>0.10033543740872417</c:v>
                </c:pt>
                <c:pt idx="30">
                  <c:v>9.8459843290250787E-2</c:v>
                </c:pt>
                <c:pt idx="31">
                  <c:v>9.7218334877652246E-2</c:v>
                </c:pt>
                <c:pt idx="32">
                  <c:v>9.5004028952678538E-2</c:v>
                </c:pt>
                <c:pt idx="33">
                  <c:v>9.340720885813189E-2</c:v>
                </c:pt>
                <c:pt idx="34">
                  <c:v>9.1888291226445901E-2</c:v>
                </c:pt>
                <c:pt idx="35">
                  <c:v>9.0441141080815662E-2</c:v>
                </c:pt>
                <c:pt idx="36">
                  <c:v>8.9060279212078236E-2</c:v>
                </c:pt>
                <c:pt idx="37">
                  <c:v>8.774079472413919E-2</c:v>
                </c:pt>
                <c:pt idx="38">
                  <c:v>8.6478271424511199E-2</c:v>
                </c:pt>
                <c:pt idx="39">
                  <c:v>8.5268725541991996E-2</c:v>
                </c:pt>
                <c:pt idx="40">
                  <c:v>8.4108552767531625E-2</c:v>
                </c:pt>
                <c:pt idx="41">
                  <c:v>8.2994483012585357E-2</c:v>
                </c:pt>
                <c:pt idx="42">
                  <c:v>8.2028774185309364E-2</c:v>
                </c:pt>
                <c:pt idx="43">
                  <c:v>8.089301576774105E-2</c:v>
                </c:pt>
                <c:pt idx="44">
                  <c:v>7.936029122241578E-2</c:v>
                </c:pt>
                <c:pt idx="45">
                  <c:v>7.894349998876532E-2</c:v>
                </c:pt>
                <c:pt idx="46">
                  <c:v>7.802015243542218E-2</c:v>
                </c:pt>
                <c:pt idx="47">
                  <c:v>7.7128464265794908E-2</c:v>
                </c:pt>
                <c:pt idx="48">
                  <c:v>7.6266666666666677E-2</c:v>
                </c:pt>
                <c:pt idx="49">
                  <c:v>7.5433126156478056E-2</c:v>
                </c:pt>
                <c:pt idx="50">
                  <c:v>7.4626331557313796E-2</c:v>
                </c:pt>
                <c:pt idx="51">
                  <c:v>7.3844882467688083E-2</c:v>
                </c:pt>
                <c:pt idx="52">
                  <c:v>7.308747903599315E-2</c:v>
                </c:pt>
                <c:pt idx="53">
                  <c:v>7.2352912864652522E-2</c:v>
                </c:pt>
              </c:numCache>
            </c:numRef>
          </c:yVal>
          <c:smooth val="0"/>
          <c:extLst>
            <c:ext xmlns:c16="http://schemas.microsoft.com/office/drawing/2014/chart" uri="{C3380CC4-5D6E-409C-BE32-E72D297353CC}">
              <c16:uniqueId val="{00000005-6BBC-421E-B7ED-D7D5DAD7B88F}"/>
            </c:ext>
          </c:extLst>
        </c:ser>
        <c:ser>
          <c:idx val="5"/>
          <c:order val="6"/>
          <c:tx>
            <c:v>民85年以前，K=0.67</c:v>
          </c:tx>
          <c:marker>
            <c:symbol val="none"/>
          </c:marker>
          <c:dLbls>
            <c:delete val="1"/>
          </c:dLbls>
          <c:xVal>
            <c:numRef>
              <c:f>一般工址Kz!$B$43:$B$96</c:f>
              <c:numCache>
                <c:formatCode>0.0000_ </c:formatCode>
                <c:ptCount val="54"/>
                <c:pt idx="0">
                  <c:v>1E-3</c:v>
                </c:pt>
                <c:pt idx="1">
                  <c:v>8.9300000000000004E-2</c:v>
                </c:pt>
                <c:pt idx="2">
                  <c:v>0.1125</c:v>
                </c:pt>
                <c:pt idx="3">
                  <c:v>0.11260000000000001</c:v>
                </c:pt>
                <c:pt idx="4">
                  <c:v>0.1193</c:v>
                </c:pt>
                <c:pt idx="5">
                  <c:v>0.16600000000000001</c:v>
                </c:pt>
                <c:pt idx="6">
                  <c:v>0.2</c:v>
                </c:pt>
                <c:pt idx="7">
                  <c:v>0.33749999999999997</c:v>
                </c:pt>
                <c:pt idx="8">
                  <c:v>0.33789999999999998</c:v>
                </c:pt>
                <c:pt idx="9">
                  <c:v>0.36099999999999999</c:v>
                </c:pt>
                <c:pt idx="10">
                  <c:v>0.35780000000000001</c:v>
                </c:pt>
                <c:pt idx="11">
                  <c:v>0.4</c:v>
                </c:pt>
                <c:pt idx="12">
                  <c:v>0.46700000000000003</c:v>
                </c:pt>
                <c:pt idx="13">
                  <c:v>0.499</c:v>
                </c:pt>
                <c:pt idx="14">
                  <c:v>0.5625</c:v>
                </c:pt>
                <c:pt idx="15">
                  <c:v>0.56320000000000003</c:v>
                </c:pt>
                <c:pt idx="16">
                  <c:v>0.59630000000000005</c:v>
                </c:pt>
                <c:pt idx="17">
                  <c:v>0.7</c:v>
                </c:pt>
                <c:pt idx="18">
                  <c:v>0.77800000000000002</c:v>
                </c:pt>
                <c:pt idx="19">
                  <c:v>0.8</c:v>
                </c:pt>
                <c:pt idx="20">
                  <c:v>0.83099999999999996</c:v>
                </c:pt>
                <c:pt idx="21">
                  <c:v>0.9</c:v>
                </c:pt>
                <c:pt idx="22">
                  <c:v>0.95</c:v>
                </c:pt>
                <c:pt idx="23">
                  <c:v>1</c:v>
                </c:pt>
                <c:pt idx="24">
                  <c:v>1.0371999999999999</c:v>
                </c:pt>
                <c:pt idx="25">
                  <c:v>1.1000000000000001</c:v>
                </c:pt>
                <c:pt idx="26">
                  <c:v>1.1499999999999999</c:v>
                </c:pt>
                <c:pt idx="27">
                  <c:v>1.2101</c:v>
                </c:pt>
                <c:pt idx="28">
                  <c:v>1.25</c:v>
                </c:pt>
                <c:pt idx="29">
                  <c:v>1.3</c:v>
                </c:pt>
                <c:pt idx="30">
                  <c:v>1.35</c:v>
                </c:pt>
                <c:pt idx="31">
                  <c:v>1.3847</c:v>
                </c:pt>
                <c:pt idx="32">
                  <c:v>1.45</c:v>
                </c:pt>
                <c:pt idx="33">
                  <c:v>1.5</c:v>
                </c:pt>
                <c:pt idx="34">
                  <c:v>1.55</c:v>
                </c:pt>
                <c:pt idx="35">
                  <c:v>1.6</c:v>
                </c:pt>
                <c:pt idx="36">
                  <c:v>1.65</c:v>
                </c:pt>
                <c:pt idx="37">
                  <c:v>1.7</c:v>
                </c:pt>
                <c:pt idx="38">
                  <c:v>1.75</c:v>
                </c:pt>
                <c:pt idx="39">
                  <c:v>1.8</c:v>
                </c:pt>
                <c:pt idx="40">
                  <c:v>1.85</c:v>
                </c:pt>
                <c:pt idx="41">
                  <c:v>1.9</c:v>
                </c:pt>
                <c:pt idx="42">
                  <c:v>1.9450000000000001</c:v>
                </c:pt>
                <c:pt idx="43">
                  <c:v>2</c:v>
                </c:pt>
                <c:pt idx="44">
                  <c:v>2.0779999999999998</c:v>
                </c:pt>
                <c:pt idx="45">
                  <c:v>2.1</c:v>
                </c:pt>
                <c:pt idx="46">
                  <c:v>2.15</c:v>
                </c:pt>
                <c:pt idx="47">
                  <c:v>2.2000000000000002</c:v>
                </c:pt>
                <c:pt idx="48">
                  <c:v>2.25</c:v>
                </c:pt>
                <c:pt idx="49">
                  <c:v>2.2999999999999998</c:v>
                </c:pt>
                <c:pt idx="50">
                  <c:v>2.35</c:v>
                </c:pt>
                <c:pt idx="51">
                  <c:v>2.4</c:v>
                </c:pt>
                <c:pt idx="52">
                  <c:v>2.4500000000000002</c:v>
                </c:pt>
                <c:pt idx="53">
                  <c:v>2.5</c:v>
                </c:pt>
              </c:numCache>
            </c:numRef>
          </c:xVal>
          <c:yVal>
            <c:numRef>
              <c:f>一般工址Kz!$AB$43:$AB$96</c:f>
              <c:numCache>
                <c:formatCode>0.0000_ </c:formatCode>
                <c:ptCount val="54"/>
                <c:pt idx="0">
                  <c:v>0.11497199999999999</c:v>
                </c:pt>
                <c:pt idx="1">
                  <c:v>0.11497199999999999</c:v>
                </c:pt>
                <c:pt idx="2">
                  <c:v>0.11497199999999999</c:v>
                </c:pt>
                <c:pt idx="3">
                  <c:v>0.11497199999999999</c:v>
                </c:pt>
                <c:pt idx="4">
                  <c:v>0.11497199999999999</c:v>
                </c:pt>
                <c:pt idx="5">
                  <c:v>0.11497199999999999</c:v>
                </c:pt>
                <c:pt idx="6">
                  <c:v>0.11497199999999999</c:v>
                </c:pt>
                <c:pt idx="7">
                  <c:v>0.11497199999999999</c:v>
                </c:pt>
                <c:pt idx="8">
                  <c:v>0.11497199999999999</c:v>
                </c:pt>
                <c:pt idx="9">
                  <c:v>0.11497199999999999</c:v>
                </c:pt>
                <c:pt idx="10">
                  <c:v>0.11497199999999999</c:v>
                </c:pt>
                <c:pt idx="11">
                  <c:v>0.11497199999999999</c:v>
                </c:pt>
                <c:pt idx="12">
                  <c:v>0.11497199999999999</c:v>
                </c:pt>
                <c:pt idx="13">
                  <c:v>0.11497199999999999</c:v>
                </c:pt>
                <c:pt idx="14">
                  <c:v>0.11497199999999999</c:v>
                </c:pt>
                <c:pt idx="15">
                  <c:v>0.11497199999999999</c:v>
                </c:pt>
                <c:pt idx="16">
                  <c:v>0.11497199999999999</c:v>
                </c:pt>
                <c:pt idx="17">
                  <c:v>0.11451485306032824</c:v>
                </c:pt>
                <c:pt idx="18">
                  <c:v>0.10862281204070266</c:v>
                </c:pt>
                <c:pt idx="19">
                  <c:v>0.10711883646212744</c:v>
                </c:pt>
                <c:pt idx="20">
                  <c:v>0.10510184219246729</c:v>
                </c:pt>
                <c:pt idx="21">
                  <c:v>0.10099260754024415</c:v>
                </c:pt>
                <c:pt idx="22">
                  <c:v>9.8298985913278625E-2</c:v>
                </c:pt>
                <c:pt idx="23">
                  <c:v>9.5810000000000006E-2</c:v>
                </c:pt>
                <c:pt idx="24">
                  <c:v>9.4076160877807583E-2</c:v>
                </c:pt>
                <c:pt idx="25">
                  <c:v>9.1351250675620194E-2</c:v>
                </c:pt>
                <c:pt idx="26">
                  <c:v>8.9343285677504464E-2</c:v>
                </c:pt>
                <c:pt idx="27">
                  <c:v>8.7096401049520197E-2</c:v>
                </c:pt>
                <c:pt idx="28">
                  <c:v>8.5695069169701946E-2</c:v>
                </c:pt>
                <c:pt idx="29">
                  <c:v>8.4030928829806464E-2</c:v>
                </c:pt>
                <c:pt idx="30">
                  <c:v>8.2460118755585024E-2</c:v>
                </c:pt>
                <c:pt idx="31">
                  <c:v>8.1420355460033747E-2</c:v>
                </c:pt>
                <c:pt idx="32">
                  <c:v>7.9565874247868262E-2</c:v>
                </c:pt>
                <c:pt idx="33">
                  <c:v>7.8228537418685448E-2</c:v>
                </c:pt>
                <c:pt idx="34">
                  <c:v>7.6956443902148425E-2</c:v>
                </c:pt>
                <c:pt idx="35">
                  <c:v>7.5744455655183104E-2</c:v>
                </c:pt>
                <c:pt idx="36">
                  <c:v>7.4587983840115515E-2</c:v>
                </c:pt>
                <c:pt idx="37">
                  <c:v>7.3482915581466565E-2</c:v>
                </c:pt>
                <c:pt idx="38">
                  <c:v>7.2425552318028108E-2</c:v>
                </c:pt>
                <c:pt idx="39">
                  <c:v>7.1412557641418281E-2</c:v>
                </c:pt>
                <c:pt idx="40">
                  <c:v>7.0440912942807729E-2</c:v>
                </c:pt>
                <c:pt idx="41">
                  <c:v>6.9507879523040231E-2</c:v>
                </c:pt>
                <c:pt idx="42">
                  <c:v>6.8699098380196583E-2</c:v>
                </c:pt>
                <c:pt idx="43">
                  <c:v>6.7747900705483116E-2</c:v>
                </c:pt>
                <c:pt idx="44">
                  <c:v>6.6464243898773201E-2</c:v>
                </c:pt>
                <c:pt idx="45">
                  <c:v>6.6115181240590959E-2</c:v>
                </c:pt>
                <c:pt idx="46">
                  <c:v>6.5341877664666065E-2</c:v>
                </c:pt>
                <c:pt idx="47">
                  <c:v>6.459508882260323E-2</c:v>
                </c:pt>
                <c:pt idx="48">
                  <c:v>6.3873333333333338E-2</c:v>
                </c:pt>
                <c:pt idx="49">
                  <c:v>6.3175243156050359E-2</c:v>
                </c:pt>
                <c:pt idx="50">
                  <c:v>6.2499552679250302E-2</c:v>
                </c:pt>
                <c:pt idx="51">
                  <c:v>6.1845089066688771E-2</c:v>
                </c:pt>
                <c:pt idx="52">
                  <c:v>6.1210763692644242E-2</c:v>
                </c:pt>
                <c:pt idx="53">
                  <c:v>6.0595564524146481E-2</c:v>
                </c:pt>
              </c:numCache>
            </c:numRef>
          </c:yVal>
          <c:smooth val="0"/>
          <c:extLst>
            <c:ext xmlns:c16="http://schemas.microsoft.com/office/drawing/2014/chart" uri="{C3380CC4-5D6E-409C-BE32-E72D297353CC}">
              <c16:uniqueId val="{00000006-6BBC-421E-B7ED-D7D5DAD7B88F}"/>
            </c:ext>
          </c:extLst>
        </c:ser>
        <c:dLbls>
          <c:showLegendKey val="0"/>
          <c:showVal val="1"/>
          <c:showCatName val="0"/>
          <c:showSerName val="0"/>
          <c:showPercent val="0"/>
          <c:showBubbleSize val="0"/>
        </c:dLbls>
        <c:axId val="199076096"/>
        <c:axId val="199076672"/>
      </c:scatterChart>
      <c:valAx>
        <c:axId val="199076096"/>
        <c:scaling>
          <c:orientation val="minMax"/>
          <c:max val="2.5"/>
        </c:scaling>
        <c:delete val="0"/>
        <c:axPos val="b"/>
        <c:majorGridlines/>
        <c:minorGridlines/>
        <c:title>
          <c:tx>
            <c:rich>
              <a:bodyPr/>
              <a:lstStyle/>
              <a:p>
                <a:pPr>
                  <a:defRPr sz="1200"/>
                </a:pPr>
                <a:r>
                  <a:rPr lang="zh-TW" altLang="en-US" sz="1200"/>
                  <a:t>基本振動周期 </a:t>
                </a:r>
                <a:r>
                  <a:rPr lang="en-US" altLang="zh-TW" sz="1200"/>
                  <a:t>T (sec)</a:t>
                </a:r>
              </a:p>
            </c:rich>
          </c:tx>
          <c:overlay val="0"/>
        </c:title>
        <c:numFmt formatCode="0.0000_ " sourceLinked="1"/>
        <c:majorTickMark val="out"/>
        <c:minorTickMark val="in"/>
        <c:tickLblPos val="nextTo"/>
        <c:crossAx val="199076672"/>
        <c:crosses val="autoZero"/>
        <c:crossBetween val="midCat"/>
      </c:valAx>
      <c:valAx>
        <c:axId val="199076672"/>
        <c:scaling>
          <c:orientation val="minMax"/>
        </c:scaling>
        <c:delete val="0"/>
        <c:axPos val="l"/>
        <c:minorGridlines/>
        <c:numFmt formatCode="0.000_ " sourceLinked="1"/>
        <c:majorTickMark val="out"/>
        <c:minorTickMark val="none"/>
        <c:tickLblPos val="nextTo"/>
        <c:crossAx val="199076096"/>
        <c:crosses val="autoZero"/>
        <c:crossBetween val="midCat"/>
      </c:valAx>
    </c:plotArea>
    <c:legend>
      <c:legendPos val="r"/>
      <c:layout>
        <c:manualLayout>
          <c:xMode val="edge"/>
          <c:yMode val="edge"/>
          <c:x val="0.71472326659964591"/>
          <c:y val="0.12940791518675576"/>
          <c:w val="0.23038096695445237"/>
          <c:h val="0.34245858828128317"/>
        </c:manualLayout>
      </c:layout>
      <c:overlay val="0"/>
      <c:txPr>
        <a:bodyPr/>
        <a:lstStyle/>
        <a:p>
          <a:pPr>
            <a:defRPr sz="1100"/>
          </a:pPr>
          <a:endParaRPr lang="zh-TW"/>
        </a:p>
      </c:txPr>
    </c:legend>
    <c:plotVisOnly val="1"/>
    <c:dispBlanksAs val="gap"/>
    <c:showDLblsOverMax val="0"/>
  </c:chart>
  <c:printSettings>
    <c:headerFooter/>
    <c:pageMargins b="0.75000000000000322" l="0.70000000000000062" r="0.70000000000000062" t="0.75000000000000322" header="0.30000000000000032" footer="0.30000000000000032"/>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s>
</file>

<file path=xl/drawings/_rels/drawing3.xml.rels><?xml version="1.0" encoding="UTF-8" standalone="yes"?>
<Relationships xmlns="http://schemas.openxmlformats.org/package/2006/relationships"><Relationship Id="rId3" Type="http://schemas.openxmlformats.org/officeDocument/2006/relationships/chart" Target="../charts/chart12.xml"/><Relationship Id="rId2" Type="http://schemas.openxmlformats.org/officeDocument/2006/relationships/chart" Target="../charts/chart11.xml"/><Relationship Id="rId1" Type="http://schemas.openxmlformats.org/officeDocument/2006/relationships/chart" Target="../charts/chart10.xml"/><Relationship Id="rId4" Type="http://schemas.openxmlformats.org/officeDocument/2006/relationships/chart" Target="../charts/chart13.xml"/></Relationships>
</file>

<file path=xl/drawings/drawing1.xml><?xml version="1.0" encoding="utf-8"?>
<xdr:wsDr xmlns:xdr="http://schemas.openxmlformats.org/drawingml/2006/spreadsheetDrawing" xmlns:a="http://schemas.openxmlformats.org/drawingml/2006/main">
  <xdr:twoCellAnchor>
    <xdr:from>
      <xdr:col>0</xdr:col>
      <xdr:colOff>60960</xdr:colOff>
      <xdr:row>41</xdr:row>
      <xdr:rowOff>74295</xdr:rowOff>
    </xdr:from>
    <xdr:to>
      <xdr:col>5</xdr:col>
      <xdr:colOff>762000</xdr:colOff>
      <xdr:row>67</xdr:row>
      <xdr:rowOff>152400</xdr:rowOff>
    </xdr:to>
    <xdr:graphicFrame macro="">
      <xdr:nvGraphicFramePr>
        <xdr:cNvPr id="2" name="圖表 1">
          <a:extLst>
            <a:ext uri="{FF2B5EF4-FFF2-40B4-BE49-F238E27FC236}">
              <a16:creationId xmlns:a16="http://schemas.microsoft.com/office/drawing/2014/main" id="{213EDF39-C74F-4307-B8F8-AB7D03F6000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62530</xdr:colOff>
      <xdr:row>96</xdr:row>
      <xdr:rowOff>44583</xdr:rowOff>
    </xdr:from>
    <xdr:to>
      <xdr:col>5</xdr:col>
      <xdr:colOff>744855</xdr:colOff>
      <xdr:row>116</xdr:row>
      <xdr:rowOff>83003</xdr:rowOff>
    </xdr:to>
    <xdr:graphicFrame macro="">
      <xdr:nvGraphicFramePr>
        <xdr:cNvPr id="3" name="圖表 2">
          <a:extLst>
            <a:ext uri="{FF2B5EF4-FFF2-40B4-BE49-F238E27FC236}">
              <a16:creationId xmlns:a16="http://schemas.microsoft.com/office/drawing/2014/main" id="{8F5D6207-0E6D-4FA4-9C95-6F3FF69818D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59504</xdr:colOff>
      <xdr:row>116</xdr:row>
      <xdr:rowOff>174172</xdr:rowOff>
    </xdr:from>
    <xdr:to>
      <xdr:col>5</xdr:col>
      <xdr:colOff>733425</xdr:colOff>
      <xdr:row>141</xdr:row>
      <xdr:rowOff>36739</xdr:rowOff>
    </xdr:to>
    <xdr:graphicFrame macro="">
      <xdr:nvGraphicFramePr>
        <xdr:cNvPr id="4" name="圖表 3">
          <a:extLst>
            <a:ext uri="{FF2B5EF4-FFF2-40B4-BE49-F238E27FC236}">
              <a16:creationId xmlns:a16="http://schemas.microsoft.com/office/drawing/2014/main" id="{45D6A887-7E6D-49FB-806D-793D4B8EDA4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76200</xdr:colOff>
      <xdr:row>141</xdr:row>
      <xdr:rowOff>97971</xdr:rowOff>
    </xdr:from>
    <xdr:to>
      <xdr:col>5</xdr:col>
      <xdr:colOff>733425</xdr:colOff>
      <xdr:row>165</xdr:row>
      <xdr:rowOff>174172</xdr:rowOff>
    </xdr:to>
    <xdr:graphicFrame macro="">
      <xdr:nvGraphicFramePr>
        <xdr:cNvPr id="5" name="圖表 4">
          <a:extLst>
            <a:ext uri="{FF2B5EF4-FFF2-40B4-BE49-F238E27FC236}">
              <a16:creationId xmlns:a16="http://schemas.microsoft.com/office/drawing/2014/main" id="{E52E38D0-8F15-41DB-B3AA-A816E3C0BBA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60960</xdr:colOff>
      <xdr:row>68</xdr:row>
      <xdr:rowOff>60442</xdr:rowOff>
    </xdr:from>
    <xdr:to>
      <xdr:col>5</xdr:col>
      <xdr:colOff>746760</xdr:colOff>
      <xdr:row>93</xdr:row>
      <xdr:rowOff>166256</xdr:rowOff>
    </xdr:to>
    <xdr:graphicFrame macro="">
      <xdr:nvGraphicFramePr>
        <xdr:cNvPr id="7" name="圖表 6">
          <a:extLst>
            <a:ext uri="{FF2B5EF4-FFF2-40B4-BE49-F238E27FC236}">
              <a16:creationId xmlns:a16="http://schemas.microsoft.com/office/drawing/2014/main" id="{21AC79D2-B9E1-C9C8-698B-A86F86D0765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65</xdr:col>
      <xdr:colOff>0</xdr:colOff>
      <xdr:row>39</xdr:row>
      <xdr:rowOff>0</xdr:rowOff>
    </xdr:from>
    <xdr:to>
      <xdr:col>76</xdr:col>
      <xdr:colOff>217715</xdr:colOff>
      <xdr:row>66</xdr:row>
      <xdr:rowOff>20656</xdr:rowOff>
    </xdr:to>
    <xdr:graphicFrame macro="">
      <xdr:nvGraphicFramePr>
        <xdr:cNvPr id="8" name="圖表 7">
          <a:extLst>
            <a:ext uri="{FF2B5EF4-FFF2-40B4-BE49-F238E27FC236}">
              <a16:creationId xmlns:a16="http://schemas.microsoft.com/office/drawing/2014/main" id="{2F0118C6-3A9D-4D9F-9498-6A1D55AF478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257736</xdr:colOff>
      <xdr:row>55</xdr:row>
      <xdr:rowOff>28014</xdr:rowOff>
    </xdr:from>
    <xdr:to>
      <xdr:col>6</xdr:col>
      <xdr:colOff>635654</xdr:colOff>
      <xdr:row>71</xdr:row>
      <xdr:rowOff>11206</xdr:rowOff>
    </xdr:to>
    <xdr:graphicFrame macro="">
      <xdr:nvGraphicFramePr>
        <xdr:cNvPr id="2" name="圖表 22">
          <a:extLst>
            <a:ext uri="{FF2B5EF4-FFF2-40B4-BE49-F238E27FC236}">
              <a16:creationId xmlns:a16="http://schemas.microsoft.com/office/drawing/2014/main" id="{B2B3FE52-3D31-483B-B15A-EBA0D245E7A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313766</xdr:colOff>
      <xdr:row>30</xdr:row>
      <xdr:rowOff>162484</xdr:rowOff>
    </xdr:from>
    <xdr:to>
      <xdr:col>12</xdr:col>
      <xdr:colOff>355507</xdr:colOff>
      <xdr:row>53</xdr:row>
      <xdr:rowOff>5603</xdr:rowOff>
    </xdr:to>
    <xdr:graphicFrame macro="">
      <xdr:nvGraphicFramePr>
        <xdr:cNvPr id="3" name="圖表 22">
          <a:extLst>
            <a:ext uri="{FF2B5EF4-FFF2-40B4-BE49-F238E27FC236}">
              <a16:creationId xmlns:a16="http://schemas.microsoft.com/office/drawing/2014/main" id="{2371D1C3-3FC9-4731-80D9-AD7C8076F45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11207</xdr:colOff>
      <xdr:row>30</xdr:row>
      <xdr:rowOff>173689</xdr:rowOff>
    </xdr:from>
    <xdr:to>
      <xdr:col>7</xdr:col>
      <xdr:colOff>11207</xdr:colOff>
      <xdr:row>52</xdr:row>
      <xdr:rowOff>201704</xdr:rowOff>
    </xdr:to>
    <xdr:graphicFrame macro="">
      <xdr:nvGraphicFramePr>
        <xdr:cNvPr id="4" name="圖表 22">
          <a:extLst>
            <a:ext uri="{FF2B5EF4-FFF2-40B4-BE49-F238E27FC236}">
              <a16:creationId xmlns:a16="http://schemas.microsoft.com/office/drawing/2014/main" id="{52557A17-6690-4607-A131-ACEAC4E9AA4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xdr:col>
      <xdr:colOff>480060</xdr:colOff>
      <xdr:row>97</xdr:row>
      <xdr:rowOff>45720</xdr:rowOff>
    </xdr:from>
    <xdr:to>
      <xdr:col>11</xdr:col>
      <xdr:colOff>369794</xdr:colOff>
      <xdr:row>118</xdr:row>
      <xdr:rowOff>56029</xdr:rowOff>
    </xdr:to>
    <xdr:graphicFrame macro="">
      <xdr:nvGraphicFramePr>
        <xdr:cNvPr id="2" name="圖表 1">
          <a:extLst>
            <a:ext uri="{FF2B5EF4-FFF2-40B4-BE49-F238E27FC236}">
              <a16:creationId xmlns:a16="http://schemas.microsoft.com/office/drawing/2014/main" id="{9C4B29F1-A7D4-47A5-9DCE-AFF81835746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576880</xdr:colOff>
      <xdr:row>97</xdr:row>
      <xdr:rowOff>64995</xdr:rowOff>
    </xdr:from>
    <xdr:to>
      <xdr:col>18</xdr:col>
      <xdr:colOff>592792</xdr:colOff>
      <xdr:row>118</xdr:row>
      <xdr:rowOff>57374</xdr:rowOff>
    </xdr:to>
    <xdr:graphicFrame macro="">
      <xdr:nvGraphicFramePr>
        <xdr:cNvPr id="3" name="圖表 2">
          <a:extLst>
            <a:ext uri="{FF2B5EF4-FFF2-40B4-BE49-F238E27FC236}">
              <a16:creationId xmlns:a16="http://schemas.microsoft.com/office/drawing/2014/main" id="{9A00A6DA-3209-4A0C-931D-275E38E35D5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450028</xdr:colOff>
      <xdr:row>120</xdr:row>
      <xdr:rowOff>80682</xdr:rowOff>
    </xdr:from>
    <xdr:to>
      <xdr:col>11</xdr:col>
      <xdr:colOff>358588</xdr:colOff>
      <xdr:row>145</xdr:row>
      <xdr:rowOff>73062</xdr:rowOff>
    </xdr:to>
    <xdr:graphicFrame macro="">
      <xdr:nvGraphicFramePr>
        <xdr:cNvPr id="4" name="圖表 3">
          <a:extLst>
            <a:ext uri="{FF2B5EF4-FFF2-40B4-BE49-F238E27FC236}">
              <a16:creationId xmlns:a16="http://schemas.microsoft.com/office/drawing/2014/main" id="{9E74A5D4-6996-48BF-90D5-22841B0B930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11</xdr:col>
      <xdr:colOff>571499</xdr:colOff>
      <xdr:row>120</xdr:row>
      <xdr:rowOff>56028</xdr:rowOff>
    </xdr:from>
    <xdr:to>
      <xdr:col>20</xdr:col>
      <xdr:colOff>493058</xdr:colOff>
      <xdr:row>161</xdr:row>
      <xdr:rowOff>123264</xdr:rowOff>
    </xdr:to>
    <xdr:graphicFrame macro="">
      <xdr:nvGraphicFramePr>
        <xdr:cNvPr id="5" name="圖表 4">
          <a:extLst>
            <a:ext uri="{FF2B5EF4-FFF2-40B4-BE49-F238E27FC236}">
              <a16:creationId xmlns:a16="http://schemas.microsoft.com/office/drawing/2014/main" id="{AA5D7A8E-CFFD-4EC7-A700-A9C889E450C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工作表1"/>
  <dimension ref="A1:BP119"/>
  <sheetViews>
    <sheetView showGridLines="0" zoomScale="70" zoomScaleNormal="70" workbookViewId="0">
      <selection activeCell="H6" sqref="H6"/>
    </sheetView>
  </sheetViews>
  <sheetFormatPr defaultColWidth="9" defaultRowHeight="15.5"/>
  <cols>
    <col min="1" max="1" width="27.6328125" style="209" bestFit="1" customWidth="1"/>
    <col min="2" max="2" width="14.08984375" style="209" bestFit="1" customWidth="1"/>
    <col min="3" max="3" width="17.453125" style="209" bestFit="1" customWidth="1"/>
    <col min="4" max="4" width="13.08984375" style="209" bestFit="1" customWidth="1"/>
    <col min="5" max="5" width="11.7265625" style="209" bestFit="1" customWidth="1"/>
    <col min="6" max="6" width="10.81640625" style="209" bestFit="1" customWidth="1"/>
    <col min="7" max="7" width="3.08984375" style="209" customWidth="1"/>
    <col min="8" max="8" width="31.81640625" style="209" bestFit="1" customWidth="1"/>
    <col min="9" max="9" width="11.453125" style="209" bestFit="1" customWidth="1"/>
    <col min="10" max="10" width="14.81640625" style="209" bestFit="1" customWidth="1"/>
    <col min="11" max="11" width="10.08984375" style="209" bestFit="1" customWidth="1"/>
    <col min="12" max="12" width="12.81640625" style="209" bestFit="1" customWidth="1"/>
    <col min="13" max="13" width="21.81640625" style="209" bestFit="1" customWidth="1"/>
    <col min="14" max="14" width="18.08984375" style="209" bestFit="1" customWidth="1"/>
    <col min="15" max="15" width="16.36328125" style="209" bestFit="1" customWidth="1"/>
    <col min="16" max="16" width="18.08984375" style="209" bestFit="1" customWidth="1"/>
    <col min="17" max="17" width="11.7265625" style="209" bestFit="1" customWidth="1"/>
    <col min="18" max="18" width="34.453125" style="209" customWidth="1"/>
    <col min="19" max="19" width="23.7265625" style="209" bestFit="1" customWidth="1"/>
    <col min="20" max="20" width="21.81640625" style="209" bestFit="1" customWidth="1"/>
    <col min="21" max="21" width="10.7265625" style="209" bestFit="1" customWidth="1"/>
    <col min="22" max="22" width="12.36328125" style="209" bestFit="1" customWidth="1"/>
    <col min="23" max="23" width="19.453125" style="209" bestFit="1" customWidth="1"/>
    <col min="24" max="24" width="22" style="209" customWidth="1"/>
    <col min="25" max="25" width="12" style="209" bestFit="1" customWidth="1"/>
    <col min="26" max="26" width="9.7265625" style="209" bestFit="1" customWidth="1"/>
    <col min="27" max="27" width="12" style="209" bestFit="1" customWidth="1"/>
    <col min="28" max="28" width="8.26953125" style="209" bestFit="1" customWidth="1"/>
    <col min="29" max="29" width="11.08984375" style="209" bestFit="1" customWidth="1"/>
    <col min="30" max="30" width="18.08984375" style="209" bestFit="1" customWidth="1"/>
    <col min="31" max="31" width="15.453125" style="209" bestFit="1" customWidth="1"/>
    <col min="32" max="32" width="7.36328125" style="209" bestFit="1" customWidth="1"/>
    <col min="33" max="33" width="10.08984375" style="209" bestFit="1" customWidth="1"/>
    <col min="34" max="34" width="11.81640625" style="209" bestFit="1" customWidth="1"/>
    <col min="35" max="35" width="23.26953125" style="209" bestFit="1" customWidth="1"/>
    <col min="36" max="37" width="7.36328125" style="209" bestFit="1" customWidth="1"/>
    <col min="38" max="38" width="8.7265625" style="209" bestFit="1" customWidth="1"/>
    <col min="39" max="39" width="11.453125" style="209" bestFit="1" customWidth="1"/>
    <col min="40" max="40" width="22" style="209" bestFit="1" customWidth="1"/>
    <col min="41" max="41" width="10.453125" style="209" bestFit="1" customWidth="1"/>
    <col min="42" max="42" width="16.6328125" style="209" bestFit="1" customWidth="1"/>
    <col min="43" max="43" width="11.36328125" style="209" bestFit="1" customWidth="1"/>
    <col min="44" max="44" width="8.453125" style="209" bestFit="1" customWidth="1"/>
    <col min="45" max="45" width="8.81640625" style="209" bestFit="1" customWidth="1"/>
    <col min="46" max="47" width="8.453125" style="209" bestFit="1" customWidth="1"/>
    <col min="48" max="48" width="20.7265625" style="209" bestFit="1" customWidth="1"/>
    <col min="49" max="49" width="16.453125" style="209" bestFit="1" customWidth="1"/>
    <col min="50" max="50" width="20.08984375" style="209" bestFit="1" customWidth="1"/>
    <col min="51" max="53" width="9" style="209"/>
    <col min="54" max="54" width="12.36328125" style="209" bestFit="1" customWidth="1"/>
    <col min="55" max="55" width="16.81640625" style="209" bestFit="1" customWidth="1"/>
    <col min="56" max="57" width="9" style="209"/>
    <col min="58" max="58" width="17.36328125" style="209" bestFit="1" customWidth="1"/>
    <col min="59" max="59" width="17.6328125" style="209" bestFit="1" customWidth="1"/>
    <col min="60" max="60" width="8.453125" style="209" bestFit="1" customWidth="1"/>
    <col min="61" max="62" width="9" style="209"/>
    <col min="63" max="63" width="11.36328125" style="209" bestFit="1" customWidth="1"/>
    <col min="64" max="64" width="12.26953125" style="209" bestFit="1" customWidth="1"/>
    <col min="65" max="16384" width="9" style="209"/>
  </cols>
  <sheetData>
    <row r="1" spans="1:39" ht="16" thickBot="1">
      <c r="A1" s="138" t="s">
        <v>1357</v>
      </c>
      <c r="H1" s="138" t="s">
        <v>1425</v>
      </c>
      <c r="M1" s="200" t="str">
        <f ca="1">VLOOKUP($H3,INDIRECT($H2),17,FALSE)</f>
        <v>屯子腳、車籠埔斷層</v>
      </c>
      <c r="N1" s="200">
        <f ca="1">VLOOKUP($H3,INDIRECT($H2),18,FALSE)</f>
        <v>2</v>
      </c>
      <c r="S1" s="209" t="s">
        <v>1752</v>
      </c>
    </row>
    <row r="2" spans="1:39" ht="23" thickTop="1" thickBot="1">
      <c r="A2" s="115" t="s">
        <v>1358</v>
      </c>
      <c r="B2" s="203" t="s">
        <v>1427</v>
      </c>
      <c r="C2" s="234" t="s">
        <v>1663</v>
      </c>
      <c r="D2" s="234" t="s">
        <v>1664</v>
      </c>
      <c r="E2" s="234" t="s">
        <v>1665</v>
      </c>
      <c r="F2" s="235" t="s">
        <v>1666</v>
      </c>
      <c r="G2" s="131"/>
      <c r="H2" s="204" t="s">
        <v>1427</v>
      </c>
      <c r="I2" s="234" t="s">
        <v>1663</v>
      </c>
      <c r="J2" s="234" t="s">
        <v>1664</v>
      </c>
      <c r="K2" s="234" t="s">
        <v>1665</v>
      </c>
      <c r="L2" s="234" t="s">
        <v>1666</v>
      </c>
      <c r="M2" s="131"/>
      <c r="N2" s="131"/>
      <c r="O2" s="485" t="str">
        <f>"規範最小地震橫力係數 Cs*載重組合係數之比較 ["&amp;B5  &amp; ", R=" &amp; B12 &amp; "]"</f>
        <v>規範最小地震橫力係數 Cs*載重組合係數之比較 [第三類, R=2.4]</v>
      </c>
      <c r="P2" s="484"/>
      <c r="Q2" s="484"/>
      <c r="R2" s="484"/>
      <c r="S2" s="209" t="str">
        <f>B5</f>
        <v>第三類</v>
      </c>
      <c r="T2" s="387">
        <f>IF($B5="第一類",1.2,IF($B5="第二類",1.5,1.8))</f>
        <v>1.8</v>
      </c>
    </row>
    <row r="3" spans="1:39" s="32" customFormat="1" ht="24" customHeight="1" thickTop="1" thickBot="1">
      <c r="A3" s="116"/>
      <c r="B3" s="202" t="s">
        <v>1432</v>
      </c>
      <c r="C3" s="249">
        <f ca="1">VLOOKUP($B3,INDIRECT($B2),4,FALSE)</f>
        <v>0.8</v>
      </c>
      <c r="D3" s="249">
        <f ca="1">VLOOKUP($B3,INDIRECT($B2),5,FALSE)</f>
        <v>0.45</v>
      </c>
      <c r="E3" s="249">
        <f ca="1">VLOOKUP($B3,INDIRECT($B2),6,FALSE)</f>
        <v>1</v>
      </c>
      <c r="F3" s="250">
        <f ca="1">VLOOKUP($B3,INDIRECT($B2),7,FALSE)</f>
        <v>0.55000000000000004</v>
      </c>
      <c r="G3" s="132"/>
      <c r="H3" s="205" t="s">
        <v>1432</v>
      </c>
      <c r="I3" s="249">
        <f ca="1">VLOOKUP($H3,INDIRECT($H2),13,FALSE)</f>
        <v>0.8</v>
      </c>
      <c r="J3" s="249">
        <f ca="1">VLOOKUP($H3,INDIRECT($H2),14,FALSE)</f>
        <v>0.45</v>
      </c>
      <c r="K3" s="249">
        <f ca="1">VLOOKUP($H3,INDIRECT($H2),15,FALSE)</f>
        <v>1</v>
      </c>
      <c r="L3" s="249">
        <f ca="1">VLOOKUP($H3,INDIRECT($H2),16,FALSE)</f>
        <v>0.55000000000000004</v>
      </c>
      <c r="M3" s="133"/>
      <c r="N3" s="133"/>
      <c r="O3" s="432" t="s">
        <v>1751</v>
      </c>
      <c r="P3" s="431">
        <v>31777</v>
      </c>
      <c r="Q3" s="32" t="str">
        <f ca="1">VLOOKUP($H3,INDIRECT($H2),19,FALSE)</f>
        <v>中震區</v>
      </c>
      <c r="U3" s="209"/>
      <c r="V3" s="209"/>
      <c r="W3" s="422">
        <v>30147</v>
      </c>
      <c r="X3" s="418"/>
      <c r="Y3" s="422">
        <v>32633</v>
      </c>
      <c r="Z3" s="418"/>
      <c r="AA3" s="422">
        <v>35587</v>
      </c>
      <c r="AB3" s="418"/>
      <c r="AC3" s="422">
        <v>36526</v>
      </c>
      <c r="AD3" s="418"/>
      <c r="AE3" s="209"/>
      <c r="AF3" s="493" t="s">
        <v>1745</v>
      </c>
      <c r="AG3" s="494"/>
      <c r="AH3" s="495"/>
    </row>
    <row r="4" spans="1:39" s="32" customFormat="1" ht="24" customHeight="1" thickTop="1" thickBot="1">
      <c r="A4" s="117"/>
      <c r="B4" s="219" t="s">
        <v>383</v>
      </c>
      <c r="C4" s="219" t="s">
        <v>1737</v>
      </c>
      <c r="D4" s="219" t="s">
        <v>1668</v>
      </c>
      <c r="E4" s="219" t="s">
        <v>1669</v>
      </c>
      <c r="F4" s="238" t="s">
        <v>1670</v>
      </c>
      <c r="G4" s="133"/>
      <c r="H4" s="211" t="s">
        <v>383</v>
      </c>
      <c r="I4" s="218" t="s">
        <v>1677</v>
      </c>
      <c r="J4" s="218" t="s">
        <v>1678</v>
      </c>
      <c r="K4" s="218" t="s">
        <v>1679</v>
      </c>
      <c r="L4" s="218" t="s">
        <v>1680</v>
      </c>
      <c r="M4" s="133"/>
      <c r="N4" s="133"/>
      <c r="O4" s="407" t="str">
        <f>IF(P3&lt;=W4,"建技71",IF(P3&lt;=Y4,"建技78",IF(P3&lt;=AA4,"建技86",IF(P3&lt;=AC4,"建技89",#REF!))))</f>
        <v>建技71</v>
      </c>
      <c r="P4" s="408" t="str">
        <f>IF(P3&lt;=W4,W9,IF(P3&lt;=Y4,W11,IF(P3&lt;=AA4,W13,IF(P3&lt;=AC4,W15,#REF!))))</f>
        <v>71/7/15~78/5/4</v>
      </c>
      <c r="Q4" s="285" t="s">
        <v>1798</v>
      </c>
      <c r="R4" s="395"/>
      <c r="S4" s="388" t="s">
        <v>393</v>
      </c>
      <c r="T4" s="389" t="s">
        <v>1768</v>
      </c>
      <c r="U4" s="420" t="s">
        <v>398</v>
      </c>
      <c r="V4" s="421" t="s">
        <v>1769</v>
      </c>
      <c r="W4" s="423">
        <v>32632</v>
      </c>
      <c r="X4" s="419" t="s">
        <v>384</v>
      </c>
      <c r="Y4" s="423">
        <v>35586</v>
      </c>
      <c r="Z4" s="419" t="s">
        <v>384</v>
      </c>
      <c r="AA4" s="423">
        <v>36525</v>
      </c>
      <c r="AB4" s="419" t="s">
        <v>384</v>
      </c>
      <c r="AC4" s="423">
        <v>38717</v>
      </c>
      <c r="AD4" s="419" t="s">
        <v>384</v>
      </c>
      <c r="AE4" s="38" t="s">
        <v>413</v>
      </c>
      <c r="AF4" s="54" t="s">
        <v>423</v>
      </c>
      <c r="AG4" s="54" t="s">
        <v>424</v>
      </c>
      <c r="AH4" s="54" t="s">
        <v>425</v>
      </c>
    </row>
    <row r="5" spans="1:39" s="32" customFormat="1" ht="24" customHeight="1" thickTop="1">
      <c r="A5" s="118"/>
      <c r="B5" s="213" t="s">
        <v>1824</v>
      </c>
      <c r="C5" s="249">
        <f ca="1">IF($B5="第一類",1,IF($B5="第二類",IF(C3&lt;=0.6,1.1,IF(C3&gt;=0.7,1,1.1+(0.6-C3))),IF(C3&lt;=0.6,1.2,IF(C3&gt;=0.8,1,1.2+(0.6-C3)))))</f>
        <v>1</v>
      </c>
      <c r="D5" s="249">
        <f ca="1">IF($B5="第一類",1,IF($B5="第二類",IF(D3&lt;=0.3,1.5,IF(D3&gt;=0.5,1.1,1.5+(0.3-D3)*2)),IF(D3&lt;=0.3,1.8,IF(D3&gt;=0.5,1.4,1.8+(0.3-D3)*2))))</f>
        <v>1.5</v>
      </c>
      <c r="E5" s="249" t="s">
        <v>1655</v>
      </c>
      <c r="F5" s="250" t="s">
        <v>1655</v>
      </c>
      <c r="G5" s="151"/>
      <c r="H5" s="212" t="s">
        <v>1776</v>
      </c>
      <c r="I5" s="251">
        <f>VLOOKUP($H6,$R21:$V28,2,FALSE)</f>
        <v>1</v>
      </c>
      <c r="J5" s="251">
        <f>VLOOKUP($H6,$R21:$V28,3,FALSE)</f>
        <v>1</v>
      </c>
      <c r="K5" s="251">
        <f>VLOOKUP($H6,$R21:$V28,4,FALSE)</f>
        <v>1</v>
      </c>
      <c r="L5" s="251">
        <f>VLOOKUP($H6,$R21:$V28,5,FALSE)</f>
        <v>1</v>
      </c>
      <c r="M5" s="134"/>
      <c r="N5" s="134"/>
      <c r="O5" s="409" t="s">
        <v>407</v>
      </c>
      <c r="P5" s="410" t="s">
        <v>402</v>
      </c>
      <c r="Q5" s="411">
        <f>VLOOKUP(Q4,W5:X7,2,FALSE)</f>
        <v>1</v>
      </c>
      <c r="R5" s="396" t="s">
        <v>417</v>
      </c>
      <c r="S5" s="399" t="s">
        <v>402</v>
      </c>
      <c r="T5" s="400">
        <f>VLOOKUP(T4,AA5:AB8,2,FALSE)</f>
        <v>0.33</v>
      </c>
      <c r="U5" s="390" t="s">
        <v>402</v>
      </c>
      <c r="V5" s="400">
        <f>VLOOKUP(V4,AC5:AD6,2,FALSE)</f>
        <v>0.33</v>
      </c>
      <c r="W5" s="417" t="s">
        <v>394</v>
      </c>
      <c r="X5" s="285">
        <v>1</v>
      </c>
      <c r="Y5" s="417" t="s">
        <v>394</v>
      </c>
      <c r="Z5" s="285">
        <v>1</v>
      </c>
      <c r="AA5" s="417" t="s">
        <v>395</v>
      </c>
      <c r="AB5" s="285">
        <v>0.33</v>
      </c>
      <c r="AC5" s="399" t="s">
        <v>399</v>
      </c>
      <c r="AD5" s="400">
        <v>0.33</v>
      </c>
      <c r="AE5" s="209">
        <f>(2*T12-1)^0.5</f>
        <v>1.5491933384829668</v>
      </c>
      <c r="AF5" s="54">
        <v>0.9</v>
      </c>
      <c r="AG5" s="54"/>
      <c r="AH5" s="54">
        <v>1.43</v>
      </c>
    </row>
    <row r="6" spans="1:39" s="32" customFormat="1" ht="31.5" thickBot="1">
      <c r="A6" s="117"/>
      <c r="B6" s="46" t="s">
        <v>1827</v>
      </c>
      <c r="C6" s="236" t="s">
        <v>1671</v>
      </c>
      <c r="D6" s="236" t="s">
        <v>1672</v>
      </c>
      <c r="E6" s="236" t="s">
        <v>1673</v>
      </c>
      <c r="F6" s="237" t="s">
        <v>1674</v>
      </c>
      <c r="G6" s="152"/>
      <c r="H6" s="213" t="s">
        <v>1657</v>
      </c>
      <c r="I6" s="218" t="s">
        <v>1681</v>
      </c>
      <c r="J6" s="218" t="s">
        <v>1682</v>
      </c>
      <c r="K6" s="218" t="s">
        <v>1683</v>
      </c>
      <c r="L6" s="218" t="s">
        <v>1684</v>
      </c>
      <c r="M6" s="135"/>
      <c r="N6" s="135"/>
      <c r="O6" s="409" t="s">
        <v>408</v>
      </c>
      <c r="P6" s="54" t="s">
        <v>387</v>
      </c>
      <c r="Q6" s="124">
        <v>0.67</v>
      </c>
      <c r="R6" s="396" t="s">
        <v>418</v>
      </c>
      <c r="S6" s="401" t="s">
        <v>1359</v>
      </c>
      <c r="T6" s="402">
        <v>1.5</v>
      </c>
      <c r="U6" s="392" t="s">
        <v>1359</v>
      </c>
      <c r="V6" s="133">
        <f>T6</f>
        <v>1.5</v>
      </c>
      <c r="W6" s="404" t="s">
        <v>391</v>
      </c>
      <c r="X6" s="411">
        <v>0.8</v>
      </c>
      <c r="Y6" s="404" t="s">
        <v>391</v>
      </c>
      <c r="Z6" s="411">
        <v>0.8</v>
      </c>
      <c r="AA6" s="401" t="s">
        <v>396</v>
      </c>
      <c r="AB6" s="124">
        <v>0.28000000000000003</v>
      </c>
      <c r="AC6" s="405" t="s">
        <v>400</v>
      </c>
      <c r="AD6" s="406">
        <v>0.23</v>
      </c>
      <c r="AE6" s="209"/>
      <c r="AF6" s="54">
        <v>1.05</v>
      </c>
      <c r="AG6" s="54">
        <v>1.2749999999999999</v>
      </c>
      <c r="AH6" s="54">
        <v>1.4025000000000001</v>
      </c>
    </row>
    <row r="7" spans="1:39" s="32" customFormat="1" ht="21" customHeight="1" thickTop="1" thickBot="1">
      <c r="A7" s="119" t="s">
        <v>1352</v>
      </c>
      <c r="B7" s="481">
        <v>1.2509999999999999</v>
      </c>
      <c r="C7" s="251">
        <f ca="1">IF($B6="", C3,IF($B7&gt;=14,C40,C39+($B7-$B39)*(C40-C39)/$F38))</f>
        <v>0.97497999999999996</v>
      </c>
      <c r="D7" s="251">
        <f ca="1">IF($B6="", D3,IF($B7&gt;=14,D40,D39+($B7-$B39)*(D40-D39)/$F38))</f>
        <v>0.60874499999999998</v>
      </c>
      <c r="E7" s="251">
        <f ca="1">IF($B6="", E3,IF($B7&gt;=14,E40,E39+($B7-$B39)*(E40-E39)/$F38))</f>
        <v>1.24498</v>
      </c>
      <c r="F7" s="252">
        <f ca="1">IF($B6="", F3,IF($B7&gt;=14,F40,F39+($B7-$B39)*(F40-F39)/$F38))</f>
        <v>0.82623499999999994</v>
      </c>
      <c r="G7" s="153"/>
      <c r="H7" s="386">
        <v>12.42</v>
      </c>
      <c r="I7" s="251">
        <f ca="1">I3*I5</f>
        <v>0.8</v>
      </c>
      <c r="J7" s="251">
        <f ca="1">J3*J5</f>
        <v>0.45</v>
      </c>
      <c r="K7" s="251">
        <f ca="1">K3*K5</f>
        <v>1</v>
      </c>
      <c r="L7" s="251">
        <f ca="1">L3*L5</f>
        <v>0.55000000000000004</v>
      </c>
      <c r="M7" s="135"/>
      <c r="N7" s="135"/>
      <c r="O7" s="409" t="s">
        <v>409</v>
      </c>
      <c r="P7" s="54" t="s">
        <v>1746</v>
      </c>
      <c r="Q7" s="412">
        <f>0.06*B10^0.75</f>
        <v>0.74398241908833773</v>
      </c>
      <c r="R7" s="396" t="s">
        <v>409</v>
      </c>
      <c r="S7" s="401" t="s">
        <v>386</v>
      </c>
      <c r="T7" s="139">
        <f>0.06*$B10^0.75</f>
        <v>0.74398241908833773</v>
      </c>
      <c r="U7" s="392" t="s">
        <v>386</v>
      </c>
      <c r="V7" s="145">
        <f>0.07*$B10^0.75</f>
        <v>0.86797948893639409</v>
      </c>
      <c r="W7" s="405" t="s">
        <v>401</v>
      </c>
      <c r="X7" s="406">
        <v>0.6</v>
      </c>
      <c r="Y7" s="405" t="s">
        <v>401</v>
      </c>
      <c r="Z7" s="406">
        <v>0.6</v>
      </c>
      <c r="AA7" s="404" t="s">
        <v>392</v>
      </c>
      <c r="AB7" s="411">
        <v>0.23</v>
      </c>
      <c r="AC7" s="390"/>
      <c r="AD7" s="391"/>
      <c r="AE7" s="209"/>
      <c r="AF7" s="54">
        <v>1.2</v>
      </c>
      <c r="AG7" s="54">
        <v>1</v>
      </c>
      <c r="AH7" s="54">
        <v>1</v>
      </c>
    </row>
    <row r="8" spans="1:39" s="32" customFormat="1" ht="24" customHeight="1" thickTop="1" thickBot="1">
      <c r="A8" s="248" t="s">
        <v>1698</v>
      </c>
      <c r="B8" s="243"/>
      <c r="C8" s="219" t="s">
        <v>1675</v>
      </c>
      <c r="D8" s="219" t="s">
        <v>1676</v>
      </c>
      <c r="E8" s="219" t="s">
        <v>1669</v>
      </c>
      <c r="F8" s="238" t="s">
        <v>1670</v>
      </c>
      <c r="G8" s="206"/>
      <c r="H8" s="136" t="s">
        <v>1698</v>
      </c>
      <c r="I8" s="219" t="s">
        <v>1675</v>
      </c>
      <c r="J8" s="219" t="s">
        <v>1676</v>
      </c>
      <c r="K8" s="219" t="s">
        <v>1669</v>
      </c>
      <c r="L8" s="219" t="s">
        <v>1670</v>
      </c>
      <c r="M8" s="135"/>
      <c r="N8" s="135"/>
      <c r="O8" s="409" t="s">
        <v>406</v>
      </c>
      <c r="P8" s="54" t="s">
        <v>405</v>
      </c>
      <c r="Q8" s="139">
        <f>MIN(Q9,Q10)</f>
        <v>0.1449</v>
      </c>
      <c r="R8" s="396" t="s">
        <v>419</v>
      </c>
      <c r="S8" s="401" t="s">
        <v>388</v>
      </c>
      <c r="T8" s="139">
        <f>IF(T7&lt;=S17,W17,IF(T7&lt;=T17,X17*T7+Y17,IF(T7&lt;=U17,Z17,IF(T7&lt;=V17,AA17/T7^(AB17)))))</f>
        <v>2.1922869054115632</v>
      </c>
      <c r="U8" s="392" t="s">
        <v>388</v>
      </c>
      <c r="V8" s="145">
        <f>IF(V7&lt;=S17,W17,IF(V7&lt;=T17,X17*V7+Y17,IF(V7&lt;=U17,Z17,IF(V7&lt;=V17,AA17/V7^(AB17)))))</f>
        <v>1.9781817765446756</v>
      </c>
      <c r="W8" s="424"/>
      <c r="X8" s="425"/>
      <c r="Y8" s="424"/>
      <c r="Z8" s="425"/>
      <c r="AA8" s="405" t="s">
        <v>397</v>
      </c>
      <c r="AB8" s="406">
        <v>0.18</v>
      </c>
      <c r="AC8" s="393"/>
      <c r="AD8" s="394"/>
      <c r="AE8" s="209"/>
      <c r="AF8" s="209"/>
      <c r="AG8" s="209"/>
      <c r="AH8" s="209"/>
    </row>
    <row r="9" spans="1:39" s="32" customFormat="1" ht="24" customHeight="1" thickTop="1">
      <c r="A9" s="244"/>
      <c r="B9" s="245"/>
      <c r="C9" s="249">
        <f ca="1">IF($B5="第一類",1,IF($B5="第二類",IF(C7&lt;=0.6,1.1,IF(C7&gt;=0.7,1,1.1+(0.6-C7))),IF(C7&lt;=0.6,1.2,IF(C7&gt;=0.8,1,1.2+(0.6-C7)))))</f>
        <v>1</v>
      </c>
      <c r="D9" s="249">
        <f ca="1">IF($B5="第一類",1,IF($B5="第二類",IF(D7&lt;=0.3,1.5,IF(D7&gt;=0.5,1.1,1.5+(0.3-D7)*2)),IF(D7&lt;=0.3,1.8,IF(D7&gt;=0.5,1.4,1.8+(0.3-D7)*2))))</f>
        <v>1.4</v>
      </c>
      <c r="E9" s="249">
        <f ca="1">IF($B5="第一類",1,IF($B5="第二類",IF(E7&lt;=0.6,1.1,IF(E7&gt;=0.7,1,1.1+(0.6-E7))),IF(E7&lt;=0.6,1.2,IF(E7&gt;=0.8,1,1.2+(0.6-E7)))))</f>
        <v>1</v>
      </c>
      <c r="F9" s="250">
        <f ca="1">IF($B5="第一類",1,IF($B5="第二類",IF(F7&lt;=0.3,1.5,IF(F7&gt;=0.5,1.1,1.5+(0.3-F7)*2)),IF(F7&lt;=0.3,1.8,IF(F7&gt;=0.5,1.4,1.8+(0.3-F7)*2))))</f>
        <v>1.4</v>
      </c>
      <c r="G9" s="206"/>
      <c r="I9" s="249">
        <f ca="1">IF($H5="第一類",1,IF($H5="第二類",IF(I7&lt;=0.6,1.1,IF(I7&gt;=0.7,1,1.1+(0.6-I7))),IF(I7&lt;=0.6,1.2,IF(I7&gt;=0.8,1,1.2+(0.6-I7)))))</f>
        <v>1</v>
      </c>
      <c r="J9" s="249">
        <f ca="1">IF($H5="第一類",1,IF($H5="第二類",IF(J7&lt;=0.3,1.5,IF(J7&gt;=0.5,1.1,1.5+(0.3-J7)*2)),IF(J7&lt;=0.3,1.8,IF(J7&gt;=0.5,1.4,1.8+(0.3-J7)*2))))</f>
        <v>1.2</v>
      </c>
      <c r="K9" s="249">
        <f ca="1">IF($H5="第一類",1,IF($H5="第二類",IF(K7&lt;=0.6,1.1,IF(K7&gt;=0.7,1,1.1+(0.6-K7))),IF(K7&lt;=0.6,1.2,IF(K7&gt;=0.8,1,1.2+(0.6-K7)))))</f>
        <v>1</v>
      </c>
      <c r="L9" s="249">
        <f ca="1">IF($H5="第一類",1,IF($H5="第二類",IF(L7&lt;=0.3,1.5,IF(L7&gt;=0.5,1.1,1.5+(0.3-L7)*2)),IF(L7&lt;=0.3,1.8,IF(L7&gt;=0.5,1.4,1.8+(0.3-L7)*2))))</f>
        <v>1.1000000000000001</v>
      </c>
      <c r="M9" s="135"/>
      <c r="N9" s="135"/>
      <c r="O9" s="409"/>
      <c r="P9" s="414" t="s">
        <v>1757</v>
      </c>
      <c r="Q9" s="415">
        <f>ROUND(1/8/(Q7^0.5),4)</f>
        <v>0.1449</v>
      </c>
      <c r="R9" s="396"/>
      <c r="S9" s="401"/>
      <c r="T9" s="139"/>
      <c r="U9" s="392"/>
      <c r="V9" s="145"/>
      <c r="W9" s="209" t="s">
        <v>1747</v>
      </c>
      <c r="X9" s="417" t="s">
        <v>394</v>
      </c>
      <c r="Y9" s="410" t="s">
        <v>391</v>
      </c>
      <c r="Z9" s="54" t="s">
        <v>401</v>
      </c>
      <c r="AA9" s="38"/>
      <c r="AB9" s="38"/>
      <c r="AC9" s="209"/>
      <c r="AD9" s="209"/>
      <c r="AE9" s="209"/>
      <c r="AF9" s="209"/>
    </row>
    <row r="10" spans="1:39" s="32" customFormat="1" ht="24" customHeight="1">
      <c r="A10" s="120" t="s">
        <v>1362</v>
      </c>
      <c r="B10" s="215">
        <v>28.7</v>
      </c>
      <c r="C10" s="106" t="s">
        <v>1692</v>
      </c>
      <c r="D10" s="106" t="s">
        <v>1690</v>
      </c>
      <c r="E10" s="106" t="s">
        <v>1693</v>
      </c>
      <c r="F10" s="241" t="s">
        <v>1695</v>
      </c>
      <c r="G10" s="206"/>
      <c r="H10" s="249" t="str">
        <f>A10&amp;" = " &amp;B10</f>
        <v>屋頂面高度 hn(m) = 28.7</v>
      </c>
      <c r="I10" s="106" t="s">
        <v>1691</v>
      </c>
      <c r="J10" s="106" t="s">
        <v>1694</v>
      </c>
      <c r="K10" s="106" t="s">
        <v>1693</v>
      </c>
      <c r="L10" s="106" t="s">
        <v>1695</v>
      </c>
      <c r="M10" s="135"/>
      <c r="N10" s="263" t="s">
        <v>1706</v>
      </c>
      <c r="O10" s="409"/>
      <c r="P10" s="210" t="s">
        <v>1756</v>
      </c>
      <c r="Q10" s="416">
        <v>0.15</v>
      </c>
      <c r="R10" s="396"/>
      <c r="S10" s="401"/>
      <c r="T10" s="139"/>
      <c r="U10" s="392"/>
      <c r="V10" s="145"/>
      <c r="X10" s="32">
        <v>1</v>
      </c>
      <c r="Y10" s="32">
        <v>0.8</v>
      </c>
      <c r="Z10" s="32">
        <v>0.6</v>
      </c>
      <c r="AA10" s="436"/>
      <c r="AB10" s="38"/>
      <c r="AC10" s="209"/>
      <c r="AD10" s="209"/>
      <c r="AE10" s="209"/>
      <c r="AF10" s="209"/>
    </row>
    <row r="11" spans="1:39" s="32" customFormat="1" ht="24" customHeight="1">
      <c r="A11" s="120" t="s">
        <v>1738</v>
      </c>
      <c r="B11" s="216" t="s">
        <v>1290</v>
      </c>
      <c r="C11" s="251">
        <f>ROUND(IF(B11="鋼構",0.085,IF(B11="RC",0.07,0.05))*B$10^0.75,4)</f>
        <v>0.86799999999999999</v>
      </c>
      <c r="D11" s="246">
        <v>0.86799999999999999</v>
      </c>
      <c r="E11" s="251">
        <f>C11*1.4</f>
        <v>1.2151999999999998</v>
      </c>
      <c r="F11" s="252">
        <f>ROUND(IF(C11&gt;=D11,D11,IF(D11&gt;=E11,E11,D11)),4)</f>
        <v>0.86799999999999999</v>
      </c>
      <c r="G11" s="154"/>
      <c r="H11" s="249" t="str">
        <f>A11&amp;" = " &amp;B11</f>
        <v>經驗公式構造分類 = RC</v>
      </c>
      <c r="I11" s="251">
        <f>C11</f>
        <v>0.86799999999999999</v>
      </c>
      <c r="J11" s="247">
        <f>D11</f>
        <v>0.86799999999999999</v>
      </c>
      <c r="K11" s="251">
        <f>E11</f>
        <v>1.2151999999999998</v>
      </c>
      <c r="L11" s="251">
        <f>ROUND(IF(I11&gt;=J11,J11,IF(J11&gt;=K11,K11,J11)),4)</f>
        <v>0.86799999999999999</v>
      </c>
      <c r="M11" s="252" t="str">
        <f ca="1">IF(L11&lt;=0.2*K17,"較短週期",IF(L11&lt;=K17,"短週期",IF(L11&lt;=2.5*K17,"中週期","長週期")))</f>
        <v>中週期</v>
      </c>
      <c r="N11" s="264">
        <v>1E-3</v>
      </c>
      <c r="O11" s="426" t="s">
        <v>1753</v>
      </c>
      <c r="P11" s="210" t="s">
        <v>1754</v>
      </c>
      <c r="Q11" s="185">
        <f>AH6</f>
        <v>1.4025000000000001</v>
      </c>
      <c r="R11" s="396" t="s">
        <v>416</v>
      </c>
      <c r="S11" s="401" t="s">
        <v>389</v>
      </c>
      <c r="T11" s="124">
        <v>1</v>
      </c>
      <c r="U11" s="392" t="s">
        <v>389</v>
      </c>
      <c r="V11" s="135">
        <f>T11</f>
        <v>1</v>
      </c>
      <c r="W11" s="38" t="s">
        <v>1748</v>
      </c>
      <c r="X11" s="401" t="s">
        <v>394</v>
      </c>
      <c r="Y11" s="410" t="s">
        <v>391</v>
      </c>
      <c r="Z11" s="54" t="s">
        <v>401</v>
      </c>
      <c r="AA11" s="437"/>
      <c r="AB11" s="209"/>
      <c r="AC11" s="209"/>
      <c r="AD11" s="209"/>
      <c r="AE11" s="209"/>
      <c r="AF11" s="209"/>
    </row>
    <row r="12" spans="1:39" s="32" customFormat="1" ht="24" customHeight="1">
      <c r="A12" s="120" t="s">
        <v>1364</v>
      </c>
      <c r="B12" s="216">
        <v>2.4</v>
      </c>
      <c r="C12" s="106" t="s">
        <v>1365</v>
      </c>
      <c r="D12" s="251">
        <f>1+(B12-1)/1.5</f>
        <v>1.9333333333333331</v>
      </c>
      <c r="E12" s="107"/>
      <c r="F12" s="252" t="str">
        <f ca="1">IF(F11&lt;=0.2*D17,"較短週期",IF(F11&lt;=D17,"短週期",IF(F11&lt;=2.5*D17,"中週期","長週期")))</f>
        <v>短週期</v>
      </c>
      <c r="G12" s="206"/>
      <c r="H12" s="249" t="str">
        <f>A12&amp;" = " &amp;B12</f>
        <v>系統韌性容量 R = 2.4</v>
      </c>
      <c r="I12" s="219" t="s">
        <v>1685</v>
      </c>
      <c r="J12" s="219" t="s">
        <v>1686</v>
      </c>
      <c r="K12" s="219" t="s">
        <v>1687</v>
      </c>
      <c r="L12" s="219" t="s">
        <v>1688</v>
      </c>
      <c r="M12" s="242" t="s">
        <v>1365</v>
      </c>
      <c r="N12" s="206"/>
      <c r="O12" s="434" t="s">
        <v>1760</v>
      </c>
      <c r="P12" s="210" t="s">
        <v>1758</v>
      </c>
      <c r="Q12" s="427">
        <f>ROUND(Q11*Q5*Q6*Q8,4)</f>
        <v>0.13619999999999999</v>
      </c>
      <c r="R12" s="396" t="s">
        <v>415</v>
      </c>
      <c r="S12" s="401" t="s">
        <v>1361</v>
      </c>
      <c r="T12" s="124">
        <f>1+($B12-1)/2</f>
        <v>1.7</v>
      </c>
      <c r="U12" s="392" t="s">
        <v>1361</v>
      </c>
      <c r="V12" s="135">
        <f>T12</f>
        <v>1.7</v>
      </c>
      <c r="X12" s="32">
        <v>1</v>
      </c>
      <c r="Y12" s="32">
        <v>0.8</v>
      </c>
      <c r="Z12" s="32">
        <v>0.6</v>
      </c>
      <c r="AC12" s="209"/>
      <c r="AD12" s="209"/>
      <c r="AE12" s="209"/>
      <c r="AF12" s="209"/>
      <c r="AH12" s="209"/>
    </row>
    <row r="13" spans="1:39" s="32" customFormat="1" ht="24" customHeight="1">
      <c r="A13" s="120" t="s">
        <v>459</v>
      </c>
      <c r="B13" s="216">
        <v>1</v>
      </c>
      <c r="C13" s="218" t="s">
        <v>1697</v>
      </c>
      <c r="D13" s="251">
        <f>ROUND((2*D12-1)^0.5,4)</f>
        <v>1.6931</v>
      </c>
      <c r="F13" s="206"/>
      <c r="G13" s="206"/>
      <c r="H13" s="249" t="str">
        <f>A13&amp;" = " &amp;B13</f>
        <v>用途係數 I = 1</v>
      </c>
      <c r="I13" s="249">
        <f ca="1">IF($H5="第一類",1,IF($H5="第二類",IF(I3&lt;=0.6,1.1,IF(I3&gt;=0.7,1,1.1+(0.6-I3))),IF(I3&lt;=0.6,1.2,IF(I3&gt;=0.8,1,1.2+(0.6-I3)))))</f>
        <v>1</v>
      </c>
      <c r="J13" s="249">
        <f ca="1">IF($H5="第一類",1,IF($H5="第二類",IF(J3&lt;=0.3,1.5,IF(J3&gt;=0.5,1.1,1.5+(0.3-J3)*2)),IF(J3&lt;=0.3,1.8,IF(J3&gt;=0.5,1.4,1.8+(0.3-J3)*2))))</f>
        <v>1.2</v>
      </c>
      <c r="K13" s="249">
        <f ca="1">IF($H5="第一類",1,IF($H5="第二類",IF(K3&lt;=0.6,1.1,IF(K3&gt;=0.7,1,1.1+(0.6-K3))),IF(K3&lt;=0.6,1.2,IF(K3&gt;=0.8,1,1.2+(0.6-K3)))))</f>
        <v>1</v>
      </c>
      <c r="L13" s="249">
        <f ca="1">IF($H5="第一類",1,IF($H5="第二類",IF(L3&lt;=0.3,1.5,IF(L3&gt;=0.5,1.1,1.5+(0.3-L3)*2)),IF(L3&lt;=0.3,1.8,IF(L3&gt;=0.5,1.4,1.8+(0.3-L3)*2))))</f>
        <v>1.1000000000000001</v>
      </c>
      <c r="M13" s="252">
        <f>D12</f>
        <v>1.9333333333333331</v>
      </c>
      <c r="N13" s="206"/>
      <c r="O13" s="435"/>
      <c r="P13" s="108" t="s">
        <v>1363</v>
      </c>
      <c r="Q13" s="447">
        <f>ROUND(8/(3*Q6),1)</f>
        <v>4</v>
      </c>
      <c r="R13" s="396" t="s">
        <v>414</v>
      </c>
      <c r="S13" s="401" t="s">
        <v>1363</v>
      </c>
      <c r="T13" s="124">
        <f>IF(T7&gt;0.611,T$12,IF(IF(T7&gt;0.611,T$12,IF(T7&gt;0.406,AE$5+(T$12-AE$5)*(T7-0.406)/0.205,IF(T7&gt;0.2,AE$5,IF(T7&gt;0.03,AE$5+(AE$5-1)*(T7-0.2)/0.17,1))))&gt;0.406,AE$5+(T$12-AE$5)*(T7-0.406)/0.205,IF(T7&gt;0.2,AE$5,IF(T7&gt;0.03,AE$5+(AE$5-1)*(T7-0.2)/0.17,1))))</f>
        <v>1.7</v>
      </c>
      <c r="U13" s="392" t="s">
        <v>1363</v>
      </c>
      <c r="V13" s="135">
        <f>T13</f>
        <v>1.7</v>
      </c>
      <c r="W13" s="38" t="s">
        <v>1749</v>
      </c>
      <c r="X13" s="401" t="s">
        <v>395</v>
      </c>
      <c r="Y13" s="54" t="s">
        <v>396</v>
      </c>
      <c r="Z13" s="410" t="s">
        <v>392</v>
      </c>
      <c r="AA13" s="54" t="s">
        <v>397</v>
      </c>
      <c r="AC13" s="209"/>
      <c r="AD13" s="209"/>
      <c r="AE13" s="209"/>
      <c r="AF13" s="209"/>
      <c r="AG13" s="209"/>
      <c r="AH13" s="209"/>
      <c r="AI13" s="209"/>
      <c r="AJ13" s="209"/>
      <c r="AK13" s="209"/>
      <c r="AL13" s="209"/>
      <c r="AM13" s="209"/>
    </row>
    <row r="14" spans="1:39" s="32" customFormat="1" ht="24" customHeight="1">
      <c r="A14" s="121" t="s">
        <v>1656</v>
      </c>
      <c r="B14" s="216">
        <v>1</v>
      </c>
      <c r="C14" s="218" t="s">
        <v>1696</v>
      </c>
      <c r="D14" s="251">
        <f>ROUND((2*B12-1)^0.5,4)</f>
        <v>1.9494</v>
      </c>
      <c r="E14" s="209"/>
      <c r="F14" s="206"/>
      <c r="G14" s="206"/>
      <c r="H14" s="254" t="str">
        <f>A14&amp;" = " &amp;B14</f>
        <v>起始降伏地震力放大倍數αy = 1</v>
      </c>
      <c r="I14" s="491" t="str">
        <f>C13 &amp; "="&amp;D13</f>
        <v>√(2Ra-1)=1.6931</v>
      </c>
      <c r="J14" s="492"/>
      <c r="K14" s="491" t="str">
        <f>C14 &amp; "="&amp;D14</f>
        <v>√(2R-1)=1.9494</v>
      </c>
      <c r="L14" s="492"/>
      <c r="M14" s="241"/>
      <c r="N14" s="206"/>
      <c r="O14" s="434" t="s">
        <v>1755</v>
      </c>
      <c r="P14" s="433" t="s">
        <v>1759</v>
      </c>
      <c r="Q14" s="427">
        <f>ROUND(Q12*1.4*Q13,4)</f>
        <v>0.76270000000000004</v>
      </c>
      <c r="R14" s="397"/>
      <c r="S14" s="401" t="s">
        <v>1294</v>
      </c>
      <c r="T14" s="185">
        <f>ROUND(T8/T13,4)</f>
        <v>1.2896000000000001</v>
      </c>
      <c r="U14" s="392" t="s">
        <v>1294</v>
      </c>
      <c r="V14" s="242">
        <f>ROUND(V8/V13,4)</f>
        <v>1.1636</v>
      </c>
      <c r="X14" s="32">
        <v>0.33</v>
      </c>
      <c r="Y14" s="32">
        <v>0.28000000000000003</v>
      </c>
      <c r="Z14" s="32">
        <v>0.23</v>
      </c>
      <c r="AA14" s="32">
        <v>0.18</v>
      </c>
      <c r="AC14" s="209"/>
      <c r="AD14" s="209"/>
      <c r="AE14" s="209"/>
      <c r="AF14" s="209"/>
      <c r="AG14" s="209"/>
    </row>
    <row r="15" spans="1:39" s="32" customFormat="1" ht="24" customHeight="1" thickBot="1">
      <c r="A15" s="486" t="s">
        <v>442</v>
      </c>
      <c r="B15" s="487"/>
      <c r="D15" s="209"/>
      <c r="E15" s="209"/>
      <c r="F15" s="206"/>
      <c r="G15" s="206"/>
      <c r="H15" s="488" t="s">
        <v>442</v>
      </c>
      <c r="I15" s="489"/>
      <c r="L15" s="201"/>
      <c r="M15" s="137"/>
      <c r="N15" s="137"/>
      <c r="O15" s="413" t="s">
        <v>404</v>
      </c>
      <c r="P15" s="54" t="s">
        <v>403</v>
      </c>
      <c r="Q15" s="124">
        <v>1</v>
      </c>
      <c r="R15" s="191"/>
      <c r="S15" s="401" t="s">
        <v>1295</v>
      </c>
      <c r="T15" s="403">
        <f>IF(T14&gt;1,1,T14)</f>
        <v>1</v>
      </c>
      <c r="U15" s="392" t="s">
        <v>1295</v>
      </c>
      <c r="V15" s="125">
        <f>IF(V14&gt;1,1,V14)</f>
        <v>1</v>
      </c>
      <c r="W15" s="38" t="s">
        <v>1750</v>
      </c>
      <c r="X15" s="404" t="s">
        <v>399</v>
      </c>
      <c r="Y15" s="438" t="s">
        <v>400</v>
      </c>
      <c r="AC15" s="209"/>
      <c r="AD15" s="209"/>
      <c r="AE15" s="209"/>
      <c r="AF15" s="209"/>
      <c r="AG15" s="209"/>
    </row>
    <row r="16" spans="1:39" s="32" customFormat="1" ht="24" customHeight="1" thickTop="1" thickBot="1">
      <c r="A16" s="123" t="s">
        <v>1280</v>
      </c>
      <c r="B16" s="108" t="s">
        <v>1416</v>
      </c>
      <c r="C16" s="54" t="s">
        <v>1417</v>
      </c>
      <c r="D16" s="210" t="s">
        <v>1368</v>
      </c>
      <c r="E16" s="54" t="s">
        <v>1369</v>
      </c>
      <c r="F16" s="124" t="s">
        <v>1370</v>
      </c>
      <c r="G16" s="135"/>
      <c r="H16" s="123" t="s">
        <v>1280</v>
      </c>
      <c r="I16" s="54" t="s">
        <v>1366</v>
      </c>
      <c r="J16" s="54" t="s">
        <v>1367</v>
      </c>
      <c r="K16" s="210" t="s">
        <v>1368</v>
      </c>
      <c r="L16" s="54" t="s">
        <v>1369</v>
      </c>
      <c r="M16" s="124" t="s">
        <v>1370</v>
      </c>
      <c r="N16" s="148" t="s">
        <v>1371</v>
      </c>
      <c r="O16" s="428" t="s">
        <v>1360</v>
      </c>
      <c r="P16" s="429" t="s">
        <v>390</v>
      </c>
      <c r="Q16" s="430">
        <f>Q5*Q6*Q8*Q15</f>
        <v>9.7083000000000003E-2</v>
      </c>
      <c r="R16" s="191"/>
      <c r="S16" s="404" t="s">
        <v>390</v>
      </c>
      <c r="T16" s="403">
        <f>T5*T11/1.4/T6*T15</f>
        <v>0.15714285714285717</v>
      </c>
      <c r="U16" s="390" t="s">
        <v>390</v>
      </c>
      <c r="V16" s="125">
        <f>V5*V11*V8/1.4/V6/V13</f>
        <v>0.18285713900833139</v>
      </c>
      <c r="X16" s="32">
        <v>0.33</v>
      </c>
      <c r="Y16" s="32">
        <v>0.23</v>
      </c>
      <c r="AC16" s="209"/>
      <c r="AD16" s="209"/>
      <c r="AE16" s="209"/>
      <c r="AF16" s="209"/>
    </row>
    <row r="17" spans="1:28" s="32" customFormat="1" ht="24" customHeight="1" thickTop="1" thickBot="1">
      <c r="A17" s="116"/>
      <c r="B17" s="251">
        <f ca="1">ROUND(C$9*C$7,4)</f>
        <v>0.97499999999999998</v>
      </c>
      <c r="C17" s="251">
        <f ca="1">ROUND(D$9*D$7,4)</f>
        <v>0.85219999999999996</v>
      </c>
      <c r="D17" s="251">
        <f ca="1">ROUND(C$17/B$17,4)</f>
        <v>0.87409999999999999</v>
      </c>
      <c r="E17" s="251">
        <f ca="1">ROUND(D17*0.2,4)</f>
        <v>0.17480000000000001</v>
      </c>
      <c r="F17" s="252">
        <f ca="1">ROUND(D17*0.6,4)</f>
        <v>0.52449999999999997</v>
      </c>
      <c r="G17" s="145"/>
      <c r="H17" s="116"/>
      <c r="I17" s="251">
        <f ca="1">ROUND(I3*I$9*I$5,4)</f>
        <v>0.8</v>
      </c>
      <c r="J17" s="251">
        <f ca="1">ROUND(J3*J$9*J$5,4)</f>
        <v>0.54</v>
      </c>
      <c r="K17" s="251">
        <f ca="1">ROUND(J$17/I$17,4)</f>
        <v>0.67500000000000004</v>
      </c>
      <c r="L17" s="251">
        <f ca="1">ROUND(K17*0.2,4)</f>
        <v>0.13500000000000001</v>
      </c>
      <c r="M17" s="252">
        <f ca="1">ROUND(K17*0.6,4)</f>
        <v>0.40500000000000003</v>
      </c>
      <c r="N17" s="148">
        <f ca="1">K17*2.5</f>
        <v>1.6875</v>
      </c>
      <c r="O17" s="224"/>
      <c r="P17" s="440" t="s">
        <v>1761</v>
      </c>
      <c r="Q17" s="439">
        <f>ROUND(Q16*Q11,4)</f>
        <v>0.13619999999999999</v>
      </c>
      <c r="R17" s="398"/>
      <c r="S17" s="446">
        <f>VLOOKUP($B$5,工址放大係數!$A$12:$K$14,2,FALSE)</f>
        <v>0.03</v>
      </c>
      <c r="T17" s="406">
        <f>VLOOKUP($B$5,工址放大係數!$A$12:$K$14,3,FALSE)</f>
        <v>0.2</v>
      </c>
      <c r="U17" s="393">
        <f>VLOOKUP($B$5,工址放大係數!$A$12:$K$14,4,FALSE)</f>
        <v>0.61099999999999999</v>
      </c>
      <c r="V17" s="394">
        <f>VLOOKUP($B$5,工址放大係數!$A$12:$K$14,5,FALSE)</f>
        <v>2.415</v>
      </c>
      <c r="W17" s="38">
        <f>VLOOKUP($B$5,工址放大係數!$A$12:$H$14,6,FALSE)</f>
        <v>1</v>
      </c>
      <c r="X17" s="44">
        <f>VLOOKUP($B$5,工址放大係數!$A$12:$K$14,7,FALSE)</f>
        <v>8.8239999999999998</v>
      </c>
      <c r="Y17" s="44">
        <f>VLOOKUP($B$5,工址放大係數!$A$12:$K$14,8,FALSE)</f>
        <v>0.73519999999999996</v>
      </c>
      <c r="Z17" s="38">
        <f>VLOOKUP($B$5,工址放大係數!$A$12:$K$14,9,FALSE)</f>
        <v>2.5</v>
      </c>
      <c r="AA17" s="38">
        <f>VLOOKUP($B$5,工址放大係數!$A$12:$J$14,10,FALSE)</f>
        <v>1.8</v>
      </c>
      <c r="AB17" s="41">
        <f>VLOOKUP($B$5,工址放大係數!$A$12:$K$14,11,FALSE)</f>
        <v>0.66666666666666663</v>
      </c>
    </row>
    <row r="18" spans="1:28" s="32" customFormat="1" ht="24" customHeight="1" thickTop="1" thickBot="1">
      <c r="A18" s="123" t="s">
        <v>1287</v>
      </c>
      <c r="B18" s="54" t="s">
        <v>1372</v>
      </c>
      <c r="C18" s="54" t="s">
        <v>1373</v>
      </c>
      <c r="D18" s="210" t="s">
        <v>1368</v>
      </c>
      <c r="E18" s="54" t="s">
        <v>1369</v>
      </c>
      <c r="F18" s="124" t="s">
        <v>1370</v>
      </c>
      <c r="G18" s="135"/>
      <c r="H18" s="123" t="s">
        <v>1287</v>
      </c>
      <c r="I18" s="54" t="s">
        <v>1372</v>
      </c>
      <c r="J18" s="54" t="s">
        <v>1373</v>
      </c>
      <c r="K18" s="210" t="s">
        <v>1368</v>
      </c>
      <c r="L18" s="54" t="s">
        <v>1369</v>
      </c>
      <c r="M18" s="124" t="s">
        <v>1370</v>
      </c>
      <c r="N18" s="148" t="s">
        <v>1371</v>
      </c>
      <c r="W18" s="32" t="s">
        <v>422</v>
      </c>
      <c r="X18" s="32">
        <v>0.67</v>
      </c>
      <c r="Y18" s="32">
        <v>0.8</v>
      </c>
      <c r="Z18" s="32">
        <v>1</v>
      </c>
      <c r="AA18" s="32">
        <v>1.33</v>
      </c>
    </row>
    <row r="19" spans="1:28" s="32" customFormat="1" ht="24" customHeight="1" thickTop="1">
      <c r="A19" s="116"/>
      <c r="B19" s="251">
        <f ca="1">C3*C5</f>
        <v>0.8</v>
      </c>
      <c r="C19" s="251">
        <f ca="1">D3*D5</f>
        <v>0.67500000000000004</v>
      </c>
      <c r="D19" s="251">
        <f ca="1">ROUND(C19/B19,4)</f>
        <v>0.84379999999999999</v>
      </c>
      <c r="E19" s="251">
        <f ca="1">D19*0.2</f>
        <v>0.16876000000000002</v>
      </c>
      <c r="F19" s="252">
        <f ca="1">D19*0.6</f>
        <v>0.50627999999999995</v>
      </c>
      <c r="G19" s="145"/>
      <c r="H19" s="116"/>
      <c r="I19" s="251">
        <f ca="1">I3*I13</f>
        <v>0.8</v>
      </c>
      <c r="J19" s="251">
        <f ca="1">J3*J13</f>
        <v>0.54</v>
      </c>
      <c r="K19" s="251">
        <f ca="1">ROUND(J19/I19,4)</f>
        <v>0.67500000000000004</v>
      </c>
      <c r="L19" s="251">
        <f ca="1">K19*0.2</f>
        <v>0.13500000000000001</v>
      </c>
      <c r="M19" s="252">
        <f ca="1">K19*0.6</f>
        <v>0.40500000000000003</v>
      </c>
      <c r="N19" s="149">
        <f ca="1">K19*2.5</f>
        <v>1.6875</v>
      </c>
      <c r="Q19" s="227" t="s">
        <v>427</v>
      </c>
      <c r="R19" s="221">
        <f>H7</f>
        <v>12.42</v>
      </c>
      <c r="S19" s="228" t="s">
        <v>1662</v>
      </c>
      <c r="T19" s="228"/>
      <c r="U19" s="228"/>
      <c r="V19" s="229"/>
    </row>
    <row r="20" spans="1:28" s="32" customFormat="1" ht="24" customHeight="1" thickBot="1">
      <c r="A20" s="123" t="s">
        <v>1288</v>
      </c>
      <c r="B20" s="54" t="s">
        <v>1418</v>
      </c>
      <c r="C20" s="54" t="s">
        <v>1419</v>
      </c>
      <c r="D20" s="210" t="s">
        <v>1376</v>
      </c>
      <c r="E20" s="54" t="s">
        <v>1377</v>
      </c>
      <c r="F20" s="124" t="s">
        <v>1378</v>
      </c>
      <c r="G20" s="135"/>
      <c r="H20" s="123" t="s">
        <v>1288</v>
      </c>
      <c r="I20" s="210" t="s">
        <v>1374</v>
      </c>
      <c r="J20" s="54" t="s">
        <v>1375</v>
      </c>
      <c r="K20" s="210" t="s">
        <v>1376</v>
      </c>
      <c r="L20" s="54" t="s">
        <v>1377</v>
      </c>
      <c r="M20" s="124" t="s">
        <v>1378</v>
      </c>
      <c r="N20" s="148" t="s">
        <v>1371</v>
      </c>
      <c r="Q20" s="230"/>
      <c r="R20" s="231">
        <v>40725</v>
      </c>
      <c r="S20" s="232" t="s">
        <v>1353</v>
      </c>
      <c r="T20" s="232" t="s">
        <v>1354</v>
      </c>
      <c r="U20" s="232" t="s">
        <v>1355</v>
      </c>
      <c r="V20" s="233" t="s">
        <v>1356</v>
      </c>
    </row>
    <row r="21" spans="1:28" s="32" customFormat="1" ht="24" customHeight="1" thickTop="1">
      <c r="A21" s="116"/>
      <c r="B21" s="251">
        <f ca="1">E$9*E$7</f>
        <v>1.24498</v>
      </c>
      <c r="C21" s="251">
        <f ca="1">F$9*F$7</f>
        <v>1.1567289999999999</v>
      </c>
      <c r="D21" s="251">
        <f ca="1">ROUND(C$21/B$21,4)</f>
        <v>0.92910000000000004</v>
      </c>
      <c r="E21" s="251">
        <f ca="1">ROUND(D21*0.2,4)</f>
        <v>0.18579999999999999</v>
      </c>
      <c r="F21" s="252">
        <f ca="1">ROUND(D21*0.6,4)</f>
        <v>0.5575</v>
      </c>
      <c r="G21" s="145"/>
      <c r="H21" s="116"/>
      <c r="I21" s="251">
        <f ca="1">K3*K$9*K$5</f>
        <v>1</v>
      </c>
      <c r="J21" s="251">
        <f ca="1">L3*L$9*L$5</f>
        <v>0.60500000000000009</v>
      </c>
      <c r="K21" s="251">
        <f ca="1">ROUND(J$21/I$21,4)</f>
        <v>0.60499999999999998</v>
      </c>
      <c r="L21" s="251">
        <f ca="1">ROUND(K21*0.2,4)</f>
        <v>0.121</v>
      </c>
      <c r="M21" s="252">
        <f ca="1">ROUND(K21*0.6,4)</f>
        <v>0.36299999999999999</v>
      </c>
      <c r="N21" s="149">
        <f ca="1">K21*2.5</f>
        <v>1.5125</v>
      </c>
      <c r="Q21" s="222"/>
      <c r="R21" s="36" t="s">
        <v>357</v>
      </c>
      <c r="S21" s="32">
        <v>1</v>
      </c>
      <c r="T21" s="32">
        <v>1</v>
      </c>
      <c r="U21" s="32">
        <v>1</v>
      </c>
      <c r="V21" s="206">
        <v>1</v>
      </c>
    </row>
    <row r="22" spans="1:28" s="32" customFormat="1" ht="24" customHeight="1">
      <c r="A22" s="147" t="s">
        <v>1415</v>
      </c>
      <c r="B22" s="253" t="str">
        <f ca="1">0.4*B17*B13 &amp; " g"</f>
        <v>0.39 g</v>
      </c>
      <c r="C22" s="253" t="str">
        <f ca="1">"= " &amp; ROUND(0.4*B17*B13*981,1) &amp; " gal"</f>
        <v>= 382.6 gal</v>
      </c>
      <c r="D22" s="48"/>
      <c r="E22" s="48"/>
      <c r="F22" s="145"/>
      <c r="G22" s="145"/>
      <c r="H22" s="147" t="s">
        <v>1415</v>
      </c>
      <c r="I22" s="253" t="str">
        <f ca="1">0.4*I17 &amp; " g"</f>
        <v>0.32 g</v>
      </c>
      <c r="J22" s="253" t="str">
        <f ca="1">"= " &amp; ROUND(0.4*I17*981,1) &amp; " gal"</f>
        <v>= 313.9 gal</v>
      </c>
      <c r="K22" s="48"/>
      <c r="L22" s="48"/>
      <c r="M22" s="145"/>
      <c r="N22" s="146"/>
      <c r="Q22" s="223">
        <v>1</v>
      </c>
      <c r="R22" s="37" t="s">
        <v>82</v>
      </c>
      <c r="S22" s="32">
        <f>IF(R$19&lt;=2,1.23,IF(R$19&lt;=5,1.16,IF(R$19&lt;=8,1.07,IF(R$19&lt;=12,1.03,1))))</f>
        <v>1</v>
      </c>
      <c r="T22" s="32">
        <f>IF(R$19&lt;=2,1.36,IF(R$19&lt;=5,1.32,IF(R$19&lt;=8,1.22,IF(R$19&lt;=12,1.1,1))))</f>
        <v>1</v>
      </c>
      <c r="U22" s="32">
        <f>IF(R$19&lt;=2,1.25,IF(R$19&lt;=5,1.2,IF(R$19&lt;=8,1.1,IF(R$19&lt;=12,1.03,1))))</f>
        <v>1</v>
      </c>
      <c r="V22" s="206">
        <f>IF(R$19&lt;=2,1.5,IF(R$19&lt;=5,1.45,IF(R$19&lt;=8,1.3,IF(R$19&lt;=12,1.15,1))))</f>
        <v>1</v>
      </c>
    </row>
    <row r="23" spans="1:28" s="32" customFormat="1" ht="24" customHeight="1">
      <c r="A23" s="490" t="s">
        <v>467</v>
      </c>
      <c r="B23" s="489"/>
      <c r="C23" s="34"/>
      <c r="F23" s="206"/>
      <c r="G23" s="206"/>
      <c r="H23" s="490" t="s">
        <v>467</v>
      </c>
      <c r="I23" s="489"/>
      <c r="J23" s="34"/>
      <c r="M23" s="206"/>
      <c r="N23" s="183">
        <f>IF(H6="無",1/2,2/3)</f>
        <v>0.66666666666666663</v>
      </c>
      <c r="Q23" s="222">
        <v>2</v>
      </c>
      <c r="R23" s="37" t="s">
        <v>74</v>
      </c>
      <c r="S23" s="32">
        <f>IF(R$19&lt;=2,1.28,IF(R$19&lt;=5,1.2,IF(R$19&lt;=8,1.1,1)))</f>
        <v>1</v>
      </c>
      <c r="T23" s="32">
        <f>IF(R$19&lt;=2,1.33,IF(R$19&lt;=5,1.27,IF(R$19&lt;=8,1.1,1)))</f>
        <v>1</v>
      </c>
      <c r="U23" s="32">
        <f>IF(R$19&lt;=2,1.26,IF(R$19&lt;=5,1.18,IF(R$19&lt;=8,1.05,1)))</f>
        <v>1</v>
      </c>
      <c r="V23" s="206">
        <f>IF(R$19&lt;=2,1.42,IF(R$19&lt;=5,1.32,IF(R$19&lt;=8,1.15,1)))</f>
        <v>1</v>
      </c>
    </row>
    <row r="24" spans="1:28" s="32" customFormat="1" ht="24" customHeight="1">
      <c r="A24" s="117" t="s">
        <v>1280</v>
      </c>
      <c r="B24" s="109" t="s">
        <v>1379</v>
      </c>
      <c r="C24" s="210" t="s">
        <v>1380</v>
      </c>
      <c r="D24" s="210" t="s">
        <v>1381</v>
      </c>
      <c r="E24" s="210" t="s">
        <v>1382</v>
      </c>
      <c r="F24" s="122"/>
      <c r="G24" s="122"/>
      <c r="H24" s="117" t="s">
        <v>1280</v>
      </c>
      <c r="I24" s="210" t="s">
        <v>1379</v>
      </c>
      <c r="J24" s="210" t="s">
        <v>1380</v>
      </c>
      <c r="K24" s="210" t="s">
        <v>1381</v>
      </c>
      <c r="L24" s="210" t="s">
        <v>1382</v>
      </c>
      <c r="M24" s="185" t="s">
        <v>1634</v>
      </c>
      <c r="N24" s="188" t="s">
        <v>1631</v>
      </c>
      <c r="O24" s="186" t="s">
        <v>1632</v>
      </c>
      <c r="P24" s="220" t="s">
        <v>1633</v>
      </c>
      <c r="Q24" s="222">
        <v>3</v>
      </c>
      <c r="R24" s="37" t="s">
        <v>372</v>
      </c>
      <c r="S24" s="32">
        <f>IF(R$19&lt;=2,1.28,IF(R$19&lt;=5,1.2,IF(R$19&lt;=10,1.1,1)))</f>
        <v>1</v>
      </c>
      <c r="T24" s="32">
        <f>IF(R$19&lt;=2,1.31,IF(R$19&lt;=5,1.25,IF(R$19&lt;=10,1.15,1)))</f>
        <v>1</v>
      </c>
      <c r="U24" s="32">
        <f>IF(R$19&lt;=2,1.26,IF(R$19&lt;=5,1.17,IF(R$19&lt;=10,1.05,1)))</f>
        <v>1</v>
      </c>
      <c r="V24" s="206">
        <f>IF(R$19&lt;=2,1.42,IF(R$19&lt;=5,1.32,IF(R$19&lt;=10,1.15,1)))</f>
        <v>1</v>
      </c>
    </row>
    <row r="25" spans="1:28" s="32" customFormat="1" ht="24" customHeight="1">
      <c r="A25" s="116"/>
      <c r="B25" s="52">
        <f ca="1">ROUND(IF($F$11&gt;2.5*D17,0.4*B17,IF($F$11&gt;D17,C17/$F$11,IF($F$11&gt;E17,B17,B17*(0.4+3*$F$11/D17)))),4)</f>
        <v>0.97499999999999998</v>
      </c>
      <c r="C25" s="52">
        <f ca="1">ROUND(IF($F11&gt;=D$17,$D$12,IF($F11&gt;=F$17,$D$13+($D$12-$D$13)*($F11-0.6*D$17)/0.4/D$17,IF($F11&lt;E$17,$D$13+($D$13-1)*($F11-E$17)/E$17,$D$13))),4)</f>
        <v>1.9291</v>
      </c>
      <c r="D25" s="52">
        <f ca="1">ROUND(B25/C25,4)</f>
        <v>0.50539999999999996</v>
      </c>
      <c r="E25" s="52">
        <f ca="1">IF(D25&lt;=0.3,D25,IF(D25&lt;0.8,ROUND(0.52*D25+0.144,4),0.7*D25))</f>
        <v>0.40679999999999999</v>
      </c>
      <c r="F25" s="122"/>
      <c r="G25" s="122"/>
      <c r="H25" s="116"/>
      <c r="I25" s="52">
        <f ca="1">ROUND(IF($F$11&gt;2.5*K17,0.4*I17,IF($F$11&gt;K17,J17/$F$11,IF($F$11&gt;L17,I17,I17*(0.4+3*$F$11/K17)))),4)</f>
        <v>0.62209999999999999</v>
      </c>
      <c r="J25" s="52">
        <f ca="1">ROUND(IF($F11&gt;=K$17,$D$12,IF($F11&gt;=M$17,$D$13+($D$12-$D$13)*($F11-0.6*K$17)/0.4/K$17,IF($F11&lt;L$17,$D$13+($D$13-1)*($F11-L$17)/L$17,$D$13))),4)</f>
        <v>1.9333</v>
      </c>
      <c r="K25" s="52">
        <f ca="1">ROUND(I25/J25,4)</f>
        <v>0.32179999999999997</v>
      </c>
      <c r="L25" s="52">
        <f ca="1">IF(K25&lt;=0.3,K25,IF(K25&lt;0.8,ROUND(0.52*K25+0.144,4),0.7*K25))</f>
        <v>0.31130000000000002</v>
      </c>
      <c r="M25" s="139">
        <f ca="1">IF(P25&lt;=0.2,P25,IF(P25&lt;0.53,ROUND(0.52*P25+0.096,4),0.7*P25))</f>
        <v>0.31019999999999998</v>
      </c>
      <c r="N25" s="189">
        <f ca="1">I25*N$23</f>
        <v>0.41473333333333329</v>
      </c>
      <c r="O25" s="187">
        <f ca="1">ROUND(IF($N$11&gt;=K17,$B$12,IF($N$11&gt;=M17,$D$14+($B$12-$D$14)*($N$11-0.6*M17)/0.4/K17,IF($N$11&lt;L17,$D$14+($D$14-1)*($N$11-L17)/L17,$D$14))),4)</f>
        <v>1.0069999999999999</v>
      </c>
      <c r="P25" s="184">
        <f ca="1">ROUND(N25/O25,4)</f>
        <v>0.41189999999999999</v>
      </c>
      <c r="Q25" s="222">
        <v>4</v>
      </c>
      <c r="R25" s="37" t="s">
        <v>169</v>
      </c>
      <c r="S25" s="32">
        <f>IF(R$19&lt;=2,1.37,IF(R$19&lt;=5,1.28,IF(R$19&lt;=8,1.15,1)))</f>
        <v>1</v>
      </c>
      <c r="T25" s="32">
        <f>IF(R$19&lt;=2,1.44,IF(R$19&lt;=5,1.36,IF(R$19&lt;=8,1.2,1)))</f>
        <v>1</v>
      </c>
      <c r="U25" s="32">
        <f>IF(R$19&lt;=2,1.3,IF(R$19&lt;=5,1.2,IF(R$19&lt;=8,1.05,1)))</f>
        <v>1</v>
      </c>
      <c r="V25" s="206">
        <f>IF(R$19&lt;=2,1.48,IF(R$19&lt;=5,1.36,IF(R$19&lt;=8,1.15,1)))</f>
        <v>1</v>
      </c>
    </row>
    <row r="26" spans="1:28" s="32" customFormat="1" ht="24" customHeight="1">
      <c r="A26" s="117" t="s">
        <v>1559</v>
      </c>
      <c r="B26" s="210" t="s">
        <v>1383</v>
      </c>
      <c r="C26" s="210" t="s">
        <v>1380</v>
      </c>
      <c r="D26" s="210" t="s">
        <v>1384</v>
      </c>
      <c r="E26" s="210" t="s">
        <v>1385</v>
      </c>
      <c r="F26" s="125"/>
      <c r="G26" s="125"/>
      <c r="H26" s="117" t="s">
        <v>1559</v>
      </c>
      <c r="I26" s="210" t="s">
        <v>1383</v>
      </c>
      <c r="J26" s="210" t="s">
        <v>1380</v>
      </c>
      <c r="K26" s="210" t="s">
        <v>1384</v>
      </c>
      <c r="L26" s="210" t="s">
        <v>1385</v>
      </c>
      <c r="M26" s="206"/>
      <c r="N26" s="125"/>
      <c r="O26" s="125"/>
      <c r="Q26" s="222">
        <v>5</v>
      </c>
      <c r="R26" s="37" t="s">
        <v>220</v>
      </c>
      <c r="S26" s="32">
        <f>IF(R$19&lt;=2,1.23,IF(R$19&lt;=5,1.06,1))</f>
        <v>1</v>
      </c>
      <c r="T26" s="32">
        <f>IF(R$19&lt;=2,1.15,IF(R$19&lt;=5,1.05,1))</f>
        <v>1</v>
      </c>
      <c r="U26" s="32">
        <f>IF(R$19&lt;=2,1.29,IF(R$19&lt;=5,1.1,1))</f>
        <v>1</v>
      </c>
      <c r="V26" s="206">
        <f>IF(R$19&lt;=2,1.3,IF(R$19&lt;=5,1.15,1))</f>
        <v>1</v>
      </c>
    </row>
    <row r="27" spans="1:28" s="32" customFormat="1" ht="24" customHeight="1">
      <c r="A27" s="116"/>
      <c r="B27" s="52">
        <f ca="1">ROUND(IF($F$11&gt;2.5*D19,0.4*B19,IF($F$11&gt;D19,C19/$F$11,IF($F$11&gt;E19,B19,B19*(0.4+3*$F$11/D19)))),4)</f>
        <v>0.77759999999999996</v>
      </c>
      <c r="C27" s="55">
        <f ca="1">ROUND(IF($F11&gt;=D$19,$D$12,IF($F11&gt;=F$19,$D$13+($D$12-$D$13)*($F11-0.6*D$19)/0.4/D$19,IF($F11&lt;E$19,$D$13+($D$13-1)*(F11-E$19)/E$19,$D$13))),4)</f>
        <v>1.9333</v>
      </c>
      <c r="D27" s="52">
        <f ca="1">ROUND(B27/C27,4)</f>
        <v>0.4022</v>
      </c>
      <c r="E27" s="52">
        <f ca="1">IF(D27&lt;=0.3,D27,IF(D27&lt;0.8,ROUND(0.52*D27+0.144,4),0.7*D27))</f>
        <v>0.35310000000000002</v>
      </c>
      <c r="F27" s="125"/>
      <c r="G27" s="125"/>
      <c r="H27" s="116"/>
      <c r="I27" s="52">
        <f ca="1">ROUND(IF($F$11&gt;2.5*K19,0.4*I19,IF($F$11&gt;K19,J19/$F$11,IF($F$11&gt;L19,I19,I19*(0.4+3*$F$11/K19)))),4)</f>
        <v>0.62209999999999999</v>
      </c>
      <c r="J27" s="55">
        <f ca="1">ROUND(IF($F11&gt;=K$19,$D$12,IF($F11&gt;=M$19,$D$13+($D$12-$D$13)*($F11-0.6*K$19)/0.4/K$19,IF($F11&lt;L$19,$D$13+($D$13-1)*($F11-L$19)/L$19,$D$13))),4)</f>
        <v>1.9333</v>
      </c>
      <c r="K27" s="52">
        <f ca="1">ROUND(I27/J27,4)</f>
        <v>0.32179999999999997</v>
      </c>
      <c r="L27" s="52">
        <f ca="1">IF(K27&lt;=0.3,K27,IF(K27&lt;0.8,ROUND(0.52*K27+0.144,4),0.7*K27))</f>
        <v>0.31130000000000002</v>
      </c>
      <c r="M27" s="139">
        <f ca="1">IF(P27&lt;=0.2,P27,IF(P27&lt;0.53,ROUND(0.52*P27+0.096,4),0.7*P27))</f>
        <v>0.31019999999999998</v>
      </c>
      <c r="N27" s="189">
        <f ca="1">I27*N$23</f>
        <v>0.41473333333333329</v>
      </c>
      <c r="O27" s="187">
        <f ca="1">ROUND(IF($N$11&gt;=K19,$B$12,IF($N$11&gt;=M19,$D$14+($B$12-$D$14)*($N$11-0.6*M19)/0.4/K19,IF($N$11&lt;L19,$D$14+($D$14-1)*($N$11-L19)/L19,$D$14))),4)</f>
        <v>1.0069999999999999</v>
      </c>
      <c r="P27" s="184">
        <f ca="1">ROUND(N27/O27,4)</f>
        <v>0.41189999999999999</v>
      </c>
      <c r="Q27" s="222">
        <v>6</v>
      </c>
      <c r="R27" s="37" t="s">
        <v>1689</v>
      </c>
      <c r="S27" s="32">
        <f>IF(R$19&lt;=2,1.15,IF(R$19&lt;=5,1.08,IF(R$19&lt;=8,1,1)))</f>
        <v>1</v>
      </c>
      <c r="T27" s="32">
        <f>IF(R$19&lt;=2,1.15,IF(R$19&lt;=5,1.1,IF(R$19&lt;=8,1.03,1)))</f>
        <v>1</v>
      </c>
      <c r="U27" s="32">
        <f>IF(R$19&lt;=2,1.21,IF(R$19&lt;=5,1.17,IF(R$19&lt;=8,1.05,1)))</f>
        <v>1</v>
      </c>
      <c r="V27" s="206">
        <f>IF(R$19&lt;=2,1.42,IF(R$19&lt;=5,1.35,IF(R$19&lt;=8,1.15,1)))</f>
        <v>1</v>
      </c>
    </row>
    <row r="28" spans="1:28" s="32" customFormat="1" ht="24" customHeight="1" thickBot="1">
      <c r="A28" s="117" t="s">
        <v>1560</v>
      </c>
      <c r="B28" s="210" t="s">
        <v>1386</v>
      </c>
      <c r="C28" s="210" t="s">
        <v>1387</v>
      </c>
      <c r="D28" s="210" t="s">
        <v>1388</v>
      </c>
      <c r="E28" s="210" t="s">
        <v>1389</v>
      </c>
      <c r="F28" s="126"/>
      <c r="G28" s="126"/>
      <c r="H28" s="117" t="s">
        <v>1560</v>
      </c>
      <c r="I28" s="210" t="s">
        <v>1386</v>
      </c>
      <c r="J28" s="210" t="s">
        <v>1387</v>
      </c>
      <c r="K28" s="210" t="s">
        <v>1388</v>
      </c>
      <c r="L28" s="210" t="s">
        <v>1389</v>
      </c>
      <c r="M28" s="206"/>
      <c r="N28" s="126"/>
      <c r="O28" s="126"/>
      <c r="Q28" s="224">
        <v>7</v>
      </c>
      <c r="R28" s="239" t="s">
        <v>326</v>
      </c>
      <c r="S28" s="226">
        <f>IF(R$19&lt;=2,1.42,IF(R$19&lt;=5,1.37,IF(R$19&lt;=8,1.28,IF(R$19&lt;=12,1.14,1))))</f>
        <v>1</v>
      </c>
      <c r="T28" s="226">
        <f>IF(R$19&lt;=2,1.58,IF(R$19&lt;=5,1.53,IF(R$19&lt;=8,1.38,IF(R$19&lt;=12,1.2,1))))</f>
        <v>1</v>
      </c>
      <c r="U28" s="240">
        <f>IF(R$19&lt;=2,1.32,IF(R$19&lt;=5,1.26,IF(R$19&lt;=8,1.1,IF(R$19&lt;=12,1.02,IF(R$19&lt;=5,1,1)))))</f>
        <v>1</v>
      </c>
      <c r="V28" s="130">
        <f>IF(R$19&lt;=2,1.58,IF(R$19&lt;=5,1.48,IF(R$19&lt;=8,1.3,IF(R$19&lt;=12,1.16,IF(R$19&lt;=5,1.05,1)))))</f>
        <v>1</v>
      </c>
    </row>
    <row r="29" spans="1:28" s="32" customFormat="1" ht="24" customHeight="1" thickTop="1">
      <c r="A29" s="116"/>
      <c r="B29" s="52">
        <f ca="1">IF($F11&lt;E$21,ROUND(B$21*(0.4+3*$F11/D$21),3),IF($F11&lt;=D$21,B$21,IF($F11&lt;=2.5*D$21,C$21/$F11,0.4*B$21)))</f>
        <v>1.24498</v>
      </c>
      <c r="C29" s="52">
        <f ca="1">ROUND(IF($F11&gt;=D$21,$B$12,IF($F11&gt;=F$21,$D$14+($B$12-$D$14)*($F11-0.6*D$21)/0.4/D$21,IF($F11&lt;E$21,$D$14+($D$14-1)*($F11-E$21)/E$21,$D$14))),4)</f>
        <v>2.3258999999999999</v>
      </c>
      <c r="D29" s="52">
        <f ca="1">ROUND(B29/C29,4)</f>
        <v>0.5353</v>
      </c>
      <c r="E29" s="52">
        <f ca="1">IF(D29&lt;=0.3,D29,IF(D29&lt;0.8,ROUND(0.52*D29+0.144,4),0.7*D29))</f>
        <v>0.4224</v>
      </c>
      <c r="F29" s="206"/>
      <c r="G29" s="206"/>
      <c r="H29" s="116"/>
      <c r="I29" s="52">
        <f ca="1">IF($F11&lt;L$21,ROUND(I$21*(0.4+3*$F11/K$21),3),IF($F11&lt;=K$21,I$21,IF($F11&lt;=2.5*K$21,J$21/$F11,0.4*I$21)))</f>
        <v>0.69700460829493094</v>
      </c>
      <c r="J29" s="52">
        <f ca="1">ROUND(IF($F11&gt;=K$21,$B$12,IF($F11&gt;=M$21,$D$14+($B$12-$D$14)*($F11-0.6*K$21)/0.4/K$21,IF($F11&lt;L$21,$D$14+($D$14-1)*($F11-L$21)/L$21,$D$14))),4)</f>
        <v>2.4</v>
      </c>
      <c r="K29" s="52">
        <f ca="1">ROUND(I29/J29,4)</f>
        <v>0.29039999999999999</v>
      </c>
      <c r="L29" s="52">
        <f ca="1">IF(K29&lt;=0.3,K29,IF(K29&lt;0.8,ROUND(0.52*K29+0.144,4),0.7*K29))</f>
        <v>0.29039999999999999</v>
      </c>
      <c r="M29" s="139">
        <f ca="1">IF(P29&lt;=0.2,P29,IF(P29&lt;0.53,ROUND(0.52*P29+0.096,4),0.7*P29))</f>
        <v>0.33579999999999999</v>
      </c>
      <c r="N29" s="189">
        <f ca="1">I29*N$23</f>
        <v>0.46466973886328727</v>
      </c>
      <c r="O29" s="187">
        <f ca="1">ROUND(IF($N$11&gt;=K21,$B$12,IF($N$11&gt;=M21,$D$14+($B$12-$D$14)*($N$11-0.6*M21)/0.4/K21,IF($N$11&lt;L21,$D$14+($D$14-1)*($N$11-L21)/L21,$D$14))),4)</f>
        <v>1.0078</v>
      </c>
      <c r="P29" s="184">
        <f ca="1">ROUND(N29/O29,4)</f>
        <v>0.46110000000000001</v>
      </c>
      <c r="Q29" s="222"/>
      <c r="R29" s="37"/>
      <c r="V29" s="206"/>
    </row>
    <row r="30" spans="1:28" s="32" customFormat="1" ht="24" customHeight="1">
      <c r="A30" s="483" t="s">
        <v>1280</v>
      </c>
      <c r="B30" s="484"/>
      <c r="C30" s="56"/>
      <c r="D30" s="56"/>
      <c r="E30" s="56"/>
      <c r="F30" s="140"/>
      <c r="G30" s="140"/>
      <c r="H30" s="483" t="s">
        <v>1280</v>
      </c>
      <c r="I30" s="484"/>
      <c r="J30" s="56"/>
      <c r="K30" s="56"/>
      <c r="L30" s="56"/>
      <c r="M30" s="206"/>
      <c r="N30" s="206"/>
      <c r="Q30" s="222"/>
      <c r="R30" s="37"/>
      <c r="V30" s="206"/>
    </row>
    <row r="31" spans="1:28" s="32" customFormat="1" ht="24" customHeight="1">
      <c r="A31" s="127" t="s">
        <v>1390</v>
      </c>
      <c r="B31" s="48">
        <f ca="1">ROUND($B$13*E25/1.4/$B$14,4)</f>
        <v>0.29060000000000002</v>
      </c>
      <c r="C31" s="208" t="s">
        <v>1289</v>
      </c>
      <c r="D31" s="503" t="s">
        <v>1391</v>
      </c>
      <c r="E31" s="484"/>
      <c r="F31" s="498"/>
      <c r="G31" s="206"/>
      <c r="H31" s="127" t="s">
        <v>1390</v>
      </c>
      <c r="I31" s="48">
        <f ca="1">ROUND($B$13*L25/1.4/$B$14,4)</f>
        <v>0.22239999999999999</v>
      </c>
      <c r="J31" s="208" t="s">
        <v>1289</v>
      </c>
      <c r="K31" s="503" t="s">
        <v>1391</v>
      </c>
      <c r="L31" s="499"/>
      <c r="N31" s="190" t="s">
        <v>1637</v>
      </c>
      <c r="O31" s="125">
        <f ca="1">ROUND($B$13*M25/1.4/$B$14,4)</f>
        <v>0.22159999999999999</v>
      </c>
      <c r="Q31" s="222"/>
      <c r="R31" s="37"/>
      <c r="V31" s="206"/>
    </row>
    <row r="32" spans="1:28" s="32" customFormat="1" ht="24" customHeight="1">
      <c r="A32" s="483" t="s">
        <v>1281</v>
      </c>
      <c r="B32" s="484"/>
      <c r="C32" s="56"/>
      <c r="D32" s="56"/>
      <c r="F32" s="128"/>
      <c r="G32" s="128"/>
      <c r="H32" s="483" t="s">
        <v>1281</v>
      </c>
      <c r="I32" s="484"/>
      <c r="J32" s="56"/>
      <c r="K32" s="209"/>
      <c r="L32" s="208"/>
      <c r="M32" s="125"/>
      <c r="N32" s="191"/>
      <c r="O32" s="125"/>
      <c r="Q32" s="222"/>
      <c r="R32" s="37"/>
      <c r="V32" s="206"/>
    </row>
    <row r="33" spans="1:68" s="32" customFormat="1" ht="24" customHeight="1" thickBot="1">
      <c r="A33" s="127" t="s">
        <v>1283</v>
      </c>
      <c r="B33" s="48">
        <f ca="1">ROUND($B13*E27*C27/4.2/$B14,4)</f>
        <v>0.16250000000000001</v>
      </c>
      <c r="C33" s="208" t="s">
        <v>1289</v>
      </c>
      <c r="D33" s="503" t="s">
        <v>1392</v>
      </c>
      <c r="E33" s="484"/>
      <c r="F33" s="498"/>
      <c r="G33" s="206"/>
      <c r="H33" s="127" t="s">
        <v>1283</v>
      </c>
      <c r="I33" s="48">
        <f ca="1">ROUND($B13*L27*J27/4.2/$B14,4)</f>
        <v>0.14330000000000001</v>
      </c>
      <c r="J33" s="208" t="s">
        <v>1289</v>
      </c>
      <c r="K33" s="503" t="s">
        <v>1392</v>
      </c>
      <c r="L33" s="499"/>
      <c r="N33" s="190" t="s">
        <v>1638</v>
      </c>
      <c r="O33" s="125">
        <f ca="1">ROUND($B13*J27*M27/4.2/$B14,4)</f>
        <v>0.14280000000000001</v>
      </c>
      <c r="Q33" s="224"/>
      <c r="R33" s="225"/>
      <c r="S33" s="226"/>
      <c r="T33" s="226"/>
      <c r="U33" s="226"/>
      <c r="V33" s="130"/>
    </row>
    <row r="34" spans="1:68" s="32" customFormat="1" ht="24" customHeight="1" thickTop="1">
      <c r="A34" s="483" t="s">
        <v>1282</v>
      </c>
      <c r="B34" s="484"/>
      <c r="C34" s="56"/>
      <c r="D34" s="56"/>
      <c r="F34" s="128"/>
      <c r="G34" s="128"/>
      <c r="H34" s="483" t="s">
        <v>1282</v>
      </c>
      <c r="I34" s="484"/>
      <c r="J34" s="56"/>
      <c r="K34" s="209"/>
      <c r="L34" s="208"/>
      <c r="M34" s="125"/>
      <c r="N34" s="191"/>
      <c r="O34" s="125"/>
      <c r="Q34" s="40"/>
      <c r="R34" s="40"/>
      <c r="S34" s="42"/>
    </row>
    <row r="35" spans="1:68" s="32" customFormat="1" ht="24" customHeight="1">
      <c r="A35" s="127" t="s">
        <v>1393</v>
      </c>
      <c r="B35" s="48">
        <f ca="1">ROUND($B13*E29/1.4/$B14,4)</f>
        <v>0.30170000000000002</v>
      </c>
      <c r="C35" s="209" t="s">
        <v>1289</v>
      </c>
      <c r="D35" s="497" t="s">
        <v>1394</v>
      </c>
      <c r="E35" s="484"/>
      <c r="F35" s="498"/>
      <c r="G35" s="206"/>
      <c r="H35" s="127" t="s">
        <v>1393</v>
      </c>
      <c r="I35" s="48">
        <f ca="1">ROUND($B13*L29/1.4/$B14,4)</f>
        <v>0.2074</v>
      </c>
      <c r="J35" s="209" t="s">
        <v>1289</v>
      </c>
      <c r="K35" s="497" t="s">
        <v>1394</v>
      </c>
      <c r="L35" s="499"/>
      <c r="N35" s="190" t="s">
        <v>1636</v>
      </c>
      <c r="O35" s="125">
        <f ca="1">ROUND($B$13*M29/1.4/$B$14,4)</f>
        <v>0.2399</v>
      </c>
    </row>
    <row r="36" spans="1:68" s="32" customFormat="1" ht="24" customHeight="1">
      <c r="A36" s="129" t="s">
        <v>1395</v>
      </c>
      <c r="B36" s="253">
        <f ca="1">MAX(B31,B33,B35)</f>
        <v>0.30170000000000002</v>
      </c>
      <c r="C36" s="57"/>
      <c r="D36" s="43" t="s">
        <v>1420</v>
      </c>
      <c r="E36" s="48">
        <f ca="1">B33/B36</f>
        <v>0.53861451773284719</v>
      </c>
      <c r="F36" s="206"/>
      <c r="G36" s="206"/>
      <c r="H36" s="129" t="s">
        <v>1395</v>
      </c>
      <c r="I36" s="253">
        <f ca="1">MAX(I31,I33,I35)</f>
        <v>0.22239999999999999</v>
      </c>
      <c r="J36" s="57"/>
      <c r="K36" s="43" t="s">
        <v>1420</v>
      </c>
      <c r="L36" s="48">
        <f ca="1">I33/I36</f>
        <v>0.64433453237410077</v>
      </c>
      <c r="N36" s="192" t="s">
        <v>1635</v>
      </c>
      <c r="O36" s="125">
        <f ca="1">MAX(O31,O33,O35)</f>
        <v>0.2399</v>
      </c>
    </row>
    <row r="37" spans="1:68" s="32" customFormat="1" ht="24" customHeight="1" thickBot="1">
      <c r="A37" s="500" t="s">
        <v>1699</v>
      </c>
      <c r="B37" s="501"/>
      <c r="C37" s="501"/>
      <c r="D37" s="501"/>
      <c r="E37" s="501"/>
      <c r="F37" s="502"/>
      <c r="G37" s="207"/>
      <c r="H37" s="500" t="s">
        <v>1700</v>
      </c>
      <c r="I37" s="501"/>
      <c r="J37" s="501"/>
      <c r="K37" s="501"/>
      <c r="L37" s="501"/>
      <c r="M37" s="502"/>
      <c r="N37" s="130"/>
      <c r="AV37" s="32">
        <v>1.33</v>
      </c>
    </row>
    <row r="38" spans="1:68" s="32" customFormat="1" ht="24" customHeight="1" thickTop="1">
      <c r="B38" s="309">
        <f>ROUND((ROUNDUP(B7,0)-1)/2,0)</f>
        <v>1</v>
      </c>
      <c r="C38" s="309">
        <f>IF(B38&lt;1,0,IF(B38&gt;7,7,B38))</f>
        <v>1</v>
      </c>
      <c r="D38" s="310">
        <f>IF(C38&gt;=1,C38-1,C38)</f>
        <v>0</v>
      </c>
      <c r="E38" s="311">
        <f>IF(B38&gt;=7,0,1)</f>
        <v>1</v>
      </c>
      <c r="F38" s="310">
        <f>IF(B38&gt;=7,1,2)</f>
        <v>2</v>
      </c>
      <c r="G38" s="141"/>
      <c r="H38" s="159"/>
      <c r="M38" s="157"/>
      <c r="N38" s="157"/>
      <c r="R38" s="209"/>
      <c r="S38" s="209"/>
      <c r="T38" s="209"/>
      <c r="U38" s="209"/>
      <c r="AV38" s="32">
        <v>1</v>
      </c>
      <c r="AX38" s="209">
        <f>ROUND((1/8/0.15)^2,4)</f>
        <v>0.69440000000000002</v>
      </c>
    </row>
    <row r="39" spans="1:68" ht="24" customHeight="1">
      <c r="A39" s="156" t="s">
        <v>1352</v>
      </c>
      <c r="B39" s="142">
        <f>IF(C38&lt;1,1,C38*2-1)</f>
        <v>1</v>
      </c>
      <c r="C39" s="143">
        <f ca="1">IF($B6="",C3,VLOOKUP($B$3,INDIRECT($B$6),$D$38+2,FALSE))</f>
        <v>0.98</v>
      </c>
      <c r="D39" s="143">
        <f ca="1">IF($B6="無",D3,VLOOKUP($B$3,INDIRECT($B$6),$D$38+10,FALSE))</f>
        <v>0.61</v>
      </c>
      <c r="E39" s="143">
        <f ca="1">IF($B6="無", E3,VLOOKUP($B$3,INDIRECT($B$6),$D$38+18,FALSE))</f>
        <v>1.25</v>
      </c>
      <c r="F39" s="144">
        <f ca="1">IF($B6="無", F3,VLOOKUP($B$3,INDIRECT($B$6),$D$38+26,FALSE))</f>
        <v>0.83</v>
      </c>
      <c r="G39" s="158"/>
      <c r="H39" s="32"/>
      <c r="S39" s="32"/>
      <c r="T39" s="38" t="s">
        <v>1296</v>
      </c>
      <c r="U39" s="209">
        <v>981</v>
      </c>
      <c r="V39" s="38" t="s">
        <v>1301</v>
      </c>
      <c r="W39" s="38">
        <f>Q5</f>
        <v>1</v>
      </c>
      <c r="AV39" s="209">
        <v>0.8</v>
      </c>
      <c r="AX39" s="209">
        <f>ROUND(AX38*0.2,4)</f>
        <v>0.1389</v>
      </c>
    </row>
    <row r="40" spans="1:68" ht="30.75" customHeight="1" thickBot="1">
      <c r="A40" s="119" t="s">
        <v>1352</v>
      </c>
      <c r="B40" s="142">
        <f>C38*2+E38</f>
        <v>3</v>
      </c>
      <c r="C40" s="143">
        <f ca="1">IF($B6="無",C3,VLOOKUP($B$3,INDIRECT($B$6),$C$38+2,FALSE))</f>
        <v>0.94</v>
      </c>
      <c r="D40" s="143">
        <f ca="1">IF($B6="無",D3,VLOOKUP($B$3,INDIRECT($B$6),$C$38+10,FALSE))</f>
        <v>0.6</v>
      </c>
      <c r="E40" s="143">
        <f ca="1">IF($B6="無", E3,VLOOKUP($B$3,INDIRECT($B$6),$C$38+18,FALSE))</f>
        <v>1.21</v>
      </c>
      <c r="F40" s="144">
        <f ca="1">IF($B6="無", F3,VLOOKUP($B$3,INDIRECT($B$6),$C$38+26,FALSE))</f>
        <v>0.8</v>
      </c>
      <c r="G40" s="158"/>
      <c r="H40" s="32"/>
      <c r="I40" s="38"/>
      <c r="J40" s="38"/>
      <c r="K40" s="38"/>
      <c r="L40" s="38"/>
      <c r="M40" s="38"/>
      <c r="S40" s="32"/>
      <c r="V40" s="38"/>
      <c r="W40" s="38"/>
      <c r="AR40" s="209">
        <f>AX38*0.6</f>
        <v>0.41664000000000001</v>
      </c>
      <c r="AV40" s="209">
        <v>0.67</v>
      </c>
      <c r="AW40" s="209">
        <v>2.4</v>
      </c>
      <c r="AX40" s="38">
        <f>ROUND(8/(3*AX41),1)</f>
        <v>4</v>
      </c>
    </row>
    <row r="41" spans="1:68" ht="25" customHeight="1" thickBot="1">
      <c r="D41" s="53"/>
      <c r="F41" s="60"/>
      <c r="G41" s="60"/>
      <c r="I41" s="375" t="s">
        <v>1744</v>
      </c>
      <c r="J41" s="339"/>
      <c r="K41" s="373" t="s">
        <v>1767</v>
      </c>
      <c r="L41" s="339"/>
      <c r="M41" s="339"/>
      <c r="N41" s="380" t="s">
        <v>1396</v>
      </c>
      <c r="O41" s="339"/>
      <c r="P41" s="339"/>
      <c r="Q41" s="339"/>
      <c r="R41" s="339"/>
      <c r="S41" s="379" t="s">
        <v>1397</v>
      </c>
      <c r="T41" s="339"/>
      <c r="U41" s="373" t="s">
        <v>1767</v>
      </c>
      <c r="V41" s="339"/>
      <c r="W41" s="339"/>
      <c r="X41" s="376" t="s">
        <v>1398</v>
      </c>
      <c r="Y41" s="373" t="s">
        <v>1739</v>
      </c>
      <c r="Z41" s="339"/>
      <c r="AA41" s="373" t="s">
        <v>1766</v>
      </c>
      <c r="AB41" s="339"/>
      <c r="AC41" s="339"/>
      <c r="AD41" s="380" t="s">
        <v>1396</v>
      </c>
      <c r="AE41" s="339"/>
      <c r="AF41" s="339"/>
      <c r="AG41" s="339"/>
      <c r="AH41" s="339"/>
      <c r="AI41" s="379" t="s">
        <v>1397</v>
      </c>
      <c r="AJ41" s="339"/>
      <c r="AK41" s="373" t="s">
        <v>1766</v>
      </c>
      <c r="AL41" s="339"/>
      <c r="AM41" s="339"/>
      <c r="AN41" s="376" t="s">
        <v>1398</v>
      </c>
      <c r="AO41" s="374" t="s">
        <v>1743</v>
      </c>
      <c r="AP41" s="441"/>
      <c r="AQ41" s="353" t="s">
        <v>1762</v>
      </c>
      <c r="AR41" s="354" t="s">
        <v>422</v>
      </c>
      <c r="AS41" s="354">
        <v>1.33</v>
      </c>
      <c r="AT41" s="354">
        <v>1</v>
      </c>
      <c r="AU41" s="354">
        <v>0.8</v>
      </c>
      <c r="AV41" s="355">
        <v>1</v>
      </c>
      <c r="AW41" s="354">
        <v>1</v>
      </c>
      <c r="AX41" s="354">
        <v>0.67</v>
      </c>
      <c r="AY41" s="357" t="s">
        <v>393</v>
      </c>
      <c r="AZ41" s="357"/>
      <c r="BA41" s="356"/>
      <c r="BB41" s="356"/>
      <c r="BC41" s="357" t="s">
        <v>393</v>
      </c>
      <c r="BD41" s="357" t="s">
        <v>393</v>
      </c>
      <c r="BE41" s="357" t="s">
        <v>398</v>
      </c>
      <c r="BF41" s="357" t="s">
        <v>398</v>
      </c>
      <c r="BG41" s="358" t="s">
        <v>1771</v>
      </c>
      <c r="BH41" s="358" t="s">
        <v>1771</v>
      </c>
      <c r="BI41" s="358" t="s">
        <v>426</v>
      </c>
      <c r="BJ41" s="38"/>
      <c r="BK41" s="38"/>
      <c r="BL41" s="38"/>
    </row>
    <row r="42" spans="1:68" ht="17.5">
      <c r="I42" s="346" t="s">
        <v>0</v>
      </c>
      <c r="J42" s="359" t="s">
        <v>1399</v>
      </c>
      <c r="K42" s="359" t="s">
        <v>1400</v>
      </c>
      <c r="L42" s="359" t="s">
        <v>1401</v>
      </c>
      <c r="M42" s="359" t="s">
        <v>1402</v>
      </c>
      <c r="N42" s="377" t="s">
        <v>1557</v>
      </c>
      <c r="O42" s="359" t="s">
        <v>1728</v>
      </c>
      <c r="P42" s="359" t="s">
        <v>1404</v>
      </c>
      <c r="Q42" s="359" t="s">
        <v>1405</v>
      </c>
      <c r="R42" s="359" t="s">
        <v>1729</v>
      </c>
      <c r="S42" s="377" t="s">
        <v>1730</v>
      </c>
      <c r="T42" s="359" t="s">
        <v>1407</v>
      </c>
      <c r="U42" s="359" t="s">
        <v>1408</v>
      </c>
      <c r="V42" s="359" t="s">
        <v>1409</v>
      </c>
      <c r="W42" s="359" t="s">
        <v>1410</v>
      </c>
      <c r="X42" s="377" t="s">
        <v>1558</v>
      </c>
      <c r="Y42" s="360" t="s">
        <v>1411</v>
      </c>
      <c r="Z42" s="359" t="s">
        <v>1399</v>
      </c>
      <c r="AA42" s="359" t="s">
        <v>1400</v>
      </c>
      <c r="AB42" s="359" t="s">
        <v>1401</v>
      </c>
      <c r="AC42" s="359" t="s">
        <v>1402</v>
      </c>
      <c r="AD42" s="377" t="s">
        <v>1557</v>
      </c>
      <c r="AE42" s="359" t="s">
        <v>1728</v>
      </c>
      <c r="AF42" s="359" t="s">
        <v>1404</v>
      </c>
      <c r="AG42" s="359" t="s">
        <v>1405</v>
      </c>
      <c r="AH42" s="359" t="s">
        <v>1729</v>
      </c>
      <c r="AI42" s="377" t="s">
        <v>1730</v>
      </c>
      <c r="AJ42" s="359" t="s">
        <v>1407</v>
      </c>
      <c r="AK42" s="359" t="s">
        <v>1408</v>
      </c>
      <c r="AL42" s="359" t="s">
        <v>1409</v>
      </c>
      <c r="AM42" s="359" t="s">
        <v>1410</v>
      </c>
      <c r="AN42" s="377" t="s">
        <v>1558</v>
      </c>
      <c r="AO42" s="360" t="s">
        <v>1411</v>
      </c>
      <c r="AP42" s="346" t="s">
        <v>507</v>
      </c>
      <c r="AQ42" s="361" t="s">
        <v>410</v>
      </c>
      <c r="AR42" s="359" t="s">
        <v>411</v>
      </c>
      <c r="AS42" s="359" t="s">
        <v>1763</v>
      </c>
      <c r="AT42" s="359" t="s">
        <v>1764</v>
      </c>
      <c r="AU42" s="359" t="s">
        <v>1765</v>
      </c>
      <c r="AV42" s="360" t="str">
        <f>"民71年(γZKC, K=" &amp; AV41 &amp; ")"</f>
        <v>民71年(γZKC, K=1)</v>
      </c>
      <c r="AW42" s="359" t="str">
        <f xml:space="preserve"> "Sa(民86年以前)"</f>
        <v>Sa(民86年以前)</v>
      </c>
      <c r="AX42" s="359" t="str">
        <f xml:space="preserve"> "Sa(71~86年)"</f>
        <v>Sa(71~86年)</v>
      </c>
      <c r="AY42" s="361" t="s">
        <v>412</v>
      </c>
      <c r="AZ42" s="359" t="s">
        <v>411</v>
      </c>
      <c r="BA42" s="359" t="s">
        <v>421</v>
      </c>
      <c r="BB42" s="359" t="s">
        <v>420</v>
      </c>
      <c r="BC42" s="359" t="s">
        <v>1795</v>
      </c>
      <c r="BD42" s="359" t="s">
        <v>1413</v>
      </c>
      <c r="BE42" s="359" t="s">
        <v>1770</v>
      </c>
      <c r="BF42" s="359" t="s">
        <v>1413</v>
      </c>
      <c r="BG42" s="359" t="s">
        <v>1777</v>
      </c>
      <c r="BH42" s="359" t="s">
        <v>1778</v>
      </c>
      <c r="BI42" s="360" t="s">
        <v>1413</v>
      </c>
      <c r="BJ42" s="38" t="s">
        <v>1</v>
      </c>
      <c r="BK42" s="38" t="s">
        <v>0</v>
      </c>
      <c r="BL42" s="38" t="s">
        <v>1412</v>
      </c>
    </row>
    <row r="43" spans="1:68" ht="16">
      <c r="I43" s="344">
        <v>1E-3</v>
      </c>
      <c r="J43" s="63">
        <f t="shared" ref="J43:J94" ca="1" si="0">ROUND(IF($I43&gt;=D$17,D$12,IF($I43&gt;=F$17,D$13+(D$12-D$13)*($I43-0.6*D$17)/0.4/D$17,IF($I43&lt;E$17,D$13+(D$13-1)*($I43-E$17)/E$17,D$13))),3)</f>
        <v>1.004</v>
      </c>
      <c r="K43" s="63">
        <f t="shared" ref="K43:K94" ca="1" si="1">IF($I43&lt;E$17,ROUND(B$17*(0.4+3*$I43/D$17),3),IF($I43&lt;=D$17,B$17,IF($I43&lt;=2.5*D$17,C$17/$I43,0.4*B$17)))</f>
        <v>0.39300000000000002</v>
      </c>
      <c r="L43" s="63">
        <f t="shared" ref="L43:L102" ca="1" si="2">ROUND(K43/J43,4)</f>
        <v>0.39140000000000003</v>
      </c>
      <c r="M43" s="63">
        <f t="shared" ref="M43:M102" ca="1" si="3">IF(L43&lt;=0.3,L43,IF(L43&lt;0.8,ROUND(0.52*L43+0.144,3),0.7*L43))</f>
        <v>0.34799999999999998</v>
      </c>
      <c r="N43" s="81">
        <f t="shared" ref="N43:N81" ca="1" si="4">ROUND(B$13*M43/1.4/B$14,3)</f>
        <v>0.249</v>
      </c>
      <c r="O43" s="60">
        <f t="shared" ref="O43:O81" ca="1" si="5">ROUND(IF($I43&gt;=D$19,D$12,IF($I43&gt;=F$19,D$13+(D$12-D$13)*($I43-0.6*D$19)/0.4/D$19,IF($I43&lt;E$19,D$13+(D$13-1)*($I43-E$19)/E$19,D$13))),3)</f>
        <v>1.004</v>
      </c>
      <c r="P43" s="60">
        <f t="shared" ref="P43:P81" ca="1" si="6">IF($I43&lt;E$19,ROUND(B$19*(0.4+3*$I43/D$19),3),IF($I43&lt;=D$19,B$19,IF($I43&lt;=2.5*D$19,C$19/$I43,0.4*B$19)))</f>
        <v>0.32300000000000001</v>
      </c>
      <c r="Q43" s="60">
        <f t="shared" ref="Q43:Q102" ca="1" si="7">ROUND(P43/O43,4)</f>
        <v>0.32169999999999999</v>
      </c>
      <c r="R43" s="60">
        <f t="shared" ref="R43:R102" ca="1" si="8">IF(Q43&lt;=0.3,Q43,IF(Q43&lt;0.8,ROUND(0.52*Q43+0.144,3),0.7*Q43))</f>
        <v>0.311</v>
      </c>
      <c r="S43" s="81">
        <f t="shared" ref="S43:S81" ca="1" si="9">ROUND(B$13*O43*R43/4.2/B$14,3)</f>
        <v>7.3999999999999996E-2</v>
      </c>
      <c r="T43" s="60">
        <f t="shared" ref="T43:T81" ca="1" si="10">ROUND(IF($I43&gt;=D$21,B$12,IF($I43&gt;=F$21,D$14+(B$12-D$14)*($I43-0.6*D$21)/0.4/D$21,IF($I43&lt;E$21,D$14+(D$14-1)*($I43-E$21)/E$21,D$14))),3)</f>
        <v>1.0049999999999999</v>
      </c>
      <c r="U43" s="60">
        <f t="shared" ref="U43:U81" ca="1" si="11">IF($I43&lt;E$21,ROUND(B$21*(0.4+3*$I43/D$21),3),IF($I43&lt;=D$21,B$21,IF($I43&lt;=2.5*D$21,C$21/$I43,0.4*B$21)))</f>
        <v>0.502</v>
      </c>
      <c r="V43" s="60">
        <f t="shared" ref="V43:V102" ca="1" si="12">ROUND(U43/T43,4)</f>
        <v>0.4995</v>
      </c>
      <c r="W43" s="60">
        <f t="shared" ref="W43:W102" ca="1" si="13">IF(V43&lt;=0.3,V43,IF(V43&lt;0.8,ROUND(0.52*V43+0.144,3),0.7*V43))</f>
        <v>0.40400000000000003</v>
      </c>
      <c r="X43" s="81">
        <f t="shared" ref="X43:X81" ca="1" si="14">ROUND(B$13*W43/1.4/B$14,3)</f>
        <v>0.28899999999999998</v>
      </c>
      <c r="Y43" s="333">
        <f ca="1">MAX(X43,S43,N43)</f>
        <v>0.28899999999999998</v>
      </c>
      <c r="Z43" s="63">
        <f ca="1">ROUND(IF($I43&gt;=K$17,D$12,IF($I43&gt;=M$17,D$13+(D$12-D$13)*($I43-0.6*K$17)/0.4/K$17,IF($I43&lt;L$17,D$13+(D$13-1)*($I43-L$17)/L$17,D$13))),3)</f>
        <v>1.0049999999999999</v>
      </c>
      <c r="AA43" s="63">
        <f ca="1">IF($I43&lt;L$17,ROUND(I$17*(0.4+3*$I43/K$17),3),IF($I43&lt;=K$17,I$17,IF($I43&lt;=2.5*K$17,J$17/$I43,0.4*I$17)))</f>
        <v>0.32400000000000001</v>
      </c>
      <c r="AB43" s="63">
        <f t="shared" ref="AB43:AB45" ca="1" si="15">ROUND(AA43/Z43,4)</f>
        <v>0.32240000000000002</v>
      </c>
      <c r="AC43" s="63">
        <f t="shared" ref="AC43:AC45" ca="1" si="16">IF(AB43&lt;=0.3,AB43,IF(AB43&lt;0.8,ROUND(0.52*AB43+0.144,3),0.7*AB43))</f>
        <v>0.312</v>
      </c>
      <c r="AD43" s="81">
        <f ca="1">ROUND(B$13*AC43/1.4/B$14,3)</f>
        <v>0.223</v>
      </c>
      <c r="AE43" s="60">
        <f ca="1">ROUND(IF($I43&gt;=K$19,D$12,IF($I43&gt;=M$19,D$13+(D$12-D$13)*($I43-0.6*K$19)/0.4/K$19,IF($I43&lt;L$19,D$13+(D$13-1)*($I43-L$19)/L$19,D$13))),3)</f>
        <v>1.0049999999999999</v>
      </c>
      <c r="AF43" s="60">
        <f ca="1">IF($I43&lt;L$19,ROUND(I$19*(0.4+3*$I43/K$19),3),IF($I43&lt;=K$19,I$19,IF($I43&lt;=2.5*K$19,J$19/$I43,0.4*I$19)))</f>
        <v>0.32400000000000001</v>
      </c>
      <c r="AG43" s="60">
        <f t="shared" ref="AG43:AG45" ca="1" si="17">ROUND(AF43/AE43,4)</f>
        <v>0.32240000000000002</v>
      </c>
      <c r="AH43" s="60">
        <f t="shared" ref="AH43:AH45" ca="1" si="18">IF(AG43&lt;=0.3,AG43,IF(AG43&lt;0.8,ROUND(0.52*AG43+0.144,3),0.7*AG43))</f>
        <v>0.312</v>
      </c>
      <c r="AI43" s="81">
        <f ca="1">ROUND(B$13*AE43*AH43/4.2/B$14,3)</f>
        <v>7.4999999999999997E-2</v>
      </c>
      <c r="AJ43" s="60">
        <f ca="1">ROUND(IF($I43&gt;=K$21,B$12,IF($I43&gt;=M$21,D$14+(B$12-D$14)*($I43-0.6*K$21)/0.4/K$21,IF($I43&lt;L$21,D$14+(D$14-1)*($I43-L$21)/L$21,D$14))),3)</f>
        <v>1.008</v>
      </c>
      <c r="AK43" s="60">
        <f ca="1">IF($I43&lt;L$21,ROUND(I$21*(0.4+3*$I43/K$21),3),IF($I43&lt;=K$21,I$21,IF($I43&lt;=2.5*K$21,J$21/$I43,0.4*I$21)))</f>
        <v>0.40500000000000003</v>
      </c>
      <c r="AL43" s="60">
        <f t="shared" ref="AL43:AL45" ca="1" si="19">ROUND(AK43/AJ43,4)</f>
        <v>0.40179999999999999</v>
      </c>
      <c r="AM43" s="60">
        <f t="shared" ref="AM43:AM45" ca="1" si="20">IF(AL43&lt;=0.3,AL43,IF(AL43&lt;0.8,ROUND(0.52*AL43+0.144,3),0.7*AL43))</f>
        <v>0.35299999999999998</v>
      </c>
      <c r="AN43" s="81">
        <f ca="1">ROUND(B$13*AM43/1.4/B$14,3)</f>
        <v>0.252</v>
      </c>
      <c r="AO43" s="333">
        <f ca="1">MAX(AN43,AI43,AD43)</f>
        <v>0.252</v>
      </c>
      <c r="AP43" s="344">
        <f t="shared" ref="AP43:AP74" si="21">ROUND(IF($I43&gt;=AX$38,D$13,IF($I43&lt;AX$39,D$13+(D$13-1)*($I43-AX$39)/AX$39,D$13)),3)</f>
        <v>1.0049999999999999</v>
      </c>
      <c r="AQ43" s="340">
        <f t="shared" ref="AQ43:AQ81" si="22">1/8/I43^0.5</f>
        <v>3.9528470752104745</v>
      </c>
      <c r="AR43" s="58">
        <f>IF(AQ43&gt;0.15,0.15,IF(AQ43&lt;0.0625,0.0625,AQ43))</f>
        <v>0.15</v>
      </c>
      <c r="AS43" s="58">
        <f t="shared" ref="AS43:AV68" si="23">$Q$5*AS$41*$Q$15*$AR43*$AH$6</f>
        <v>0.27979875000000004</v>
      </c>
      <c r="AT43" s="58">
        <f t="shared" si="23"/>
        <v>0.21037500000000001</v>
      </c>
      <c r="AU43" s="58">
        <f t="shared" si="23"/>
        <v>0.16830000000000001</v>
      </c>
      <c r="AV43" s="58">
        <f t="shared" si="23"/>
        <v>0.21037500000000001</v>
      </c>
      <c r="AW43" s="58">
        <f>$AH$6*$Q$5*AW$41*$AR43*1.4*AW$40</f>
        <v>0.70685999999999993</v>
      </c>
      <c r="AX43" s="58">
        <f t="shared" ref="AX43:AX65" si="24">IF(I43&lt;=AX$39,$AH$6*$Q$5*AX$41*$AR43*1.4*AX$40*(0.4+3*I43/AX$38),$AH$6*$Q$5*AX$41*$AR43*1.4*AX$40)</f>
        <v>0.31914091088709684</v>
      </c>
      <c r="AY43" s="340">
        <f t="shared" ref="AY43:AY74" si="25">IF(I43&gt;0.611,$T$12,IF(I43&gt;0.406,AE$5+($T$12-AE$5)*(I43-0.406)/0.205,IF(I43&gt;0.2,AE$5,IF(I43&gt;0.03,AE$5+(AE$5-1)*(I43-0.2)/0.17,1))))</f>
        <v>1</v>
      </c>
      <c r="AZ43" s="58">
        <f t="shared" ref="AZ43:AZ74" si="26">IF(I43&lt;=S$17,1,IF(I43&lt;T$17,X$17*I43+Y$17,IF(I43&lt;U$17,Z$17,IF(I43&lt;V$17,AA$17/I43^(AB$17),1))))</f>
        <v>1</v>
      </c>
      <c r="BA43" s="58">
        <f t="shared" ref="BA43:BA102" si="27">AZ43/AY43</f>
        <v>1</v>
      </c>
      <c r="BB43" s="58">
        <f>IF(BA43&gt;1,1,BA43)</f>
        <v>1</v>
      </c>
      <c r="BC43" s="58">
        <f t="shared" ref="BC43:BC74" si="28">AZ43*T$5</f>
        <v>0.33</v>
      </c>
      <c r="BD43" s="58">
        <f>$T$5*$T$11*BB43/1.4/$T$6*$AH$6</f>
        <v>0.2203928571428572</v>
      </c>
      <c r="BE43" s="58">
        <f t="shared" ref="BE43:BE74" si="29">AZ43*AD$5</f>
        <v>0.33</v>
      </c>
      <c r="BF43" s="58">
        <f>$V$5*$V$11*BB43/1.4/$V$6*$AH$6</f>
        <v>0.2203928571428572</v>
      </c>
      <c r="BG43" s="58">
        <f t="shared" ref="BG43:BG74" ca="1" si="30">AA43</f>
        <v>0.32400000000000001</v>
      </c>
      <c r="BH43" s="58">
        <f t="shared" ref="BH43:BH74" ca="1" si="31">AK43</f>
        <v>0.40500000000000003</v>
      </c>
      <c r="BI43" s="341">
        <f t="shared" ref="BI43:BI74" ca="1" si="32">AO43/1.5*$AH$6</f>
        <v>0.23562000000000002</v>
      </c>
      <c r="BJ43" s="64">
        <f t="shared" ref="BJ43:BJ74" ca="1" si="33">Y43/B$13*1.4</f>
        <v>0.40459999999999996</v>
      </c>
      <c r="BK43" s="63">
        <f t="shared" ref="BK43:BK74" si="34">I43</f>
        <v>1E-3</v>
      </c>
      <c r="BL43" s="209">
        <f t="shared" ref="BL43:BL74" ca="1" si="35">BJ43*U$39</f>
        <v>396.91259999999994</v>
      </c>
    </row>
    <row r="44" spans="1:68" ht="16">
      <c r="I44" s="344">
        <v>0.03</v>
      </c>
      <c r="J44" s="63">
        <f t="shared" ref="J44" ca="1" si="36">ROUND(IF($I44&gt;=D$17,D$12,IF($I44&gt;=F$17,D$13+(D$12-D$13)*($I44-0.6*D$17)/0.4/D$17,IF($I44&lt;E$17,D$13+(D$13-1)*($I44-E$17)/E$17,D$13))),3)</f>
        <v>1.119</v>
      </c>
      <c r="K44" s="63">
        <f t="shared" ref="K44" ca="1" si="37">IF($I44&lt;E$17,ROUND(B$17*(0.4+3*$I44/D$17),3),IF($I44&lt;=D$17,B$17,IF($I44&lt;=2.5*D$17,C$17/$I44,0.4*B$17)))</f>
        <v>0.49</v>
      </c>
      <c r="L44" s="63">
        <f t="shared" ref="L44" ca="1" si="38">ROUND(K44/J44,4)</f>
        <v>0.43790000000000001</v>
      </c>
      <c r="M44" s="63">
        <f t="shared" ref="M44" ca="1" si="39">IF(L44&lt;=0.3,L44,IF(L44&lt;0.8,ROUND(0.52*L44+0.144,3),0.7*L44))</f>
        <v>0.372</v>
      </c>
      <c r="N44" s="81">
        <f t="shared" ref="N44" ca="1" si="40">ROUND(B$13*M44/1.4/B$14,3)</f>
        <v>0.26600000000000001</v>
      </c>
      <c r="O44" s="60">
        <f t="shared" ref="O44" ca="1" si="41">ROUND(IF($I44&gt;=D$19,D$12,IF($I44&gt;=F$19,D$13+(D$12-D$13)*($I44-0.6*D$19)/0.4/D$19,IF($I44&lt;E$19,D$13+(D$13-1)*($I44-E$19)/E$19,D$13))),3)</f>
        <v>1.123</v>
      </c>
      <c r="P44" s="60">
        <f t="shared" ref="P44" ca="1" si="42">IF($I44&lt;E$19,ROUND(B$19*(0.4+3*$I44/D$19),3),IF($I44&lt;=D$19,B$19,IF($I44&lt;=2.5*D$19,C$19/$I44,0.4*B$19)))</f>
        <v>0.40500000000000003</v>
      </c>
      <c r="Q44" s="60">
        <f t="shared" ref="Q44" ca="1" si="43">ROUND(P44/O44,4)</f>
        <v>0.36059999999999998</v>
      </c>
      <c r="R44" s="60">
        <f t="shared" ref="R44" ca="1" si="44">IF(Q44&lt;=0.3,Q44,IF(Q44&lt;0.8,ROUND(0.52*Q44+0.144,3),0.7*Q44))</f>
        <v>0.33200000000000002</v>
      </c>
      <c r="S44" s="81">
        <f t="shared" ref="S44" ca="1" si="45">ROUND(B$13*O44*R44/4.2/B$14,3)</f>
        <v>8.8999999999999996E-2</v>
      </c>
      <c r="T44" s="60">
        <f t="shared" ref="T44" ca="1" si="46">ROUND(IF($I44&gt;=D$21,B$12,IF($I44&gt;=F$21,D$14+(B$12-D$14)*($I44-0.6*D$21)/0.4/D$21,IF($I44&lt;E$21,D$14+(D$14-1)*($I44-E$21)/E$21,D$14))),3)</f>
        <v>1.153</v>
      </c>
      <c r="U44" s="60">
        <f t="shared" ref="U44" ca="1" si="47">IF($I44&lt;E$21,ROUND(B$21*(0.4+3*$I44/D$21),3),IF($I44&lt;=D$21,B$21,IF($I44&lt;=2.5*D$21,C$21/$I44,0.4*B$21)))</f>
        <v>0.61899999999999999</v>
      </c>
      <c r="V44" s="60">
        <f t="shared" ref="V44" ca="1" si="48">ROUND(U44/T44,4)</f>
        <v>0.53690000000000004</v>
      </c>
      <c r="W44" s="60">
        <f t="shared" ref="W44" ca="1" si="49">IF(V44&lt;=0.3,V44,IF(V44&lt;0.8,ROUND(0.52*V44+0.144,3),0.7*V44))</f>
        <v>0.42299999999999999</v>
      </c>
      <c r="X44" s="81">
        <f t="shared" ref="X44" ca="1" si="50">ROUND(B$13*W44/1.4/B$14,3)</f>
        <v>0.30199999999999999</v>
      </c>
      <c r="Y44" s="333">
        <f ca="1">MAX(X44,S44,N44)</f>
        <v>0.30199999999999999</v>
      </c>
      <c r="Z44" s="63">
        <f ca="1">ROUND(IF($I44&gt;=K$17,D$12,IF($I44&gt;=M$17,D$13+(D$12-D$13)*($I44-0.6*K$17)/0.4/K$17,IF($I44&lt;L$17,D$13+(D$13-1)*($I44-L$17)/L$17,D$13))),3)</f>
        <v>1.1539999999999999</v>
      </c>
      <c r="AA44" s="63">
        <f ca="1">IF($I44&lt;L$17,ROUND(I$17*(0.4+3*$I44/K$17),3),IF($I44&lt;=K$17,I$17,IF($I44&lt;=2.5*K$17,J$17/$I44,0.4*I$17)))</f>
        <v>0.42699999999999999</v>
      </c>
      <c r="AB44" s="63">
        <f t="shared" ref="AB44" ca="1" si="51">ROUND(AA44/Z44,4)</f>
        <v>0.37</v>
      </c>
      <c r="AC44" s="63">
        <f t="shared" ref="AC44" ca="1" si="52">IF(AB44&lt;=0.3,AB44,IF(AB44&lt;0.8,ROUND(0.52*AB44+0.144,3),0.7*AB44))</f>
        <v>0.33600000000000002</v>
      </c>
      <c r="AD44" s="81">
        <f ca="1">ROUND(B$13*AC44/1.4/B$14,3)</f>
        <v>0.24</v>
      </c>
      <c r="AE44" s="60">
        <f ca="1">ROUND(IF($I44&gt;=K$19,D$12,IF($I44&gt;=M$19,D$13+(D$12-D$13)*($I44-0.6*K$19)/0.4/K$19,IF($I44&lt;L$19,D$13+(D$13-1)*($I44-L$19)/L$19,D$13))),3)</f>
        <v>1.1539999999999999</v>
      </c>
      <c r="AF44" s="60">
        <f ca="1">IF($I44&lt;L$19,ROUND(I$19*(0.4+3*$I44/K$19),3),IF($I44&lt;=K$19,I$19,IF($I44&lt;=2.5*K$19,J$19/$I44,0.4*I$19)))</f>
        <v>0.42699999999999999</v>
      </c>
      <c r="AG44" s="60">
        <f t="shared" ref="AG44" ca="1" si="53">ROUND(AF44/AE44,4)</f>
        <v>0.37</v>
      </c>
      <c r="AH44" s="60">
        <f t="shared" ref="AH44" ca="1" si="54">IF(AG44&lt;=0.3,AG44,IF(AG44&lt;0.8,ROUND(0.52*AG44+0.144,3),0.7*AG44))</f>
        <v>0.33600000000000002</v>
      </c>
      <c r="AI44" s="81">
        <f ca="1">ROUND(B$13*AE44*AH44/4.2/B$14,3)</f>
        <v>9.1999999999999998E-2</v>
      </c>
      <c r="AJ44" s="60">
        <f ca="1">ROUND(IF($I44&gt;=K$21,B$12,IF($I44&gt;=M$21,D$14+(B$12-D$14)*($I44-0.6*K$21)/0.4/K$21,IF($I44&lt;L$21,D$14+(D$14-1)*($I44-L$21)/L$21,D$14))),3)</f>
        <v>1.2350000000000001</v>
      </c>
      <c r="AK44" s="60">
        <f ca="1">IF($I44&lt;L$21,ROUND(I$21*(0.4+3*$I44/K$21),3),IF($I44&lt;=K$21,I$21,IF($I44&lt;=2.5*K$21,J$21/$I44,0.4*I$21)))</f>
        <v>0.54900000000000004</v>
      </c>
      <c r="AL44" s="60">
        <f t="shared" ref="AL44" ca="1" si="55">ROUND(AK44/AJ44,4)</f>
        <v>0.44450000000000001</v>
      </c>
      <c r="AM44" s="60">
        <f t="shared" ref="AM44" ca="1" si="56">IF(AL44&lt;=0.3,AL44,IF(AL44&lt;0.8,ROUND(0.52*AL44+0.144,3),0.7*AL44))</f>
        <v>0.375</v>
      </c>
      <c r="AN44" s="81">
        <f ca="1">ROUND(B$13*AM44/1.4/B$14,3)</f>
        <v>0.26800000000000002</v>
      </c>
      <c r="AO44" s="333">
        <f ca="1">MAX(AN44,AI44,AD44)</f>
        <v>0.26800000000000002</v>
      </c>
      <c r="AP44" s="344">
        <f t="shared" si="21"/>
        <v>1.1499999999999999</v>
      </c>
      <c r="AQ44" s="340">
        <f t="shared" ref="AQ44" si="57">1/8/I44^0.5</f>
        <v>0.72168783648703216</v>
      </c>
      <c r="AR44" s="58">
        <f>IF(AQ44&gt;0.15,0.15,IF(AQ44&lt;0.0625,0.0625,AQ44))</f>
        <v>0.15</v>
      </c>
      <c r="AS44" s="58">
        <f t="shared" si="23"/>
        <v>0.27979875000000004</v>
      </c>
      <c r="AT44" s="58">
        <f t="shared" si="23"/>
        <v>0.21037500000000001</v>
      </c>
      <c r="AU44" s="58">
        <f t="shared" si="23"/>
        <v>0.16830000000000001</v>
      </c>
      <c r="AV44" s="58">
        <f t="shared" si="23"/>
        <v>0.21037500000000001</v>
      </c>
      <c r="AW44" s="58">
        <f t="shared" ref="AW44:AW107" si="58">$AH$6*$Q$5*AW$41*$AR44*1.4*AW$40</f>
        <v>0.70685999999999993</v>
      </c>
      <c r="AX44" s="58">
        <f t="shared" si="24"/>
        <v>0.41803412661290329</v>
      </c>
      <c r="AY44" s="340">
        <f t="shared" si="25"/>
        <v>1</v>
      </c>
      <c r="AZ44" s="58">
        <f t="shared" si="26"/>
        <v>1</v>
      </c>
      <c r="BA44" s="58">
        <f t="shared" ref="BA44" si="59">AZ44/AY44</f>
        <v>1</v>
      </c>
      <c r="BB44" s="58">
        <f>IF(BA44&gt;1,1,BA44)</f>
        <v>1</v>
      </c>
      <c r="BC44" s="58">
        <f t="shared" si="28"/>
        <v>0.33</v>
      </c>
      <c r="BD44" s="58">
        <f t="shared" ref="BD44:BD102" si="60">$T$5*$T$11*BB44/1.4/$T$6*$AH$6</f>
        <v>0.2203928571428572</v>
      </c>
      <c r="BE44" s="58">
        <f t="shared" si="29"/>
        <v>0.33</v>
      </c>
      <c r="BF44" s="58">
        <f t="shared" ref="BF44:BF102" si="61">$V$5*$V$11*BB44/1.4/$V$6*$AH$6</f>
        <v>0.2203928571428572</v>
      </c>
      <c r="BG44" s="58">
        <f t="shared" ca="1" si="30"/>
        <v>0.42699999999999999</v>
      </c>
      <c r="BH44" s="58">
        <f t="shared" ca="1" si="31"/>
        <v>0.54900000000000004</v>
      </c>
      <c r="BI44" s="341">
        <f t="shared" ca="1" si="32"/>
        <v>0.25058000000000002</v>
      </c>
      <c r="BJ44" s="64">
        <f t="shared" ca="1" si="33"/>
        <v>0.42279999999999995</v>
      </c>
      <c r="BK44" s="63">
        <f t="shared" si="34"/>
        <v>0.03</v>
      </c>
      <c r="BL44" s="209">
        <f t="shared" ca="1" si="35"/>
        <v>414.76679999999993</v>
      </c>
    </row>
    <row r="45" spans="1:68" ht="16">
      <c r="I45" s="344">
        <v>8.9300000000000004E-2</v>
      </c>
      <c r="J45" s="63">
        <f t="shared" ca="1" si="0"/>
        <v>1.3540000000000001</v>
      </c>
      <c r="K45" s="63">
        <f t="shared" ca="1" si="1"/>
        <v>0.68899999999999995</v>
      </c>
      <c r="L45" s="63">
        <f t="shared" ca="1" si="2"/>
        <v>0.50890000000000002</v>
      </c>
      <c r="M45" s="63">
        <f t="shared" ca="1" si="3"/>
        <v>0.40899999999999997</v>
      </c>
      <c r="N45" s="81">
        <f t="shared" ca="1" si="4"/>
        <v>0.29199999999999998</v>
      </c>
      <c r="O45" s="60">
        <f t="shared" ca="1" si="5"/>
        <v>1.367</v>
      </c>
      <c r="P45" s="60">
        <f t="shared" ca="1" si="6"/>
        <v>0.57399999999999995</v>
      </c>
      <c r="Q45" s="60">
        <f t="shared" ca="1" si="7"/>
        <v>0.4199</v>
      </c>
      <c r="R45" s="60">
        <f t="shared" ca="1" si="8"/>
        <v>0.36199999999999999</v>
      </c>
      <c r="S45" s="81">
        <f t="shared" ca="1" si="9"/>
        <v>0.11799999999999999</v>
      </c>
      <c r="T45" s="60">
        <f t="shared" ca="1" si="10"/>
        <v>1.456</v>
      </c>
      <c r="U45" s="60">
        <f t="shared" ca="1" si="11"/>
        <v>0.85699999999999998</v>
      </c>
      <c r="V45" s="60">
        <f t="shared" ca="1" si="12"/>
        <v>0.58860000000000001</v>
      </c>
      <c r="W45" s="60">
        <f t="shared" ca="1" si="13"/>
        <v>0.45</v>
      </c>
      <c r="X45" s="81">
        <f t="shared" ca="1" si="14"/>
        <v>0.32100000000000001</v>
      </c>
      <c r="Y45" s="333">
        <f t="shared" ref="Y45:Y102" ca="1" si="62">MAX(X45,S45,N45)</f>
        <v>0.32100000000000001</v>
      </c>
      <c r="Z45" s="63">
        <f t="shared" ref="Z45:Z102" ca="1" si="63">ROUND(IF($I45&gt;=K$17,D$12,IF($I45&gt;=M$17,D$13+(D$12-D$13)*($I45-0.6*K$17)/0.4/K$17,IF($I45&lt;L$17,D$13+(D$13-1)*($I45-L$17)/L$17,D$13))),3)</f>
        <v>1.458</v>
      </c>
      <c r="AA45" s="63">
        <f t="shared" ref="AA45:AA102" ca="1" si="64">IF($I45&lt;L$17,ROUND(I$17*(0.4+3*$I45/K$17),3),IF($I45&lt;=K$17,I$17,IF($I45&lt;=2.5*K$17,J$17/$I45,0.4*I$17)))</f>
        <v>0.63800000000000001</v>
      </c>
      <c r="AB45" s="63">
        <f t="shared" ca="1" si="15"/>
        <v>0.43759999999999999</v>
      </c>
      <c r="AC45" s="63">
        <f t="shared" ca="1" si="16"/>
        <v>0.372</v>
      </c>
      <c r="AD45" s="81">
        <f t="shared" ref="AD45:AD102" ca="1" si="65">ROUND(B$13*AC45/1.4/B$14,3)</f>
        <v>0.26600000000000001</v>
      </c>
      <c r="AE45" s="60">
        <f t="shared" ref="AE45:AE102" ca="1" si="66">ROUND(IF($I45&gt;=K$19,D$12,IF($I45&gt;=M$19,D$13+(D$12-D$13)*($I45-0.6*K$19)/0.4/K$19,IF($I45&lt;L$19,D$13+(D$13-1)*($I45-L$19)/L$19,D$13))),3)</f>
        <v>1.458</v>
      </c>
      <c r="AF45" s="60">
        <f t="shared" ref="AF45:AF102" ca="1" si="67">IF($I45&lt;L$19,ROUND(I$19*(0.4+3*$I45/K$19),3),IF($I45&lt;=K$19,I$19,IF($I45&lt;=2.5*K$19,J$19/$I45,0.4*I$19)))</f>
        <v>0.63800000000000001</v>
      </c>
      <c r="AG45" s="60">
        <f t="shared" ca="1" si="17"/>
        <v>0.43759999999999999</v>
      </c>
      <c r="AH45" s="60">
        <f t="shared" ca="1" si="18"/>
        <v>0.372</v>
      </c>
      <c r="AI45" s="81">
        <f t="shared" ref="AI45:AI102" ca="1" si="68">ROUND(B$13*AE45*AH45/4.2/B$14,3)</f>
        <v>0.129</v>
      </c>
      <c r="AJ45" s="60">
        <f t="shared" ref="AJ45:AJ102" ca="1" si="69">ROUND(IF($I45&gt;=K$21,B$12,IF($I45&gt;=M$21,D$14+(B$12-D$14)*($I45-0.6*K$21)/0.4/K$21,IF($I45&lt;L$21,D$14+(D$14-1)*($I45-L$21)/L$21,D$14))),3)</f>
        <v>1.7010000000000001</v>
      </c>
      <c r="AK45" s="60">
        <f t="shared" ref="AK45:AK102" ca="1" si="70">IF($I45&lt;L$21,ROUND(I$21*(0.4+3*$I45/K$21),3),IF($I45&lt;=K$21,I$21,IF($I45&lt;=2.5*K$21,J$21/$I45,0.4*I$21)))</f>
        <v>0.84299999999999997</v>
      </c>
      <c r="AL45" s="60">
        <f t="shared" ca="1" si="19"/>
        <v>0.49559999999999998</v>
      </c>
      <c r="AM45" s="60">
        <f t="shared" ca="1" si="20"/>
        <v>0.40200000000000002</v>
      </c>
      <c r="AN45" s="81">
        <f t="shared" ref="AN45:AN102" ca="1" si="71">ROUND(B$13*AM45/1.4/B$14,3)</f>
        <v>0.28699999999999998</v>
      </c>
      <c r="AO45" s="333">
        <f t="shared" ref="AO45" ca="1" si="72">MAX(AN45,AI45,AD45)</f>
        <v>0.28699999999999998</v>
      </c>
      <c r="AP45" s="344">
        <f t="shared" si="21"/>
        <v>1.446</v>
      </c>
      <c r="AQ45" s="340">
        <f t="shared" si="22"/>
        <v>0.41829655088140916</v>
      </c>
      <c r="AR45" s="58">
        <f t="shared" ref="AR45:AR102" si="73">IF(AQ45&gt;0.15,0.15,IF(AQ45&lt;0.0625,0.0625,AQ45))</f>
        <v>0.15</v>
      </c>
      <c r="AS45" s="58">
        <f t="shared" si="23"/>
        <v>0.27979875000000004</v>
      </c>
      <c r="AT45" s="58">
        <f t="shared" si="23"/>
        <v>0.21037500000000001</v>
      </c>
      <c r="AU45" s="58">
        <f t="shared" si="23"/>
        <v>0.16830000000000001</v>
      </c>
      <c r="AV45" s="58">
        <f t="shared" si="23"/>
        <v>0.21037500000000001</v>
      </c>
      <c r="AW45" s="58">
        <f t="shared" si="58"/>
        <v>0.70685999999999993</v>
      </c>
      <c r="AX45" s="58">
        <f t="shared" si="24"/>
        <v>0.62025370221774201</v>
      </c>
      <c r="AY45" s="340">
        <f t="shared" si="25"/>
        <v>1.1915715586590585</v>
      </c>
      <c r="AZ45" s="58">
        <f t="shared" si="26"/>
        <v>1.5231832000000001</v>
      </c>
      <c r="BA45" s="58">
        <f t="shared" si="27"/>
        <v>1.2782977144185301</v>
      </c>
      <c r="BB45" s="58">
        <f t="shared" ref="BB45:BB102" si="74">IF(BA45&gt;1,1,BA45)</f>
        <v>1</v>
      </c>
      <c r="BC45" s="58">
        <f t="shared" si="28"/>
        <v>0.50265045600000002</v>
      </c>
      <c r="BD45" s="58">
        <f t="shared" si="60"/>
        <v>0.2203928571428572</v>
      </c>
      <c r="BE45" s="58">
        <f t="shared" si="29"/>
        <v>0.50265045600000002</v>
      </c>
      <c r="BF45" s="58">
        <f t="shared" si="61"/>
        <v>0.2203928571428572</v>
      </c>
      <c r="BG45" s="58">
        <f t="shared" ca="1" si="30"/>
        <v>0.63800000000000001</v>
      </c>
      <c r="BH45" s="58">
        <f t="shared" ca="1" si="31"/>
        <v>0.84299999999999997</v>
      </c>
      <c r="BI45" s="341">
        <f t="shared" ca="1" si="32"/>
        <v>0.268345</v>
      </c>
      <c r="BJ45" s="64">
        <f t="shared" ca="1" si="33"/>
        <v>0.44939999999999997</v>
      </c>
      <c r="BK45" s="63">
        <f t="shared" si="34"/>
        <v>8.9300000000000004E-2</v>
      </c>
      <c r="BL45" s="65">
        <f t="shared" ca="1" si="35"/>
        <v>440.86139999999995</v>
      </c>
    </row>
    <row r="46" spans="1:68" ht="20.25" customHeight="1">
      <c r="H46" s="496" t="s">
        <v>1742</v>
      </c>
      <c r="I46" s="365">
        <f ca="1">MIN(E17,E19,E21)</f>
        <v>0.16876000000000002</v>
      </c>
      <c r="J46" s="351">
        <f t="shared" ca="1" si="0"/>
        <v>1.669</v>
      </c>
      <c r="K46" s="351">
        <f t="shared" ca="1" si="1"/>
        <v>0.95499999999999996</v>
      </c>
      <c r="L46" s="351">
        <f ca="1">ROUND(K46/J46,4)</f>
        <v>0.57220000000000004</v>
      </c>
      <c r="M46" s="351">
        <f ca="1">IF(L46&lt;=0.3,L46,IF(L46&lt;0.8,ROUND(0.52*L46+0.144,3),0.7*L46))</f>
        <v>0.442</v>
      </c>
      <c r="N46" s="381">
        <f t="shared" ca="1" si="4"/>
        <v>0.316</v>
      </c>
      <c r="O46" s="363">
        <f t="shared" ca="1" si="5"/>
        <v>1.6930000000000001</v>
      </c>
      <c r="P46" s="363">
        <f t="shared" ca="1" si="6"/>
        <v>0.8</v>
      </c>
      <c r="Q46" s="363">
        <f ca="1">ROUND(P46/O46,4)</f>
        <v>0.47249999999999998</v>
      </c>
      <c r="R46" s="363">
        <f ca="1">IF(Q46&lt;=0.3,Q46,IF(Q46&lt;0.8,ROUND(0.52*Q46+0.144,3),0.7*Q46))</f>
        <v>0.39</v>
      </c>
      <c r="S46" s="381">
        <f t="shared" ca="1" si="9"/>
        <v>0.157</v>
      </c>
      <c r="T46" s="363">
        <f t="shared" ca="1" si="10"/>
        <v>1.8620000000000001</v>
      </c>
      <c r="U46" s="363">
        <f t="shared" ca="1" si="11"/>
        <v>1.1759999999999999</v>
      </c>
      <c r="V46" s="363">
        <f ca="1">ROUND(U46/T46,4)</f>
        <v>0.63160000000000005</v>
      </c>
      <c r="W46" s="363">
        <f ca="1">IF(V46&lt;=0.3,V46,IF(V46&lt;0.8,ROUND(0.52*V46+0.144,3),0.7*V46))</f>
        <v>0.47199999999999998</v>
      </c>
      <c r="X46" s="381">
        <f t="shared" ca="1" si="14"/>
        <v>0.33700000000000002</v>
      </c>
      <c r="Y46" s="366">
        <f ca="1">MAX(X46,S46,N46)</f>
        <v>0.33700000000000002</v>
      </c>
      <c r="Z46" s="350">
        <f t="shared" ca="1" si="63"/>
        <v>1.6930000000000001</v>
      </c>
      <c r="AA46" s="351">
        <f t="shared" ca="1" si="64"/>
        <v>0.8</v>
      </c>
      <c r="AB46" s="351">
        <f ca="1">ROUND(AA46/Z46,4)</f>
        <v>0.47249999999999998</v>
      </c>
      <c r="AC46" s="351">
        <f ca="1">IF(AB46&lt;=0.3,AB46,IF(AB46&lt;0.8,ROUND(0.52*AB46+0.144,3),0.7*AB46))</f>
        <v>0.39</v>
      </c>
      <c r="AD46" s="378">
        <f t="shared" ca="1" si="65"/>
        <v>0.27900000000000003</v>
      </c>
      <c r="AE46" s="351">
        <f t="shared" ca="1" si="66"/>
        <v>1.6930000000000001</v>
      </c>
      <c r="AF46" s="351">
        <f t="shared" ca="1" si="67"/>
        <v>0.8</v>
      </c>
      <c r="AG46" s="351">
        <f ca="1">ROUND(AF46/AE46,4)</f>
        <v>0.47249999999999998</v>
      </c>
      <c r="AH46" s="351">
        <f ca="1">IF(AG46&lt;=0.3,AG46,IF(AG46&lt;0.8,ROUND(0.52*AG46+0.144,3),0.7*AG46))</f>
        <v>0.39</v>
      </c>
      <c r="AI46" s="378">
        <f t="shared" ca="1" si="68"/>
        <v>0.157</v>
      </c>
      <c r="AJ46" s="351">
        <f t="shared" ca="1" si="69"/>
        <v>1.9490000000000001</v>
      </c>
      <c r="AK46" s="351">
        <f t="shared" ca="1" si="70"/>
        <v>1</v>
      </c>
      <c r="AL46" s="351">
        <f ca="1">ROUND(AK46/AJ46,4)</f>
        <v>0.5131</v>
      </c>
      <c r="AM46" s="351">
        <f ca="1">IF(AL46&lt;=0.3,AL46,IF(AL46&lt;0.8,ROUND(0.52*AL46+0.144,3),0.7*AL46))</f>
        <v>0.41099999999999998</v>
      </c>
      <c r="AN46" s="378">
        <f t="shared" ca="1" si="71"/>
        <v>0.29399999999999998</v>
      </c>
      <c r="AO46" s="352">
        <f ca="1">MAX(AN46,AI46,AD46)</f>
        <v>0.29399999999999998</v>
      </c>
      <c r="AP46" s="344">
        <f t="shared" ca="1" si="21"/>
        <v>1.6930000000000001</v>
      </c>
      <c r="AQ46" s="367">
        <f t="shared" ca="1" si="22"/>
        <v>0.30428129411660698</v>
      </c>
      <c r="AR46" s="368">
        <f ca="1">IF(AQ46&gt;0.15,0.15,IF(AQ46&lt;0.0625,0.0625,AQ46))</f>
        <v>0.15</v>
      </c>
      <c r="AS46" s="58">
        <f t="shared" ca="1" si="23"/>
        <v>0.27979875000000004</v>
      </c>
      <c r="AT46" s="58">
        <f t="shared" ca="1" si="23"/>
        <v>0.21037500000000001</v>
      </c>
      <c r="AU46" s="58">
        <f t="shared" ca="1" si="23"/>
        <v>0.16830000000000001</v>
      </c>
      <c r="AV46" s="58">
        <f t="shared" ca="1" si="23"/>
        <v>0.21037500000000001</v>
      </c>
      <c r="AW46" s="58">
        <f t="shared" ca="1" si="58"/>
        <v>0.70685999999999993</v>
      </c>
      <c r="AX46" s="58">
        <f t="shared" ca="1" si="24"/>
        <v>0.78932700000000011</v>
      </c>
      <c r="AY46" s="367">
        <f t="shared" ca="1" si="25"/>
        <v>1.448270986164097</v>
      </c>
      <c r="AZ46" s="58">
        <f t="shared" ca="1" si="26"/>
        <v>2.2243382400000002</v>
      </c>
      <c r="BA46" s="368">
        <f ca="1">AZ46/AY46</f>
        <v>1.5358577650522445</v>
      </c>
      <c r="BB46" s="368">
        <f ca="1">IF(BA46&gt;1,1,BA46)</f>
        <v>1</v>
      </c>
      <c r="BC46" s="58">
        <f t="shared" ca="1" si="28"/>
        <v>0.73403161920000015</v>
      </c>
      <c r="BD46" s="58">
        <f t="shared" ca="1" si="60"/>
        <v>0.2203928571428572</v>
      </c>
      <c r="BE46" s="58">
        <f t="shared" ca="1" si="29"/>
        <v>0.73403161920000015</v>
      </c>
      <c r="BF46" s="58">
        <f t="shared" ca="1" si="61"/>
        <v>0.2203928571428572</v>
      </c>
      <c r="BG46" s="58">
        <f t="shared" ca="1" si="30"/>
        <v>0.8</v>
      </c>
      <c r="BH46" s="58">
        <f t="shared" ca="1" si="31"/>
        <v>1</v>
      </c>
      <c r="BI46" s="341">
        <f t="shared" ca="1" si="32"/>
        <v>0.27488999999999997</v>
      </c>
      <c r="BJ46" s="65">
        <f t="shared" ca="1" si="33"/>
        <v>0.4718</v>
      </c>
      <c r="BK46" s="66">
        <f t="shared" ca="1" si="34"/>
        <v>0.16876000000000002</v>
      </c>
      <c r="BL46" s="65">
        <f t="shared" ca="1" si="35"/>
        <v>462.83580000000001</v>
      </c>
      <c r="BN46"/>
      <c r="BO46"/>
      <c r="BP46"/>
    </row>
    <row r="47" spans="1:68" ht="16">
      <c r="H47" s="496"/>
      <c r="I47" s="365">
        <f ca="1">MIN(LARGE(E17:E21,2),I49)</f>
        <v>0.1389</v>
      </c>
      <c r="J47" s="351">
        <f t="shared" ca="1" si="0"/>
        <v>1.5509999999999999</v>
      </c>
      <c r="K47" s="351">
        <f t="shared" ca="1" si="1"/>
        <v>0.85499999999999998</v>
      </c>
      <c r="L47" s="351">
        <f ca="1">ROUND(K47/J47,4)</f>
        <v>0.55130000000000001</v>
      </c>
      <c r="M47" s="351">
        <f ca="1">IF(L47&lt;=0.3,L47,IF(L47&lt;0.8,ROUND(0.52*L47+0.144,3),0.7*L47))</f>
        <v>0.43099999999999999</v>
      </c>
      <c r="N47" s="378">
        <f t="shared" ca="1" si="4"/>
        <v>0.308</v>
      </c>
      <c r="O47" s="351">
        <f t="shared" ca="1" si="5"/>
        <v>1.57</v>
      </c>
      <c r="P47" s="351">
        <f t="shared" ca="1" si="6"/>
        <v>0.71499999999999997</v>
      </c>
      <c r="Q47" s="351">
        <f ca="1">ROUND(P47/O47,4)</f>
        <v>0.45540000000000003</v>
      </c>
      <c r="R47" s="351">
        <f ca="1">IF(Q47&lt;=0.3,Q47,IF(Q47&lt;0.8,ROUND(0.52*Q47+0.144,3),0.7*Q47))</f>
        <v>0.38100000000000001</v>
      </c>
      <c r="S47" s="378">
        <f t="shared" ca="1" si="9"/>
        <v>0.14199999999999999</v>
      </c>
      <c r="T47" s="351">
        <f t="shared" ca="1" si="10"/>
        <v>1.71</v>
      </c>
      <c r="U47" s="351">
        <f t="shared" ca="1" si="11"/>
        <v>1.056</v>
      </c>
      <c r="V47" s="351">
        <f ca="1">ROUND(U47/T47,4)</f>
        <v>0.61750000000000005</v>
      </c>
      <c r="W47" s="351">
        <f ca="1">IF(V47&lt;=0.3,V47,IF(V47&lt;0.8,ROUND(0.52*V47+0.144,3),0.7*V47))</f>
        <v>0.46500000000000002</v>
      </c>
      <c r="X47" s="378">
        <f t="shared" ca="1" si="14"/>
        <v>0.33200000000000002</v>
      </c>
      <c r="Y47" s="352">
        <f ca="1">MAX(X47,S47,N47)</f>
        <v>0.33200000000000002</v>
      </c>
      <c r="Z47" s="350">
        <f t="shared" ca="1" si="63"/>
        <v>1.6930000000000001</v>
      </c>
      <c r="AA47" s="351">
        <f t="shared" ca="1" si="64"/>
        <v>0.8</v>
      </c>
      <c r="AB47" s="351">
        <f ca="1">ROUND(AA47/Z47,4)</f>
        <v>0.47249999999999998</v>
      </c>
      <c r="AC47" s="351">
        <f ca="1">IF(AB47&lt;=0.3,AB47,IF(AB47&lt;0.8,ROUND(0.52*AB47+0.144,3),0.7*AB47))</f>
        <v>0.39</v>
      </c>
      <c r="AD47" s="378">
        <f t="shared" ca="1" si="65"/>
        <v>0.27900000000000003</v>
      </c>
      <c r="AE47" s="351">
        <f t="shared" ca="1" si="66"/>
        <v>1.6930000000000001</v>
      </c>
      <c r="AF47" s="351">
        <f t="shared" ca="1" si="67"/>
        <v>0.8</v>
      </c>
      <c r="AG47" s="351">
        <f ca="1">ROUND(AF47/AE47,4)</f>
        <v>0.47249999999999998</v>
      </c>
      <c r="AH47" s="351">
        <f ca="1">IF(AG47&lt;=0.3,AG47,IF(AG47&lt;0.8,ROUND(0.52*AG47+0.144,3),0.7*AG47))</f>
        <v>0.39</v>
      </c>
      <c r="AI47" s="378">
        <f t="shared" ca="1" si="68"/>
        <v>0.157</v>
      </c>
      <c r="AJ47" s="351">
        <f t="shared" ca="1" si="69"/>
        <v>1.9490000000000001</v>
      </c>
      <c r="AK47" s="351">
        <f t="shared" ca="1" si="70"/>
        <v>1</v>
      </c>
      <c r="AL47" s="351">
        <f ca="1">ROUND(AK47/AJ47,4)</f>
        <v>0.5131</v>
      </c>
      <c r="AM47" s="351">
        <f ca="1">IF(AL47&lt;=0.3,AL47,IF(AL47&lt;0.8,ROUND(0.52*AL47+0.144,3),0.7*AL47))</f>
        <v>0.41099999999999998</v>
      </c>
      <c r="AN47" s="378">
        <f t="shared" ca="1" si="71"/>
        <v>0.29399999999999998</v>
      </c>
      <c r="AO47" s="352">
        <f ca="1">MAX(AN47,AI47,AD47)</f>
        <v>0.29399999999999998</v>
      </c>
      <c r="AP47" s="344">
        <f t="shared" ca="1" si="21"/>
        <v>1.6930000000000001</v>
      </c>
      <c r="AQ47" s="369">
        <f t="shared" ca="1" si="22"/>
        <v>0.3353967810220343</v>
      </c>
      <c r="AR47" s="370">
        <f ca="1">IF(AQ47&gt;0.15,0.15,IF(AQ47&lt;0.0625,0.0625,AQ47))</f>
        <v>0.15</v>
      </c>
      <c r="AS47" s="58">
        <f t="shared" ca="1" si="23"/>
        <v>0.27979875000000004</v>
      </c>
      <c r="AT47" s="58">
        <f t="shared" ca="1" si="23"/>
        <v>0.21037500000000001</v>
      </c>
      <c r="AU47" s="58">
        <f t="shared" ca="1" si="23"/>
        <v>0.16830000000000001</v>
      </c>
      <c r="AV47" s="58">
        <f t="shared" ca="1" si="23"/>
        <v>0.21037500000000001</v>
      </c>
      <c r="AW47" s="58">
        <f t="shared" ca="1" si="58"/>
        <v>0.70685999999999993</v>
      </c>
      <c r="AX47" s="58">
        <f t="shared" ca="1" si="24"/>
        <v>0.78939520221774206</v>
      </c>
      <c r="AY47" s="369">
        <f t="shared" ca="1" si="25"/>
        <v>1.3518067915340888</v>
      </c>
      <c r="AZ47" s="58">
        <f t="shared" ca="1" si="26"/>
        <v>1.9608536000000001</v>
      </c>
      <c r="BA47" s="370">
        <f ca="1">AZ47/AY47</f>
        <v>1.4505427937484607</v>
      </c>
      <c r="BB47" s="370">
        <f ca="1">IF(BA47&gt;1,1,BA47)</f>
        <v>1</v>
      </c>
      <c r="BC47" s="58">
        <f t="shared" ca="1" si="28"/>
        <v>0.6470816880000001</v>
      </c>
      <c r="BD47" s="58">
        <f t="shared" ca="1" si="60"/>
        <v>0.2203928571428572</v>
      </c>
      <c r="BE47" s="58">
        <f t="shared" ca="1" si="29"/>
        <v>0.6470816880000001</v>
      </c>
      <c r="BF47" s="58">
        <f t="shared" ca="1" si="61"/>
        <v>0.2203928571428572</v>
      </c>
      <c r="BG47" s="58">
        <f t="shared" ca="1" si="30"/>
        <v>0.8</v>
      </c>
      <c r="BH47" s="58">
        <f t="shared" ca="1" si="31"/>
        <v>1</v>
      </c>
      <c r="BI47" s="341">
        <f t="shared" ca="1" si="32"/>
        <v>0.27488999999999997</v>
      </c>
      <c r="BJ47" s="69">
        <f t="shared" ca="1" si="33"/>
        <v>0.46479999999999999</v>
      </c>
      <c r="BK47" s="68">
        <f t="shared" ca="1" si="34"/>
        <v>0.1389</v>
      </c>
      <c r="BL47" s="69">
        <f t="shared" ca="1" si="35"/>
        <v>455.96879999999999</v>
      </c>
    </row>
    <row r="48" spans="1:68" ht="16">
      <c r="H48" s="496"/>
      <c r="I48" s="365">
        <f ca="1">MIN(MAX(E17,E19,E21),I49)</f>
        <v>0.1389</v>
      </c>
      <c r="J48" s="351">
        <f t="shared" ca="1" si="0"/>
        <v>1.5509999999999999</v>
      </c>
      <c r="K48" s="351">
        <f t="shared" ca="1" si="1"/>
        <v>0.85499999999999998</v>
      </c>
      <c r="L48" s="351">
        <f t="shared" ca="1" si="2"/>
        <v>0.55130000000000001</v>
      </c>
      <c r="M48" s="351">
        <f t="shared" ca="1" si="3"/>
        <v>0.43099999999999999</v>
      </c>
      <c r="N48" s="378">
        <f t="shared" ca="1" si="4"/>
        <v>0.308</v>
      </c>
      <c r="O48" s="351">
        <f t="shared" ca="1" si="5"/>
        <v>1.57</v>
      </c>
      <c r="P48" s="351">
        <f t="shared" ca="1" si="6"/>
        <v>0.71499999999999997</v>
      </c>
      <c r="Q48" s="351">
        <f t="shared" ca="1" si="7"/>
        <v>0.45540000000000003</v>
      </c>
      <c r="R48" s="351">
        <f t="shared" ca="1" si="8"/>
        <v>0.38100000000000001</v>
      </c>
      <c r="S48" s="378">
        <f t="shared" ca="1" si="9"/>
        <v>0.14199999999999999</v>
      </c>
      <c r="T48" s="351">
        <f t="shared" ca="1" si="10"/>
        <v>1.71</v>
      </c>
      <c r="U48" s="351">
        <f t="shared" ca="1" si="11"/>
        <v>1.056</v>
      </c>
      <c r="V48" s="351">
        <f t="shared" ca="1" si="12"/>
        <v>0.61750000000000005</v>
      </c>
      <c r="W48" s="351">
        <f t="shared" ca="1" si="13"/>
        <v>0.46500000000000002</v>
      </c>
      <c r="X48" s="378">
        <f t="shared" ca="1" si="14"/>
        <v>0.33200000000000002</v>
      </c>
      <c r="Y48" s="352">
        <f t="shared" ca="1" si="62"/>
        <v>0.33200000000000002</v>
      </c>
      <c r="Z48" s="350">
        <f t="shared" ca="1" si="63"/>
        <v>1.6930000000000001</v>
      </c>
      <c r="AA48" s="351">
        <f t="shared" ca="1" si="64"/>
        <v>0.8</v>
      </c>
      <c r="AB48" s="351">
        <f t="shared" ref="AB48" ca="1" si="75">ROUND(AA48/Z48,4)</f>
        <v>0.47249999999999998</v>
      </c>
      <c r="AC48" s="351">
        <f t="shared" ref="AC48" ca="1" si="76">IF(AB48&lt;=0.3,AB48,IF(AB48&lt;0.8,ROUND(0.52*AB48+0.144,3),0.7*AB48))</f>
        <v>0.39</v>
      </c>
      <c r="AD48" s="378">
        <f t="shared" ca="1" si="65"/>
        <v>0.27900000000000003</v>
      </c>
      <c r="AE48" s="351">
        <f t="shared" ca="1" si="66"/>
        <v>1.6930000000000001</v>
      </c>
      <c r="AF48" s="351">
        <f t="shared" ca="1" si="67"/>
        <v>0.8</v>
      </c>
      <c r="AG48" s="351">
        <f t="shared" ref="AG48" ca="1" si="77">ROUND(AF48/AE48,4)</f>
        <v>0.47249999999999998</v>
      </c>
      <c r="AH48" s="351">
        <f t="shared" ref="AH48" ca="1" si="78">IF(AG48&lt;=0.3,AG48,IF(AG48&lt;0.8,ROUND(0.52*AG48+0.144,3),0.7*AG48))</f>
        <v>0.39</v>
      </c>
      <c r="AI48" s="378">
        <f t="shared" ca="1" si="68"/>
        <v>0.157</v>
      </c>
      <c r="AJ48" s="351">
        <f t="shared" ca="1" si="69"/>
        <v>1.9490000000000001</v>
      </c>
      <c r="AK48" s="351">
        <f t="shared" ca="1" si="70"/>
        <v>1</v>
      </c>
      <c r="AL48" s="351">
        <f t="shared" ref="AL48" ca="1" si="79">ROUND(AK48/AJ48,4)</f>
        <v>0.5131</v>
      </c>
      <c r="AM48" s="351">
        <f t="shared" ref="AM48" ca="1" si="80">IF(AL48&lt;=0.3,AL48,IF(AL48&lt;0.8,ROUND(0.52*AL48+0.144,3),0.7*AL48))</f>
        <v>0.41099999999999998</v>
      </c>
      <c r="AN48" s="378">
        <f t="shared" ca="1" si="71"/>
        <v>0.29399999999999998</v>
      </c>
      <c r="AO48" s="352">
        <f t="shared" ref="AO48" ca="1" si="81">MAX(AN48,AI48,AD48)</f>
        <v>0.29399999999999998</v>
      </c>
      <c r="AP48" s="344">
        <f t="shared" ca="1" si="21"/>
        <v>1.6930000000000001</v>
      </c>
      <c r="AQ48" s="369">
        <f t="shared" ca="1" si="22"/>
        <v>0.3353967810220343</v>
      </c>
      <c r="AR48" s="370">
        <f t="shared" ca="1" si="73"/>
        <v>0.15</v>
      </c>
      <c r="AS48" s="58">
        <f t="shared" ca="1" si="23"/>
        <v>0.27979875000000004</v>
      </c>
      <c r="AT48" s="58">
        <f t="shared" ca="1" si="23"/>
        <v>0.21037500000000001</v>
      </c>
      <c r="AU48" s="58">
        <f t="shared" ca="1" si="23"/>
        <v>0.16830000000000001</v>
      </c>
      <c r="AV48" s="58">
        <f t="shared" ca="1" si="23"/>
        <v>0.21037500000000001</v>
      </c>
      <c r="AW48" s="58">
        <f t="shared" ca="1" si="58"/>
        <v>0.70685999999999993</v>
      </c>
      <c r="AX48" s="58">
        <f t="shared" ca="1" si="24"/>
        <v>0.78939520221774206</v>
      </c>
      <c r="AY48" s="369">
        <f t="shared" ca="1" si="25"/>
        <v>1.3518067915340888</v>
      </c>
      <c r="AZ48" s="58">
        <f t="shared" ca="1" si="26"/>
        <v>1.9608536000000001</v>
      </c>
      <c r="BA48" s="370">
        <f t="shared" ca="1" si="27"/>
        <v>1.4505427937484607</v>
      </c>
      <c r="BB48" s="370">
        <f t="shared" ca="1" si="74"/>
        <v>1</v>
      </c>
      <c r="BC48" s="58">
        <f t="shared" ca="1" si="28"/>
        <v>0.6470816880000001</v>
      </c>
      <c r="BD48" s="58">
        <f t="shared" ca="1" si="60"/>
        <v>0.2203928571428572</v>
      </c>
      <c r="BE48" s="58">
        <f t="shared" ca="1" si="29"/>
        <v>0.6470816880000001</v>
      </c>
      <c r="BF48" s="58">
        <f t="shared" ca="1" si="61"/>
        <v>0.2203928571428572</v>
      </c>
      <c r="BG48" s="58">
        <f t="shared" ca="1" si="30"/>
        <v>0.8</v>
      </c>
      <c r="BH48" s="58">
        <f t="shared" ca="1" si="31"/>
        <v>1</v>
      </c>
      <c r="BI48" s="341">
        <f t="shared" ca="1" si="32"/>
        <v>0.27488999999999997</v>
      </c>
      <c r="BJ48" s="64">
        <f t="shared" ca="1" si="33"/>
        <v>0.46479999999999999</v>
      </c>
      <c r="BK48" s="63">
        <f t="shared" ca="1" si="34"/>
        <v>0.1389</v>
      </c>
      <c r="BL48" s="64">
        <f t="shared" ca="1" si="35"/>
        <v>455.96879999999999</v>
      </c>
    </row>
    <row r="49" spans="8:65" ht="16">
      <c r="H49" s="43"/>
      <c r="I49" s="362">
        <f>AX39</f>
        <v>0.1389</v>
      </c>
      <c r="J49" s="60">
        <f t="shared" ca="1" si="0"/>
        <v>1.5509999999999999</v>
      </c>
      <c r="K49" s="60">
        <f t="shared" ca="1" si="1"/>
        <v>0.85499999999999998</v>
      </c>
      <c r="L49" s="60">
        <f ca="1">ROUND(K49/J49,4)</f>
        <v>0.55130000000000001</v>
      </c>
      <c r="M49" s="60">
        <f ca="1">IF(L49&lt;=0.3,L49,IF(L49&lt;0.8,ROUND(0.52*L49+0.144,3),0.7*L49))</f>
        <v>0.43099999999999999</v>
      </c>
      <c r="N49" s="382">
        <f t="shared" ca="1" si="4"/>
        <v>0.308</v>
      </c>
      <c r="O49" s="349">
        <f t="shared" ca="1" si="5"/>
        <v>1.57</v>
      </c>
      <c r="P49" s="349">
        <f t="shared" ca="1" si="6"/>
        <v>0.71499999999999997</v>
      </c>
      <c r="Q49" s="349">
        <f ca="1">ROUND(P49/O49,4)</f>
        <v>0.45540000000000003</v>
      </c>
      <c r="R49" s="349">
        <f ca="1">IF(Q49&lt;=0.3,Q49,IF(Q49&lt;0.8,ROUND(0.52*Q49+0.144,3),0.7*Q49))</f>
        <v>0.38100000000000001</v>
      </c>
      <c r="S49" s="382">
        <f t="shared" ca="1" si="9"/>
        <v>0.14199999999999999</v>
      </c>
      <c r="T49" s="349">
        <f t="shared" ca="1" si="10"/>
        <v>1.71</v>
      </c>
      <c r="U49" s="349">
        <f t="shared" ca="1" si="11"/>
        <v>1.056</v>
      </c>
      <c r="V49" s="349">
        <f ca="1">ROUND(U49/T49,4)</f>
        <v>0.61750000000000005</v>
      </c>
      <c r="W49" s="349">
        <f ca="1">IF(V49&lt;=0.3,V49,IF(V49&lt;0.8,ROUND(0.52*V49+0.144,3),0.7*V49))</f>
        <v>0.46500000000000002</v>
      </c>
      <c r="X49" s="382">
        <f t="shared" ca="1" si="14"/>
        <v>0.33200000000000002</v>
      </c>
      <c r="Y49" s="371">
        <f ca="1">MAX(X49,S49,N49)</f>
        <v>0.33200000000000002</v>
      </c>
      <c r="Z49" s="63">
        <f t="shared" ca="1" si="63"/>
        <v>1.6930000000000001</v>
      </c>
      <c r="AA49" s="63">
        <f t="shared" ca="1" si="64"/>
        <v>0.8</v>
      </c>
      <c r="AB49" s="60">
        <f ca="1">ROUND(AA49/Z49,4)</f>
        <v>0.47249999999999998</v>
      </c>
      <c r="AC49" s="60">
        <f ca="1">IF(AB49&lt;=0.3,AB49,IF(AB49&lt;0.8,ROUND(0.52*AB49+0.144,3),0.7*AB49))</f>
        <v>0.39</v>
      </c>
      <c r="AD49" s="81">
        <f t="shared" ca="1" si="65"/>
        <v>0.27900000000000003</v>
      </c>
      <c r="AE49" s="60">
        <f t="shared" ca="1" si="66"/>
        <v>1.6930000000000001</v>
      </c>
      <c r="AF49" s="60">
        <f t="shared" ca="1" si="67"/>
        <v>0.8</v>
      </c>
      <c r="AG49" s="349">
        <f ca="1">ROUND(AF49/AE49,4)</f>
        <v>0.47249999999999998</v>
      </c>
      <c r="AH49" s="349">
        <f ca="1">IF(AG49&lt;=0.3,AG49,IF(AG49&lt;0.8,ROUND(0.52*AG49+0.144,3),0.7*AG49))</f>
        <v>0.39</v>
      </c>
      <c r="AI49" s="81">
        <f t="shared" ca="1" si="68"/>
        <v>0.157</v>
      </c>
      <c r="AJ49" s="60">
        <f t="shared" ca="1" si="69"/>
        <v>1.9490000000000001</v>
      </c>
      <c r="AK49" s="60">
        <f t="shared" ca="1" si="70"/>
        <v>1</v>
      </c>
      <c r="AL49" s="349">
        <f ca="1">ROUND(AK49/AJ49,4)</f>
        <v>0.5131</v>
      </c>
      <c r="AM49" s="349">
        <f ca="1">IF(AL49&lt;=0.3,AL49,IF(AL49&lt;0.8,ROUND(0.52*AL49+0.144,3),0.7*AL49))</f>
        <v>0.41099999999999998</v>
      </c>
      <c r="AN49" s="81">
        <f t="shared" ca="1" si="71"/>
        <v>0.29399999999999998</v>
      </c>
      <c r="AO49" s="371">
        <f ca="1">MAX(AN49,AI49,AD49)</f>
        <v>0.29399999999999998</v>
      </c>
      <c r="AP49" s="344">
        <f t="shared" si="21"/>
        <v>1.6930000000000001</v>
      </c>
      <c r="AQ49" s="340">
        <f t="shared" si="22"/>
        <v>0.3353967810220343</v>
      </c>
      <c r="AR49" s="58">
        <f>IF(AQ49&gt;0.15,0.15,IF(AQ49&lt;0.0625,0.0625,AQ49))</f>
        <v>0.15</v>
      </c>
      <c r="AS49" s="58">
        <f t="shared" si="23"/>
        <v>0.27979875000000004</v>
      </c>
      <c r="AT49" s="58">
        <f t="shared" si="23"/>
        <v>0.21037500000000001</v>
      </c>
      <c r="AU49" s="58">
        <f t="shared" si="23"/>
        <v>0.16830000000000001</v>
      </c>
      <c r="AV49" s="58">
        <f t="shared" si="23"/>
        <v>0.21037500000000001</v>
      </c>
      <c r="AW49" s="58">
        <f t="shared" si="58"/>
        <v>0.70685999999999993</v>
      </c>
      <c r="AX49" s="58">
        <f t="shared" si="24"/>
        <v>0.78939520221774206</v>
      </c>
      <c r="AY49" s="340">
        <f t="shared" si="25"/>
        <v>1.3518067915340888</v>
      </c>
      <c r="AZ49" s="58">
        <f t="shared" si="26"/>
        <v>1.9608536000000001</v>
      </c>
      <c r="BA49" s="58">
        <f>AZ49/AY49</f>
        <v>1.4505427937484607</v>
      </c>
      <c r="BB49" s="58">
        <f>IF(BA49&gt;1,1,BA49)</f>
        <v>1</v>
      </c>
      <c r="BC49" s="58">
        <f t="shared" si="28"/>
        <v>0.6470816880000001</v>
      </c>
      <c r="BD49" s="58">
        <f t="shared" si="60"/>
        <v>0.2203928571428572</v>
      </c>
      <c r="BE49" s="58">
        <f t="shared" si="29"/>
        <v>0.6470816880000001</v>
      </c>
      <c r="BF49" s="58">
        <f t="shared" si="61"/>
        <v>0.2203928571428572</v>
      </c>
      <c r="BG49" s="58">
        <f t="shared" ca="1" si="30"/>
        <v>0.8</v>
      </c>
      <c r="BH49" s="58">
        <f t="shared" ca="1" si="31"/>
        <v>1</v>
      </c>
      <c r="BI49" s="341">
        <f t="shared" ca="1" si="32"/>
        <v>0.27488999999999997</v>
      </c>
      <c r="BJ49" s="64">
        <f t="shared" ca="1" si="33"/>
        <v>0.46479999999999999</v>
      </c>
      <c r="BK49" s="63">
        <f t="shared" si="34"/>
        <v>0.1389</v>
      </c>
      <c r="BL49" s="64">
        <f t="shared" ca="1" si="35"/>
        <v>455.96879999999999</v>
      </c>
    </row>
    <row r="50" spans="8:65" ht="16">
      <c r="H50" s="43"/>
      <c r="I50" s="444">
        <v>0.15</v>
      </c>
      <c r="J50" s="60">
        <f t="shared" ref="J50" ca="1" si="82">ROUND(IF($I50&gt;=D$17,D$12,IF($I50&gt;=F$17,D$13+(D$12-D$13)*($I50-0.6*D$17)/0.4/D$17,IF($I50&lt;E$17,D$13+(D$13-1)*($I50-E$17)/E$17,D$13))),3)</f>
        <v>1.595</v>
      </c>
      <c r="K50" s="60">
        <f t="shared" ref="K50" ca="1" si="83">IF($I50&lt;E$17,ROUND(B$17*(0.4+3*$I50/D$17),3),IF($I50&lt;=D$17,B$17,IF($I50&lt;=2.5*D$17,C$17/$I50,0.4*B$17)))</f>
        <v>0.89200000000000002</v>
      </c>
      <c r="L50" s="60">
        <f ca="1">ROUND(K50/J50,4)</f>
        <v>0.55920000000000003</v>
      </c>
      <c r="M50" s="60">
        <f ca="1">IF(L50&lt;=0.3,L50,IF(L50&lt;0.8,ROUND(0.52*L50+0.144,3),0.7*L50))</f>
        <v>0.435</v>
      </c>
      <c r="N50" s="382">
        <f t="shared" ref="N50" ca="1" si="84">ROUND(B$13*M50/1.4/B$14,3)</f>
        <v>0.311</v>
      </c>
      <c r="O50" s="349">
        <f t="shared" ref="O50" ca="1" si="85">ROUND(IF($I50&gt;=D$19,D$12,IF($I50&gt;=F$19,D$13+(D$12-D$13)*($I50-0.6*D$19)/0.4/D$19,IF($I50&lt;E$19,D$13+(D$13-1)*($I50-E$19)/E$19,D$13))),3)</f>
        <v>1.6160000000000001</v>
      </c>
      <c r="P50" s="349">
        <f t="shared" ref="P50" ca="1" si="86">IF($I50&lt;E$19,ROUND(B$19*(0.4+3*$I50/D$19),3),IF($I50&lt;=D$19,B$19,IF($I50&lt;=2.5*D$19,C$19/$I50,0.4*B$19)))</f>
        <v>0.747</v>
      </c>
      <c r="Q50" s="349">
        <f ca="1">ROUND(P50/O50,4)</f>
        <v>0.46229999999999999</v>
      </c>
      <c r="R50" s="349">
        <f ca="1">IF(Q50&lt;=0.3,Q50,IF(Q50&lt;0.8,ROUND(0.52*Q50+0.144,3),0.7*Q50))</f>
        <v>0.38400000000000001</v>
      </c>
      <c r="S50" s="382">
        <f t="shared" ref="S50" ca="1" si="87">ROUND(B$13*O50*R50/4.2/B$14,3)</f>
        <v>0.14799999999999999</v>
      </c>
      <c r="T50" s="349">
        <f t="shared" ref="T50" ca="1" si="88">ROUND(IF($I50&gt;=D$21,B$12,IF($I50&gt;=F$21,D$14+(B$12-D$14)*($I50-0.6*D$21)/0.4/D$21,IF($I50&lt;E$21,D$14+(D$14-1)*($I50-E$21)/E$21,D$14))),3)</f>
        <v>1.766</v>
      </c>
      <c r="U50" s="349">
        <f t="shared" ref="U50" ca="1" si="89">IF($I50&lt;E$21,ROUND(B$21*(0.4+3*$I50/D$21),3),IF($I50&lt;=D$21,B$21,IF($I50&lt;=2.5*D$21,C$21/$I50,0.4*B$21)))</f>
        <v>1.101</v>
      </c>
      <c r="V50" s="349">
        <f ca="1">ROUND(U50/T50,4)</f>
        <v>0.62339999999999995</v>
      </c>
      <c r="W50" s="349">
        <f ca="1">IF(V50&lt;=0.3,V50,IF(V50&lt;0.8,ROUND(0.52*V50+0.144,3),0.7*V50))</f>
        <v>0.46800000000000003</v>
      </c>
      <c r="X50" s="382">
        <f t="shared" ref="X50" ca="1" si="90">ROUND(B$13*W50/1.4/B$14,3)</f>
        <v>0.33400000000000002</v>
      </c>
      <c r="Y50" s="371">
        <f ca="1">MAX(X50,S50,N50)</f>
        <v>0.33400000000000002</v>
      </c>
      <c r="Z50" s="63">
        <f t="shared" ref="Z50" ca="1" si="91">ROUND(IF($I50&gt;=K$17,D$12,IF($I50&gt;=M$17,D$13+(D$12-D$13)*($I50-0.6*K$17)/0.4/K$17,IF($I50&lt;L$17,D$13+(D$13-1)*($I50-L$17)/L$17,D$13))),3)</f>
        <v>1.6930000000000001</v>
      </c>
      <c r="AA50" s="63">
        <f t="shared" ref="AA50" ca="1" si="92">IF($I50&lt;L$17,ROUND(I$17*(0.4+3*$I50/K$17),3),IF($I50&lt;=K$17,I$17,IF($I50&lt;=2.5*K$17,J$17/$I50,0.4*I$17)))</f>
        <v>0.8</v>
      </c>
      <c r="AB50" s="60">
        <f ca="1">ROUND(AA50/Z50,4)</f>
        <v>0.47249999999999998</v>
      </c>
      <c r="AC50" s="60">
        <f ca="1">IF(AB50&lt;=0.3,AB50,IF(AB50&lt;0.8,ROUND(0.52*AB50+0.144,3),0.7*AB50))</f>
        <v>0.39</v>
      </c>
      <c r="AD50" s="81">
        <f t="shared" ref="AD50" ca="1" si="93">ROUND(B$13*AC50/1.4/B$14,3)</f>
        <v>0.27900000000000003</v>
      </c>
      <c r="AE50" s="60">
        <f t="shared" ref="AE50" ca="1" si="94">ROUND(IF($I50&gt;=K$19,D$12,IF($I50&gt;=M$19,D$13+(D$12-D$13)*($I50-0.6*K$19)/0.4/K$19,IF($I50&lt;L$19,D$13+(D$13-1)*($I50-L$19)/L$19,D$13))),3)</f>
        <v>1.6930000000000001</v>
      </c>
      <c r="AF50" s="60">
        <f t="shared" ref="AF50" ca="1" si="95">IF($I50&lt;L$19,ROUND(I$19*(0.4+3*$I50/K$19),3),IF($I50&lt;=K$19,I$19,IF($I50&lt;=2.5*K$19,J$19/$I50,0.4*I$19)))</f>
        <v>0.8</v>
      </c>
      <c r="AG50" s="349">
        <f ca="1">ROUND(AF50/AE50,4)</f>
        <v>0.47249999999999998</v>
      </c>
      <c r="AH50" s="349">
        <f ca="1">IF(AG50&lt;=0.3,AG50,IF(AG50&lt;0.8,ROUND(0.52*AG50+0.144,3),0.7*AG50))</f>
        <v>0.39</v>
      </c>
      <c r="AI50" s="81">
        <f t="shared" ref="AI50" ca="1" si="96">ROUND(B$13*AE50*AH50/4.2/B$14,3)</f>
        <v>0.157</v>
      </c>
      <c r="AJ50" s="60">
        <f t="shared" ref="AJ50" ca="1" si="97">ROUND(IF($I50&gt;=K$21,B$12,IF($I50&gt;=M$21,D$14+(B$12-D$14)*($I50-0.6*K$21)/0.4/K$21,IF($I50&lt;L$21,D$14+(D$14-1)*($I50-L$21)/L$21,D$14))),3)</f>
        <v>1.9490000000000001</v>
      </c>
      <c r="AK50" s="60">
        <f t="shared" ref="AK50" ca="1" si="98">IF($I50&lt;L$21,ROUND(I$21*(0.4+3*$I50/K$21),3),IF($I50&lt;=K$21,I$21,IF($I50&lt;=2.5*K$21,J$21/$I50,0.4*I$21)))</f>
        <v>1</v>
      </c>
      <c r="AL50" s="349">
        <f ca="1">ROUND(AK50/AJ50,4)</f>
        <v>0.5131</v>
      </c>
      <c r="AM50" s="349">
        <f ca="1">IF(AL50&lt;=0.3,AL50,IF(AL50&lt;0.8,ROUND(0.52*AL50+0.144,3),0.7*AL50))</f>
        <v>0.41099999999999998</v>
      </c>
      <c r="AN50" s="81">
        <f t="shared" ref="AN50" ca="1" si="99">ROUND(B$13*AM50/1.4/B$14,3)</f>
        <v>0.29399999999999998</v>
      </c>
      <c r="AO50" s="371">
        <f ca="1">MAX(AN50,AI50,AD50)</f>
        <v>0.29399999999999998</v>
      </c>
      <c r="AP50" s="344">
        <f t="shared" si="21"/>
        <v>1.6930000000000001</v>
      </c>
      <c r="AQ50" s="340">
        <f t="shared" ref="AQ50" si="100">1/8/I50^0.5</f>
        <v>0.3227486121839514</v>
      </c>
      <c r="AR50" s="58">
        <f>IF(AQ50&gt;0.15,0.15,IF(AQ50&lt;0.0625,0.0625,AQ50))</f>
        <v>0.15</v>
      </c>
      <c r="AS50" s="58">
        <f t="shared" si="23"/>
        <v>0.27979875000000004</v>
      </c>
      <c r="AT50" s="58">
        <f t="shared" si="23"/>
        <v>0.21037500000000001</v>
      </c>
      <c r="AU50" s="58">
        <f t="shared" si="23"/>
        <v>0.16830000000000001</v>
      </c>
      <c r="AV50" s="58">
        <f t="shared" si="23"/>
        <v>0.21037500000000001</v>
      </c>
      <c r="AW50" s="58">
        <f t="shared" si="58"/>
        <v>0.70685999999999993</v>
      </c>
      <c r="AX50" s="58">
        <f t="shared" si="24"/>
        <v>0.78932700000000011</v>
      </c>
      <c r="AY50" s="340">
        <f t="shared" si="25"/>
        <v>1.3876658859879765</v>
      </c>
      <c r="AZ50" s="58">
        <f t="shared" si="26"/>
        <v>2.0587999999999997</v>
      </c>
      <c r="BA50" s="58">
        <f>AZ50/AY50</f>
        <v>1.4836424392851568</v>
      </c>
      <c r="BB50" s="58">
        <f>IF(BA50&gt;1,1,BA50)</f>
        <v>1</v>
      </c>
      <c r="BC50" s="58">
        <f t="shared" si="28"/>
        <v>0.6794039999999999</v>
      </c>
      <c r="BD50" s="58">
        <f t="shared" si="60"/>
        <v>0.2203928571428572</v>
      </c>
      <c r="BE50" s="58">
        <f t="shared" si="29"/>
        <v>0.6794039999999999</v>
      </c>
      <c r="BF50" s="58">
        <f t="shared" si="61"/>
        <v>0.2203928571428572</v>
      </c>
      <c r="BG50" s="58">
        <f t="shared" ca="1" si="30"/>
        <v>0.8</v>
      </c>
      <c r="BH50" s="58">
        <f t="shared" ca="1" si="31"/>
        <v>1</v>
      </c>
      <c r="BI50" s="341">
        <f t="shared" ca="1" si="32"/>
        <v>0.27488999999999997</v>
      </c>
      <c r="BJ50" s="64">
        <f t="shared" ca="1" si="33"/>
        <v>0.46760000000000002</v>
      </c>
      <c r="BK50" s="63">
        <f t="shared" si="34"/>
        <v>0.15</v>
      </c>
      <c r="BL50" s="64">
        <f t="shared" ca="1" si="35"/>
        <v>458.71559999999999</v>
      </c>
    </row>
    <row r="51" spans="8:65" ht="16">
      <c r="H51" s="43"/>
      <c r="I51" s="444">
        <v>0.2</v>
      </c>
      <c r="J51" s="60">
        <f t="shared" ref="J51" ca="1" si="101">ROUND(IF($I51&gt;=D$17,D$12,IF($I51&gt;=F$17,D$13+(D$12-D$13)*($I51-0.6*D$17)/0.4/D$17,IF($I51&lt;E$17,D$13+(D$13-1)*($I51-E$17)/E$17,D$13))),3)</f>
        <v>1.6930000000000001</v>
      </c>
      <c r="K51" s="60">
        <f t="shared" ref="K51" ca="1" si="102">IF($I51&lt;E$17,ROUND(B$17*(0.4+3*$I51/D$17),3),IF($I51&lt;=D$17,B$17,IF($I51&lt;=2.5*D$17,C$17/$I51,0.4*B$17)))</f>
        <v>0.97499999999999998</v>
      </c>
      <c r="L51" s="60">
        <f ca="1">ROUND(K51/J51,4)</f>
        <v>0.57589999999999997</v>
      </c>
      <c r="M51" s="60">
        <f ca="1">IF(L51&lt;=0.3,L51,IF(L51&lt;0.8,ROUND(0.52*L51+0.144,3),0.7*L51))</f>
        <v>0.443</v>
      </c>
      <c r="N51" s="382">
        <f t="shared" ref="N51" ca="1" si="103">ROUND(B$13*M51/1.4/B$14,3)</f>
        <v>0.316</v>
      </c>
      <c r="O51" s="349">
        <f t="shared" ref="O51" ca="1" si="104">ROUND(IF($I51&gt;=D$19,D$12,IF($I51&gt;=F$19,D$13+(D$12-D$13)*($I51-0.6*D$19)/0.4/D$19,IF($I51&lt;E$19,D$13+(D$13-1)*($I51-E$19)/E$19,D$13))),3)</f>
        <v>1.6930000000000001</v>
      </c>
      <c r="P51" s="349">
        <f t="shared" ref="P51" ca="1" si="105">IF($I51&lt;E$19,ROUND(B$19*(0.4+3*$I51/D$19),3),IF($I51&lt;=D$19,B$19,IF($I51&lt;=2.5*D$19,C$19/$I51,0.4*B$19)))</f>
        <v>0.8</v>
      </c>
      <c r="Q51" s="349">
        <f ca="1">ROUND(P51/O51,4)</f>
        <v>0.47249999999999998</v>
      </c>
      <c r="R51" s="349">
        <f ca="1">IF(Q51&lt;=0.3,Q51,IF(Q51&lt;0.8,ROUND(0.52*Q51+0.144,3),0.7*Q51))</f>
        <v>0.39</v>
      </c>
      <c r="S51" s="382">
        <f t="shared" ref="S51" ca="1" si="106">ROUND(B$13*O51*R51/4.2/B$14,3)</f>
        <v>0.157</v>
      </c>
      <c r="T51" s="349">
        <f t="shared" ref="T51" ca="1" si="107">ROUND(IF($I51&gt;=D$21,B$12,IF($I51&gt;=F$21,D$14+(B$12-D$14)*($I51-0.6*D$21)/0.4/D$21,IF($I51&lt;E$21,D$14+(D$14-1)*($I51-E$21)/E$21,D$14))),3)</f>
        <v>1.9490000000000001</v>
      </c>
      <c r="U51" s="349">
        <f t="shared" ref="U51" ca="1" si="108">IF($I51&lt;E$21,ROUND(B$21*(0.4+3*$I51/D$21),3),IF($I51&lt;=D$21,B$21,IF($I51&lt;=2.5*D$21,C$21/$I51,0.4*B$21)))</f>
        <v>1.24498</v>
      </c>
      <c r="V51" s="349">
        <f ca="1">ROUND(U51/T51,4)</f>
        <v>0.63880000000000003</v>
      </c>
      <c r="W51" s="349">
        <f ca="1">IF(V51&lt;=0.3,V51,IF(V51&lt;0.8,ROUND(0.52*V51+0.144,3),0.7*V51))</f>
        <v>0.47599999999999998</v>
      </c>
      <c r="X51" s="382">
        <f t="shared" ref="X51" ca="1" si="109">ROUND(B$13*W51/1.4/B$14,3)</f>
        <v>0.34</v>
      </c>
      <c r="Y51" s="371">
        <f ca="1">MAX(X51,S51,N51)</f>
        <v>0.34</v>
      </c>
      <c r="Z51" s="63">
        <f t="shared" ref="Z51" ca="1" si="110">ROUND(IF($I51&gt;=K$17,D$12,IF($I51&gt;=M$17,D$13+(D$12-D$13)*($I51-0.6*K$17)/0.4/K$17,IF($I51&lt;L$17,D$13+(D$13-1)*($I51-L$17)/L$17,D$13))),3)</f>
        <v>1.6930000000000001</v>
      </c>
      <c r="AA51" s="63">
        <f t="shared" ref="AA51" ca="1" si="111">IF($I51&lt;L$17,ROUND(I$17*(0.4+3*$I51/K$17),3),IF($I51&lt;=K$17,I$17,IF($I51&lt;=2.5*K$17,J$17/$I51,0.4*I$17)))</f>
        <v>0.8</v>
      </c>
      <c r="AB51" s="60">
        <f ca="1">ROUND(AA51/Z51,4)</f>
        <v>0.47249999999999998</v>
      </c>
      <c r="AC51" s="60">
        <f ca="1">IF(AB51&lt;=0.3,AB51,IF(AB51&lt;0.8,ROUND(0.52*AB51+0.144,3),0.7*AB51))</f>
        <v>0.39</v>
      </c>
      <c r="AD51" s="81">
        <f t="shared" ref="AD51" ca="1" si="112">ROUND(B$13*AC51/1.4/B$14,3)</f>
        <v>0.27900000000000003</v>
      </c>
      <c r="AE51" s="60">
        <f t="shared" ref="AE51" ca="1" si="113">ROUND(IF($I51&gt;=K$19,D$12,IF($I51&gt;=M$19,D$13+(D$12-D$13)*($I51-0.6*K$19)/0.4/K$19,IF($I51&lt;L$19,D$13+(D$13-1)*($I51-L$19)/L$19,D$13))),3)</f>
        <v>1.6930000000000001</v>
      </c>
      <c r="AF51" s="60">
        <f t="shared" ref="AF51" ca="1" si="114">IF($I51&lt;L$19,ROUND(I$19*(0.4+3*$I51/K$19),3),IF($I51&lt;=K$19,I$19,IF($I51&lt;=2.5*K$19,J$19/$I51,0.4*I$19)))</f>
        <v>0.8</v>
      </c>
      <c r="AG51" s="349">
        <f ca="1">ROUND(AF51/AE51,4)</f>
        <v>0.47249999999999998</v>
      </c>
      <c r="AH51" s="349">
        <f ca="1">IF(AG51&lt;=0.3,AG51,IF(AG51&lt;0.8,ROUND(0.52*AG51+0.144,3),0.7*AG51))</f>
        <v>0.39</v>
      </c>
      <c r="AI51" s="81">
        <f t="shared" ref="AI51" ca="1" si="115">ROUND(B$13*AE51*AH51/4.2/B$14,3)</f>
        <v>0.157</v>
      </c>
      <c r="AJ51" s="60">
        <f t="shared" ref="AJ51" ca="1" si="116">ROUND(IF($I51&gt;=K$21,B$12,IF($I51&gt;=M$21,D$14+(B$12-D$14)*($I51-0.6*K$21)/0.4/K$21,IF($I51&lt;L$21,D$14+(D$14-1)*($I51-L$21)/L$21,D$14))),3)</f>
        <v>1.9490000000000001</v>
      </c>
      <c r="AK51" s="60">
        <f t="shared" ref="AK51" ca="1" si="117">IF($I51&lt;L$21,ROUND(I$21*(0.4+3*$I51/K$21),3),IF($I51&lt;=K$21,I$21,IF($I51&lt;=2.5*K$21,J$21/$I51,0.4*I$21)))</f>
        <v>1</v>
      </c>
      <c r="AL51" s="349">
        <f ca="1">ROUND(AK51/AJ51,4)</f>
        <v>0.5131</v>
      </c>
      <c r="AM51" s="349">
        <f ca="1">IF(AL51&lt;=0.3,AL51,IF(AL51&lt;0.8,ROUND(0.52*AL51+0.144,3),0.7*AL51))</f>
        <v>0.41099999999999998</v>
      </c>
      <c r="AN51" s="81">
        <f t="shared" ref="AN51" ca="1" si="118">ROUND(B$13*AM51/1.4/B$14,3)</f>
        <v>0.29399999999999998</v>
      </c>
      <c r="AO51" s="371">
        <f ca="1">MAX(AN51,AI51,AD51)</f>
        <v>0.29399999999999998</v>
      </c>
      <c r="AP51" s="344">
        <f t="shared" si="21"/>
        <v>1.6930000000000001</v>
      </c>
      <c r="AQ51" s="340">
        <f t="shared" ref="AQ51" si="119">1/8/I51^0.5</f>
        <v>0.27950849718747373</v>
      </c>
      <c r="AR51" s="58">
        <f>IF(AQ51&gt;0.15,0.15,IF(AQ51&lt;0.0625,0.0625,AQ51))</f>
        <v>0.15</v>
      </c>
      <c r="AS51" s="58">
        <f t="shared" si="23"/>
        <v>0.27979875000000004</v>
      </c>
      <c r="AT51" s="58">
        <f t="shared" si="23"/>
        <v>0.21037500000000001</v>
      </c>
      <c r="AU51" s="58">
        <f t="shared" si="23"/>
        <v>0.16830000000000001</v>
      </c>
      <c r="AV51" s="58">
        <f t="shared" si="23"/>
        <v>0.21037500000000001</v>
      </c>
      <c r="AW51" s="58">
        <f t="shared" si="58"/>
        <v>0.70685999999999993</v>
      </c>
      <c r="AX51" s="58">
        <f t="shared" si="24"/>
        <v>0.78932700000000011</v>
      </c>
      <c r="AY51" s="340">
        <f t="shared" si="25"/>
        <v>1.5491933384829668</v>
      </c>
      <c r="AZ51" s="58">
        <f t="shared" si="26"/>
        <v>2.5</v>
      </c>
      <c r="BA51" s="58">
        <f>AZ51/AY51</f>
        <v>1.6137430609197569</v>
      </c>
      <c r="BB51" s="58">
        <f>IF(BA51&gt;1,1,BA51)</f>
        <v>1</v>
      </c>
      <c r="BC51" s="58">
        <f t="shared" si="28"/>
        <v>0.82500000000000007</v>
      </c>
      <c r="BD51" s="58">
        <f t="shared" si="60"/>
        <v>0.2203928571428572</v>
      </c>
      <c r="BE51" s="58">
        <f t="shared" si="29"/>
        <v>0.82500000000000007</v>
      </c>
      <c r="BF51" s="58">
        <f t="shared" si="61"/>
        <v>0.2203928571428572</v>
      </c>
      <c r="BG51" s="58">
        <f t="shared" ca="1" si="30"/>
        <v>0.8</v>
      </c>
      <c r="BH51" s="58">
        <f t="shared" ca="1" si="31"/>
        <v>1</v>
      </c>
      <c r="BI51" s="341">
        <f t="shared" ca="1" si="32"/>
        <v>0.27488999999999997</v>
      </c>
      <c r="BJ51" s="64">
        <f t="shared" ca="1" si="33"/>
        <v>0.47599999999999998</v>
      </c>
      <c r="BK51" s="63">
        <f t="shared" si="34"/>
        <v>0.2</v>
      </c>
      <c r="BL51" s="64">
        <f t="shared" ca="1" si="35"/>
        <v>466.95599999999996</v>
      </c>
    </row>
    <row r="52" spans="8:65" ht="20.25" customHeight="1">
      <c r="H52" s="43"/>
      <c r="I52" s="344">
        <f ca="1">ROUND((I48+I55)/2,2)</f>
        <v>0.32</v>
      </c>
      <c r="J52" s="63">
        <f t="shared" ca="1" si="0"/>
        <v>1.6930000000000001</v>
      </c>
      <c r="K52" s="63">
        <f t="shared" ca="1" si="1"/>
        <v>0.97499999999999998</v>
      </c>
      <c r="L52" s="63">
        <f t="shared" ca="1" si="2"/>
        <v>0.57589999999999997</v>
      </c>
      <c r="M52" s="63">
        <f t="shared" ca="1" si="3"/>
        <v>0.443</v>
      </c>
      <c r="N52" s="81">
        <f t="shared" ca="1" si="4"/>
        <v>0.316</v>
      </c>
      <c r="O52" s="60">
        <f t="shared" ca="1" si="5"/>
        <v>1.6930000000000001</v>
      </c>
      <c r="P52" s="60">
        <f t="shared" ca="1" si="6"/>
        <v>0.8</v>
      </c>
      <c r="Q52" s="60">
        <f t="shared" ca="1" si="7"/>
        <v>0.47249999999999998</v>
      </c>
      <c r="R52" s="60">
        <f t="shared" ca="1" si="8"/>
        <v>0.39</v>
      </c>
      <c r="S52" s="81">
        <f t="shared" ca="1" si="9"/>
        <v>0.157</v>
      </c>
      <c r="T52" s="60">
        <f t="shared" ca="1" si="10"/>
        <v>1.9490000000000001</v>
      </c>
      <c r="U52" s="60">
        <f t="shared" ca="1" si="11"/>
        <v>1.24498</v>
      </c>
      <c r="V52" s="60">
        <f t="shared" ca="1" si="12"/>
        <v>0.63880000000000003</v>
      </c>
      <c r="W52" s="60">
        <f t="shared" ca="1" si="13"/>
        <v>0.47599999999999998</v>
      </c>
      <c r="X52" s="81">
        <f t="shared" ca="1" si="14"/>
        <v>0.34</v>
      </c>
      <c r="Y52" s="333">
        <f t="shared" ca="1" si="62"/>
        <v>0.34</v>
      </c>
      <c r="Z52" s="63">
        <f t="shared" ca="1" si="63"/>
        <v>1.6930000000000001</v>
      </c>
      <c r="AA52" s="63">
        <f t="shared" ca="1" si="64"/>
        <v>0.8</v>
      </c>
      <c r="AB52" s="63">
        <f t="shared" ref="AB52" ca="1" si="120">ROUND(AA52/Z52,4)</f>
        <v>0.47249999999999998</v>
      </c>
      <c r="AC52" s="63">
        <f t="shared" ref="AC52" ca="1" si="121">IF(AB52&lt;=0.3,AB52,IF(AB52&lt;0.8,ROUND(0.52*AB52+0.144,3),0.7*AB52))</f>
        <v>0.39</v>
      </c>
      <c r="AD52" s="81">
        <f t="shared" ca="1" si="65"/>
        <v>0.27900000000000003</v>
      </c>
      <c r="AE52" s="60">
        <f t="shared" ca="1" si="66"/>
        <v>1.6930000000000001</v>
      </c>
      <c r="AF52" s="60">
        <f t="shared" ca="1" si="67"/>
        <v>0.8</v>
      </c>
      <c r="AG52" s="60">
        <f t="shared" ref="AG52" ca="1" si="122">ROUND(AF52/AE52,4)</f>
        <v>0.47249999999999998</v>
      </c>
      <c r="AH52" s="60">
        <f t="shared" ref="AH52" ca="1" si="123">IF(AG52&lt;=0.3,AG52,IF(AG52&lt;0.8,ROUND(0.52*AG52+0.144,3),0.7*AG52))</f>
        <v>0.39</v>
      </c>
      <c r="AI52" s="81">
        <f t="shared" ca="1" si="68"/>
        <v>0.157</v>
      </c>
      <c r="AJ52" s="60">
        <f t="shared" ca="1" si="69"/>
        <v>1.9490000000000001</v>
      </c>
      <c r="AK52" s="60">
        <f t="shared" ca="1" si="70"/>
        <v>1</v>
      </c>
      <c r="AL52" s="60">
        <f t="shared" ref="AL52" ca="1" si="124">ROUND(AK52/AJ52,4)</f>
        <v>0.5131</v>
      </c>
      <c r="AM52" s="60">
        <f t="shared" ref="AM52" ca="1" si="125">IF(AL52&lt;=0.3,AL52,IF(AL52&lt;0.8,ROUND(0.52*AL52+0.144,3),0.7*AL52))</f>
        <v>0.41099999999999998</v>
      </c>
      <c r="AN52" s="81">
        <f t="shared" ca="1" si="71"/>
        <v>0.29399999999999998</v>
      </c>
      <c r="AO52" s="333">
        <f t="shared" ref="AO52" ca="1" si="126">MAX(AN52,AI52,AD52)</f>
        <v>0.29399999999999998</v>
      </c>
      <c r="AP52" s="344">
        <f t="shared" ca="1" si="21"/>
        <v>1.6930000000000001</v>
      </c>
      <c r="AQ52" s="340">
        <f t="shared" ca="1" si="22"/>
        <v>0.22097086912079611</v>
      </c>
      <c r="AR52" s="58">
        <f t="shared" ca="1" si="73"/>
        <v>0.15</v>
      </c>
      <c r="AS52" s="58">
        <f t="shared" ca="1" si="23"/>
        <v>0.27979875000000004</v>
      </c>
      <c r="AT52" s="58">
        <f t="shared" ca="1" si="23"/>
        <v>0.21037500000000001</v>
      </c>
      <c r="AU52" s="58">
        <f t="shared" ca="1" si="23"/>
        <v>0.16830000000000001</v>
      </c>
      <c r="AV52" s="58">
        <f t="shared" ca="1" si="23"/>
        <v>0.21037500000000001</v>
      </c>
      <c r="AW52" s="58">
        <f t="shared" ca="1" si="58"/>
        <v>0.70685999999999993</v>
      </c>
      <c r="AX52" s="58">
        <f t="shared" ca="1" si="24"/>
        <v>0.78932700000000011</v>
      </c>
      <c r="AY52" s="340">
        <f t="shared" ca="1" si="25"/>
        <v>1.5491933384829668</v>
      </c>
      <c r="AZ52" s="58">
        <f t="shared" ca="1" si="26"/>
        <v>2.5</v>
      </c>
      <c r="BA52" s="58">
        <f t="shared" ca="1" si="27"/>
        <v>1.6137430609197569</v>
      </c>
      <c r="BB52" s="58">
        <f t="shared" ca="1" si="74"/>
        <v>1</v>
      </c>
      <c r="BC52" s="58">
        <f t="shared" ca="1" si="28"/>
        <v>0.82500000000000007</v>
      </c>
      <c r="BD52" s="58">
        <f t="shared" ca="1" si="60"/>
        <v>0.2203928571428572</v>
      </c>
      <c r="BE52" s="58">
        <f t="shared" ca="1" si="29"/>
        <v>0.82500000000000007</v>
      </c>
      <c r="BF52" s="58">
        <f t="shared" ca="1" si="61"/>
        <v>0.2203928571428572</v>
      </c>
      <c r="BG52" s="58">
        <f t="shared" ca="1" si="30"/>
        <v>0.8</v>
      </c>
      <c r="BH52" s="58">
        <f t="shared" ca="1" si="31"/>
        <v>1</v>
      </c>
      <c r="BI52" s="341">
        <f t="shared" ca="1" si="32"/>
        <v>0.27488999999999997</v>
      </c>
      <c r="BJ52" s="64">
        <f t="shared" ca="1" si="33"/>
        <v>0.47599999999999998</v>
      </c>
      <c r="BK52" s="63">
        <f t="shared" ca="1" si="34"/>
        <v>0.32</v>
      </c>
      <c r="BL52" s="209">
        <f t="shared" ca="1" si="35"/>
        <v>466.95599999999996</v>
      </c>
    </row>
    <row r="53" spans="8:65" ht="16">
      <c r="H53" s="43"/>
      <c r="I53" s="344">
        <v>0.25</v>
      </c>
      <c r="J53" s="63">
        <f t="shared" ref="J53" ca="1" si="127">ROUND(IF($I53&gt;=D$17,D$12,IF($I53&gt;=F$17,D$13+(D$12-D$13)*($I53-0.6*D$17)/0.4/D$17,IF($I53&lt;E$17,D$13+(D$13-1)*($I53-E$17)/E$17,D$13))),3)</f>
        <v>1.6930000000000001</v>
      </c>
      <c r="K53" s="63">
        <f t="shared" ref="K53" ca="1" si="128">IF($I53&lt;E$17,ROUND(B$17*(0.4+3*$I53/D$17),3),IF($I53&lt;=D$17,B$17,IF($I53&lt;=2.5*D$17,C$17/$I53,0.4*B$17)))</f>
        <v>0.97499999999999998</v>
      </c>
      <c r="L53" s="63">
        <f t="shared" ref="L53" ca="1" si="129">ROUND(K53/J53,4)</f>
        <v>0.57589999999999997</v>
      </c>
      <c r="M53" s="63">
        <f t="shared" ref="M53" ca="1" si="130">IF(L53&lt;=0.3,L53,IF(L53&lt;0.8,ROUND(0.52*L53+0.144,3),0.7*L53))</f>
        <v>0.443</v>
      </c>
      <c r="N53" s="81">
        <f t="shared" ref="N53" ca="1" si="131">ROUND(B$13*M53/1.4/B$14,3)</f>
        <v>0.316</v>
      </c>
      <c r="O53" s="60">
        <f t="shared" ref="O53" ca="1" si="132">ROUND(IF($I53&gt;=D$19,D$12,IF($I53&gt;=F$19,D$13+(D$12-D$13)*($I53-0.6*D$19)/0.4/D$19,IF($I53&lt;E$19,D$13+(D$13-1)*($I53-E$19)/E$19,D$13))),3)</f>
        <v>1.6930000000000001</v>
      </c>
      <c r="P53" s="60">
        <f t="shared" ref="P53" ca="1" si="133">IF($I53&lt;E$19,ROUND(B$19*(0.4+3*$I53/D$19),3),IF($I53&lt;=D$19,B$19,IF($I53&lt;=2.5*D$19,C$19/$I53,0.4*B$19)))</f>
        <v>0.8</v>
      </c>
      <c r="Q53" s="60">
        <f t="shared" ref="Q53" ca="1" si="134">ROUND(P53/O53,4)</f>
        <v>0.47249999999999998</v>
      </c>
      <c r="R53" s="60">
        <f t="shared" ref="R53" ca="1" si="135">IF(Q53&lt;=0.3,Q53,IF(Q53&lt;0.8,ROUND(0.52*Q53+0.144,3),0.7*Q53))</f>
        <v>0.39</v>
      </c>
      <c r="S53" s="81">
        <f t="shared" ref="S53" ca="1" si="136">ROUND(B$13*O53*R53/4.2/B$14,3)</f>
        <v>0.157</v>
      </c>
      <c r="T53" s="60">
        <f t="shared" ref="T53" ca="1" si="137">ROUND(IF($I53&gt;=D$21,B$12,IF($I53&gt;=F$21,D$14+(B$12-D$14)*($I53-0.6*D$21)/0.4/D$21,IF($I53&lt;E$21,D$14+(D$14-1)*($I53-E$21)/E$21,D$14))),3)</f>
        <v>1.9490000000000001</v>
      </c>
      <c r="U53" s="60">
        <f t="shared" ref="U53" ca="1" si="138">IF($I53&lt;E$21,ROUND(B$21*(0.4+3*$I53/D$21),3),IF($I53&lt;=D$21,B$21,IF($I53&lt;=2.5*D$21,C$21/$I53,0.4*B$21)))</f>
        <v>1.24498</v>
      </c>
      <c r="V53" s="60">
        <f t="shared" ref="V53" ca="1" si="139">ROUND(U53/T53,4)</f>
        <v>0.63880000000000003</v>
      </c>
      <c r="W53" s="60">
        <f t="shared" ref="W53" ca="1" si="140">IF(V53&lt;=0.3,V53,IF(V53&lt;0.8,ROUND(0.52*V53+0.144,3),0.7*V53))</f>
        <v>0.47599999999999998</v>
      </c>
      <c r="X53" s="81">
        <f t="shared" ref="X53" ca="1" si="141">ROUND(B$13*W53/1.4/B$14,3)</f>
        <v>0.34</v>
      </c>
      <c r="Y53" s="333">
        <f t="shared" ref="Y53" ca="1" si="142">MAX(X53,S53,N53)</f>
        <v>0.34</v>
      </c>
      <c r="Z53" s="63">
        <f t="shared" ref="Z53" ca="1" si="143">ROUND(IF($I53&gt;=K$17,D$12,IF($I53&gt;=M$17,D$13+(D$12-D$13)*($I53-0.6*K$17)/0.4/K$17,IF($I53&lt;L$17,D$13+(D$13-1)*($I53-L$17)/L$17,D$13))),3)</f>
        <v>1.6930000000000001</v>
      </c>
      <c r="AA53" s="63">
        <f t="shared" ref="AA53" ca="1" si="144">IF($I53&lt;L$17,ROUND(I$17*(0.4+3*$I53/K$17),3),IF($I53&lt;=K$17,I$17,IF($I53&lt;=2.5*K$17,J$17/$I53,0.4*I$17)))</f>
        <v>0.8</v>
      </c>
      <c r="AB53" s="63">
        <f t="shared" ref="AB53" ca="1" si="145">ROUND(AA53/Z53,4)</f>
        <v>0.47249999999999998</v>
      </c>
      <c r="AC53" s="63">
        <f t="shared" ref="AC53" ca="1" si="146">IF(AB53&lt;=0.3,AB53,IF(AB53&lt;0.8,ROUND(0.52*AB53+0.144,3),0.7*AB53))</f>
        <v>0.39</v>
      </c>
      <c r="AD53" s="81">
        <f t="shared" ref="AD53" ca="1" si="147">ROUND(B$13*AC53/1.4/B$14,3)</f>
        <v>0.27900000000000003</v>
      </c>
      <c r="AE53" s="60">
        <f t="shared" ref="AE53" ca="1" si="148">ROUND(IF($I53&gt;=K$19,D$12,IF($I53&gt;=M$19,D$13+(D$12-D$13)*($I53-0.6*K$19)/0.4/K$19,IF($I53&lt;L$19,D$13+(D$13-1)*($I53-L$19)/L$19,D$13))),3)</f>
        <v>1.6930000000000001</v>
      </c>
      <c r="AF53" s="60">
        <f t="shared" ref="AF53" ca="1" si="149">IF($I53&lt;L$19,ROUND(I$19*(0.4+3*$I53/K$19),3),IF($I53&lt;=K$19,I$19,IF($I53&lt;=2.5*K$19,J$19/$I53,0.4*I$19)))</f>
        <v>0.8</v>
      </c>
      <c r="AG53" s="60">
        <f t="shared" ref="AG53" ca="1" si="150">ROUND(AF53/AE53,4)</f>
        <v>0.47249999999999998</v>
      </c>
      <c r="AH53" s="60">
        <f t="shared" ref="AH53" ca="1" si="151">IF(AG53&lt;=0.3,AG53,IF(AG53&lt;0.8,ROUND(0.52*AG53+0.144,3),0.7*AG53))</f>
        <v>0.39</v>
      </c>
      <c r="AI53" s="81">
        <f t="shared" ref="AI53" ca="1" si="152">ROUND(B$13*AE53*AH53/4.2/B$14,3)</f>
        <v>0.157</v>
      </c>
      <c r="AJ53" s="60">
        <f t="shared" ref="AJ53" ca="1" si="153">ROUND(IF($I53&gt;=K$21,B$12,IF($I53&gt;=M$21,D$14+(B$12-D$14)*($I53-0.6*K$21)/0.4/K$21,IF($I53&lt;L$21,D$14+(D$14-1)*($I53-L$21)/L$21,D$14))),3)</f>
        <v>1.9490000000000001</v>
      </c>
      <c r="AK53" s="60">
        <f t="shared" ref="AK53" ca="1" si="154">IF($I53&lt;L$21,ROUND(I$21*(0.4+3*$I53/K$21),3),IF($I53&lt;=K$21,I$21,IF($I53&lt;=2.5*K$21,J$21/$I53,0.4*I$21)))</f>
        <v>1</v>
      </c>
      <c r="AL53" s="60">
        <f t="shared" ref="AL53" ca="1" si="155">ROUND(AK53/AJ53,4)</f>
        <v>0.5131</v>
      </c>
      <c r="AM53" s="60">
        <f t="shared" ref="AM53" ca="1" si="156">IF(AL53&lt;=0.3,AL53,IF(AL53&lt;0.8,ROUND(0.52*AL53+0.144,3),0.7*AL53))</f>
        <v>0.41099999999999998</v>
      </c>
      <c r="AN53" s="81">
        <f t="shared" ref="AN53" ca="1" si="157">ROUND(B$13*AM53/1.4/B$14,3)</f>
        <v>0.29399999999999998</v>
      </c>
      <c r="AO53" s="333">
        <f t="shared" ref="AO53" ca="1" si="158">MAX(AN53,AI53,AD53)</f>
        <v>0.29399999999999998</v>
      </c>
      <c r="AP53" s="344">
        <f t="shared" si="21"/>
        <v>1.6930000000000001</v>
      </c>
      <c r="AQ53" s="340">
        <f t="shared" ref="AQ53" si="159">1/8/I53^0.5</f>
        <v>0.25</v>
      </c>
      <c r="AR53" s="58">
        <f t="shared" ref="AR53" si="160">IF(AQ53&gt;0.15,0.15,IF(AQ53&lt;0.0625,0.0625,AQ53))</f>
        <v>0.15</v>
      </c>
      <c r="AS53" s="58">
        <f t="shared" si="23"/>
        <v>0.27979875000000004</v>
      </c>
      <c r="AT53" s="58">
        <f t="shared" si="23"/>
        <v>0.21037500000000001</v>
      </c>
      <c r="AU53" s="58">
        <f t="shared" si="23"/>
        <v>0.16830000000000001</v>
      </c>
      <c r="AV53" s="58">
        <f t="shared" si="23"/>
        <v>0.21037500000000001</v>
      </c>
      <c r="AW53" s="58">
        <f t="shared" si="58"/>
        <v>0.70685999999999993</v>
      </c>
      <c r="AX53" s="58">
        <f t="shared" si="24"/>
        <v>0.78932700000000011</v>
      </c>
      <c r="AY53" s="340">
        <f t="shared" si="25"/>
        <v>1.5491933384829668</v>
      </c>
      <c r="AZ53" s="58">
        <f t="shared" si="26"/>
        <v>2.5</v>
      </c>
      <c r="BA53" s="58">
        <f t="shared" ref="BA53" si="161">AZ53/AY53</f>
        <v>1.6137430609197569</v>
      </c>
      <c r="BB53" s="58">
        <f t="shared" ref="BB53" si="162">IF(BA53&gt;1,1,BA53)</f>
        <v>1</v>
      </c>
      <c r="BC53" s="58">
        <f t="shared" si="28"/>
        <v>0.82500000000000007</v>
      </c>
      <c r="BD53" s="58">
        <f t="shared" si="60"/>
        <v>0.2203928571428572</v>
      </c>
      <c r="BE53" s="58">
        <f t="shared" si="29"/>
        <v>0.82500000000000007</v>
      </c>
      <c r="BF53" s="58">
        <f t="shared" si="61"/>
        <v>0.2203928571428572</v>
      </c>
      <c r="BG53" s="58">
        <f t="shared" ca="1" si="30"/>
        <v>0.8</v>
      </c>
      <c r="BH53" s="58">
        <f t="shared" ca="1" si="31"/>
        <v>1</v>
      </c>
      <c r="BI53" s="341">
        <f t="shared" ca="1" si="32"/>
        <v>0.27488999999999997</v>
      </c>
      <c r="BJ53" s="64">
        <f t="shared" ca="1" si="33"/>
        <v>0.47599999999999998</v>
      </c>
      <c r="BK53" s="63">
        <f t="shared" si="34"/>
        <v>0.25</v>
      </c>
      <c r="BL53" s="209">
        <f t="shared" ca="1" si="35"/>
        <v>466.95599999999996</v>
      </c>
    </row>
    <row r="54" spans="8:65" ht="16">
      <c r="H54" s="43"/>
      <c r="I54" s="344">
        <v>0.33300000000000002</v>
      </c>
      <c r="J54" s="63">
        <f t="shared" ca="1" si="0"/>
        <v>1.6930000000000001</v>
      </c>
      <c r="K54" s="63">
        <f t="shared" ca="1" si="1"/>
        <v>0.97499999999999998</v>
      </c>
      <c r="L54" s="63">
        <f ca="1">ROUND(K54/J54,4)</f>
        <v>0.57589999999999997</v>
      </c>
      <c r="M54" s="63">
        <f ca="1">IF(L54&lt;=0.3,L54,IF(L54&lt;0.8,ROUND(0.52*L54+0.144,3),0.7*L54))</f>
        <v>0.443</v>
      </c>
      <c r="N54" s="81">
        <f t="shared" ca="1" si="4"/>
        <v>0.316</v>
      </c>
      <c r="O54" s="60">
        <f t="shared" ca="1" si="5"/>
        <v>1.6930000000000001</v>
      </c>
      <c r="P54" s="60">
        <f t="shared" ca="1" si="6"/>
        <v>0.8</v>
      </c>
      <c r="Q54" s="60">
        <f ca="1">ROUND(P54/O54,4)</f>
        <v>0.47249999999999998</v>
      </c>
      <c r="R54" s="60">
        <f ca="1">IF(Q54&lt;=0.3,Q54,IF(Q54&lt;0.8,ROUND(0.52*Q54+0.144,3),0.7*Q54))</f>
        <v>0.39</v>
      </c>
      <c r="S54" s="81">
        <f t="shared" ca="1" si="9"/>
        <v>0.157</v>
      </c>
      <c r="T54" s="60">
        <f t="shared" ca="1" si="10"/>
        <v>1.9490000000000001</v>
      </c>
      <c r="U54" s="60">
        <f t="shared" ca="1" si="11"/>
        <v>1.24498</v>
      </c>
      <c r="V54" s="60">
        <f ca="1">ROUND(U54/T54,4)</f>
        <v>0.63880000000000003</v>
      </c>
      <c r="W54" s="60">
        <f ca="1">IF(V54&lt;=0.3,V54,IF(V54&lt;0.8,ROUND(0.52*V54+0.144,3),0.7*V54))</f>
        <v>0.47599999999999998</v>
      </c>
      <c r="X54" s="81">
        <f t="shared" ca="1" si="14"/>
        <v>0.34</v>
      </c>
      <c r="Y54" s="333">
        <f ca="1">MAX(X54,S54,N54)</f>
        <v>0.34</v>
      </c>
      <c r="Z54" s="63">
        <f t="shared" ca="1" si="63"/>
        <v>1.6930000000000001</v>
      </c>
      <c r="AA54" s="63">
        <f t="shared" ca="1" si="64"/>
        <v>0.8</v>
      </c>
      <c r="AB54" s="63">
        <f ca="1">ROUND(AA54/Z54,4)</f>
        <v>0.47249999999999998</v>
      </c>
      <c r="AC54" s="63">
        <f ca="1">IF(AB54&lt;=0.3,AB54,IF(AB54&lt;0.8,ROUND(0.52*AB54+0.144,3),0.7*AB54))</f>
        <v>0.39</v>
      </c>
      <c r="AD54" s="81">
        <f t="shared" ca="1" si="65"/>
        <v>0.27900000000000003</v>
      </c>
      <c r="AE54" s="60">
        <f t="shared" ca="1" si="66"/>
        <v>1.6930000000000001</v>
      </c>
      <c r="AF54" s="60">
        <f t="shared" ca="1" si="67"/>
        <v>0.8</v>
      </c>
      <c r="AG54" s="60">
        <f ca="1">ROUND(AF54/AE54,4)</f>
        <v>0.47249999999999998</v>
      </c>
      <c r="AH54" s="60">
        <f ca="1">IF(AG54&lt;=0.3,AG54,IF(AG54&lt;0.8,ROUND(0.52*AG54+0.144,3),0.7*AG54))</f>
        <v>0.39</v>
      </c>
      <c r="AI54" s="81">
        <f t="shared" ca="1" si="68"/>
        <v>0.157</v>
      </c>
      <c r="AJ54" s="60">
        <f t="shared" ca="1" si="69"/>
        <v>1.9490000000000001</v>
      </c>
      <c r="AK54" s="60">
        <f t="shared" ca="1" si="70"/>
        <v>1</v>
      </c>
      <c r="AL54" s="60">
        <f ca="1">ROUND(AK54/AJ54,4)</f>
        <v>0.5131</v>
      </c>
      <c r="AM54" s="60">
        <f ca="1">IF(AL54&lt;=0.3,AL54,IF(AL54&lt;0.8,ROUND(0.52*AL54+0.144,3),0.7*AL54))</f>
        <v>0.41099999999999998</v>
      </c>
      <c r="AN54" s="81">
        <f t="shared" ca="1" si="71"/>
        <v>0.29399999999999998</v>
      </c>
      <c r="AO54" s="333">
        <f ca="1">MAX(AN54,AI54,AD54)</f>
        <v>0.29399999999999998</v>
      </c>
      <c r="AP54" s="344">
        <f t="shared" si="21"/>
        <v>1.6930000000000001</v>
      </c>
      <c r="AQ54" s="340">
        <f t="shared" si="22"/>
        <v>0.2166146853791818</v>
      </c>
      <c r="AR54" s="58">
        <f>IF(AQ54&gt;0.15,0.15,IF(AQ54&lt;0.0625,0.0625,AQ54))</f>
        <v>0.15</v>
      </c>
      <c r="AS54" s="58">
        <f t="shared" si="23"/>
        <v>0.27979875000000004</v>
      </c>
      <c r="AT54" s="58">
        <f t="shared" si="23"/>
        <v>0.21037500000000001</v>
      </c>
      <c r="AU54" s="58">
        <f t="shared" si="23"/>
        <v>0.16830000000000001</v>
      </c>
      <c r="AV54" s="58">
        <f t="shared" si="23"/>
        <v>0.21037500000000001</v>
      </c>
      <c r="AW54" s="58">
        <f t="shared" si="58"/>
        <v>0.70685999999999993</v>
      </c>
      <c r="AX54" s="58">
        <f t="shared" si="24"/>
        <v>0.78932700000000011</v>
      </c>
      <c r="AY54" s="340">
        <f t="shared" si="25"/>
        <v>1.5491933384829668</v>
      </c>
      <c r="AZ54" s="58">
        <f t="shared" si="26"/>
        <v>2.5</v>
      </c>
      <c r="BA54" s="58">
        <f>AZ54/AY54</f>
        <v>1.6137430609197569</v>
      </c>
      <c r="BB54" s="58">
        <f>IF(BA54&gt;1,1,BA54)</f>
        <v>1</v>
      </c>
      <c r="BC54" s="58">
        <f t="shared" si="28"/>
        <v>0.82500000000000007</v>
      </c>
      <c r="BD54" s="58">
        <f t="shared" si="60"/>
        <v>0.2203928571428572</v>
      </c>
      <c r="BE54" s="58">
        <f t="shared" si="29"/>
        <v>0.82500000000000007</v>
      </c>
      <c r="BF54" s="58">
        <f t="shared" si="61"/>
        <v>0.2203928571428572</v>
      </c>
      <c r="BG54" s="58">
        <f t="shared" ca="1" si="30"/>
        <v>0.8</v>
      </c>
      <c r="BH54" s="58">
        <f t="shared" ca="1" si="31"/>
        <v>1</v>
      </c>
      <c r="BI54" s="341">
        <f t="shared" ca="1" si="32"/>
        <v>0.27488999999999997</v>
      </c>
      <c r="BJ54" s="64">
        <f t="shared" ca="1" si="33"/>
        <v>0.47599999999999998</v>
      </c>
      <c r="BK54" s="63">
        <f t="shared" si="34"/>
        <v>0.33300000000000002</v>
      </c>
      <c r="BL54" s="209">
        <f t="shared" ca="1" si="35"/>
        <v>466.95599999999996</v>
      </c>
    </row>
    <row r="55" spans="8:65" ht="16">
      <c r="H55" s="496" t="s">
        <v>1740</v>
      </c>
      <c r="I55" s="365">
        <f ca="1">MIN(F17,F19,F21)</f>
        <v>0.50627999999999995</v>
      </c>
      <c r="J55" s="351">
        <f t="shared" ca="1" si="0"/>
        <v>1.6930000000000001</v>
      </c>
      <c r="K55" s="351">
        <f t="shared" ca="1" si="1"/>
        <v>0.97499999999999998</v>
      </c>
      <c r="L55" s="351">
        <f ca="1">ROUND(K55/J55,4)</f>
        <v>0.57589999999999997</v>
      </c>
      <c r="M55" s="351">
        <f ca="1">IF(L55&lt;=0.3,L55,IF(L55&lt;0.8,ROUND(0.52*L55+0.144,3),0.7*L55))</f>
        <v>0.443</v>
      </c>
      <c r="N55" s="378">
        <f t="shared" ca="1" si="4"/>
        <v>0.316</v>
      </c>
      <c r="O55" s="351">
        <f t="shared" ca="1" si="5"/>
        <v>1.6930000000000001</v>
      </c>
      <c r="P55" s="351">
        <f t="shared" ca="1" si="6"/>
        <v>0.8</v>
      </c>
      <c r="Q55" s="351">
        <f ca="1">ROUND(P55/O55,4)</f>
        <v>0.47249999999999998</v>
      </c>
      <c r="R55" s="351">
        <f ca="1">IF(Q55&lt;=0.3,Q55,IF(Q55&lt;0.8,ROUND(0.52*Q55+0.144,3),0.7*Q55))</f>
        <v>0.39</v>
      </c>
      <c r="S55" s="378">
        <f t="shared" ca="1" si="9"/>
        <v>0.157</v>
      </c>
      <c r="T55" s="351">
        <f t="shared" ca="1" si="10"/>
        <v>1.9490000000000001</v>
      </c>
      <c r="U55" s="351">
        <f t="shared" ca="1" si="11"/>
        <v>1.24498</v>
      </c>
      <c r="V55" s="351">
        <f ca="1">ROUND(U55/T55,4)</f>
        <v>0.63880000000000003</v>
      </c>
      <c r="W55" s="351">
        <f ca="1">IF(V55&lt;=0.3,V55,IF(V55&lt;0.8,ROUND(0.52*V55+0.144,3),0.7*V55))</f>
        <v>0.47599999999999998</v>
      </c>
      <c r="X55" s="378">
        <f t="shared" ca="1" si="14"/>
        <v>0.34</v>
      </c>
      <c r="Y55" s="352">
        <f ca="1">MAX(X55,S55,N55)</f>
        <v>0.34</v>
      </c>
      <c r="Z55" s="350">
        <f t="shared" ca="1" si="63"/>
        <v>1.7829999999999999</v>
      </c>
      <c r="AA55" s="351">
        <f t="shared" ca="1" si="64"/>
        <v>0.8</v>
      </c>
      <c r="AB55" s="351">
        <f ca="1">ROUND(AA55/Z55,4)</f>
        <v>0.44869999999999999</v>
      </c>
      <c r="AC55" s="351">
        <f ca="1">IF(AB55&lt;=0.3,AB55,IF(AB55&lt;0.8,ROUND(0.52*AB55+0.144,3),0.7*AB55))</f>
        <v>0.377</v>
      </c>
      <c r="AD55" s="378">
        <f t="shared" ca="1" si="65"/>
        <v>0.26900000000000002</v>
      </c>
      <c r="AE55" s="351">
        <f t="shared" ca="1" si="66"/>
        <v>1.7829999999999999</v>
      </c>
      <c r="AF55" s="351">
        <f t="shared" ca="1" si="67"/>
        <v>0.8</v>
      </c>
      <c r="AG55" s="351">
        <f ca="1">ROUND(AF55/AE55,4)</f>
        <v>0.44869999999999999</v>
      </c>
      <c r="AH55" s="351">
        <f ca="1">IF(AG55&lt;=0.3,AG55,IF(AG55&lt;0.8,ROUND(0.52*AG55+0.144,3),0.7*AG55))</f>
        <v>0.377</v>
      </c>
      <c r="AI55" s="378">
        <f t="shared" ca="1" si="68"/>
        <v>0.16</v>
      </c>
      <c r="AJ55" s="351">
        <f t="shared" ca="1" si="69"/>
        <v>2.2160000000000002</v>
      </c>
      <c r="AK55" s="351">
        <f t="shared" ca="1" si="70"/>
        <v>1</v>
      </c>
      <c r="AL55" s="351">
        <f ca="1">ROUND(AK55/AJ55,4)</f>
        <v>0.45129999999999998</v>
      </c>
      <c r="AM55" s="351">
        <f ca="1">IF(AL55&lt;=0.3,AL55,IF(AL55&lt;0.8,ROUND(0.52*AL55+0.144,3),0.7*AL55))</f>
        <v>0.379</v>
      </c>
      <c r="AN55" s="378">
        <f t="shared" ca="1" si="71"/>
        <v>0.27100000000000002</v>
      </c>
      <c r="AO55" s="352">
        <f ca="1">MAX(AN55,AI55,AD55)</f>
        <v>0.27100000000000002</v>
      </c>
      <c r="AP55" s="344">
        <f t="shared" ca="1" si="21"/>
        <v>1.6930000000000001</v>
      </c>
      <c r="AQ55" s="369">
        <f t="shared" ca="1" si="22"/>
        <v>0.17567688706759074</v>
      </c>
      <c r="AR55" s="370">
        <f ca="1">IF(AQ55&gt;0.15,0.15,IF(AQ55&lt;0.0625,0.0625,AQ55))</f>
        <v>0.15</v>
      </c>
      <c r="AS55" s="58">
        <f t="shared" ca="1" si="23"/>
        <v>0.27979875000000004</v>
      </c>
      <c r="AT55" s="58">
        <f t="shared" ca="1" si="23"/>
        <v>0.21037500000000001</v>
      </c>
      <c r="AU55" s="58">
        <f t="shared" ca="1" si="23"/>
        <v>0.16830000000000001</v>
      </c>
      <c r="AV55" s="58">
        <f t="shared" ca="1" si="23"/>
        <v>0.21037500000000001</v>
      </c>
      <c r="AW55" s="58">
        <f t="shared" ca="1" si="58"/>
        <v>0.70685999999999993</v>
      </c>
      <c r="AX55" s="58">
        <f t="shared" ca="1" si="24"/>
        <v>0.78932700000000011</v>
      </c>
      <c r="AY55" s="369">
        <f t="shared" ca="1" si="25"/>
        <v>1.6229635434435916</v>
      </c>
      <c r="AZ55" s="58">
        <f t="shared" ca="1" si="26"/>
        <v>2.5</v>
      </c>
      <c r="BA55" s="370">
        <f ca="1">AZ55/AY55</f>
        <v>1.5403919638857193</v>
      </c>
      <c r="BB55" s="370">
        <f ca="1">IF(BA55&gt;1,1,BA55)</f>
        <v>1</v>
      </c>
      <c r="BC55" s="58">
        <f t="shared" ca="1" si="28"/>
        <v>0.82500000000000007</v>
      </c>
      <c r="BD55" s="58">
        <f t="shared" ca="1" si="60"/>
        <v>0.2203928571428572</v>
      </c>
      <c r="BE55" s="58">
        <f t="shared" ca="1" si="29"/>
        <v>0.82500000000000007</v>
      </c>
      <c r="BF55" s="58">
        <f t="shared" ca="1" si="61"/>
        <v>0.2203928571428572</v>
      </c>
      <c r="BG55" s="58">
        <f t="shared" ca="1" si="30"/>
        <v>0.8</v>
      </c>
      <c r="BH55" s="58">
        <f t="shared" ca="1" si="31"/>
        <v>1</v>
      </c>
      <c r="BI55" s="341">
        <f t="shared" ca="1" si="32"/>
        <v>0.25338500000000003</v>
      </c>
      <c r="BJ55" s="64">
        <f t="shared" ca="1" si="33"/>
        <v>0.47599999999999998</v>
      </c>
      <c r="BK55" s="63">
        <f t="shared" ca="1" si="34"/>
        <v>0.50627999999999995</v>
      </c>
      <c r="BL55" s="64">
        <f t="shared" ca="1" si="35"/>
        <v>466.95599999999996</v>
      </c>
    </row>
    <row r="56" spans="8:65" ht="16">
      <c r="H56" s="496"/>
      <c r="I56" s="365">
        <f ca="1">LARGE(F17:F21,2)</f>
        <v>0.52449999999999997</v>
      </c>
      <c r="J56" s="351">
        <f t="shared" ca="1" si="0"/>
        <v>1.6930000000000001</v>
      </c>
      <c r="K56" s="351">
        <f t="shared" ca="1" si="1"/>
        <v>0.97499999999999998</v>
      </c>
      <c r="L56" s="351">
        <f ca="1">ROUND(K56/J56,4)</f>
        <v>0.57589999999999997</v>
      </c>
      <c r="M56" s="351">
        <f ca="1">IF(L56&lt;=0.3,L56,IF(L56&lt;0.8,ROUND(0.52*L56+0.144,3),0.7*L56))</f>
        <v>0.443</v>
      </c>
      <c r="N56" s="378">
        <f t="shared" ca="1" si="4"/>
        <v>0.316</v>
      </c>
      <c r="O56" s="351">
        <f t="shared" ca="1" si="5"/>
        <v>1.706</v>
      </c>
      <c r="P56" s="351">
        <f t="shared" ca="1" si="6"/>
        <v>0.8</v>
      </c>
      <c r="Q56" s="351">
        <f ca="1">ROUND(P56/O56,4)</f>
        <v>0.46889999999999998</v>
      </c>
      <c r="R56" s="351">
        <f ca="1">IF(Q56&lt;=0.3,Q56,IF(Q56&lt;0.8,ROUND(0.52*Q56+0.144,3),0.7*Q56))</f>
        <v>0.38800000000000001</v>
      </c>
      <c r="S56" s="378">
        <f t="shared" ca="1" si="9"/>
        <v>0.158</v>
      </c>
      <c r="T56" s="351">
        <f t="shared" ca="1" si="10"/>
        <v>1.9490000000000001</v>
      </c>
      <c r="U56" s="351">
        <f t="shared" ca="1" si="11"/>
        <v>1.24498</v>
      </c>
      <c r="V56" s="351">
        <f ca="1">ROUND(U56/T56,4)</f>
        <v>0.63880000000000003</v>
      </c>
      <c r="W56" s="351">
        <f ca="1">IF(V56&lt;=0.3,V56,IF(V56&lt;0.8,ROUND(0.52*V56+0.144,3),0.7*V56))</f>
        <v>0.47599999999999998</v>
      </c>
      <c r="X56" s="378">
        <f t="shared" ca="1" si="14"/>
        <v>0.34</v>
      </c>
      <c r="Y56" s="352">
        <f ca="1">MAX(X56,S56,N56)</f>
        <v>0.34</v>
      </c>
      <c r="Z56" s="350">
        <f t="shared" ca="1" si="63"/>
        <v>1.7989999999999999</v>
      </c>
      <c r="AA56" s="351">
        <f t="shared" ca="1" si="64"/>
        <v>0.8</v>
      </c>
      <c r="AB56" s="351">
        <f ca="1">ROUND(AA56/Z56,4)</f>
        <v>0.44469999999999998</v>
      </c>
      <c r="AC56" s="351">
        <f ca="1">IF(AB56&lt;=0.3,AB56,IF(AB56&lt;0.8,ROUND(0.52*AB56+0.144,3),0.7*AB56))</f>
        <v>0.375</v>
      </c>
      <c r="AD56" s="378">
        <f t="shared" ca="1" si="65"/>
        <v>0.26800000000000002</v>
      </c>
      <c r="AE56" s="351">
        <f t="shared" ca="1" si="66"/>
        <v>1.7989999999999999</v>
      </c>
      <c r="AF56" s="351">
        <f t="shared" ca="1" si="67"/>
        <v>0.8</v>
      </c>
      <c r="AG56" s="351">
        <f ca="1">ROUND(AF56/AE56,4)</f>
        <v>0.44469999999999998</v>
      </c>
      <c r="AH56" s="351">
        <f ca="1">IF(AG56&lt;=0.3,AG56,IF(AG56&lt;0.8,ROUND(0.52*AG56+0.144,3),0.7*AG56))</f>
        <v>0.375</v>
      </c>
      <c r="AI56" s="378">
        <f t="shared" ca="1" si="68"/>
        <v>0.161</v>
      </c>
      <c r="AJ56" s="351">
        <f t="shared" ca="1" si="69"/>
        <v>2.25</v>
      </c>
      <c r="AK56" s="351">
        <f t="shared" ca="1" si="70"/>
        <v>1</v>
      </c>
      <c r="AL56" s="351">
        <f ca="1">ROUND(AK56/AJ56,4)</f>
        <v>0.44440000000000002</v>
      </c>
      <c r="AM56" s="351">
        <f ca="1">IF(AL56&lt;=0.3,AL56,IF(AL56&lt;0.8,ROUND(0.52*AL56+0.144,3),0.7*AL56))</f>
        <v>0.375</v>
      </c>
      <c r="AN56" s="378">
        <f t="shared" ca="1" si="71"/>
        <v>0.26800000000000002</v>
      </c>
      <c r="AO56" s="352">
        <f ca="1">MAX(AN56,AI56,AD56)</f>
        <v>0.26800000000000002</v>
      </c>
      <c r="AP56" s="344">
        <f t="shared" ca="1" si="21"/>
        <v>1.6930000000000001</v>
      </c>
      <c r="AQ56" s="369">
        <f t="shared" ca="1" si="22"/>
        <v>0.17259859922306872</v>
      </c>
      <c r="AR56" s="370">
        <f ca="1">IF(AQ56&gt;0.15,0.15,IF(AQ56&lt;0.0625,0.0625,AQ56))</f>
        <v>0.15</v>
      </c>
      <c r="AS56" s="58">
        <f t="shared" ca="1" si="23"/>
        <v>0.27979875000000004</v>
      </c>
      <c r="AT56" s="58">
        <f t="shared" ca="1" si="23"/>
        <v>0.21037500000000001</v>
      </c>
      <c r="AU56" s="58">
        <f t="shared" ca="1" si="23"/>
        <v>0.16830000000000001</v>
      </c>
      <c r="AV56" s="58">
        <f t="shared" ca="1" si="23"/>
        <v>0.21037500000000001</v>
      </c>
      <c r="AW56" s="58">
        <f t="shared" ca="1" si="58"/>
        <v>0.70685999999999993</v>
      </c>
      <c r="AX56" s="58">
        <f t="shared" ca="1" si="24"/>
        <v>0.78932700000000011</v>
      </c>
      <c r="AY56" s="369">
        <f t="shared" ca="1" si="25"/>
        <v>1.6363669452623251</v>
      </c>
      <c r="AZ56" s="58">
        <f t="shared" ca="1" si="26"/>
        <v>2.5</v>
      </c>
      <c r="BA56" s="370">
        <f ca="1">AZ56/AY56</f>
        <v>1.5277746884573169</v>
      </c>
      <c r="BB56" s="370">
        <f ca="1">IF(BA56&gt;1,1,BA56)</f>
        <v>1</v>
      </c>
      <c r="BC56" s="58">
        <f t="shared" ca="1" si="28"/>
        <v>0.82500000000000007</v>
      </c>
      <c r="BD56" s="58">
        <f t="shared" ca="1" si="60"/>
        <v>0.2203928571428572</v>
      </c>
      <c r="BE56" s="58">
        <f t="shared" ca="1" si="29"/>
        <v>0.82500000000000007</v>
      </c>
      <c r="BF56" s="58">
        <f t="shared" ca="1" si="61"/>
        <v>0.2203928571428572</v>
      </c>
      <c r="BG56" s="58">
        <f t="shared" ca="1" si="30"/>
        <v>0.8</v>
      </c>
      <c r="BH56" s="58">
        <f t="shared" ca="1" si="31"/>
        <v>1</v>
      </c>
      <c r="BI56" s="341">
        <f t="shared" ca="1" si="32"/>
        <v>0.25058000000000002</v>
      </c>
      <c r="BJ56" s="69">
        <f t="shared" ca="1" si="33"/>
        <v>0.47599999999999998</v>
      </c>
      <c r="BK56" s="68">
        <f t="shared" ca="1" si="34"/>
        <v>0.52449999999999997</v>
      </c>
      <c r="BL56" s="69">
        <f t="shared" ca="1" si="35"/>
        <v>466.95599999999996</v>
      </c>
    </row>
    <row r="57" spans="8:65" ht="16">
      <c r="H57" s="496"/>
      <c r="I57" s="365">
        <f ca="1">MAX(F17,F19,F21)</f>
        <v>0.5575</v>
      </c>
      <c r="J57" s="351">
        <f t="shared" ca="1" si="0"/>
        <v>1.716</v>
      </c>
      <c r="K57" s="351">
        <f t="shared" ca="1" si="1"/>
        <v>0.97499999999999998</v>
      </c>
      <c r="L57" s="351">
        <f t="shared" ca="1" si="2"/>
        <v>0.56820000000000004</v>
      </c>
      <c r="M57" s="351">
        <f t="shared" ca="1" si="3"/>
        <v>0.439</v>
      </c>
      <c r="N57" s="378">
        <f t="shared" ca="1" si="4"/>
        <v>0.314</v>
      </c>
      <c r="O57" s="351">
        <f t="shared" ca="1" si="5"/>
        <v>1.73</v>
      </c>
      <c r="P57" s="351">
        <f t="shared" ca="1" si="6"/>
        <v>0.8</v>
      </c>
      <c r="Q57" s="351">
        <f t="shared" ca="1" si="7"/>
        <v>0.46239999999999998</v>
      </c>
      <c r="R57" s="351">
        <f t="shared" ca="1" si="8"/>
        <v>0.38400000000000001</v>
      </c>
      <c r="S57" s="378">
        <f t="shared" ca="1" si="9"/>
        <v>0.158</v>
      </c>
      <c r="T57" s="351">
        <f t="shared" ca="1" si="10"/>
        <v>1.9490000000000001</v>
      </c>
      <c r="U57" s="351">
        <f t="shared" ca="1" si="11"/>
        <v>1.24498</v>
      </c>
      <c r="V57" s="351">
        <f t="shared" ca="1" si="12"/>
        <v>0.63880000000000003</v>
      </c>
      <c r="W57" s="351">
        <f t="shared" ca="1" si="13"/>
        <v>0.47599999999999998</v>
      </c>
      <c r="X57" s="378">
        <f t="shared" ca="1" si="14"/>
        <v>0.34</v>
      </c>
      <c r="Y57" s="352">
        <f t="shared" ca="1" si="62"/>
        <v>0.34</v>
      </c>
      <c r="Z57" s="350">
        <f t="shared" ca="1" si="63"/>
        <v>1.829</v>
      </c>
      <c r="AA57" s="351">
        <f t="shared" ca="1" si="64"/>
        <v>0.8</v>
      </c>
      <c r="AB57" s="351">
        <f t="shared" ref="AB57" ca="1" si="163">ROUND(AA57/Z57,4)</f>
        <v>0.43740000000000001</v>
      </c>
      <c r="AC57" s="351">
        <f t="shared" ref="AC57" ca="1" si="164">IF(AB57&lt;=0.3,AB57,IF(AB57&lt;0.8,ROUND(0.52*AB57+0.144,3),0.7*AB57))</f>
        <v>0.371</v>
      </c>
      <c r="AD57" s="378">
        <f t="shared" ca="1" si="65"/>
        <v>0.26500000000000001</v>
      </c>
      <c r="AE57" s="351">
        <f t="shared" ca="1" si="66"/>
        <v>1.829</v>
      </c>
      <c r="AF57" s="351">
        <f t="shared" ca="1" si="67"/>
        <v>0.8</v>
      </c>
      <c r="AG57" s="351">
        <f t="shared" ref="AG57" ca="1" si="165">ROUND(AF57/AE57,4)</f>
        <v>0.43740000000000001</v>
      </c>
      <c r="AH57" s="351">
        <f t="shared" ref="AH57" ca="1" si="166">IF(AG57&lt;=0.3,AG57,IF(AG57&lt;0.8,ROUND(0.52*AG57+0.144,3),0.7*AG57))</f>
        <v>0.371</v>
      </c>
      <c r="AI57" s="378">
        <f t="shared" ca="1" si="68"/>
        <v>0.16200000000000001</v>
      </c>
      <c r="AJ57" s="351">
        <f t="shared" ca="1" si="69"/>
        <v>2.3119999999999998</v>
      </c>
      <c r="AK57" s="351">
        <f t="shared" ca="1" si="70"/>
        <v>1</v>
      </c>
      <c r="AL57" s="351">
        <f t="shared" ref="AL57" ca="1" si="167">ROUND(AK57/AJ57,4)</f>
        <v>0.4325</v>
      </c>
      <c r="AM57" s="351">
        <f t="shared" ref="AM57" ca="1" si="168">IF(AL57&lt;=0.3,AL57,IF(AL57&lt;0.8,ROUND(0.52*AL57+0.144,3),0.7*AL57))</f>
        <v>0.36899999999999999</v>
      </c>
      <c r="AN57" s="378">
        <f t="shared" ca="1" si="71"/>
        <v>0.26400000000000001</v>
      </c>
      <c r="AO57" s="352">
        <f t="shared" ref="AO57" ca="1" si="169">MAX(AN57,AI57,AD57)</f>
        <v>0.26500000000000001</v>
      </c>
      <c r="AP57" s="344">
        <f t="shared" ca="1" si="21"/>
        <v>1.6930000000000001</v>
      </c>
      <c r="AQ57" s="369">
        <f t="shared" ca="1" si="22"/>
        <v>0.16741238254560625</v>
      </c>
      <c r="AR57" s="370">
        <f t="shared" ca="1" si="73"/>
        <v>0.15</v>
      </c>
      <c r="AS57" s="58">
        <f t="shared" ca="1" si="23"/>
        <v>0.27979875000000004</v>
      </c>
      <c r="AT57" s="58">
        <f t="shared" ca="1" si="23"/>
        <v>0.21037500000000001</v>
      </c>
      <c r="AU57" s="58">
        <f t="shared" ca="1" si="23"/>
        <v>0.16830000000000001</v>
      </c>
      <c r="AV57" s="58">
        <f t="shared" ca="1" si="23"/>
        <v>0.21037500000000001</v>
      </c>
      <c r="AW57" s="58">
        <f t="shared" ca="1" si="58"/>
        <v>0.70685999999999993</v>
      </c>
      <c r="AX57" s="58">
        <f t="shared" ca="1" si="24"/>
        <v>0.78932700000000011</v>
      </c>
      <c r="AY57" s="369">
        <f t="shared" ca="1" si="25"/>
        <v>1.6606431395553107</v>
      </c>
      <c r="AZ57" s="58">
        <f t="shared" ca="1" si="26"/>
        <v>2.5</v>
      </c>
      <c r="BA57" s="370">
        <f t="shared" ca="1" si="27"/>
        <v>1.505440838222144</v>
      </c>
      <c r="BB57" s="370">
        <f t="shared" ca="1" si="74"/>
        <v>1</v>
      </c>
      <c r="BC57" s="58">
        <f t="shared" ca="1" si="28"/>
        <v>0.82500000000000007</v>
      </c>
      <c r="BD57" s="58">
        <f t="shared" ca="1" si="60"/>
        <v>0.2203928571428572</v>
      </c>
      <c r="BE57" s="58">
        <f t="shared" ca="1" si="29"/>
        <v>0.82500000000000007</v>
      </c>
      <c r="BF57" s="58">
        <f t="shared" ca="1" si="61"/>
        <v>0.2203928571428572</v>
      </c>
      <c r="BG57" s="58">
        <f t="shared" ca="1" si="30"/>
        <v>0.8</v>
      </c>
      <c r="BH57" s="58">
        <f t="shared" ca="1" si="31"/>
        <v>1</v>
      </c>
      <c r="BI57" s="341">
        <f t="shared" ca="1" si="32"/>
        <v>0.24777500000000002</v>
      </c>
      <c r="BJ57" s="64">
        <f t="shared" ca="1" si="33"/>
        <v>0.47599999999999998</v>
      </c>
      <c r="BK57" s="63">
        <f t="shared" ca="1" si="34"/>
        <v>0.5575</v>
      </c>
      <c r="BL57" s="64">
        <f t="shared" ca="1" si="35"/>
        <v>466.95599999999996</v>
      </c>
    </row>
    <row r="58" spans="8:65" ht="20.25" customHeight="1">
      <c r="H58" s="43"/>
      <c r="I58" s="362">
        <f ca="1">ROUND((I57+I59)/2,2)</f>
        <v>0.51</v>
      </c>
      <c r="J58" s="60">
        <f t="shared" ca="1" si="0"/>
        <v>1.6930000000000001</v>
      </c>
      <c r="K58" s="60">
        <f t="shared" ca="1" si="1"/>
        <v>0.97499999999999998</v>
      </c>
      <c r="L58" s="60">
        <f t="shared" ref="L58:L63" ca="1" si="170">ROUND(K58/J58,4)</f>
        <v>0.57589999999999997</v>
      </c>
      <c r="M58" s="60">
        <f t="shared" ref="M58:M63" ca="1" si="171">IF(L58&lt;=0.3,L58,IF(L58&lt;0.8,ROUND(0.52*L58+0.144,3),0.7*L58))</f>
        <v>0.443</v>
      </c>
      <c r="N58" s="382">
        <f t="shared" ca="1" si="4"/>
        <v>0.316</v>
      </c>
      <c r="O58" s="349">
        <f t="shared" ca="1" si="5"/>
        <v>1.696</v>
      </c>
      <c r="P58" s="349">
        <f t="shared" ca="1" si="6"/>
        <v>0.8</v>
      </c>
      <c r="Q58" s="349">
        <f t="shared" ref="Q58:Q63" ca="1" si="172">ROUND(P58/O58,4)</f>
        <v>0.47170000000000001</v>
      </c>
      <c r="R58" s="349">
        <f t="shared" ref="R58:R63" ca="1" si="173">IF(Q58&lt;=0.3,Q58,IF(Q58&lt;0.8,ROUND(0.52*Q58+0.144,3),0.7*Q58))</f>
        <v>0.38900000000000001</v>
      </c>
      <c r="S58" s="382">
        <f t="shared" ca="1" si="9"/>
        <v>0.157</v>
      </c>
      <c r="T58" s="349">
        <f t="shared" ca="1" si="10"/>
        <v>1.9490000000000001</v>
      </c>
      <c r="U58" s="349">
        <f t="shared" ca="1" si="11"/>
        <v>1.24498</v>
      </c>
      <c r="V58" s="349">
        <f t="shared" ref="V58:V63" ca="1" si="174">ROUND(U58/T58,4)</f>
        <v>0.63880000000000003</v>
      </c>
      <c r="W58" s="349">
        <f t="shared" ref="W58:W63" ca="1" si="175">IF(V58&lt;=0.3,V58,IF(V58&lt;0.8,ROUND(0.52*V58+0.144,3),0.7*V58))</f>
        <v>0.47599999999999998</v>
      </c>
      <c r="X58" s="382">
        <f t="shared" ca="1" si="14"/>
        <v>0.34</v>
      </c>
      <c r="Y58" s="371">
        <f t="shared" ref="Y58:Y63" ca="1" si="176">MAX(X58,S58,N58)</f>
        <v>0.34</v>
      </c>
      <c r="Z58" s="63">
        <f t="shared" ca="1" si="63"/>
        <v>1.7869999999999999</v>
      </c>
      <c r="AA58" s="63">
        <f t="shared" ca="1" si="64"/>
        <v>0.8</v>
      </c>
      <c r="AB58" s="60">
        <f t="shared" ref="AB58:AB63" ca="1" si="177">ROUND(AA58/Z58,4)</f>
        <v>0.44769999999999999</v>
      </c>
      <c r="AC58" s="60">
        <f t="shared" ref="AC58:AC63" ca="1" si="178">IF(AB58&lt;=0.3,AB58,IF(AB58&lt;0.8,ROUND(0.52*AB58+0.144,3),0.7*AB58))</f>
        <v>0.377</v>
      </c>
      <c r="AD58" s="81">
        <f t="shared" ca="1" si="65"/>
        <v>0.26900000000000002</v>
      </c>
      <c r="AE58" s="60">
        <f t="shared" ca="1" si="66"/>
        <v>1.7869999999999999</v>
      </c>
      <c r="AF58" s="60">
        <f t="shared" ca="1" si="67"/>
        <v>0.8</v>
      </c>
      <c r="AG58" s="349">
        <f t="shared" ref="AG58:AG63" ca="1" si="179">ROUND(AF58/AE58,4)</f>
        <v>0.44769999999999999</v>
      </c>
      <c r="AH58" s="349">
        <f t="shared" ref="AH58:AH63" ca="1" si="180">IF(AG58&lt;=0.3,AG58,IF(AG58&lt;0.8,ROUND(0.52*AG58+0.144,3),0.7*AG58))</f>
        <v>0.377</v>
      </c>
      <c r="AI58" s="81">
        <f t="shared" ca="1" si="68"/>
        <v>0.16</v>
      </c>
      <c r="AJ58" s="60">
        <f t="shared" ca="1" si="69"/>
        <v>2.2229999999999999</v>
      </c>
      <c r="AK58" s="60">
        <f t="shared" ca="1" si="70"/>
        <v>1</v>
      </c>
      <c r="AL58" s="349">
        <f t="shared" ref="AL58:AL63" ca="1" si="181">ROUND(AK58/AJ58,4)</f>
        <v>0.44979999999999998</v>
      </c>
      <c r="AM58" s="349">
        <f t="shared" ref="AM58:AM63" ca="1" si="182">IF(AL58&lt;=0.3,AL58,IF(AL58&lt;0.8,ROUND(0.52*AL58+0.144,3),0.7*AL58))</f>
        <v>0.378</v>
      </c>
      <c r="AN58" s="81">
        <f t="shared" ca="1" si="71"/>
        <v>0.27</v>
      </c>
      <c r="AO58" s="371">
        <f t="shared" ref="AO58:AO63" ca="1" si="183">MAX(AN58,AI58,AD58)</f>
        <v>0.27</v>
      </c>
      <c r="AP58" s="344">
        <f t="shared" ca="1" si="21"/>
        <v>1.6930000000000001</v>
      </c>
      <c r="AQ58" s="340">
        <f t="shared" ca="1" si="22"/>
        <v>0.17503501050350123</v>
      </c>
      <c r="AR58" s="58">
        <f t="shared" ref="AR58:AR63" ca="1" si="184">IF(AQ58&gt;0.15,0.15,IF(AQ58&lt;0.0625,0.0625,AQ58))</f>
        <v>0.15</v>
      </c>
      <c r="AS58" s="58">
        <f t="shared" ca="1" si="23"/>
        <v>0.27979875000000004</v>
      </c>
      <c r="AT58" s="58">
        <f t="shared" ca="1" si="23"/>
        <v>0.21037500000000001</v>
      </c>
      <c r="AU58" s="58">
        <f t="shared" ca="1" si="23"/>
        <v>0.16830000000000001</v>
      </c>
      <c r="AV58" s="58">
        <f t="shared" ca="1" si="23"/>
        <v>0.21037500000000001</v>
      </c>
      <c r="AW58" s="58">
        <f t="shared" ca="1" si="58"/>
        <v>0.70685999999999993</v>
      </c>
      <c r="AX58" s="58">
        <f t="shared" ca="1" si="24"/>
        <v>0.78932700000000011</v>
      </c>
      <c r="AY58" s="340">
        <f t="shared" ca="1" si="25"/>
        <v>1.6257001326184373</v>
      </c>
      <c r="AZ58" s="58">
        <f t="shared" ca="1" si="26"/>
        <v>2.5</v>
      </c>
      <c r="BA58" s="58">
        <f t="shared" ref="BA58:BA63" ca="1" si="185">AZ58/AY58</f>
        <v>1.5377989764775191</v>
      </c>
      <c r="BB58" s="58">
        <f t="shared" ref="BB58:BB63" ca="1" si="186">IF(BA58&gt;1,1,BA58)</f>
        <v>1</v>
      </c>
      <c r="BC58" s="58">
        <f t="shared" ca="1" si="28"/>
        <v>0.82500000000000007</v>
      </c>
      <c r="BD58" s="58">
        <f t="shared" ca="1" si="60"/>
        <v>0.2203928571428572</v>
      </c>
      <c r="BE58" s="58">
        <f t="shared" ca="1" si="29"/>
        <v>0.82500000000000007</v>
      </c>
      <c r="BF58" s="58">
        <f t="shared" ca="1" si="61"/>
        <v>0.2203928571428572</v>
      </c>
      <c r="BG58" s="58">
        <f t="shared" ca="1" si="30"/>
        <v>0.8</v>
      </c>
      <c r="BH58" s="58">
        <f t="shared" ca="1" si="31"/>
        <v>1</v>
      </c>
      <c r="BI58" s="341">
        <f t="shared" ca="1" si="32"/>
        <v>0.25245000000000006</v>
      </c>
      <c r="BJ58" s="64">
        <f t="shared" ca="1" si="33"/>
        <v>0.47599999999999998</v>
      </c>
      <c r="BK58" s="63">
        <f t="shared" ca="1" si="34"/>
        <v>0.51</v>
      </c>
      <c r="BL58" s="64">
        <f t="shared" ca="1" si="35"/>
        <v>466.95599999999996</v>
      </c>
    </row>
    <row r="59" spans="8:65" ht="16">
      <c r="H59" s="43"/>
      <c r="I59" s="444">
        <v>0.46500000000000002</v>
      </c>
      <c r="J59" s="60">
        <f t="shared" ref="J59" ca="1" si="187">ROUND(IF($I59&gt;=D$17,D$12,IF($I59&gt;=F$17,D$13+(D$12-D$13)*($I59-0.6*D$17)/0.4/D$17,IF($I59&lt;E$17,D$13+(D$13-1)*($I59-E$17)/E$17,D$13))),3)</f>
        <v>1.6930000000000001</v>
      </c>
      <c r="K59" s="60">
        <f t="shared" ref="K59" ca="1" si="188">IF($I59&lt;E$17,ROUND(B$17*(0.4+3*$I59/D$17),3),IF($I59&lt;=D$17,B$17,IF($I59&lt;=2.5*D$17,C$17/$I59,0.4*B$17)))</f>
        <v>0.97499999999999998</v>
      </c>
      <c r="L59" s="60">
        <f t="shared" ca="1" si="170"/>
        <v>0.57589999999999997</v>
      </c>
      <c r="M59" s="60">
        <f t="shared" ca="1" si="171"/>
        <v>0.443</v>
      </c>
      <c r="N59" s="382">
        <f t="shared" ref="N59" ca="1" si="189">ROUND(B$13*M59/1.4/B$14,3)</f>
        <v>0.316</v>
      </c>
      <c r="O59" s="349">
        <f t="shared" ref="O59" ca="1" si="190">ROUND(IF($I59&gt;=D$19,D$12,IF($I59&gt;=F$19,D$13+(D$12-D$13)*($I59-0.6*D$19)/0.4/D$19,IF($I59&lt;E$19,D$13+(D$13-1)*($I59-E$19)/E$19,D$13))),3)</f>
        <v>1.6930000000000001</v>
      </c>
      <c r="P59" s="349">
        <f t="shared" ref="P59" ca="1" si="191">IF($I59&lt;E$19,ROUND(B$19*(0.4+3*$I59/D$19),3),IF($I59&lt;=D$19,B$19,IF($I59&lt;=2.5*D$19,C$19/$I59,0.4*B$19)))</f>
        <v>0.8</v>
      </c>
      <c r="Q59" s="349">
        <f t="shared" ca="1" si="172"/>
        <v>0.47249999999999998</v>
      </c>
      <c r="R59" s="349">
        <f t="shared" ca="1" si="173"/>
        <v>0.39</v>
      </c>
      <c r="S59" s="382">
        <f t="shared" ref="S59" ca="1" si="192">ROUND(B$13*O59*R59/4.2/B$14,3)</f>
        <v>0.157</v>
      </c>
      <c r="T59" s="349">
        <f t="shared" ref="T59" ca="1" si="193">ROUND(IF($I59&gt;=D$21,B$12,IF($I59&gt;=F$21,D$14+(B$12-D$14)*($I59-0.6*D$21)/0.4/D$21,IF($I59&lt;E$21,D$14+(D$14-1)*($I59-E$21)/E$21,D$14))),3)</f>
        <v>1.9490000000000001</v>
      </c>
      <c r="U59" s="349">
        <f t="shared" ref="U59" ca="1" si="194">IF($I59&lt;E$21,ROUND(B$21*(0.4+3*$I59/D$21),3),IF($I59&lt;=D$21,B$21,IF($I59&lt;=2.5*D$21,C$21/$I59,0.4*B$21)))</f>
        <v>1.24498</v>
      </c>
      <c r="V59" s="349">
        <f t="shared" ca="1" si="174"/>
        <v>0.63880000000000003</v>
      </c>
      <c r="W59" s="349">
        <f t="shared" ca="1" si="175"/>
        <v>0.47599999999999998</v>
      </c>
      <c r="X59" s="382">
        <f t="shared" ref="X59" ca="1" si="195">ROUND(B$13*W59/1.4/B$14,3)</f>
        <v>0.34</v>
      </c>
      <c r="Y59" s="371">
        <f t="shared" ca="1" si="176"/>
        <v>0.34</v>
      </c>
      <c r="Z59" s="63">
        <f t="shared" ref="Z59" ca="1" si="196">ROUND(IF($I59&gt;=K$17,D$12,IF($I59&gt;=M$17,D$13+(D$12-D$13)*($I59-0.6*K$17)/0.4/K$17,IF($I59&lt;L$17,D$13+(D$13-1)*($I59-L$17)/L$17,D$13))),3)</f>
        <v>1.746</v>
      </c>
      <c r="AA59" s="63">
        <f t="shared" ref="AA59" ca="1" si="197">IF($I59&lt;L$17,ROUND(I$17*(0.4+3*$I59/K$17),3),IF($I59&lt;=K$17,I$17,IF($I59&lt;=2.5*K$17,J$17/$I59,0.4*I$17)))</f>
        <v>0.8</v>
      </c>
      <c r="AB59" s="60">
        <f t="shared" ca="1" si="177"/>
        <v>0.4582</v>
      </c>
      <c r="AC59" s="60">
        <f t="shared" ca="1" si="178"/>
        <v>0.38200000000000001</v>
      </c>
      <c r="AD59" s="81">
        <f t="shared" ref="AD59" ca="1" si="198">ROUND(B$13*AC59/1.4/B$14,3)</f>
        <v>0.27300000000000002</v>
      </c>
      <c r="AE59" s="60">
        <f t="shared" ref="AE59" ca="1" si="199">ROUND(IF($I59&gt;=K$19,D$12,IF($I59&gt;=M$19,D$13+(D$12-D$13)*($I59-0.6*K$19)/0.4/K$19,IF($I59&lt;L$19,D$13+(D$13-1)*($I59-L$19)/L$19,D$13))),3)</f>
        <v>1.746</v>
      </c>
      <c r="AF59" s="60">
        <f t="shared" ref="AF59" ca="1" si="200">IF($I59&lt;L$19,ROUND(I$19*(0.4+3*$I59/K$19),3),IF($I59&lt;=K$19,I$19,IF($I59&lt;=2.5*K$19,J$19/$I59,0.4*I$19)))</f>
        <v>0.8</v>
      </c>
      <c r="AG59" s="349">
        <f t="shared" ca="1" si="179"/>
        <v>0.4582</v>
      </c>
      <c r="AH59" s="349">
        <f t="shared" ca="1" si="180"/>
        <v>0.38200000000000001</v>
      </c>
      <c r="AI59" s="81">
        <f t="shared" ref="AI59" ca="1" si="201">ROUND(B$13*AE59*AH59/4.2/B$14,3)</f>
        <v>0.159</v>
      </c>
      <c r="AJ59" s="60">
        <f t="shared" ref="AJ59" ca="1" si="202">ROUND(IF($I59&gt;=K$21,B$12,IF($I59&gt;=M$21,D$14+(B$12-D$14)*($I59-0.6*K$21)/0.4/K$21,IF($I59&lt;L$21,D$14+(D$14-1)*($I59-L$21)/L$21,D$14))),3)</f>
        <v>2.1389999999999998</v>
      </c>
      <c r="AK59" s="60">
        <f t="shared" ref="AK59" ca="1" si="203">IF($I59&lt;L$21,ROUND(I$21*(0.4+3*$I59/K$21),3),IF($I59&lt;=K$21,I$21,IF($I59&lt;=2.5*K$21,J$21/$I59,0.4*I$21)))</f>
        <v>1</v>
      </c>
      <c r="AL59" s="349">
        <f t="shared" ca="1" si="181"/>
        <v>0.46750000000000003</v>
      </c>
      <c r="AM59" s="349">
        <f t="shared" ca="1" si="182"/>
        <v>0.38700000000000001</v>
      </c>
      <c r="AN59" s="81">
        <f t="shared" ref="AN59" ca="1" si="204">ROUND(B$13*AM59/1.4/B$14,3)</f>
        <v>0.27600000000000002</v>
      </c>
      <c r="AO59" s="371">
        <f t="shared" ca="1" si="183"/>
        <v>0.27600000000000002</v>
      </c>
      <c r="AP59" s="344">
        <f t="shared" si="21"/>
        <v>1.6930000000000001</v>
      </c>
      <c r="AQ59" s="340">
        <f t="shared" ref="AQ59" si="205">1/8/I59^0.5</f>
        <v>0.1833088937766916</v>
      </c>
      <c r="AR59" s="58">
        <f t="shared" si="184"/>
        <v>0.15</v>
      </c>
      <c r="AS59" s="58">
        <f t="shared" si="23"/>
        <v>0.27979875000000004</v>
      </c>
      <c r="AT59" s="58">
        <f t="shared" si="23"/>
        <v>0.21037500000000001</v>
      </c>
      <c r="AU59" s="58">
        <f t="shared" si="23"/>
        <v>0.16830000000000001</v>
      </c>
      <c r="AV59" s="58">
        <f t="shared" si="23"/>
        <v>0.21037500000000001</v>
      </c>
      <c r="AW59" s="58">
        <f t="shared" si="58"/>
        <v>0.70685999999999993</v>
      </c>
      <c r="AX59" s="58">
        <f t="shared" si="24"/>
        <v>0.78932700000000011</v>
      </c>
      <c r="AY59" s="340">
        <f t="shared" si="25"/>
        <v>1.5925962313098203</v>
      </c>
      <c r="AZ59" s="58">
        <f t="shared" si="26"/>
        <v>2.5</v>
      </c>
      <c r="BA59" s="58">
        <f t="shared" si="185"/>
        <v>1.569763855301787</v>
      </c>
      <c r="BB59" s="58">
        <f t="shared" si="186"/>
        <v>1</v>
      </c>
      <c r="BC59" s="58">
        <f t="shared" si="28"/>
        <v>0.82500000000000007</v>
      </c>
      <c r="BD59" s="58">
        <f t="shared" si="60"/>
        <v>0.2203928571428572</v>
      </c>
      <c r="BE59" s="58">
        <f t="shared" si="29"/>
        <v>0.82500000000000007</v>
      </c>
      <c r="BF59" s="58">
        <f t="shared" si="61"/>
        <v>0.2203928571428572</v>
      </c>
      <c r="BG59" s="58">
        <f t="shared" ca="1" si="30"/>
        <v>0.8</v>
      </c>
      <c r="BH59" s="58">
        <f t="shared" ca="1" si="31"/>
        <v>1</v>
      </c>
      <c r="BI59" s="341">
        <f t="shared" ca="1" si="32"/>
        <v>0.25806000000000007</v>
      </c>
      <c r="BJ59" s="64">
        <f t="shared" ca="1" si="33"/>
        <v>0.47599999999999998</v>
      </c>
      <c r="BK59" s="63">
        <f t="shared" si="34"/>
        <v>0.46500000000000002</v>
      </c>
      <c r="BL59" s="64">
        <f t="shared" ca="1" si="35"/>
        <v>466.95599999999996</v>
      </c>
    </row>
    <row r="60" spans="8:65" ht="16">
      <c r="H60" s="442"/>
      <c r="I60" s="344">
        <f ca="1">ROUND((I57+I62)/2,2)</f>
        <v>0.7</v>
      </c>
      <c r="J60" s="63">
        <f t="shared" ca="1" si="0"/>
        <v>1.8140000000000001</v>
      </c>
      <c r="K60" s="63">
        <f t="shared" ca="1" si="1"/>
        <v>0.97499999999999998</v>
      </c>
      <c r="L60" s="63">
        <f t="shared" ca="1" si="170"/>
        <v>0.53749999999999998</v>
      </c>
      <c r="M60" s="63">
        <f t="shared" ca="1" si="171"/>
        <v>0.42399999999999999</v>
      </c>
      <c r="N60" s="383">
        <f ca="1">ROUND(B$13*M60/1.4/B$14,3)</f>
        <v>0.30299999999999999</v>
      </c>
      <c r="O60" s="347">
        <f t="shared" ca="1" si="5"/>
        <v>1.831</v>
      </c>
      <c r="P60" s="347">
        <f t="shared" ca="1" si="6"/>
        <v>0.8</v>
      </c>
      <c r="Q60" s="347">
        <f t="shared" ca="1" si="172"/>
        <v>0.43690000000000001</v>
      </c>
      <c r="R60" s="347">
        <f t="shared" ca="1" si="173"/>
        <v>0.371</v>
      </c>
      <c r="S60" s="383">
        <f t="shared" ca="1" si="9"/>
        <v>0.16200000000000001</v>
      </c>
      <c r="T60" s="347">
        <f t="shared" ca="1" si="10"/>
        <v>2.1219999999999999</v>
      </c>
      <c r="U60" s="347">
        <f t="shared" ca="1" si="11"/>
        <v>1.24498</v>
      </c>
      <c r="V60" s="347">
        <f t="shared" ca="1" si="174"/>
        <v>0.5867</v>
      </c>
      <c r="W60" s="347">
        <f t="shared" ca="1" si="175"/>
        <v>0.44900000000000001</v>
      </c>
      <c r="X60" s="383">
        <f t="shared" ca="1" si="14"/>
        <v>0.32100000000000001</v>
      </c>
      <c r="Y60" s="348">
        <f t="shared" ca="1" si="176"/>
        <v>0.32100000000000001</v>
      </c>
      <c r="Z60" s="63">
        <f t="shared" ca="1" si="63"/>
        <v>1.9330000000000001</v>
      </c>
      <c r="AA60" s="63">
        <f t="shared" ca="1" si="64"/>
        <v>0.77142857142857157</v>
      </c>
      <c r="AB60" s="63">
        <f t="shared" ca="1" si="177"/>
        <v>0.39910000000000001</v>
      </c>
      <c r="AC60" s="63">
        <f t="shared" ca="1" si="178"/>
        <v>0.35199999999999998</v>
      </c>
      <c r="AD60" s="81">
        <f t="shared" ca="1" si="65"/>
        <v>0.251</v>
      </c>
      <c r="AE60" s="60">
        <f t="shared" ca="1" si="66"/>
        <v>1.9330000000000001</v>
      </c>
      <c r="AF60" s="60">
        <f t="shared" ca="1" si="67"/>
        <v>0.77142857142857157</v>
      </c>
      <c r="AG60" s="347">
        <f t="shared" ca="1" si="179"/>
        <v>0.39910000000000001</v>
      </c>
      <c r="AH60" s="347">
        <f t="shared" ca="1" si="180"/>
        <v>0.35199999999999998</v>
      </c>
      <c r="AI60" s="81">
        <f t="shared" ca="1" si="68"/>
        <v>0.16200000000000001</v>
      </c>
      <c r="AJ60" s="60">
        <f t="shared" ca="1" si="69"/>
        <v>2.4</v>
      </c>
      <c r="AK60" s="60">
        <f t="shared" ca="1" si="70"/>
        <v>0.86428571428571443</v>
      </c>
      <c r="AL60" s="347">
        <f t="shared" ca="1" si="181"/>
        <v>0.36009999999999998</v>
      </c>
      <c r="AM60" s="347">
        <f t="shared" ca="1" si="182"/>
        <v>0.33100000000000002</v>
      </c>
      <c r="AN60" s="81">
        <f t="shared" ca="1" si="71"/>
        <v>0.23599999999999999</v>
      </c>
      <c r="AO60" s="348">
        <f t="shared" ca="1" si="183"/>
        <v>0.251</v>
      </c>
      <c r="AP60" s="344">
        <f t="shared" ca="1" si="21"/>
        <v>1.6930000000000001</v>
      </c>
      <c r="AQ60" s="340">
        <f t="shared" ca="1" si="22"/>
        <v>0.1494035761667992</v>
      </c>
      <c r="AR60" s="58">
        <f t="shared" ca="1" si="184"/>
        <v>0.1494035761667992</v>
      </c>
      <c r="AS60" s="58">
        <f t="shared" ca="1" si="23"/>
        <v>0.27868622571333473</v>
      </c>
      <c r="AT60" s="58">
        <f t="shared" ca="1" si="23"/>
        <v>0.20953851557393588</v>
      </c>
      <c r="AU60" s="58">
        <f t="shared" ca="1" si="23"/>
        <v>0.16763081245914871</v>
      </c>
      <c r="AV60" s="58">
        <f t="shared" ca="1" si="23"/>
        <v>0.20953851557393588</v>
      </c>
      <c r="AW60" s="58">
        <f t="shared" ca="1" si="58"/>
        <v>0.70404941232842455</v>
      </c>
      <c r="AX60" s="58">
        <f t="shared" ca="1" si="24"/>
        <v>0.78618851043340743</v>
      </c>
      <c r="AY60" s="340">
        <f t="shared" ca="1" si="25"/>
        <v>1.7</v>
      </c>
      <c r="AZ60" s="58">
        <f t="shared" ca="1" si="26"/>
        <v>2.2831817187666879</v>
      </c>
      <c r="BA60" s="58">
        <f t="shared" ca="1" si="185"/>
        <v>1.3430480698627576</v>
      </c>
      <c r="BB60" s="58">
        <f t="shared" ca="1" si="186"/>
        <v>1</v>
      </c>
      <c r="BC60" s="58">
        <f t="shared" ca="1" si="28"/>
        <v>0.75344996719300705</v>
      </c>
      <c r="BD60" s="58">
        <f t="shared" ca="1" si="60"/>
        <v>0.2203928571428572</v>
      </c>
      <c r="BE60" s="58">
        <f t="shared" ca="1" si="29"/>
        <v>0.75344996719300705</v>
      </c>
      <c r="BF60" s="58">
        <f t="shared" ca="1" si="61"/>
        <v>0.2203928571428572</v>
      </c>
      <c r="BG60" s="58">
        <f t="shared" ca="1" si="30"/>
        <v>0.77142857142857157</v>
      </c>
      <c r="BH60" s="58">
        <f t="shared" ca="1" si="31"/>
        <v>0.86428571428571443</v>
      </c>
      <c r="BI60" s="341">
        <f t="shared" ca="1" si="32"/>
        <v>0.234685</v>
      </c>
      <c r="BJ60" s="64">
        <f t="shared" ca="1" si="33"/>
        <v>0.44939999999999997</v>
      </c>
      <c r="BK60" s="63">
        <f t="shared" ca="1" si="34"/>
        <v>0.7</v>
      </c>
      <c r="BL60" s="64">
        <f t="shared" ca="1" si="35"/>
        <v>440.86139999999995</v>
      </c>
      <c r="BM60" s="209" t="e">
        <f>#REF!/#REF!</f>
        <v>#REF!</v>
      </c>
    </row>
    <row r="61" spans="8:65" ht="16">
      <c r="H61" s="442"/>
      <c r="I61" s="344">
        <f ca="1">MIN(I62,ROUND((I60+I63)/2,2))</f>
        <v>0.7</v>
      </c>
      <c r="J61" s="63">
        <f t="shared" ca="1" si="0"/>
        <v>1.8140000000000001</v>
      </c>
      <c r="K61" s="63">
        <f t="shared" ca="1" si="1"/>
        <v>0.97499999999999998</v>
      </c>
      <c r="L61" s="63">
        <f t="shared" ca="1" si="170"/>
        <v>0.53749999999999998</v>
      </c>
      <c r="M61" s="63">
        <f t="shared" ca="1" si="171"/>
        <v>0.42399999999999999</v>
      </c>
      <c r="N61" s="383">
        <f t="shared" ca="1" si="4"/>
        <v>0.30299999999999999</v>
      </c>
      <c r="O61" s="349">
        <f t="shared" ca="1" si="5"/>
        <v>1.831</v>
      </c>
      <c r="P61" s="349">
        <f t="shared" ca="1" si="6"/>
        <v>0.8</v>
      </c>
      <c r="Q61" s="349">
        <f t="shared" ca="1" si="172"/>
        <v>0.43690000000000001</v>
      </c>
      <c r="R61" s="349">
        <f t="shared" ca="1" si="173"/>
        <v>0.371</v>
      </c>
      <c r="S61" s="382">
        <f t="shared" ca="1" si="9"/>
        <v>0.16200000000000001</v>
      </c>
      <c r="T61" s="347">
        <f t="shared" ca="1" si="10"/>
        <v>2.1219999999999999</v>
      </c>
      <c r="U61" s="347">
        <f t="shared" ca="1" si="11"/>
        <v>1.24498</v>
      </c>
      <c r="V61" s="347">
        <f t="shared" ca="1" si="174"/>
        <v>0.5867</v>
      </c>
      <c r="W61" s="347">
        <f t="shared" ca="1" si="175"/>
        <v>0.44900000000000001</v>
      </c>
      <c r="X61" s="383">
        <f t="shared" ca="1" si="14"/>
        <v>0.32100000000000001</v>
      </c>
      <c r="Y61" s="348">
        <f t="shared" ca="1" si="176"/>
        <v>0.32100000000000001</v>
      </c>
      <c r="Z61" s="63">
        <f t="shared" ca="1" si="63"/>
        <v>1.9330000000000001</v>
      </c>
      <c r="AA61" s="63">
        <f t="shared" ca="1" si="64"/>
        <v>0.77142857142857157</v>
      </c>
      <c r="AB61" s="63">
        <f t="shared" ca="1" si="177"/>
        <v>0.39910000000000001</v>
      </c>
      <c r="AC61" s="63">
        <f t="shared" ca="1" si="178"/>
        <v>0.35199999999999998</v>
      </c>
      <c r="AD61" s="81">
        <f t="shared" ca="1" si="65"/>
        <v>0.251</v>
      </c>
      <c r="AE61" s="60">
        <f t="shared" ca="1" si="66"/>
        <v>1.9330000000000001</v>
      </c>
      <c r="AF61" s="60">
        <f t="shared" ca="1" si="67"/>
        <v>0.77142857142857157</v>
      </c>
      <c r="AG61" s="349">
        <f t="shared" ca="1" si="179"/>
        <v>0.39910000000000001</v>
      </c>
      <c r="AH61" s="349">
        <f t="shared" ca="1" si="180"/>
        <v>0.35199999999999998</v>
      </c>
      <c r="AI61" s="81">
        <f t="shared" ca="1" si="68"/>
        <v>0.16200000000000001</v>
      </c>
      <c r="AJ61" s="60">
        <f t="shared" ca="1" si="69"/>
        <v>2.4</v>
      </c>
      <c r="AK61" s="60">
        <f t="shared" ca="1" si="70"/>
        <v>0.86428571428571443</v>
      </c>
      <c r="AL61" s="347">
        <f t="shared" ca="1" si="181"/>
        <v>0.36009999999999998</v>
      </c>
      <c r="AM61" s="347">
        <f t="shared" ca="1" si="182"/>
        <v>0.33100000000000002</v>
      </c>
      <c r="AN61" s="81">
        <f t="shared" ca="1" si="71"/>
        <v>0.23599999999999999</v>
      </c>
      <c r="AO61" s="348">
        <f t="shared" ca="1" si="183"/>
        <v>0.251</v>
      </c>
      <c r="AP61" s="344">
        <f t="shared" ca="1" si="21"/>
        <v>1.6930000000000001</v>
      </c>
      <c r="AQ61" s="340">
        <f t="shared" ca="1" si="22"/>
        <v>0.1494035761667992</v>
      </c>
      <c r="AR61" s="58">
        <f t="shared" ca="1" si="184"/>
        <v>0.1494035761667992</v>
      </c>
      <c r="AS61" s="58">
        <f t="shared" ca="1" si="23"/>
        <v>0.27868622571333473</v>
      </c>
      <c r="AT61" s="58">
        <f t="shared" ca="1" si="23"/>
        <v>0.20953851557393588</v>
      </c>
      <c r="AU61" s="58">
        <f t="shared" ca="1" si="23"/>
        <v>0.16763081245914871</v>
      </c>
      <c r="AV61" s="58">
        <f t="shared" ca="1" si="23"/>
        <v>0.20953851557393588</v>
      </c>
      <c r="AW61" s="58">
        <f t="shared" ca="1" si="58"/>
        <v>0.70404941232842455</v>
      </c>
      <c r="AX61" s="58">
        <f t="shared" ca="1" si="24"/>
        <v>0.78618851043340743</v>
      </c>
      <c r="AY61" s="340">
        <f t="shared" ca="1" si="25"/>
        <v>1.7</v>
      </c>
      <c r="AZ61" s="58">
        <f t="shared" ca="1" si="26"/>
        <v>2.2831817187666879</v>
      </c>
      <c r="BA61" s="58">
        <f t="shared" ca="1" si="185"/>
        <v>1.3430480698627576</v>
      </c>
      <c r="BB61" s="58">
        <f t="shared" ca="1" si="186"/>
        <v>1</v>
      </c>
      <c r="BC61" s="58">
        <f t="shared" ca="1" si="28"/>
        <v>0.75344996719300705</v>
      </c>
      <c r="BD61" s="58">
        <f t="shared" ca="1" si="60"/>
        <v>0.2203928571428572</v>
      </c>
      <c r="BE61" s="58">
        <f t="shared" ca="1" si="29"/>
        <v>0.75344996719300705</v>
      </c>
      <c r="BF61" s="58">
        <f t="shared" ca="1" si="61"/>
        <v>0.2203928571428572</v>
      </c>
      <c r="BG61" s="58">
        <f t="shared" ca="1" si="30"/>
        <v>0.77142857142857157</v>
      </c>
      <c r="BH61" s="58">
        <f t="shared" ca="1" si="31"/>
        <v>0.86428571428571443</v>
      </c>
      <c r="BI61" s="341">
        <f t="shared" ca="1" si="32"/>
        <v>0.234685</v>
      </c>
      <c r="BJ61" s="64">
        <f t="shared" ca="1" si="33"/>
        <v>0.44939999999999997</v>
      </c>
      <c r="BK61" s="63">
        <f t="shared" ca="1" si="34"/>
        <v>0.7</v>
      </c>
      <c r="BL61" s="64">
        <f t="shared" ca="1" si="35"/>
        <v>440.86139999999995</v>
      </c>
    </row>
    <row r="62" spans="8:65" ht="16">
      <c r="H62" s="496" t="s">
        <v>1741</v>
      </c>
      <c r="I62" s="365">
        <f ca="1">MIN(D17,D19,D21)</f>
        <v>0.84379999999999999</v>
      </c>
      <c r="J62" s="351">
        <f t="shared" ca="1" si="0"/>
        <v>1.913</v>
      </c>
      <c r="K62" s="351">
        <f t="shared" ca="1" si="1"/>
        <v>0.97499999999999998</v>
      </c>
      <c r="L62" s="351">
        <f t="shared" ca="1" si="170"/>
        <v>0.50970000000000004</v>
      </c>
      <c r="M62" s="351">
        <f t="shared" ca="1" si="171"/>
        <v>0.40899999999999997</v>
      </c>
      <c r="N62" s="381">
        <f t="shared" ca="1" si="4"/>
        <v>0.29199999999999998</v>
      </c>
      <c r="O62" s="351">
        <f t="shared" ca="1" si="5"/>
        <v>1.9330000000000001</v>
      </c>
      <c r="P62" s="351">
        <f t="shared" ca="1" si="6"/>
        <v>0.8</v>
      </c>
      <c r="Q62" s="351">
        <f t="shared" ca="1" si="172"/>
        <v>0.41389999999999999</v>
      </c>
      <c r="R62" s="351">
        <f t="shared" ca="1" si="173"/>
        <v>0.35899999999999999</v>
      </c>
      <c r="S62" s="378">
        <f t="shared" ca="1" si="9"/>
        <v>0.16500000000000001</v>
      </c>
      <c r="T62" s="363">
        <f t="shared" ca="1" si="10"/>
        <v>2.2970000000000002</v>
      </c>
      <c r="U62" s="363">
        <f t="shared" ca="1" si="11"/>
        <v>1.24498</v>
      </c>
      <c r="V62" s="363">
        <f t="shared" ca="1" si="174"/>
        <v>0.54200000000000004</v>
      </c>
      <c r="W62" s="363">
        <f t="shared" ca="1" si="175"/>
        <v>0.42599999999999999</v>
      </c>
      <c r="X62" s="381">
        <f t="shared" ca="1" si="14"/>
        <v>0.30399999999999999</v>
      </c>
      <c r="Y62" s="366">
        <f t="shared" ca="1" si="176"/>
        <v>0.30399999999999999</v>
      </c>
      <c r="Z62" s="350">
        <f t="shared" ca="1" si="63"/>
        <v>1.9330000000000001</v>
      </c>
      <c r="AA62" s="351">
        <f t="shared" ca="1" si="64"/>
        <v>0.63996207632140323</v>
      </c>
      <c r="AB62" s="351">
        <f t="shared" ca="1" si="177"/>
        <v>0.33110000000000001</v>
      </c>
      <c r="AC62" s="351">
        <f t="shared" ca="1" si="178"/>
        <v>0.316</v>
      </c>
      <c r="AD62" s="378">
        <f t="shared" ca="1" si="65"/>
        <v>0.22600000000000001</v>
      </c>
      <c r="AE62" s="351">
        <f t="shared" ca="1" si="66"/>
        <v>1.9330000000000001</v>
      </c>
      <c r="AF62" s="351">
        <f t="shared" ca="1" si="67"/>
        <v>0.63996207632140323</v>
      </c>
      <c r="AG62" s="351">
        <f t="shared" ca="1" si="179"/>
        <v>0.33110000000000001</v>
      </c>
      <c r="AH62" s="351">
        <f t="shared" ca="1" si="180"/>
        <v>0.316</v>
      </c>
      <c r="AI62" s="378">
        <f t="shared" ca="1" si="68"/>
        <v>0.14499999999999999</v>
      </c>
      <c r="AJ62" s="351">
        <f t="shared" ca="1" si="69"/>
        <v>2.4</v>
      </c>
      <c r="AK62" s="351">
        <f t="shared" ca="1" si="70"/>
        <v>0.71699454847120181</v>
      </c>
      <c r="AL62" s="351">
        <f t="shared" ca="1" si="181"/>
        <v>0.29870000000000002</v>
      </c>
      <c r="AM62" s="351">
        <f t="shared" ca="1" si="182"/>
        <v>0.29870000000000002</v>
      </c>
      <c r="AN62" s="378">
        <f t="shared" ca="1" si="71"/>
        <v>0.21299999999999999</v>
      </c>
      <c r="AO62" s="352">
        <f t="shared" ca="1" si="183"/>
        <v>0.22600000000000001</v>
      </c>
      <c r="AP62" s="344">
        <f t="shared" ca="1" si="21"/>
        <v>1.6930000000000001</v>
      </c>
      <c r="AQ62" s="367">
        <f t="shared" ca="1" si="22"/>
        <v>0.13607873158526801</v>
      </c>
      <c r="AR62" s="368">
        <f t="shared" ca="1" si="184"/>
        <v>0.13607873158526801</v>
      </c>
      <c r="AS62" s="58">
        <f t="shared" ca="1" si="23"/>
        <v>0.25383105999429006</v>
      </c>
      <c r="AT62" s="58">
        <f t="shared" ca="1" si="23"/>
        <v>0.19085042104833838</v>
      </c>
      <c r="AU62" s="58">
        <f t="shared" ca="1" si="23"/>
        <v>0.15268033683867074</v>
      </c>
      <c r="AV62" s="58">
        <f t="shared" ca="1" si="23"/>
        <v>0.19085042104833838</v>
      </c>
      <c r="AW62" s="58">
        <f t="shared" ca="1" si="58"/>
        <v>0.64125741472241693</v>
      </c>
      <c r="AX62" s="58">
        <f t="shared" ca="1" si="24"/>
        <v>0.71607077977336564</v>
      </c>
      <c r="AY62" s="367">
        <f t="shared" ca="1" si="25"/>
        <v>1.7</v>
      </c>
      <c r="AZ62" s="58">
        <f t="shared" ca="1" si="26"/>
        <v>2.0157940443103843</v>
      </c>
      <c r="BA62" s="368">
        <f t="shared" ca="1" si="185"/>
        <v>1.1857612025355202</v>
      </c>
      <c r="BB62" s="368">
        <f t="shared" ca="1" si="186"/>
        <v>1</v>
      </c>
      <c r="BC62" s="58">
        <f t="shared" ca="1" si="28"/>
        <v>0.66521203462242684</v>
      </c>
      <c r="BD62" s="58">
        <f t="shared" ca="1" si="60"/>
        <v>0.2203928571428572</v>
      </c>
      <c r="BE62" s="58">
        <f t="shared" ca="1" si="29"/>
        <v>0.66521203462242684</v>
      </c>
      <c r="BF62" s="58">
        <f t="shared" ca="1" si="61"/>
        <v>0.2203928571428572</v>
      </c>
      <c r="BG62" s="58">
        <f t="shared" ca="1" si="30"/>
        <v>0.63996207632140323</v>
      </c>
      <c r="BH62" s="58">
        <f t="shared" ca="1" si="31"/>
        <v>0.71699454847120181</v>
      </c>
      <c r="BI62" s="341">
        <f t="shared" ca="1" si="32"/>
        <v>0.21131000000000003</v>
      </c>
      <c r="BJ62" s="64">
        <f t="shared" ca="1" si="33"/>
        <v>0.42559999999999998</v>
      </c>
      <c r="BK62" s="63">
        <f t="shared" ca="1" si="34"/>
        <v>0.84379999999999999</v>
      </c>
      <c r="BL62" s="64">
        <f t="shared" ca="1" si="35"/>
        <v>417.5136</v>
      </c>
    </row>
    <row r="63" spans="8:65" ht="16">
      <c r="H63" s="496"/>
      <c r="I63" s="365">
        <f ca="1">MIN(LARGE(D17:D21,2),I66)</f>
        <v>0.69440000000000002</v>
      </c>
      <c r="J63" s="351">
        <f t="shared" ca="1" si="0"/>
        <v>1.81</v>
      </c>
      <c r="K63" s="351">
        <f t="shared" ca="1" si="1"/>
        <v>0.97499999999999998</v>
      </c>
      <c r="L63" s="351">
        <f t="shared" ca="1" si="170"/>
        <v>0.53869999999999996</v>
      </c>
      <c r="M63" s="351">
        <f t="shared" ca="1" si="171"/>
        <v>0.42399999999999999</v>
      </c>
      <c r="N63" s="378">
        <f t="shared" ca="1" si="4"/>
        <v>0.30299999999999999</v>
      </c>
      <c r="O63" s="351">
        <f t="shared" ca="1" si="5"/>
        <v>1.827</v>
      </c>
      <c r="P63" s="351">
        <f t="shared" ca="1" si="6"/>
        <v>0.8</v>
      </c>
      <c r="Q63" s="351">
        <f t="shared" ca="1" si="172"/>
        <v>0.43790000000000001</v>
      </c>
      <c r="R63" s="351">
        <f t="shared" ca="1" si="173"/>
        <v>0.372</v>
      </c>
      <c r="S63" s="378">
        <f t="shared" ca="1" si="9"/>
        <v>0.16200000000000001</v>
      </c>
      <c r="T63" s="351">
        <f t="shared" ca="1" si="10"/>
        <v>2.1150000000000002</v>
      </c>
      <c r="U63" s="351">
        <f t="shared" ca="1" si="11"/>
        <v>1.24498</v>
      </c>
      <c r="V63" s="351">
        <f t="shared" ca="1" si="174"/>
        <v>0.58860000000000001</v>
      </c>
      <c r="W63" s="351">
        <f t="shared" ca="1" si="175"/>
        <v>0.45</v>
      </c>
      <c r="X63" s="378">
        <f t="shared" ca="1" si="14"/>
        <v>0.32100000000000001</v>
      </c>
      <c r="Y63" s="352">
        <f t="shared" ca="1" si="176"/>
        <v>0.32100000000000001</v>
      </c>
      <c r="Z63" s="350">
        <f t="shared" ca="1" si="63"/>
        <v>1.9330000000000001</v>
      </c>
      <c r="AA63" s="351">
        <f t="shared" ca="1" si="64"/>
        <v>0.77764976958525345</v>
      </c>
      <c r="AB63" s="351">
        <f t="shared" ca="1" si="177"/>
        <v>0.40229999999999999</v>
      </c>
      <c r="AC63" s="351">
        <f t="shared" ca="1" si="178"/>
        <v>0.35299999999999998</v>
      </c>
      <c r="AD63" s="378">
        <f t="shared" ca="1" si="65"/>
        <v>0.252</v>
      </c>
      <c r="AE63" s="351">
        <f t="shared" ca="1" si="66"/>
        <v>1.9330000000000001</v>
      </c>
      <c r="AF63" s="351">
        <f t="shared" ca="1" si="67"/>
        <v>0.77764976958525345</v>
      </c>
      <c r="AG63" s="351">
        <f t="shared" ca="1" si="179"/>
        <v>0.40229999999999999</v>
      </c>
      <c r="AH63" s="351">
        <f t="shared" ca="1" si="180"/>
        <v>0.35299999999999998</v>
      </c>
      <c r="AI63" s="378">
        <f t="shared" ca="1" si="68"/>
        <v>0.16200000000000001</v>
      </c>
      <c r="AJ63" s="351">
        <f t="shared" ca="1" si="69"/>
        <v>2.4</v>
      </c>
      <c r="AK63" s="351">
        <f t="shared" ca="1" si="70"/>
        <v>0.8712557603686637</v>
      </c>
      <c r="AL63" s="351">
        <f t="shared" ca="1" si="181"/>
        <v>0.36299999999999999</v>
      </c>
      <c r="AM63" s="351">
        <f t="shared" ca="1" si="182"/>
        <v>0.33300000000000002</v>
      </c>
      <c r="AN63" s="378">
        <f t="shared" ca="1" si="71"/>
        <v>0.23799999999999999</v>
      </c>
      <c r="AO63" s="352">
        <f t="shared" ca="1" si="183"/>
        <v>0.252</v>
      </c>
      <c r="AP63" s="344">
        <f t="shared" ca="1" si="21"/>
        <v>1.6930000000000001</v>
      </c>
      <c r="AQ63" s="369">
        <f t="shared" ca="1" si="22"/>
        <v>0.15000480023041229</v>
      </c>
      <c r="AR63" s="370">
        <f t="shared" ca="1" si="184"/>
        <v>0.15</v>
      </c>
      <c r="AS63" s="58">
        <f t="shared" ca="1" si="23"/>
        <v>0.27979875000000004</v>
      </c>
      <c r="AT63" s="58">
        <f t="shared" ca="1" si="23"/>
        <v>0.21037500000000001</v>
      </c>
      <c r="AU63" s="58">
        <f t="shared" ca="1" si="23"/>
        <v>0.16830000000000001</v>
      </c>
      <c r="AV63" s="58">
        <f t="shared" ca="1" si="23"/>
        <v>0.21037500000000001</v>
      </c>
      <c r="AW63" s="58">
        <f t="shared" ca="1" si="58"/>
        <v>0.70685999999999993</v>
      </c>
      <c r="AX63" s="58">
        <f t="shared" ca="1" si="24"/>
        <v>0.78932700000000011</v>
      </c>
      <c r="AY63" s="369">
        <f t="shared" ca="1" si="25"/>
        <v>1.7</v>
      </c>
      <c r="AZ63" s="58">
        <f t="shared" ca="1" si="26"/>
        <v>2.2954404492716525</v>
      </c>
      <c r="BA63" s="370">
        <f t="shared" ca="1" si="185"/>
        <v>1.3502590878068543</v>
      </c>
      <c r="BB63" s="370">
        <f t="shared" ca="1" si="186"/>
        <v>1</v>
      </c>
      <c r="BC63" s="58">
        <f t="shared" ca="1" si="28"/>
        <v>0.75749534825964537</v>
      </c>
      <c r="BD63" s="58">
        <f t="shared" ca="1" si="60"/>
        <v>0.2203928571428572</v>
      </c>
      <c r="BE63" s="58">
        <f t="shared" ca="1" si="29"/>
        <v>0.75749534825964537</v>
      </c>
      <c r="BF63" s="58">
        <f t="shared" ca="1" si="61"/>
        <v>0.2203928571428572</v>
      </c>
      <c r="BG63" s="58">
        <f t="shared" ca="1" si="30"/>
        <v>0.77764976958525345</v>
      </c>
      <c r="BH63" s="58">
        <f t="shared" ca="1" si="31"/>
        <v>0.8712557603686637</v>
      </c>
      <c r="BI63" s="341">
        <f t="shared" ca="1" si="32"/>
        <v>0.23562000000000002</v>
      </c>
      <c r="BJ63" s="64">
        <f t="shared" ca="1" si="33"/>
        <v>0.44939999999999997</v>
      </c>
      <c r="BK63" s="63">
        <f t="shared" ca="1" si="34"/>
        <v>0.69440000000000002</v>
      </c>
      <c r="BL63" s="64">
        <f t="shared" ca="1" si="35"/>
        <v>440.86139999999995</v>
      </c>
    </row>
    <row r="64" spans="8:65" s="99" customFormat="1" ht="16">
      <c r="H64" s="496"/>
      <c r="I64" s="364">
        <f ca="1">MIN(MAX(D17,D19,D21),I66)</f>
        <v>0.69440000000000002</v>
      </c>
      <c r="J64" s="372">
        <f t="shared" ca="1" si="0"/>
        <v>1.81</v>
      </c>
      <c r="K64" s="351">
        <f t="shared" ca="1" si="1"/>
        <v>0.97499999999999998</v>
      </c>
      <c r="L64" s="351">
        <f t="shared" ca="1" si="2"/>
        <v>0.53869999999999996</v>
      </c>
      <c r="M64" s="351">
        <f t="shared" ca="1" si="3"/>
        <v>0.42399999999999999</v>
      </c>
      <c r="N64" s="378">
        <f t="shared" ca="1" si="4"/>
        <v>0.30299999999999999</v>
      </c>
      <c r="O64" s="351">
        <f t="shared" ca="1" si="5"/>
        <v>1.827</v>
      </c>
      <c r="P64" s="351">
        <f t="shared" ca="1" si="6"/>
        <v>0.8</v>
      </c>
      <c r="Q64" s="351">
        <f t="shared" ca="1" si="7"/>
        <v>0.43790000000000001</v>
      </c>
      <c r="R64" s="351">
        <f t="shared" ca="1" si="8"/>
        <v>0.372</v>
      </c>
      <c r="S64" s="378">
        <f t="shared" ca="1" si="9"/>
        <v>0.16200000000000001</v>
      </c>
      <c r="T64" s="351">
        <f t="shared" ca="1" si="10"/>
        <v>2.1150000000000002</v>
      </c>
      <c r="U64" s="351">
        <f t="shared" ca="1" si="11"/>
        <v>1.24498</v>
      </c>
      <c r="V64" s="351">
        <f t="shared" ca="1" si="12"/>
        <v>0.58860000000000001</v>
      </c>
      <c r="W64" s="351">
        <f t="shared" ca="1" si="13"/>
        <v>0.45</v>
      </c>
      <c r="X64" s="378">
        <f t="shared" ca="1" si="14"/>
        <v>0.32100000000000001</v>
      </c>
      <c r="Y64" s="352">
        <f t="shared" ca="1" si="62"/>
        <v>0.32100000000000001</v>
      </c>
      <c r="Z64" s="350">
        <f t="shared" ca="1" si="63"/>
        <v>1.9330000000000001</v>
      </c>
      <c r="AA64" s="351">
        <f t="shared" ca="1" si="64"/>
        <v>0.77764976958525345</v>
      </c>
      <c r="AB64" s="351">
        <f t="shared" ref="AB64" ca="1" si="206">ROUND(AA64/Z64,4)</f>
        <v>0.40229999999999999</v>
      </c>
      <c r="AC64" s="351">
        <f t="shared" ref="AC64" ca="1" si="207">IF(AB64&lt;=0.3,AB64,IF(AB64&lt;0.8,ROUND(0.52*AB64+0.144,3),0.7*AB64))</f>
        <v>0.35299999999999998</v>
      </c>
      <c r="AD64" s="378">
        <f t="shared" ca="1" si="65"/>
        <v>0.252</v>
      </c>
      <c r="AE64" s="351">
        <f t="shared" ca="1" si="66"/>
        <v>1.9330000000000001</v>
      </c>
      <c r="AF64" s="351">
        <f t="shared" ca="1" si="67"/>
        <v>0.77764976958525345</v>
      </c>
      <c r="AG64" s="351">
        <f t="shared" ref="AG64" ca="1" si="208">ROUND(AF64/AE64,4)</f>
        <v>0.40229999999999999</v>
      </c>
      <c r="AH64" s="351">
        <f t="shared" ref="AH64" ca="1" si="209">IF(AG64&lt;=0.3,AG64,IF(AG64&lt;0.8,ROUND(0.52*AG64+0.144,3),0.7*AG64))</f>
        <v>0.35299999999999998</v>
      </c>
      <c r="AI64" s="378">
        <f t="shared" ca="1" si="68"/>
        <v>0.16200000000000001</v>
      </c>
      <c r="AJ64" s="351">
        <f t="shared" ca="1" si="69"/>
        <v>2.4</v>
      </c>
      <c r="AK64" s="351">
        <f t="shared" ca="1" si="70"/>
        <v>0.8712557603686637</v>
      </c>
      <c r="AL64" s="351">
        <f t="shared" ref="AL64" ca="1" si="210">ROUND(AK64/AJ64,4)</f>
        <v>0.36299999999999999</v>
      </c>
      <c r="AM64" s="351">
        <f t="shared" ref="AM64" ca="1" si="211">IF(AL64&lt;=0.3,AL64,IF(AL64&lt;0.8,ROUND(0.52*AL64+0.144,3),0.7*AL64))</f>
        <v>0.33300000000000002</v>
      </c>
      <c r="AN64" s="378">
        <f t="shared" ca="1" si="71"/>
        <v>0.23799999999999999</v>
      </c>
      <c r="AO64" s="352">
        <f t="shared" ref="AO64" ca="1" si="212">MAX(AN64,AI64,AD64)</f>
        <v>0.252</v>
      </c>
      <c r="AP64" s="344">
        <f t="shared" ca="1" si="21"/>
        <v>1.6930000000000001</v>
      </c>
      <c r="AQ64" s="369">
        <f t="shared" ca="1" si="22"/>
        <v>0.15000480023041229</v>
      </c>
      <c r="AR64" s="370">
        <f t="shared" ca="1" si="73"/>
        <v>0.15</v>
      </c>
      <c r="AS64" s="58">
        <f t="shared" ca="1" si="23"/>
        <v>0.27979875000000004</v>
      </c>
      <c r="AT64" s="58">
        <f t="shared" ca="1" si="23"/>
        <v>0.21037500000000001</v>
      </c>
      <c r="AU64" s="58">
        <f t="shared" ca="1" si="23"/>
        <v>0.16830000000000001</v>
      </c>
      <c r="AV64" s="58">
        <f t="shared" ca="1" si="23"/>
        <v>0.21037500000000001</v>
      </c>
      <c r="AW64" s="58">
        <f t="shared" ca="1" si="58"/>
        <v>0.70685999999999993</v>
      </c>
      <c r="AX64" s="58">
        <f t="shared" ca="1" si="24"/>
        <v>0.78932700000000011</v>
      </c>
      <c r="AY64" s="369">
        <f t="shared" ca="1" si="25"/>
        <v>1.7</v>
      </c>
      <c r="AZ64" s="58">
        <f t="shared" ca="1" si="26"/>
        <v>2.2954404492716525</v>
      </c>
      <c r="BA64" s="370">
        <f t="shared" ca="1" si="27"/>
        <v>1.3502590878068543</v>
      </c>
      <c r="BB64" s="370">
        <f t="shared" ca="1" si="74"/>
        <v>1</v>
      </c>
      <c r="BC64" s="58">
        <f t="shared" ca="1" si="28"/>
        <v>0.75749534825964537</v>
      </c>
      <c r="BD64" s="58">
        <f t="shared" ca="1" si="60"/>
        <v>0.2203928571428572</v>
      </c>
      <c r="BE64" s="58">
        <f t="shared" ca="1" si="29"/>
        <v>0.75749534825964537</v>
      </c>
      <c r="BF64" s="58">
        <f t="shared" ca="1" si="61"/>
        <v>0.2203928571428572</v>
      </c>
      <c r="BG64" s="58">
        <f t="shared" ca="1" si="30"/>
        <v>0.77764976958525345</v>
      </c>
      <c r="BH64" s="58">
        <f t="shared" ca="1" si="31"/>
        <v>0.8712557603686637</v>
      </c>
      <c r="BI64" s="341">
        <f t="shared" ca="1" si="32"/>
        <v>0.23562000000000002</v>
      </c>
      <c r="BJ64" s="64">
        <f t="shared" ca="1" si="33"/>
        <v>0.44939999999999997</v>
      </c>
      <c r="BK64" s="63">
        <f t="shared" ca="1" si="34"/>
        <v>0.69440000000000002</v>
      </c>
      <c r="BL64" s="64">
        <f t="shared" ca="1" si="35"/>
        <v>440.86139999999995</v>
      </c>
    </row>
    <row r="65" spans="8:64" s="99" customFormat="1" ht="16">
      <c r="H65" s="43"/>
      <c r="I65" s="364">
        <f ca="1">MIN(ROUND((I64+I66)/2,2),I66)</f>
        <v>0.69</v>
      </c>
      <c r="J65" s="372">
        <f t="shared" ref="J65" ca="1" si="213">ROUND(IF($I65&gt;=D$17,D$12,IF($I65&gt;=F$17,D$13+(D$12-D$13)*($I65-0.6*D$17)/0.4/D$17,IF($I65&lt;E$17,D$13+(D$13-1)*($I65-E$17)/E$17,D$13))),3)</f>
        <v>1.8069999999999999</v>
      </c>
      <c r="K65" s="351">
        <f t="shared" ref="K65" ca="1" si="214">IF($I65&lt;E$17,ROUND(B$17*(0.4+3*$I65/D$17),3),IF($I65&lt;=D$17,B$17,IF($I65&lt;=2.5*D$17,C$17/$I65,0.4*B$17)))</f>
        <v>0.97499999999999998</v>
      </c>
      <c r="L65" s="351">
        <f t="shared" ref="L65" ca="1" si="215">ROUND(K65/J65,4)</f>
        <v>0.53959999999999997</v>
      </c>
      <c r="M65" s="351">
        <f t="shared" ref="M65" ca="1" si="216">IF(L65&lt;=0.3,L65,IF(L65&lt;0.8,ROUND(0.52*L65+0.144,3),0.7*L65))</f>
        <v>0.42499999999999999</v>
      </c>
      <c r="N65" s="378">
        <f t="shared" ref="N65" ca="1" si="217">ROUND(B$13*M65/1.4/B$14,3)</f>
        <v>0.30399999999999999</v>
      </c>
      <c r="O65" s="351">
        <f t="shared" ref="O65" ca="1" si="218">ROUND(IF($I65&gt;=D$19,D$12,IF($I65&gt;=F$19,D$13+(D$12-D$13)*($I65-0.6*D$19)/0.4/D$19,IF($I65&lt;E$19,D$13+(D$13-1)*($I65-E$19)/E$19,D$13))),3)</f>
        <v>1.8240000000000001</v>
      </c>
      <c r="P65" s="351">
        <f t="shared" ref="P65" ca="1" si="219">IF($I65&lt;E$19,ROUND(B$19*(0.4+3*$I65/D$19),3),IF($I65&lt;=D$19,B$19,IF($I65&lt;=2.5*D$19,C$19/$I65,0.4*B$19)))</f>
        <v>0.8</v>
      </c>
      <c r="Q65" s="351">
        <f t="shared" ref="Q65" ca="1" si="220">ROUND(P65/O65,4)</f>
        <v>0.43859999999999999</v>
      </c>
      <c r="R65" s="351">
        <f t="shared" ref="R65" ca="1" si="221">IF(Q65&lt;=0.3,Q65,IF(Q65&lt;0.8,ROUND(0.52*Q65+0.144,3),0.7*Q65))</f>
        <v>0.372</v>
      </c>
      <c r="S65" s="378">
        <f t="shared" ref="S65" ca="1" si="222">ROUND(B$13*O65*R65/4.2/B$14,3)</f>
        <v>0.16200000000000001</v>
      </c>
      <c r="T65" s="351">
        <f t="shared" ref="T65" ca="1" si="223">ROUND(IF($I65&gt;=D$21,B$12,IF($I65&gt;=F$21,D$14+(B$12-D$14)*($I65-0.6*D$21)/0.4/D$21,IF($I65&lt;E$21,D$14+(D$14-1)*($I65-E$21)/E$21,D$14))),3)</f>
        <v>2.11</v>
      </c>
      <c r="U65" s="351">
        <f t="shared" ref="U65" ca="1" si="224">IF($I65&lt;E$21,ROUND(B$21*(0.4+3*$I65/D$21),3),IF($I65&lt;=D$21,B$21,IF($I65&lt;=2.5*D$21,C$21/$I65,0.4*B$21)))</f>
        <v>1.24498</v>
      </c>
      <c r="V65" s="351">
        <f t="shared" ref="V65" ca="1" si="225">ROUND(U65/T65,4)</f>
        <v>0.59</v>
      </c>
      <c r="W65" s="351">
        <f t="shared" ref="W65" ca="1" si="226">IF(V65&lt;=0.3,V65,IF(V65&lt;0.8,ROUND(0.52*V65+0.144,3),0.7*V65))</f>
        <v>0.45100000000000001</v>
      </c>
      <c r="X65" s="378">
        <f t="shared" ref="X65" ca="1" si="227">ROUND(B$13*W65/1.4/B$14,3)</f>
        <v>0.32200000000000001</v>
      </c>
      <c r="Y65" s="352">
        <f t="shared" ref="Y65" ca="1" si="228">MAX(X65,S65,N65)</f>
        <v>0.32200000000000001</v>
      </c>
      <c r="Z65" s="350">
        <f t="shared" ref="Z65" ca="1" si="229">ROUND(IF($I65&gt;=K$17,D$12,IF($I65&gt;=M$17,D$13+(D$12-D$13)*($I65-0.6*K$17)/0.4/K$17,IF($I65&lt;L$17,D$13+(D$13-1)*($I65-L$17)/L$17,D$13))),3)</f>
        <v>1.9330000000000001</v>
      </c>
      <c r="AA65" s="351">
        <f t="shared" ref="AA65" ca="1" si="230">IF($I65&lt;L$17,ROUND(I$17*(0.4+3*$I65/K$17),3),IF($I65&lt;=K$17,I$17,IF($I65&lt;=2.5*K$17,J$17/$I65,0.4*I$17)))</f>
        <v>0.78260869565217406</v>
      </c>
      <c r="AB65" s="351">
        <f t="shared" ref="AB65" ca="1" si="231">ROUND(AA65/Z65,4)</f>
        <v>0.40489999999999998</v>
      </c>
      <c r="AC65" s="351">
        <f t="shared" ref="AC65" ca="1" si="232">IF(AB65&lt;=0.3,AB65,IF(AB65&lt;0.8,ROUND(0.52*AB65+0.144,3),0.7*AB65))</f>
        <v>0.35499999999999998</v>
      </c>
      <c r="AD65" s="378">
        <f t="shared" ref="AD65" ca="1" si="233">ROUND(B$13*AC65/1.4/B$14,3)</f>
        <v>0.254</v>
      </c>
      <c r="AE65" s="351">
        <f t="shared" ref="AE65" ca="1" si="234">ROUND(IF($I65&gt;=K$19,D$12,IF($I65&gt;=M$19,D$13+(D$12-D$13)*($I65-0.6*K$19)/0.4/K$19,IF($I65&lt;L$19,D$13+(D$13-1)*($I65-L$19)/L$19,D$13))),3)</f>
        <v>1.9330000000000001</v>
      </c>
      <c r="AF65" s="351">
        <f t="shared" ref="AF65" ca="1" si="235">IF($I65&lt;L$19,ROUND(I$19*(0.4+3*$I65/K$19),3),IF($I65&lt;=K$19,I$19,IF($I65&lt;=2.5*K$19,J$19/$I65,0.4*I$19)))</f>
        <v>0.78260869565217406</v>
      </c>
      <c r="AG65" s="351">
        <f t="shared" ref="AG65" ca="1" si="236">ROUND(AF65/AE65,4)</f>
        <v>0.40489999999999998</v>
      </c>
      <c r="AH65" s="351">
        <f t="shared" ref="AH65" ca="1" si="237">IF(AG65&lt;=0.3,AG65,IF(AG65&lt;0.8,ROUND(0.52*AG65+0.144,3),0.7*AG65))</f>
        <v>0.35499999999999998</v>
      </c>
      <c r="AI65" s="378">
        <f t="shared" ref="AI65" ca="1" si="238">ROUND(B$13*AE65*AH65/4.2/B$14,3)</f>
        <v>0.16300000000000001</v>
      </c>
      <c r="AJ65" s="351">
        <f t="shared" ref="AJ65" ca="1" si="239">ROUND(IF($I65&gt;=K$21,B$12,IF($I65&gt;=M$21,D$14+(B$12-D$14)*($I65-0.6*K$21)/0.4/K$21,IF($I65&lt;L$21,D$14+(D$14-1)*($I65-L$21)/L$21,D$14))),3)</f>
        <v>2.4</v>
      </c>
      <c r="AK65" s="351">
        <f t="shared" ref="AK65" ca="1" si="240">IF($I65&lt;L$21,ROUND(I$21*(0.4+3*$I65/K$21),3),IF($I65&lt;=K$21,I$21,IF($I65&lt;=2.5*K$21,J$21/$I65,0.4*I$21)))</f>
        <v>0.87681159420289878</v>
      </c>
      <c r="AL65" s="351">
        <f t="shared" ref="AL65" ca="1" si="241">ROUND(AK65/AJ65,4)</f>
        <v>0.36530000000000001</v>
      </c>
      <c r="AM65" s="351">
        <f t="shared" ref="AM65" ca="1" si="242">IF(AL65&lt;=0.3,AL65,IF(AL65&lt;0.8,ROUND(0.52*AL65+0.144,3),0.7*AL65))</f>
        <v>0.33400000000000002</v>
      </c>
      <c r="AN65" s="378">
        <f t="shared" ref="AN65" ca="1" si="243">ROUND(B$13*AM65/1.4/B$14,3)</f>
        <v>0.23899999999999999</v>
      </c>
      <c r="AO65" s="352">
        <f t="shared" ref="AO65" ca="1" si="244">MAX(AN65,AI65,AD65)</f>
        <v>0.254</v>
      </c>
      <c r="AP65" s="344">
        <f t="shared" ca="1" si="21"/>
        <v>1.6930000000000001</v>
      </c>
      <c r="AQ65" s="369">
        <f t="shared" ref="AQ65" ca="1" si="245">1/8/I65^0.5</f>
        <v>0.15048231635721152</v>
      </c>
      <c r="AR65" s="370">
        <f t="shared" ref="AR65" ca="1" si="246">IF(AQ65&gt;0.15,0.15,IF(AQ65&lt;0.0625,0.0625,AQ65))</f>
        <v>0.15</v>
      </c>
      <c r="AS65" s="58">
        <f t="shared" ca="1" si="23"/>
        <v>0.27979875000000004</v>
      </c>
      <c r="AT65" s="58">
        <f t="shared" ca="1" si="23"/>
        <v>0.21037500000000001</v>
      </c>
      <c r="AU65" s="58">
        <f t="shared" ca="1" si="23"/>
        <v>0.16830000000000001</v>
      </c>
      <c r="AV65" s="58">
        <f t="shared" ca="1" si="23"/>
        <v>0.21037500000000001</v>
      </c>
      <c r="AW65" s="58">
        <f t="shared" ca="1" si="58"/>
        <v>0.70685999999999993</v>
      </c>
      <c r="AX65" s="58">
        <f t="shared" ca="1" si="24"/>
        <v>0.78932700000000011</v>
      </c>
      <c r="AY65" s="369">
        <f t="shared" ca="1" si="25"/>
        <v>1.7</v>
      </c>
      <c r="AZ65" s="58">
        <f t="shared" ca="1" si="26"/>
        <v>2.3051885014965943</v>
      </c>
      <c r="BA65" s="370">
        <f t="shared" ref="BA65" ca="1" si="247">AZ65/AY65</f>
        <v>1.3559932361744673</v>
      </c>
      <c r="BB65" s="370">
        <f t="shared" ref="BB65" ca="1" si="248">IF(BA65&gt;1,1,BA65)</f>
        <v>1</v>
      </c>
      <c r="BC65" s="58">
        <f t="shared" ca="1" si="28"/>
        <v>0.76071220549387619</v>
      </c>
      <c r="BD65" s="58">
        <f t="shared" ca="1" si="60"/>
        <v>0.2203928571428572</v>
      </c>
      <c r="BE65" s="58">
        <f t="shared" ca="1" si="29"/>
        <v>0.76071220549387619</v>
      </c>
      <c r="BF65" s="58">
        <f t="shared" ca="1" si="61"/>
        <v>0.2203928571428572</v>
      </c>
      <c r="BG65" s="58">
        <f t="shared" ca="1" si="30"/>
        <v>0.78260869565217406</v>
      </c>
      <c r="BH65" s="58">
        <f t="shared" ca="1" si="31"/>
        <v>0.87681159420289878</v>
      </c>
      <c r="BI65" s="341">
        <f t="shared" ca="1" si="32"/>
        <v>0.23749000000000001</v>
      </c>
      <c r="BJ65" s="64">
        <f t="shared" ca="1" si="33"/>
        <v>0.45079999999999998</v>
      </c>
      <c r="BK65" s="63">
        <f t="shared" ca="1" si="34"/>
        <v>0.69</v>
      </c>
      <c r="BL65" s="64">
        <f t="shared" ca="1" si="35"/>
        <v>442.23480000000001</v>
      </c>
    </row>
    <row r="66" spans="8:64" ht="16">
      <c r="H66" s="38"/>
      <c r="I66" s="445">
        <f>AX38</f>
        <v>0.69440000000000002</v>
      </c>
      <c r="J66" s="60">
        <f t="shared" ca="1" si="0"/>
        <v>1.81</v>
      </c>
      <c r="K66" s="60">
        <f t="shared" ca="1" si="1"/>
        <v>0.97499999999999998</v>
      </c>
      <c r="L66" s="60">
        <f ca="1">ROUND(K66/J66,4)</f>
        <v>0.53869999999999996</v>
      </c>
      <c r="M66" s="60">
        <f ca="1">IF(L66&lt;=0.3,L66,IF(L66&lt;0.8,ROUND(0.52*L66+0.144,3),0.7*L66))</f>
        <v>0.42399999999999999</v>
      </c>
      <c r="N66" s="81">
        <f t="shared" ca="1" si="4"/>
        <v>0.30299999999999999</v>
      </c>
      <c r="O66" s="60">
        <f t="shared" ca="1" si="5"/>
        <v>1.827</v>
      </c>
      <c r="P66" s="60">
        <f t="shared" ca="1" si="6"/>
        <v>0.8</v>
      </c>
      <c r="Q66" s="60">
        <f ca="1">ROUND(P66/O66,4)</f>
        <v>0.43790000000000001</v>
      </c>
      <c r="R66" s="60">
        <f ca="1">IF(Q66&lt;=0.3,Q66,IF(Q66&lt;0.8,ROUND(0.52*Q66+0.144,3),0.7*Q66))</f>
        <v>0.372</v>
      </c>
      <c r="S66" s="81">
        <f t="shared" ca="1" si="9"/>
        <v>0.16200000000000001</v>
      </c>
      <c r="T66" s="60">
        <f t="shared" ca="1" si="10"/>
        <v>2.1150000000000002</v>
      </c>
      <c r="U66" s="60">
        <f t="shared" ca="1" si="11"/>
        <v>1.24498</v>
      </c>
      <c r="V66" s="60">
        <f ca="1">ROUND(U66/T66,4)</f>
        <v>0.58860000000000001</v>
      </c>
      <c r="W66" s="60">
        <f ca="1">IF(V66&lt;=0.3,V66,IF(V66&lt;0.8,ROUND(0.52*V66+0.144,3),0.7*V66))</f>
        <v>0.45</v>
      </c>
      <c r="X66" s="81">
        <f t="shared" ca="1" si="14"/>
        <v>0.32100000000000001</v>
      </c>
      <c r="Y66" s="333">
        <f ca="1">MAX(X66,S66,N66)</f>
        <v>0.32100000000000001</v>
      </c>
      <c r="Z66" s="63">
        <f t="shared" ca="1" si="63"/>
        <v>1.9330000000000001</v>
      </c>
      <c r="AA66" s="63">
        <f t="shared" ca="1" si="64"/>
        <v>0.77764976958525345</v>
      </c>
      <c r="AB66" s="60">
        <f ca="1">ROUND(AA66/Z66,4)</f>
        <v>0.40229999999999999</v>
      </c>
      <c r="AC66" s="60">
        <f ca="1">IF(AB66&lt;=0.3,AB66,IF(AB66&lt;0.8,ROUND(0.52*AB66+0.144,3),0.7*AB66))</f>
        <v>0.35299999999999998</v>
      </c>
      <c r="AD66" s="81">
        <f t="shared" ca="1" si="65"/>
        <v>0.252</v>
      </c>
      <c r="AE66" s="60">
        <f t="shared" ca="1" si="66"/>
        <v>1.9330000000000001</v>
      </c>
      <c r="AF66" s="60">
        <f t="shared" ca="1" si="67"/>
        <v>0.77764976958525345</v>
      </c>
      <c r="AG66" s="60">
        <f ca="1">ROUND(AF66/AE66,4)</f>
        <v>0.40229999999999999</v>
      </c>
      <c r="AH66" s="60">
        <f ca="1">IF(AG66&lt;=0.3,AG66,IF(AG66&lt;0.8,ROUND(0.52*AG66+0.144,3),0.7*AG66))</f>
        <v>0.35299999999999998</v>
      </c>
      <c r="AI66" s="81">
        <f t="shared" ca="1" si="68"/>
        <v>0.16200000000000001</v>
      </c>
      <c r="AJ66" s="60">
        <f t="shared" ca="1" si="69"/>
        <v>2.4</v>
      </c>
      <c r="AK66" s="60">
        <f t="shared" ca="1" si="70"/>
        <v>0.8712557603686637</v>
      </c>
      <c r="AL66" s="60">
        <f ca="1">ROUND(AK66/AJ66,4)</f>
        <v>0.36299999999999999</v>
      </c>
      <c r="AM66" s="60">
        <f ca="1">IF(AL66&lt;=0.3,AL66,IF(AL66&lt;0.8,ROUND(0.52*AL66+0.144,3),0.7*AL66))</f>
        <v>0.33300000000000002</v>
      </c>
      <c r="AN66" s="81">
        <f t="shared" ca="1" si="71"/>
        <v>0.23799999999999999</v>
      </c>
      <c r="AO66" s="333">
        <f ca="1">MAX(AN66,AI66,AD66)</f>
        <v>0.252</v>
      </c>
      <c r="AP66" s="344">
        <f t="shared" si="21"/>
        <v>1.6930000000000001</v>
      </c>
      <c r="AQ66" s="340">
        <f t="shared" si="22"/>
        <v>0.15000480023041229</v>
      </c>
      <c r="AR66" s="58">
        <f>IF(AQ66&gt;0.15,0.15,IF(AQ66&lt;0.0625,0.0625,AQ66))</f>
        <v>0.15</v>
      </c>
      <c r="AS66" s="58">
        <f t="shared" si="23"/>
        <v>0.27979875000000004</v>
      </c>
      <c r="AT66" s="58">
        <f t="shared" si="23"/>
        <v>0.21037500000000001</v>
      </c>
      <c r="AU66" s="58">
        <f t="shared" si="23"/>
        <v>0.16830000000000001</v>
      </c>
      <c r="AV66" s="58">
        <f t="shared" si="23"/>
        <v>0.21037500000000001</v>
      </c>
      <c r="AW66" s="58">
        <f t="shared" si="58"/>
        <v>0.70685999999999993</v>
      </c>
      <c r="AX66" s="58">
        <f t="shared" ref="AX66:AX109" si="249">$AH$6*$Q$5*AX$41*$AR66*1.4*AX$40</f>
        <v>0.78932700000000011</v>
      </c>
      <c r="AY66" s="340">
        <f t="shared" si="25"/>
        <v>1.7</v>
      </c>
      <c r="AZ66" s="58">
        <f t="shared" si="26"/>
        <v>2.2954404492716525</v>
      </c>
      <c r="BA66" s="58">
        <f>AZ66/AY66</f>
        <v>1.3502590878068543</v>
      </c>
      <c r="BB66" s="58">
        <f>IF(BA66&gt;1,1,BA66)</f>
        <v>1</v>
      </c>
      <c r="BC66" s="58">
        <f t="shared" si="28"/>
        <v>0.75749534825964537</v>
      </c>
      <c r="BD66" s="58">
        <f t="shared" si="60"/>
        <v>0.2203928571428572</v>
      </c>
      <c r="BE66" s="58">
        <f t="shared" si="29"/>
        <v>0.75749534825964537</v>
      </c>
      <c r="BF66" s="58">
        <f t="shared" si="61"/>
        <v>0.2203928571428572</v>
      </c>
      <c r="BG66" s="58">
        <f t="shared" ca="1" si="30"/>
        <v>0.77764976958525345</v>
      </c>
      <c r="BH66" s="58">
        <f t="shared" ca="1" si="31"/>
        <v>0.8712557603686637</v>
      </c>
      <c r="BI66" s="341">
        <f t="shared" ca="1" si="32"/>
        <v>0.23562000000000002</v>
      </c>
      <c r="BJ66" s="64">
        <f t="shared" ca="1" si="33"/>
        <v>0.44939999999999997</v>
      </c>
      <c r="BK66" s="63">
        <f t="shared" si="34"/>
        <v>0.69440000000000002</v>
      </c>
      <c r="BL66" s="64">
        <f t="shared" ca="1" si="35"/>
        <v>440.86139999999995</v>
      </c>
    </row>
    <row r="67" spans="8:64" ht="16">
      <c r="I67" s="344">
        <f>I66+0.05</f>
        <v>0.74440000000000006</v>
      </c>
      <c r="J67" s="63">
        <f t="shared" ca="1" si="0"/>
        <v>1.8440000000000001</v>
      </c>
      <c r="K67" s="63">
        <f t="shared" ca="1" si="1"/>
        <v>0.97499999999999998</v>
      </c>
      <c r="L67" s="63">
        <f t="shared" ca="1" si="2"/>
        <v>0.52869999999999995</v>
      </c>
      <c r="M67" s="63">
        <f t="shared" ca="1" si="3"/>
        <v>0.41899999999999998</v>
      </c>
      <c r="N67" s="81">
        <f t="shared" ca="1" si="4"/>
        <v>0.29899999999999999</v>
      </c>
      <c r="O67" s="63">
        <f t="shared" ca="1" si="5"/>
        <v>1.863</v>
      </c>
      <c r="P67" s="63">
        <f t="shared" ca="1" si="6"/>
        <v>0.8</v>
      </c>
      <c r="Q67" s="63">
        <f t="shared" ca="1" si="7"/>
        <v>0.4294</v>
      </c>
      <c r="R67" s="63">
        <f t="shared" ca="1" si="8"/>
        <v>0.36699999999999999</v>
      </c>
      <c r="S67" s="81">
        <f t="shared" ca="1" si="9"/>
        <v>0.16300000000000001</v>
      </c>
      <c r="T67" s="63">
        <f t="shared" ca="1" si="10"/>
        <v>2.1760000000000002</v>
      </c>
      <c r="U67" s="63">
        <f t="shared" ca="1" si="11"/>
        <v>1.24498</v>
      </c>
      <c r="V67" s="63">
        <f t="shared" ca="1" si="12"/>
        <v>0.57210000000000005</v>
      </c>
      <c r="W67" s="60">
        <f t="shared" ca="1" si="13"/>
        <v>0.441</v>
      </c>
      <c r="X67" s="81">
        <f t="shared" ca="1" si="14"/>
        <v>0.315</v>
      </c>
      <c r="Y67" s="334">
        <f t="shared" ca="1" si="62"/>
        <v>0.315</v>
      </c>
      <c r="Z67" s="63">
        <f t="shared" ca="1" si="63"/>
        <v>1.9330000000000001</v>
      </c>
      <c r="AA67" s="63">
        <f t="shared" ca="1" si="64"/>
        <v>0.72541644277270279</v>
      </c>
      <c r="AB67" s="63">
        <f t="shared" ref="AB67:AB94" ca="1" si="250">ROUND(AA67/Z67,4)</f>
        <v>0.37530000000000002</v>
      </c>
      <c r="AC67" s="63">
        <f t="shared" ref="AC67:AC94" ca="1" si="251">IF(AB67&lt;=0.3,AB67,IF(AB67&lt;0.8,ROUND(0.52*AB67+0.144,3),0.7*AB67))</f>
        <v>0.33900000000000002</v>
      </c>
      <c r="AD67" s="81">
        <f t="shared" ca="1" si="65"/>
        <v>0.24199999999999999</v>
      </c>
      <c r="AE67" s="60">
        <f t="shared" ca="1" si="66"/>
        <v>1.9330000000000001</v>
      </c>
      <c r="AF67" s="60">
        <f t="shared" ca="1" si="67"/>
        <v>0.72541644277270279</v>
      </c>
      <c r="AG67" s="63">
        <f t="shared" ref="AG67:AG94" ca="1" si="252">ROUND(AF67/AE67,4)</f>
        <v>0.37530000000000002</v>
      </c>
      <c r="AH67" s="63">
        <f t="shared" ref="AH67:AH94" ca="1" si="253">IF(AG67&lt;=0.3,AG67,IF(AG67&lt;0.8,ROUND(0.52*AG67+0.144,3),0.7*AG67))</f>
        <v>0.33900000000000002</v>
      </c>
      <c r="AI67" s="81">
        <f t="shared" ca="1" si="68"/>
        <v>0.156</v>
      </c>
      <c r="AJ67" s="60">
        <f t="shared" ca="1" si="69"/>
        <v>2.4</v>
      </c>
      <c r="AK67" s="60">
        <f t="shared" ca="1" si="70"/>
        <v>0.81273508866200972</v>
      </c>
      <c r="AL67" s="63">
        <f t="shared" ref="AL67:AL94" ca="1" si="254">ROUND(AK67/AJ67,4)</f>
        <v>0.33860000000000001</v>
      </c>
      <c r="AM67" s="60">
        <f t="shared" ref="AM67:AM94" ca="1" si="255">IF(AL67&lt;=0.3,AL67,IF(AL67&lt;0.8,ROUND(0.52*AL67+0.144,3),0.7*AL67))</f>
        <v>0.32</v>
      </c>
      <c r="AN67" s="81">
        <f t="shared" ca="1" si="71"/>
        <v>0.22900000000000001</v>
      </c>
      <c r="AO67" s="334">
        <f t="shared" ref="AO67:AO94" ca="1" si="256">MAX(AN67,AI67,AD67)</f>
        <v>0.24199999999999999</v>
      </c>
      <c r="AP67" s="344">
        <f t="shared" si="21"/>
        <v>1.6930000000000001</v>
      </c>
      <c r="AQ67" s="340">
        <f t="shared" si="22"/>
        <v>0.1448794640658449</v>
      </c>
      <c r="AR67" s="58">
        <f t="shared" si="73"/>
        <v>0.1448794640658449</v>
      </c>
      <c r="AS67" s="58">
        <f t="shared" si="23"/>
        <v>0.27024728630862216</v>
      </c>
      <c r="AT67" s="58">
        <f t="shared" si="23"/>
        <v>0.20319344835234748</v>
      </c>
      <c r="AU67" s="58">
        <f t="shared" si="23"/>
        <v>0.16255475868187799</v>
      </c>
      <c r="AV67" s="58">
        <f t="shared" si="23"/>
        <v>0.20319344835234748</v>
      </c>
      <c r="AW67" s="58">
        <f t="shared" si="58"/>
        <v>0.68272998646388749</v>
      </c>
      <c r="AX67" s="58">
        <f t="shared" si="249"/>
        <v>0.76238181821800788</v>
      </c>
      <c r="AY67" s="340">
        <f t="shared" si="25"/>
        <v>1.7</v>
      </c>
      <c r="AZ67" s="58">
        <f t="shared" si="26"/>
        <v>2.1914669674073148</v>
      </c>
      <c r="BA67" s="58">
        <f t="shared" si="27"/>
        <v>1.28909821612195</v>
      </c>
      <c r="BB67" s="58">
        <f t="shared" si="74"/>
        <v>1</v>
      </c>
      <c r="BC67" s="58">
        <f t="shared" si="28"/>
        <v>0.72318409924441396</v>
      </c>
      <c r="BD67" s="58">
        <f t="shared" si="60"/>
        <v>0.2203928571428572</v>
      </c>
      <c r="BE67" s="58">
        <f t="shared" si="29"/>
        <v>0.72318409924441396</v>
      </c>
      <c r="BF67" s="58">
        <f t="shared" si="61"/>
        <v>0.2203928571428572</v>
      </c>
      <c r="BG67" s="58">
        <f t="shared" ca="1" si="30"/>
        <v>0.72541644277270279</v>
      </c>
      <c r="BH67" s="58">
        <f t="shared" ca="1" si="31"/>
        <v>0.81273508866200972</v>
      </c>
      <c r="BI67" s="341">
        <f t="shared" ca="1" si="32"/>
        <v>0.22627</v>
      </c>
      <c r="BJ67" s="64">
        <f t="shared" ca="1" si="33"/>
        <v>0.44099999999999995</v>
      </c>
      <c r="BK67" s="63">
        <f t="shared" si="34"/>
        <v>0.74440000000000006</v>
      </c>
      <c r="BL67" s="209">
        <f t="shared" ca="1" si="35"/>
        <v>432.62099999999992</v>
      </c>
    </row>
    <row r="68" spans="8:64" s="99" customFormat="1" ht="16">
      <c r="H68" s="209"/>
      <c r="I68" s="344">
        <f>I67+0.05</f>
        <v>0.79440000000000011</v>
      </c>
      <c r="J68" s="63">
        <f t="shared" ca="1" si="0"/>
        <v>1.879</v>
      </c>
      <c r="K68" s="63">
        <f t="shared" ca="1" si="1"/>
        <v>0.97499999999999998</v>
      </c>
      <c r="L68" s="63">
        <f t="shared" ca="1" si="2"/>
        <v>0.51890000000000003</v>
      </c>
      <c r="M68" s="63">
        <f t="shared" ca="1" si="3"/>
        <v>0.41399999999999998</v>
      </c>
      <c r="N68" s="81">
        <f t="shared" ca="1" si="4"/>
        <v>0.29599999999999999</v>
      </c>
      <c r="O68" s="63">
        <f t="shared" ca="1" si="5"/>
        <v>1.8979999999999999</v>
      </c>
      <c r="P68" s="63">
        <f t="shared" ca="1" si="6"/>
        <v>0.8</v>
      </c>
      <c r="Q68" s="63">
        <f t="shared" ca="1" si="7"/>
        <v>0.42149999999999999</v>
      </c>
      <c r="R68" s="63">
        <f t="shared" ca="1" si="8"/>
        <v>0.36299999999999999</v>
      </c>
      <c r="S68" s="81">
        <f t="shared" ca="1" si="9"/>
        <v>0.16400000000000001</v>
      </c>
      <c r="T68" s="63">
        <f t="shared" ca="1" si="10"/>
        <v>2.2370000000000001</v>
      </c>
      <c r="U68" s="63">
        <f t="shared" ca="1" si="11"/>
        <v>1.24498</v>
      </c>
      <c r="V68" s="63">
        <f t="shared" ca="1" si="12"/>
        <v>0.55649999999999999</v>
      </c>
      <c r="W68" s="60">
        <f t="shared" ca="1" si="13"/>
        <v>0.433</v>
      </c>
      <c r="X68" s="81">
        <f t="shared" ca="1" si="14"/>
        <v>0.309</v>
      </c>
      <c r="Y68" s="334">
        <f t="shared" ca="1" si="62"/>
        <v>0.309</v>
      </c>
      <c r="Z68" s="63">
        <f t="shared" ca="1" si="63"/>
        <v>1.9330000000000001</v>
      </c>
      <c r="AA68" s="63">
        <f t="shared" ca="1" si="64"/>
        <v>0.6797583081570997</v>
      </c>
      <c r="AB68" s="63">
        <f t="shared" ca="1" si="250"/>
        <v>0.35170000000000001</v>
      </c>
      <c r="AC68" s="63">
        <f t="shared" ca="1" si="251"/>
        <v>0.32700000000000001</v>
      </c>
      <c r="AD68" s="81">
        <f t="shared" ca="1" si="65"/>
        <v>0.23400000000000001</v>
      </c>
      <c r="AE68" s="60">
        <f t="shared" ca="1" si="66"/>
        <v>1.9330000000000001</v>
      </c>
      <c r="AF68" s="60">
        <f t="shared" ca="1" si="67"/>
        <v>0.6797583081570997</v>
      </c>
      <c r="AG68" s="63">
        <f t="shared" ca="1" si="252"/>
        <v>0.35170000000000001</v>
      </c>
      <c r="AH68" s="63">
        <f t="shared" ca="1" si="253"/>
        <v>0.32700000000000001</v>
      </c>
      <c r="AI68" s="81">
        <f t="shared" ca="1" si="68"/>
        <v>0.15</v>
      </c>
      <c r="AJ68" s="60">
        <f t="shared" ca="1" si="69"/>
        <v>2.4</v>
      </c>
      <c r="AK68" s="60">
        <f t="shared" ca="1" si="70"/>
        <v>0.76158106747230614</v>
      </c>
      <c r="AL68" s="63">
        <f t="shared" ca="1" si="254"/>
        <v>0.31730000000000003</v>
      </c>
      <c r="AM68" s="60">
        <f t="shared" ca="1" si="255"/>
        <v>0.309</v>
      </c>
      <c r="AN68" s="81">
        <f t="shared" ca="1" si="71"/>
        <v>0.221</v>
      </c>
      <c r="AO68" s="334">
        <f t="shared" ca="1" si="256"/>
        <v>0.23400000000000001</v>
      </c>
      <c r="AP68" s="344">
        <f t="shared" si="21"/>
        <v>1.6930000000000001</v>
      </c>
      <c r="AQ68" s="340">
        <f t="shared" si="22"/>
        <v>0.14024597152037507</v>
      </c>
      <c r="AR68" s="58">
        <f t="shared" si="73"/>
        <v>0.14024597152037507</v>
      </c>
      <c r="AS68" s="58">
        <f t="shared" si="23"/>
        <v>0.26160431682624369</v>
      </c>
      <c r="AT68" s="58">
        <f t="shared" si="23"/>
        <v>0.19669497505732605</v>
      </c>
      <c r="AU68" s="58">
        <f t="shared" si="23"/>
        <v>0.15735598004586085</v>
      </c>
      <c r="AV68" s="58">
        <f t="shared" si="23"/>
        <v>0.19669497505732605</v>
      </c>
      <c r="AW68" s="58">
        <f t="shared" si="58"/>
        <v>0.66089511619261543</v>
      </c>
      <c r="AX68" s="58">
        <f t="shared" si="249"/>
        <v>0.73799954641508747</v>
      </c>
      <c r="AY68" s="340">
        <f t="shared" si="25"/>
        <v>1.7</v>
      </c>
      <c r="AZ68" s="58">
        <f t="shared" si="26"/>
        <v>2.0985195272168617</v>
      </c>
      <c r="BA68" s="58">
        <f t="shared" si="27"/>
        <v>1.2344232513040363</v>
      </c>
      <c r="BB68" s="58">
        <f t="shared" si="74"/>
        <v>1</v>
      </c>
      <c r="BC68" s="58">
        <f t="shared" si="28"/>
        <v>0.69251144398156439</v>
      </c>
      <c r="BD68" s="58">
        <f t="shared" si="60"/>
        <v>0.2203928571428572</v>
      </c>
      <c r="BE68" s="58">
        <f t="shared" si="29"/>
        <v>0.69251144398156439</v>
      </c>
      <c r="BF68" s="58">
        <f t="shared" si="61"/>
        <v>0.2203928571428572</v>
      </c>
      <c r="BG68" s="58">
        <f t="shared" ca="1" si="30"/>
        <v>0.6797583081570997</v>
      </c>
      <c r="BH68" s="58">
        <f t="shared" ca="1" si="31"/>
        <v>0.76158106747230614</v>
      </c>
      <c r="BI68" s="341">
        <f t="shared" ca="1" si="32"/>
        <v>0.21879000000000001</v>
      </c>
      <c r="BJ68" s="64">
        <f t="shared" ca="1" si="33"/>
        <v>0.43259999999999998</v>
      </c>
      <c r="BK68" s="63">
        <f t="shared" si="34"/>
        <v>0.79440000000000011</v>
      </c>
      <c r="BL68" s="209">
        <f t="shared" ca="1" si="35"/>
        <v>424.38059999999996</v>
      </c>
    </row>
    <row r="69" spans="8:64" ht="16">
      <c r="H69" s="99"/>
      <c r="I69" s="344">
        <f t="shared" ref="I69:I97" si="257">I68+0.05</f>
        <v>0.84440000000000015</v>
      </c>
      <c r="J69" s="92">
        <f t="shared" ca="1" si="0"/>
        <v>1.913</v>
      </c>
      <c r="K69" s="92">
        <f t="shared" ca="1" si="1"/>
        <v>0.97499999999999998</v>
      </c>
      <c r="L69" s="92">
        <f t="shared" ca="1" si="2"/>
        <v>0.50970000000000004</v>
      </c>
      <c r="M69" s="92">
        <f t="shared" ca="1" si="3"/>
        <v>0.40899999999999997</v>
      </c>
      <c r="N69" s="384">
        <f t="shared" ca="1" si="4"/>
        <v>0.29199999999999998</v>
      </c>
      <c r="O69" s="92">
        <f t="shared" ca="1" si="5"/>
        <v>1.9330000000000001</v>
      </c>
      <c r="P69" s="92">
        <f t="shared" ca="1" si="6"/>
        <v>0.79938417811463758</v>
      </c>
      <c r="Q69" s="92">
        <f t="shared" ca="1" si="7"/>
        <v>0.41349999999999998</v>
      </c>
      <c r="R69" s="92">
        <f t="shared" ca="1" si="8"/>
        <v>0.35899999999999999</v>
      </c>
      <c r="S69" s="384">
        <f t="shared" ca="1" si="9"/>
        <v>0.16500000000000001</v>
      </c>
      <c r="T69" s="92">
        <f t="shared" ca="1" si="10"/>
        <v>2.2970000000000002</v>
      </c>
      <c r="U69" s="92">
        <f t="shared" ca="1" si="11"/>
        <v>1.24498</v>
      </c>
      <c r="V69" s="92">
        <f t="shared" ca="1" si="12"/>
        <v>0.54200000000000004</v>
      </c>
      <c r="W69" s="93">
        <f t="shared" ca="1" si="13"/>
        <v>0.42599999999999999</v>
      </c>
      <c r="X69" s="384">
        <f t="shared" ca="1" si="14"/>
        <v>0.30399999999999999</v>
      </c>
      <c r="Y69" s="335">
        <f t="shared" ca="1" si="62"/>
        <v>0.30399999999999999</v>
      </c>
      <c r="Z69" s="63">
        <f t="shared" ca="1" si="63"/>
        <v>1.9330000000000001</v>
      </c>
      <c r="AA69" s="63">
        <f t="shared" ca="1" si="64"/>
        <v>0.63950734249171004</v>
      </c>
      <c r="AB69" s="92">
        <f t="shared" ca="1" si="250"/>
        <v>0.33079999999999998</v>
      </c>
      <c r="AC69" s="92">
        <f t="shared" ca="1" si="251"/>
        <v>0.316</v>
      </c>
      <c r="AD69" s="81">
        <f t="shared" ca="1" si="65"/>
        <v>0.22600000000000001</v>
      </c>
      <c r="AE69" s="60">
        <f t="shared" ca="1" si="66"/>
        <v>1.9330000000000001</v>
      </c>
      <c r="AF69" s="60">
        <f t="shared" ca="1" si="67"/>
        <v>0.63950734249171004</v>
      </c>
      <c r="AG69" s="92">
        <f t="shared" ca="1" si="252"/>
        <v>0.33079999999999998</v>
      </c>
      <c r="AH69" s="92">
        <f t="shared" ca="1" si="253"/>
        <v>0.316</v>
      </c>
      <c r="AI69" s="81">
        <f t="shared" ca="1" si="68"/>
        <v>0.14499999999999999</v>
      </c>
      <c r="AJ69" s="60">
        <f t="shared" ca="1" si="69"/>
        <v>2.4</v>
      </c>
      <c r="AK69" s="60">
        <f t="shared" ca="1" si="70"/>
        <v>0.71648507816200846</v>
      </c>
      <c r="AL69" s="92">
        <f t="shared" ca="1" si="254"/>
        <v>0.29849999999999999</v>
      </c>
      <c r="AM69" s="93">
        <f t="shared" ca="1" si="255"/>
        <v>0.29849999999999999</v>
      </c>
      <c r="AN69" s="81">
        <f t="shared" ca="1" si="71"/>
        <v>0.21299999999999999</v>
      </c>
      <c r="AO69" s="335">
        <f t="shared" ca="1" si="256"/>
        <v>0.22600000000000001</v>
      </c>
      <c r="AP69" s="344">
        <f t="shared" si="21"/>
        <v>1.6930000000000001</v>
      </c>
      <c r="AQ69" s="340">
        <f t="shared" si="22"/>
        <v>0.13603037668948534</v>
      </c>
      <c r="AR69" s="58">
        <f t="shared" si="73"/>
        <v>0.13603037668948534</v>
      </c>
      <c r="AS69" s="58">
        <f t="shared" ref="AS69:AV89" si="258">$Q$5*AS$41*$Q$15*$AR69*$AH$6</f>
        <v>0.25374086239831428</v>
      </c>
      <c r="AT69" s="58">
        <f t="shared" si="258"/>
        <v>0.1907826033070032</v>
      </c>
      <c r="AU69" s="58">
        <f t="shared" si="258"/>
        <v>0.15262608264560257</v>
      </c>
      <c r="AV69" s="58">
        <f t="shared" si="258"/>
        <v>0.1907826033070032</v>
      </c>
      <c r="AW69" s="58">
        <f t="shared" si="58"/>
        <v>0.64102954711153071</v>
      </c>
      <c r="AX69" s="58">
        <f t="shared" si="249"/>
        <v>0.71581632760787606</v>
      </c>
      <c r="AY69" s="340">
        <f t="shared" si="25"/>
        <v>1.7</v>
      </c>
      <c r="AZ69" s="58">
        <f t="shared" si="26"/>
        <v>2.0148390311200717</v>
      </c>
      <c r="BA69" s="58">
        <f t="shared" si="27"/>
        <v>1.1851994300706303</v>
      </c>
      <c r="BB69" s="58">
        <f t="shared" si="74"/>
        <v>1</v>
      </c>
      <c r="BC69" s="58">
        <f t="shared" si="28"/>
        <v>0.66489688026962368</v>
      </c>
      <c r="BD69" s="58">
        <f t="shared" si="60"/>
        <v>0.2203928571428572</v>
      </c>
      <c r="BE69" s="58">
        <f t="shared" si="29"/>
        <v>0.66489688026962368</v>
      </c>
      <c r="BF69" s="58">
        <f t="shared" si="61"/>
        <v>0.2203928571428572</v>
      </c>
      <c r="BG69" s="58">
        <f t="shared" ca="1" si="30"/>
        <v>0.63950734249171004</v>
      </c>
      <c r="BH69" s="58">
        <f t="shared" ca="1" si="31"/>
        <v>0.71648507816200846</v>
      </c>
      <c r="BI69" s="341">
        <f t="shared" ca="1" si="32"/>
        <v>0.21131000000000003</v>
      </c>
      <c r="BJ69" s="95">
        <f t="shared" ca="1" si="33"/>
        <v>0.42559999999999998</v>
      </c>
      <c r="BK69" s="92">
        <f t="shared" si="34"/>
        <v>0.84440000000000015</v>
      </c>
      <c r="BL69" s="209">
        <f t="shared" ca="1" si="35"/>
        <v>417.5136</v>
      </c>
    </row>
    <row r="70" spans="8:64" ht="16">
      <c r="I70" s="344">
        <f t="shared" si="257"/>
        <v>0.89440000000000019</v>
      </c>
      <c r="J70" s="63">
        <f t="shared" ca="1" si="0"/>
        <v>1.9330000000000001</v>
      </c>
      <c r="K70" s="63">
        <f t="shared" ca="1" si="1"/>
        <v>0.95281753130590319</v>
      </c>
      <c r="L70" s="63">
        <f t="shared" ca="1" si="2"/>
        <v>0.4929</v>
      </c>
      <c r="M70" s="63">
        <f t="shared" ca="1" si="3"/>
        <v>0.4</v>
      </c>
      <c r="N70" s="81">
        <f t="shared" ca="1" si="4"/>
        <v>0.28599999999999998</v>
      </c>
      <c r="O70" s="63">
        <f t="shared" ca="1" si="5"/>
        <v>1.9330000000000001</v>
      </c>
      <c r="P70" s="63">
        <f t="shared" ca="1" si="6"/>
        <v>0.7546958855098389</v>
      </c>
      <c r="Q70" s="63">
        <f t="shared" ca="1" si="7"/>
        <v>0.39040000000000002</v>
      </c>
      <c r="R70" s="63">
        <f t="shared" ca="1" si="8"/>
        <v>0.34699999999999998</v>
      </c>
      <c r="S70" s="81">
        <f t="shared" ca="1" si="9"/>
        <v>0.16</v>
      </c>
      <c r="T70" s="63">
        <f t="shared" ca="1" si="10"/>
        <v>2.3580000000000001</v>
      </c>
      <c r="U70" s="63">
        <f t="shared" ca="1" si="11"/>
        <v>1.24498</v>
      </c>
      <c r="V70" s="63">
        <f t="shared" ca="1" si="12"/>
        <v>0.52800000000000002</v>
      </c>
      <c r="W70" s="60">
        <f t="shared" ca="1" si="13"/>
        <v>0.41899999999999998</v>
      </c>
      <c r="X70" s="81">
        <f t="shared" ca="1" si="14"/>
        <v>0.29899999999999999</v>
      </c>
      <c r="Y70" s="334">
        <f t="shared" ca="1" si="62"/>
        <v>0.29899999999999999</v>
      </c>
      <c r="Z70" s="63">
        <f t="shared" ca="1" si="63"/>
        <v>1.9330000000000001</v>
      </c>
      <c r="AA70" s="63">
        <f t="shared" ca="1" si="64"/>
        <v>0.6037567084078711</v>
      </c>
      <c r="AB70" s="63">
        <f t="shared" ca="1" si="250"/>
        <v>0.31230000000000002</v>
      </c>
      <c r="AC70" s="63">
        <f t="shared" ca="1" si="251"/>
        <v>0.30599999999999999</v>
      </c>
      <c r="AD70" s="81">
        <f t="shared" ca="1" si="65"/>
        <v>0.219</v>
      </c>
      <c r="AE70" s="60">
        <f t="shared" ca="1" si="66"/>
        <v>1.9330000000000001</v>
      </c>
      <c r="AF70" s="60">
        <f t="shared" ca="1" si="67"/>
        <v>0.6037567084078711</v>
      </c>
      <c r="AG70" s="63">
        <f t="shared" ca="1" si="252"/>
        <v>0.31230000000000002</v>
      </c>
      <c r="AH70" s="63">
        <f t="shared" ca="1" si="253"/>
        <v>0.30599999999999999</v>
      </c>
      <c r="AI70" s="81">
        <f t="shared" ca="1" si="68"/>
        <v>0.14099999999999999</v>
      </c>
      <c r="AJ70" s="60">
        <f t="shared" ca="1" si="69"/>
        <v>2.4</v>
      </c>
      <c r="AK70" s="60">
        <f t="shared" ca="1" si="70"/>
        <v>0.67643112701252228</v>
      </c>
      <c r="AL70" s="63">
        <f t="shared" ca="1" si="254"/>
        <v>0.28179999999999999</v>
      </c>
      <c r="AM70" s="60">
        <f t="shared" ca="1" si="255"/>
        <v>0.28179999999999999</v>
      </c>
      <c r="AN70" s="81">
        <f t="shared" ca="1" si="71"/>
        <v>0.20100000000000001</v>
      </c>
      <c r="AO70" s="334">
        <f t="shared" ca="1" si="256"/>
        <v>0.219</v>
      </c>
      <c r="AP70" s="344">
        <f t="shared" si="21"/>
        <v>1.6930000000000001</v>
      </c>
      <c r="AQ70" s="340">
        <f t="shared" si="22"/>
        <v>0.13217341701181673</v>
      </c>
      <c r="AR70" s="58">
        <f t="shared" si="73"/>
        <v>0.13217341701181673</v>
      </c>
      <c r="AS70" s="58">
        <f t="shared" si="258"/>
        <v>0.24654637908756705</v>
      </c>
      <c r="AT70" s="58">
        <f t="shared" si="258"/>
        <v>0.18537321735907297</v>
      </c>
      <c r="AU70" s="58">
        <f t="shared" si="258"/>
        <v>0.14829857388725839</v>
      </c>
      <c r="AV70" s="58">
        <f t="shared" si="258"/>
        <v>0.18537321735907297</v>
      </c>
      <c r="AW70" s="58">
        <f t="shared" si="58"/>
        <v>0.62285401032648513</v>
      </c>
      <c r="AX70" s="58">
        <f t="shared" si="249"/>
        <v>0.69552031153124183</v>
      </c>
      <c r="AY70" s="340">
        <f t="shared" si="25"/>
        <v>1.7</v>
      </c>
      <c r="AZ70" s="58">
        <f t="shared" si="26"/>
        <v>1.9390305195103503</v>
      </c>
      <c r="BA70" s="58">
        <f t="shared" si="27"/>
        <v>1.1406061879472649</v>
      </c>
      <c r="BB70" s="58">
        <f t="shared" si="74"/>
        <v>1</v>
      </c>
      <c r="BC70" s="58">
        <f t="shared" si="28"/>
        <v>0.63988007143841563</v>
      </c>
      <c r="BD70" s="58">
        <f t="shared" si="60"/>
        <v>0.2203928571428572</v>
      </c>
      <c r="BE70" s="58">
        <f t="shared" si="29"/>
        <v>0.63988007143841563</v>
      </c>
      <c r="BF70" s="58">
        <f t="shared" si="61"/>
        <v>0.2203928571428572</v>
      </c>
      <c r="BG70" s="58">
        <f t="shared" ca="1" si="30"/>
        <v>0.6037567084078711</v>
      </c>
      <c r="BH70" s="58">
        <f t="shared" ca="1" si="31"/>
        <v>0.67643112701252228</v>
      </c>
      <c r="BI70" s="341">
        <f t="shared" ca="1" si="32"/>
        <v>0.204765</v>
      </c>
      <c r="BJ70" s="64">
        <f t="shared" ca="1" si="33"/>
        <v>0.41859999999999997</v>
      </c>
      <c r="BK70" s="63">
        <f t="shared" si="34"/>
        <v>0.89440000000000019</v>
      </c>
      <c r="BL70" s="209">
        <f t="shared" ca="1" si="35"/>
        <v>410.64659999999998</v>
      </c>
    </row>
    <row r="71" spans="8:64" ht="16">
      <c r="I71" s="344">
        <f t="shared" si="257"/>
        <v>0.94440000000000024</v>
      </c>
      <c r="J71" s="92">
        <f t="shared" ca="1" si="0"/>
        <v>1.9330000000000001</v>
      </c>
      <c r="K71" s="92">
        <f t="shared" ca="1" si="1"/>
        <v>0.90237187632359139</v>
      </c>
      <c r="L71" s="92">
        <f t="shared" ca="1" si="2"/>
        <v>0.46679999999999999</v>
      </c>
      <c r="M71" s="92">
        <f t="shared" ca="1" si="3"/>
        <v>0.38700000000000001</v>
      </c>
      <c r="N71" s="384">
        <f t="shared" ca="1" si="4"/>
        <v>0.27600000000000002</v>
      </c>
      <c r="O71" s="92">
        <f t="shared" ca="1" si="5"/>
        <v>1.9330000000000001</v>
      </c>
      <c r="P71" s="92">
        <f t="shared" ca="1" si="6"/>
        <v>0.71473951715374828</v>
      </c>
      <c r="Q71" s="92">
        <f t="shared" ca="1" si="7"/>
        <v>0.36980000000000002</v>
      </c>
      <c r="R71" s="92">
        <f t="shared" ca="1" si="8"/>
        <v>0.33600000000000002</v>
      </c>
      <c r="S71" s="384">
        <f t="shared" ca="1" si="9"/>
        <v>0.155</v>
      </c>
      <c r="T71" s="92">
        <f t="shared" ca="1" si="10"/>
        <v>2.4</v>
      </c>
      <c r="U71" s="92">
        <f t="shared" ca="1" si="11"/>
        <v>1.2248295213892415</v>
      </c>
      <c r="V71" s="92">
        <f t="shared" ca="1" si="12"/>
        <v>0.51029999999999998</v>
      </c>
      <c r="W71" s="93">
        <f t="shared" ca="1" si="13"/>
        <v>0.40899999999999997</v>
      </c>
      <c r="X71" s="384">
        <f t="shared" ca="1" si="14"/>
        <v>0.29199999999999998</v>
      </c>
      <c r="Y71" s="335">
        <f t="shared" ca="1" si="62"/>
        <v>0.29199999999999998</v>
      </c>
      <c r="Z71" s="63">
        <f t="shared" ca="1" si="63"/>
        <v>1.9330000000000001</v>
      </c>
      <c r="AA71" s="63">
        <f t="shared" ca="1" si="64"/>
        <v>0.57179161372299858</v>
      </c>
      <c r="AB71" s="92">
        <f t="shared" ca="1" si="250"/>
        <v>0.29580000000000001</v>
      </c>
      <c r="AC71" s="92">
        <f t="shared" ca="1" si="251"/>
        <v>0.29580000000000001</v>
      </c>
      <c r="AD71" s="81">
        <f t="shared" ca="1" si="65"/>
        <v>0.21099999999999999</v>
      </c>
      <c r="AE71" s="60">
        <f t="shared" ca="1" si="66"/>
        <v>1.9330000000000001</v>
      </c>
      <c r="AF71" s="60">
        <f t="shared" ca="1" si="67"/>
        <v>0.57179161372299858</v>
      </c>
      <c r="AG71" s="92">
        <f t="shared" ca="1" si="252"/>
        <v>0.29580000000000001</v>
      </c>
      <c r="AH71" s="92">
        <f t="shared" ca="1" si="253"/>
        <v>0.29580000000000001</v>
      </c>
      <c r="AI71" s="81">
        <f t="shared" ca="1" si="68"/>
        <v>0.13600000000000001</v>
      </c>
      <c r="AJ71" s="60">
        <f t="shared" ca="1" si="69"/>
        <v>2.4</v>
      </c>
      <c r="AK71" s="60">
        <f t="shared" ca="1" si="70"/>
        <v>0.64061838204150778</v>
      </c>
      <c r="AL71" s="92">
        <f t="shared" ca="1" si="254"/>
        <v>0.26690000000000003</v>
      </c>
      <c r="AM71" s="93">
        <f t="shared" ca="1" si="255"/>
        <v>0.26690000000000003</v>
      </c>
      <c r="AN71" s="81">
        <f t="shared" ca="1" si="71"/>
        <v>0.191</v>
      </c>
      <c r="AO71" s="335">
        <f t="shared" ca="1" si="256"/>
        <v>0.21099999999999999</v>
      </c>
      <c r="AP71" s="344">
        <f t="shared" si="21"/>
        <v>1.6930000000000001</v>
      </c>
      <c r="AQ71" s="340">
        <f t="shared" si="22"/>
        <v>0.1286269654093217</v>
      </c>
      <c r="AR71" s="58">
        <f t="shared" si="73"/>
        <v>0.1286269654093217</v>
      </c>
      <c r="AS71" s="58">
        <f t="shared" si="258"/>
        <v>0.23993109425214301</v>
      </c>
      <c r="AT71" s="58">
        <f t="shared" si="258"/>
        <v>0.18039931898657369</v>
      </c>
      <c r="AU71" s="58">
        <f t="shared" si="258"/>
        <v>0.14431945518925895</v>
      </c>
      <c r="AV71" s="58">
        <f t="shared" si="258"/>
        <v>0.18039931898657369</v>
      </c>
      <c r="AW71" s="58">
        <f t="shared" si="58"/>
        <v>0.60614171179488752</v>
      </c>
      <c r="AX71" s="58">
        <f t="shared" si="249"/>
        <v>0.67685824483762458</v>
      </c>
      <c r="AY71" s="340">
        <f t="shared" si="25"/>
        <v>1.7</v>
      </c>
      <c r="AZ71" s="58">
        <f t="shared" si="26"/>
        <v>1.8699723551518646</v>
      </c>
      <c r="BA71" s="58">
        <f t="shared" si="27"/>
        <v>1.0999837383246263</v>
      </c>
      <c r="BB71" s="58">
        <f t="shared" si="74"/>
        <v>1</v>
      </c>
      <c r="BC71" s="58">
        <f t="shared" si="28"/>
        <v>0.61709087720011535</v>
      </c>
      <c r="BD71" s="58">
        <f t="shared" si="60"/>
        <v>0.2203928571428572</v>
      </c>
      <c r="BE71" s="58">
        <f t="shared" si="29"/>
        <v>0.61709087720011535</v>
      </c>
      <c r="BF71" s="58">
        <f t="shared" si="61"/>
        <v>0.2203928571428572</v>
      </c>
      <c r="BG71" s="58">
        <f t="shared" ca="1" si="30"/>
        <v>0.57179161372299858</v>
      </c>
      <c r="BH71" s="58">
        <f t="shared" ca="1" si="31"/>
        <v>0.64061838204150778</v>
      </c>
      <c r="BI71" s="341">
        <f t="shared" ca="1" si="32"/>
        <v>0.19728500000000002</v>
      </c>
      <c r="BJ71" s="95">
        <f t="shared" ca="1" si="33"/>
        <v>0.40879999999999994</v>
      </c>
      <c r="BK71" s="92">
        <f t="shared" si="34"/>
        <v>0.94440000000000024</v>
      </c>
      <c r="BL71" s="209">
        <f t="shared" ca="1" si="35"/>
        <v>401.03279999999995</v>
      </c>
    </row>
    <row r="72" spans="8:64" ht="16">
      <c r="H72" s="99"/>
      <c r="I72" s="344">
        <f t="shared" si="257"/>
        <v>0.99440000000000028</v>
      </c>
      <c r="J72" s="92">
        <f t="shared" ca="1" si="0"/>
        <v>1.9330000000000001</v>
      </c>
      <c r="K72" s="92">
        <f t="shared" ca="1" si="1"/>
        <v>0.85699919549477044</v>
      </c>
      <c r="L72" s="92">
        <f t="shared" ca="1" si="2"/>
        <v>0.44340000000000002</v>
      </c>
      <c r="M72" s="92">
        <f t="shared" ca="1" si="3"/>
        <v>0.375</v>
      </c>
      <c r="N72" s="384">
        <f t="shared" ca="1" si="4"/>
        <v>0.26800000000000002</v>
      </c>
      <c r="O72" s="92">
        <f t="shared" ca="1" si="5"/>
        <v>1.9330000000000001</v>
      </c>
      <c r="P72" s="92">
        <f t="shared" ca="1" si="6"/>
        <v>0.67880128720836674</v>
      </c>
      <c r="Q72" s="92">
        <f t="shared" ca="1" si="7"/>
        <v>0.35120000000000001</v>
      </c>
      <c r="R72" s="92">
        <f t="shared" ca="1" si="8"/>
        <v>0.32700000000000001</v>
      </c>
      <c r="S72" s="384">
        <f t="shared" ca="1" si="9"/>
        <v>0.15</v>
      </c>
      <c r="T72" s="92">
        <f t="shared" ca="1" si="10"/>
        <v>2.4</v>
      </c>
      <c r="U72" s="92">
        <f t="shared" ca="1" si="11"/>
        <v>1.1632431617055508</v>
      </c>
      <c r="V72" s="92">
        <f t="shared" ca="1" si="12"/>
        <v>0.48470000000000002</v>
      </c>
      <c r="W72" s="93">
        <f t="shared" ca="1" si="13"/>
        <v>0.39600000000000002</v>
      </c>
      <c r="X72" s="384">
        <f t="shared" ca="1" si="14"/>
        <v>0.28299999999999997</v>
      </c>
      <c r="Y72" s="334">
        <f t="shared" ca="1" si="62"/>
        <v>0.28299999999999997</v>
      </c>
      <c r="Z72" s="63">
        <f t="shared" ca="1" si="63"/>
        <v>1.9330000000000001</v>
      </c>
      <c r="AA72" s="63">
        <f t="shared" ca="1" si="64"/>
        <v>0.54304102976669333</v>
      </c>
      <c r="AB72" s="92">
        <f t="shared" ca="1" si="250"/>
        <v>0.28089999999999998</v>
      </c>
      <c r="AC72" s="92">
        <f t="shared" ca="1" si="251"/>
        <v>0.28089999999999998</v>
      </c>
      <c r="AD72" s="81">
        <f t="shared" ca="1" si="65"/>
        <v>0.20100000000000001</v>
      </c>
      <c r="AE72" s="60">
        <f t="shared" ca="1" si="66"/>
        <v>1.9330000000000001</v>
      </c>
      <c r="AF72" s="60">
        <f t="shared" ca="1" si="67"/>
        <v>0.54304102976669333</v>
      </c>
      <c r="AG72" s="92">
        <f t="shared" ca="1" si="252"/>
        <v>0.28089999999999998</v>
      </c>
      <c r="AH72" s="92">
        <f t="shared" ca="1" si="253"/>
        <v>0.28089999999999998</v>
      </c>
      <c r="AI72" s="81">
        <f t="shared" ca="1" si="68"/>
        <v>0.129</v>
      </c>
      <c r="AJ72" s="60">
        <f t="shared" ca="1" si="69"/>
        <v>2.4</v>
      </c>
      <c r="AK72" s="60">
        <f t="shared" ca="1" si="70"/>
        <v>0.60840707964601759</v>
      </c>
      <c r="AL72" s="92">
        <f t="shared" ca="1" si="254"/>
        <v>0.2535</v>
      </c>
      <c r="AM72" s="93">
        <f t="shared" ca="1" si="255"/>
        <v>0.2535</v>
      </c>
      <c r="AN72" s="81">
        <f t="shared" ca="1" si="71"/>
        <v>0.18099999999999999</v>
      </c>
      <c r="AO72" s="334">
        <f t="shared" ca="1" si="256"/>
        <v>0.20100000000000001</v>
      </c>
      <c r="AP72" s="344">
        <f t="shared" si="21"/>
        <v>1.6930000000000001</v>
      </c>
      <c r="AQ72" s="340">
        <f t="shared" si="22"/>
        <v>0.12535147689378429</v>
      </c>
      <c r="AR72" s="58">
        <f t="shared" si="73"/>
        <v>0.12535147689378429</v>
      </c>
      <c r="AS72" s="58">
        <f t="shared" si="258"/>
        <v>0.23382124363689819</v>
      </c>
      <c r="AT72" s="58">
        <f t="shared" si="258"/>
        <v>0.17580544634353248</v>
      </c>
      <c r="AU72" s="58">
        <f t="shared" si="258"/>
        <v>0.14064435707482598</v>
      </c>
      <c r="AV72" s="58">
        <f t="shared" si="258"/>
        <v>0.17580544634353248</v>
      </c>
      <c r="AW72" s="58">
        <f t="shared" si="58"/>
        <v>0.59070629971426913</v>
      </c>
      <c r="AX72" s="58">
        <f t="shared" si="249"/>
        <v>0.65962203468093383</v>
      </c>
      <c r="AY72" s="340">
        <f t="shared" si="25"/>
        <v>1.7</v>
      </c>
      <c r="AZ72" s="58">
        <f t="shared" si="26"/>
        <v>1.8067515169086505</v>
      </c>
      <c r="BA72" s="58">
        <f t="shared" si="27"/>
        <v>1.0627950099462651</v>
      </c>
      <c r="BB72" s="58">
        <f t="shared" si="74"/>
        <v>1</v>
      </c>
      <c r="BC72" s="58">
        <f t="shared" si="28"/>
        <v>0.5962280005798547</v>
      </c>
      <c r="BD72" s="58">
        <f t="shared" si="60"/>
        <v>0.2203928571428572</v>
      </c>
      <c r="BE72" s="58">
        <f t="shared" si="29"/>
        <v>0.5962280005798547</v>
      </c>
      <c r="BF72" s="58">
        <f t="shared" si="61"/>
        <v>0.2203928571428572</v>
      </c>
      <c r="BG72" s="58">
        <f t="shared" ca="1" si="30"/>
        <v>0.54304102976669333</v>
      </c>
      <c r="BH72" s="58">
        <f t="shared" ca="1" si="31"/>
        <v>0.60840707964601759</v>
      </c>
      <c r="BI72" s="341">
        <f t="shared" ca="1" si="32"/>
        <v>0.18793500000000002</v>
      </c>
      <c r="BJ72" s="95">
        <f t="shared" ca="1" si="33"/>
        <v>0.39619999999999994</v>
      </c>
      <c r="BK72" s="92">
        <f t="shared" si="34"/>
        <v>0.99440000000000028</v>
      </c>
      <c r="BL72" s="209">
        <f t="shared" ca="1" si="35"/>
        <v>388.67219999999992</v>
      </c>
    </row>
    <row r="73" spans="8:64" ht="16">
      <c r="I73" s="344">
        <f t="shared" si="257"/>
        <v>1.0444000000000002</v>
      </c>
      <c r="J73" s="92">
        <f t="shared" ca="1" si="0"/>
        <v>1.9330000000000001</v>
      </c>
      <c r="K73" s="92">
        <f t="shared" ca="1" si="1"/>
        <v>0.81597089237839882</v>
      </c>
      <c r="L73" s="92">
        <f t="shared" ca="1" si="2"/>
        <v>0.42209999999999998</v>
      </c>
      <c r="M73" s="92">
        <f t="shared" ca="1" si="3"/>
        <v>0.36299999999999999</v>
      </c>
      <c r="N73" s="384">
        <f t="shared" ca="1" si="4"/>
        <v>0.25900000000000001</v>
      </c>
      <c r="O73" s="92">
        <f t="shared" ca="1" si="5"/>
        <v>1.9330000000000001</v>
      </c>
      <c r="P73" s="92">
        <f t="shared" ca="1" si="6"/>
        <v>0.64630409804672528</v>
      </c>
      <c r="Q73" s="92">
        <f t="shared" ca="1" si="7"/>
        <v>0.33439999999999998</v>
      </c>
      <c r="R73" s="92">
        <f t="shared" ca="1" si="8"/>
        <v>0.318</v>
      </c>
      <c r="S73" s="384">
        <f t="shared" ca="1" si="9"/>
        <v>0.14599999999999999</v>
      </c>
      <c r="T73" s="92">
        <f t="shared" ca="1" si="10"/>
        <v>2.4</v>
      </c>
      <c r="U73" s="92">
        <f t="shared" ca="1" si="11"/>
        <v>1.1075536193029487</v>
      </c>
      <c r="V73" s="92">
        <f t="shared" ca="1" si="12"/>
        <v>0.46150000000000002</v>
      </c>
      <c r="W73" s="93">
        <f t="shared" ca="1" si="13"/>
        <v>0.38400000000000001</v>
      </c>
      <c r="X73" s="384">
        <f t="shared" ca="1" si="14"/>
        <v>0.27400000000000002</v>
      </c>
      <c r="Y73" s="335">
        <f t="shared" ca="1" si="62"/>
        <v>0.27400000000000002</v>
      </c>
      <c r="Z73" s="63">
        <f t="shared" ca="1" si="63"/>
        <v>1.9330000000000001</v>
      </c>
      <c r="AA73" s="63">
        <f t="shared" ca="1" si="64"/>
        <v>0.51704327843738029</v>
      </c>
      <c r="AB73" s="92">
        <f t="shared" ca="1" si="250"/>
        <v>0.26750000000000002</v>
      </c>
      <c r="AC73" s="92">
        <f t="shared" ca="1" si="251"/>
        <v>0.26750000000000002</v>
      </c>
      <c r="AD73" s="81">
        <f t="shared" ca="1" si="65"/>
        <v>0.191</v>
      </c>
      <c r="AE73" s="60">
        <f t="shared" ca="1" si="66"/>
        <v>1.9330000000000001</v>
      </c>
      <c r="AF73" s="60">
        <f t="shared" ca="1" si="67"/>
        <v>0.51704327843738029</v>
      </c>
      <c r="AG73" s="92">
        <f t="shared" ca="1" si="252"/>
        <v>0.26750000000000002</v>
      </c>
      <c r="AH73" s="92">
        <f t="shared" ca="1" si="253"/>
        <v>0.26750000000000002</v>
      </c>
      <c r="AI73" s="81">
        <f t="shared" ca="1" si="68"/>
        <v>0.123</v>
      </c>
      <c r="AJ73" s="60">
        <f t="shared" ca="1" si="69"/>
        <v>2.4</v>
      </c>
      <c r="AK73" s="60">
        <f t="shared" ca="1" si="70"/>
        <v>0.57927996936039827</v>
      </c>
      <c r="AL73" s="92">
        <f t="shared" ca="1" si="254"/>
        <v>0.2414</v>
      </c>
      <c r="AM73" s="93">
        <f t="shared" ca="1" si="255"/>
        <v>0.2414</v>
      </c>
      <c r="AN73" s="81">
        <f t="shared" ca="1" si="71"/>
        <v>0.17199999999999999</v>
      </c>
      <c r="AO73" s="335">
        <f t="shared" ca="1" si="256"/>
        <v>0.191</v>
      </c>
      <c r="AP73" s="344">
        <f t="shared" si="21"/>
        <v>1.6930000000000001</v>
      </c>
      <c r="AQ73" s="340">
        <f t="shared" si="22"/>
        <v>0.12231411615320967</v>
      </c>
      <c r="AR73" s="58">
        <f t="shared" si="73"/>
        <v>0.12231411615320967</v>
      </c>
      <c r="AS73" s="58">
        <f t="shared" si="258"/>
        <v>0.22815557871348582</v>
      </c>
      <c r="AT73" s="58">
        <f t="shared" si="258"/>
        <v>0.17154554790487656</v>
      </c>
      <c r="AU73" s="58">
        <f t="shared" si="258"/>
        <v>0.13723643832390126</v>
      </c>
      <c r="AV73" s="58">
        <f t="shared" si="258"/>
        <v>0.17154554790487656</v>
      </c>
      <c r="AW73" s="58">
        <f t="shared" si="58"/>
        <v>0.57639304096038513</v>
      </c>
      <c r="AX73" s="58">
        <f t="shared" si="249"/>
        <v>0.64363889573909694</v>
      </c>
      <c r="AY73" s="340">
        <f t="shared" si="25"/>
        <v>1.7</v>
      </c>
      <c r="AZ73" s="58">
        <f t="shared" si="26"/>
        <v>1.7486165976306871</v>
      </c>
      <c r="BA73" s="58">
        <f t="shared" si="27"/>
        <v>1.0285979986062865</v>
      </c>
      <c r="BB73" s="58">
        <f t="shared" si="74"/>
        <v>1</v>
      </c>
      <c r="BC73" s="58">
        <f t="shared" si="28"/>
        <v>0.57704347721812677</v>
      </c>
      <c r="BD73" s="58">
        <f t="shared" si="60"/>
        <v>0.2203928571428572</v>
      </c>
      <c r="BE73" s="58">
        <f t="shared" si="29"/>
        <v>0.57704347721812677</v>
      </c>
      <c r="BF73" s="58">
        <f t="shared" si="61"/>
        <v>0.2203928571428572</v>
      </c>
      <c r="BG73" s="58">
        <f t="shared" ca="1" si="30"/>
        <v>0.51704327843738029</v>
      </c>
      <c r="BH73" s="58">
        <f t="shared" ca="1" si="31"/>
        <v>0.57927996936039827</v>
      </c>
      <c r="BI73" s="341">
        <f t="shared" ca="1" si="32"/>
        <v>0.17858499999999999</v>
      </c>
      <c r="BJ73" s="95">
        <f t="shared" ca="1" si="33"/>
        <v>0.3836</v>
      </c>
      <c r="BK73" s="92">
        <f t="shared" si="34"/>
        <v>1.0444000000000002</v>
      </c>
      <c r="BL73" s="209">
        <f t="shared" ca="1" si="35"/>
        <v>376.3116</v>
      </c>
    </row>
    <row r="74" spans="8:64" ht="16">
      <c r="I74" s="344">
        <f t="shared" si="257"/>
        <v>1.0944000000000003</v>
      </c>
      <c r="J74" s="92">
        <f t="shared" ca="1" si="0"/>
        <v>1.9330000000000001</v>
      </c>
      <c r="K74" s="92">
        <f t="shared" ca="1" si="1"/>
        <v>0.77869152046783607</v>
      </c>
      <c r="L74" s="92">
        <f t="shared" ca="1" si="2"/>
        <v>0.40279999999999999</v>
      </c>
      <c r="M74" s="92">
        <f t="shared" ca="1" si="3"/>
        <v>0.35299999999999998</v>
      </c>
      <c r="N74" s="384">
        <f t="shared" ca="1" si="4"/>
        <v>0.252</v>
      </c>
      <c r="O74" s="92">
        <f t="shared" ca="1" si="5"/>
        <v>1.9330000000000001</v>
      </c>
      <c r="P74" s="92">
        <f t="shared" ca="1" si="6"/>
        <v>0.61677631578947356</v>
      </c>
      <c r="Q74" s="92">
        <f t="shared" ca="1" si="7"/>
        <v>0.31909999999999999</v>
      </c>
      <c r="R74" s="92">
        <f t="shared" ca="1" si="8"/>
        <v>0.31</v>
      </c>
      <c r="S74" s="384">
        <f t="shared" ca="1" si="9"/>
        <v>0.14299999999999999</v>
      </c>
      <c r="T74" s="92">
        <f t="shared" ca="1" si="10"/>
        <v>2.4</v>
      </c>
      <c r="U74" s="92">
        <f t="shared" ca="1" si="11"/>
        <v>1.0569526681286545</v>
      </c>
      <c r="V74" s="92">
        <f t="shared" ca="1" si="12"/>
        <v>0.44040000000000001</v>
      </c>
      <c r="W74" s="93">
        <f t="shared" ca="1" si="13"/>
        <v>0.373</v>
      </c>
      <c r="X74" s="384">
        <f t="shared" ca="1" si="14"/>
        <v>0.26600000000000001</v>
      </c>
      <c r="Y74" s="335">
        <f t="shared" ca="1" si="62"/>
        <v>0.26600000000000001</v>
      </c>
      <c r="Z74" s="63">
        <f t="shared" ca="1" si="63"/>
        <v>1.9330000000000001</v>
      </c>
      <c r="AA74" s="63">
        <f t="shared" ca="1" si="64"/>
        <v>0.49342105263157887</v>
      </c>
      <c r="AB74" s="92">
        <f t="shared" ca="1" si="250"/>
        <v>0.25530000000000003</v>
      </c>
      <c r="AC74" s="92">
        <f t="shared" ca="1" si="251"/>
        <v>0.25530000000000003</v>
      </c>
      <c r="AD74" s="81">
        <f t="shared" ca="1" si="65"/>
        <v>0.182</v>
      </c>
      <c r="AE74" s="60">
        <f t="shared" ca="1" si="66"/>
        <v>1.9330000000000001</v>
      </c>
      <c r="AF74" s="60">
        <f t="shared" ca="1" si="67"/>
        <v>0.49342105263157887</v>
      </c>
      <c r="AG74" s="92">
        <f t="shared" ca="1" si="252"/>
        <v>0.25530000000000003</v>
      </c>
      <c r="AH74" s="92">
        <f t="shared" ca="1" si="253"/>
        <v>0.25530000000000003</v>
      </c>
      <c r="AI74" s="81">
        <f t="shared" ca="1" si="68"/>
        <v>0.11700000000000001</v>
      </c>
      <c r="AJ74" s="60">
        <f t="shared" ca="1" si="69"/>
        <v>2.4</v>
      </c>
      <c r="AK74" s="60">
        <f t="shared" ca="1" si="70"/>
        <v>0.55281432748538006</v>
      </c>
      <c r="AL74" s="92">
        <f t="shared" ca="1" si="254"/>
        <v>0.2303</v>
      </c>
      <c r="AM74" s="93">
        <f t="shared" ca="1" si="255"/>
        <v>0.2303</v>
      </c>
      <c r="AN74" s="81">
        <f t="shared" ca="1" si="71"/>
        <v>0.16500000000000001</v>
      </c>
      <c r="AO74" s="335">
        <f t="shared" ca="1" si="256"/>
        <v>0.182</v>
      </c>
      <c r="AP74" s="344">
        <f t="shared" si="21"/>
        <v>1.6930000000000001</v>
      </c>
      <c r="AQ74" s="340">
        <f t="shared" si="22"/>
        <v>0.11948736139091756</v>
      </c>
      <c r="AR74" s="58">
        <f t="shared" si="73"/>
        <v>0.11948736139091756</v>
      </c>
      <c r="AS74" s="58">
        <f t="shared" si="258"/>
        <v>0.22288276238651331</v>
      </c>
      <c r="AT74" s="58">
        <f t="shared" si="258"/>
        <v>0.16758102435076189</v>
      </c>
      <c r="AU74" s="58">
        <f t="shared" si="258"/>
        <v>0.13406481948060953</v>
      </c>
      <c r="AV74" s="58">
        <f t="shared" si="258"/>
        <v>0.16758102435076189</v>
      </c>
      <c r="AW74" s="58">
        <f t="shared" si="58"/>
        <v>0.56307224181855986</v>
      </c>
      <c r="AX74" s="58">
        <f t="shared" si="249"/>
        <v>0.62876400336405869</v>
      </c>
      <c r="AY74" s="340">
        <f t="shared" si="25"/>
        <v>1.7</v>
      </c>
      <c r="AZ74" s="58">
        <f t="shared" si="26"/>
        <v>1.6949430695428935</v>
      </c>
      <c r="BA74" s="58">
        <f t="shared" si="27"/>
        <v>0.9970253350252315</v>
      </c>
      <c r="BB74" s="58">
        <f t="shared" si="74"/>
        <v>0.9970253350252315</v>
      </c>
      <c r="BC74" s="58">
        <f t="shared" si="28"/>
        <v>0.55933121294915489</v>
      </c>
      <c r="BD74" s="58">
        <f t="shared" si="60"/>
        <v>0.21973726223002515</v>
      </c>
      <c r="BE74" s="58">
        <f t="shared" si="29"/>
        <v>0.55933121294915489</v>
      </c>
      <c r="BF74" s="58">
        <f t="shared" si="61"/>
        <v>0.21973726223002515</v>
      </c>
      <c r="BG74" s="58">
        <f t="shared" ca="1" si="30"/>
        <v>0.49342105263157887</v>
      </c>
      <c r="BH74" s="58">
        <f t="shared" ca="1" si="31"/>
        <v>0.55281432748538006</v>
      </c>
      <c r="BI74" s="341">
        <f t="shared" ca="1" si="32"/>
        <v>0.17017000000000002</v>
      </c>
      <c r="BJ74" s="95">
        <f t="shared" ca="1" si="33"/>
        <v>0.37240000000000001</v>
      </c>
      <c r="BK74" s="92">
        <f t="shared" si="34"/>
        <v>1.0944000000000003</v>
      </c>
      <c r="BL74" s="209">
        <f t="shared" ca="1" si="35"/>
        <v>365.32440000000003</v>
      </c>
    </row>
    <row r="75" spans="8:64" ht="16">
      <c r="I75" s="344">
        <f t="shared" si="257"/>
        <v>1.1444000000000003</v>
      </c>
      <c r="J75" s="63">
        <f t="shared" ca="1" si="0"/>
        <v>1.9330000000000001</v>
      </c>
      <c r="K75" s="63">
        <f t="shared" ca="1" si="1"/>
        <v>0.74466969591052057</v>
      </c>
      <c r="L75" s="63">
        <f t="shared" ca="1" si="2"/>
        <v>0.38519999999999999</v>
      </c>
      <c r="M75" s="63">
        <f t="shared" ca="1" si="3"/>
        <v>0.34399999999999997</v>
      </c>
      <c r="N75" s="81">
        <f t="shared" ca="1" si="4"/>
        <v>0.246</v>
      </c>
      <c r="O75" s="63">
        <f t="shared" ca="1" si="5"/>
        <v>1.9330000000000001</v>
      </c>
      <c r="P75" s="63">
        <f t="shared" ca="1" si="6"/>
        <v>0.5898287312128625</v>
      </c>
      <c r="Q75" s="63">
        <f t="shared" ca="1" si="7"/>
        <v>0.30509999999999998</v>
      </c>
      <c r="R75" s="63">
        <f t="shared" ca="1" si="8"/>
        <v>0.30299999999999999</v>
      </c>
      <c r="S75" s="81">
        <f t="shared" ca="1" si="9"/>
        <v>0.13900000000000001</v>
      </c>
      <c r="T75" s="63">
        <f t="shared" ca="1" si="10"/>
        <v>2.4</v>
      </c>
      <c r="U75" s="63">
        <f t="shared" ca="1" si="11"/>
        <v>1.0107733310031455</v>
      </c>
      <c r="V75" s="63">
        <f t="shared" ca="1" si="12"/>
        <v>0.42120000000000002</v>
      </c>
      <c r="W75" s="60">
        <f t="shared" ca="1" si="13"/>
        <v>0.36299999999999999</v>
      </c>
      <c r="X75" s="81">
        <f t="shared" ca="1" si="14"/>
        <v>0.25900000000000001</v>
      </c>
      <c r="Y75" s="334">
        <f t="shared" ca="1" si="62"/>
        <v>0.25900000000000001</v>
      </c>
      <c r="Z75" s="63">
        <f t="shared" ca="1" si="63"/>
        <v>1.9330000000000001</v>
      </c>
      <c r="AA75" s="63">
        <f t="shared" ca="1" si="64"/>
        <v>0.47186298497029</v>
      </c>
      <c r="AB75" s="63">
        <f t="shared" ca="1" si="250"/>
        <v>0.24410000000000001</v>
      </c>
      <c r="AC75" s="63">
        <f t="shared" ca="1" si="251"/>
        <v>0.24410000000000001</v>
      </c>
      <c r="AD75" s="81">
        <f t="shared" ca="1" si="65"/>
        <v>0.17399999999999999</v>
      </c>
      <c r="AE75" s="60">
        <f t="shared" ca="1" si="66"/>
        <v>1.9330000000000001</v>
      </c>
      <c r="AF75" s="60">
        <f t="shared" ca="1" si="67"/>
        <v>0.47186298497029</v>
      </c>
      <c r="AG75" s="63">
        <f t="shared" ca="1" si="252"/>
        <v>0.24410000000000001</v>
      </c>
      <c r="AH75" s="63">
        <f t="shared" ca="1" si="253"/>
        <v>0.24410000000000001</v>
      </c>
      <c r="AI75" s="81">
        <f t="shared" ca="1" si="68"/>
        <v>0.112</v>
      </c>
      <c r="AJ75" s="60">
        <f t="shared" ca="1" si="69"/>
        <v>2.4</v>
      </c>
      <c r="AK75" s="60">
        <f t="shared" ca="1" si="70"/>
        <v>0.52866130723523241</v>
      </c>
      <c r="AL75" s="63">
        <f t="shared" ca="1" si="254"/>
        <v>0.2203</v>
      </c>
      <c r="AM75" s="60">
        <f t="shared" ca="1" si="255"/>
        <v>0.2203</v>
      </c>
      <c r="AN75" s="81">
        <f t="shared" ca="1" si="71"/>
        <v>0.157</v>
      </c>
      <c r="AO75" s="334">
        <f t="shared" ca="1" si="256"/>
        <v>0.17399999999999999</v>
      </c>
      <c r="AP75" s="344">
        <f t="shared" ref="AP75:AP106" si="259">ROUND(IF($I75&gt;=AX$38,D$13,IF($I75&lt;AX$39,D$13+(D$13-1)*($I75-AX$39)/AX$39,D$13)),3)</f>
        <v>1.6930000000000001</v>
      </c>
      <c r="AQ75" s="340">
        <f t="shared" si="22"/>
        <v>0.11684794757354361</v>
      </c>
      <c r="AR75" s="58">
        <f t="shared" si="73"/>
        <v>0.11684794757354361</v>
      </c>
      <c r="AS75" s="58">
        <f t="shared" si="258"/>
        <v>0.21795939780762025</v>
      </c>
      <c r="AT75" s="58">
        <f t="shared" si="258"/>
        <v>0.16387924647189492</v>
      </c>
      <c r="AU75" s="58">
        <f t="shared" si="258"/>
        <v>0.13110339717751596</v>
      </c>
      <c r="AV75" s="58">
        <f t="shared" si="258"/>
        <v>0.16387924647189492</v>
      </c>
      <c r="AW75" s="58">
        <f t="shared" si="58"/>
        <v>0.55063426814556682</v>
      </c>
      <c r="AX75" s="58">
        <f t="shared" si="249"/>
        <v>0.61487493276254979</v>
      </c>
      <c r="AY75" s="340">
        <f t="shared" ref="AY75:AY106" si="260">IF(I75&gt;0.611,$T$12,IF(I75&gt;0.406,AE$5+($T$12-AE$5)*(I75-0.406)/0.205,IF(I75&gt;0.2,AE$5,IF(I75&gt;0.03,AE$5+(AE$5-1)*(I75-0.2)/0.17,1))))</f>
        <v>1.7</v>
      </c>
      <c r="AZ75" s="58">
        <f t="shared" ref="AZ75:AZ106" si="261">IF(I75&lt;=S$17,1,IF(I75&lt;T$17,X$17*I75+Y$17,IF(I75&lt;U$17,Z$17,IF(I75&lt;V$17,AA$17/I75^(AB$17),1))))</f>
        <v>1.6452072159706892</v>
      </c>
      <c r="BA75" s="58">
        <f t="shared" si="27"/>
        <v>0.96776895057099366</v>
      </c>
      <c r="BB75" s="58">
        <f t="shared" si="74"/>
        <v>0.96776895057099366</v>
      </c>
      <c r="BC75" s="58">
        <f t="shared" ref="BC75:BC106" si="262">AZ75*T$5</f>
        <v>0.54291838127032743</v>
      </c>
      <c r="BD75" s="58">
        <f t="shared" si="60"/>
        <v>0.21328936407048582</v>
      </c>
      <c r="BE75" s="58">
        <f t="shared" ref="BE75:BE106" si="263">AZ75*AD$5</f>
        <v>0.54291838127032743</v>
      </c>
      <c r="BF75" s="58">
        <f t="shared" si="61"/>
        <v>0.21328936407048582</v>
      </c>
      <c r="BG75" s="58">
        <f t="shared" ref="BG75:BG106" ca="1" si="264">AA75</f>
        <v>0.47186298497029</v>
      </c>
      <c r="BH75" s="58">
        <f t="shared" ref="BH75:BH106" ca="1" si="265">AK75</f>
        <v>0.52866130723523241</v>
      </c>
      <c r="BI75" s="341">
        <f t="shared" ref="BI75:BI106" ca="1" si="266">AO75/1.5*$AH$6</f>
        <v>0.16269</v>
      </c>
      <c r="BJ75" s="64">
        <f t="shared" ref="BJ75:BJ106" ca="1" si="267">Y75/B$13*1.4</f>
        <v>0.36259999999999998</v>
      </c>
      <c r="BK75" s="63">
        <f t="shared" ref="BK75:BK106" si="268">I75</f>
        <v>1.1444000000000003</v>
      </c>
      <c r="BL75" s="209">
        <f t="shared" ref="BL75:BL106" ca="1" si="269">BJ75*U$39</f>
        <v>355.7106</v>
      </c>
    </row>
    <row r="76" spans="8:64" ht="16">
      <c r="I76" s="344">
        <f t="shared" si="257"/>
        <v>1.1944000000000004</v>
      </c>
      <c r="J76" s="63">
        <f t="shared" ca="1" si="0"/>
        <v>1.9330000000000001</v>
      </c>
      <c r="K76" s="63">
        <f t="shared" ca="1" si="1"/>
        <v>0.71349631614199571</v>
      </c>
      <c r="L76" s="63">
        <f t="shared" ca="1" si="2"/>
        <v>0.36909999999999998</v>
      </c>
      <c r="M76" s="63">
        <f t="shared" ca="1" si="3"/>
        <v>0.33600000000000002</v>
      </c>
      <c r="N76" s="81">
        <f t="shared" ca="1" si="4"/>
        <v>0.24</v>
      </c>
      <c r="O76" s="63">
        <f t="shared" ca="1" si="5"/>
        <v>1.9330000000000001</v>
      </c>
      <c r="P76" s="63">
        <f t="shared" ca="1" si="6"/>
        <v>0.56513730743469515</v>
      </c>
      <c r="Q76" s="63">
        <f t="shared" ca="1" si="7"/>
        <v>0.29239999999999999</v>
      </c>
      <c r="R76" s="63">
        <f t="shared" ca="1" si="8"/>
        <v>0.29239999999999999</v>
      </c>
      <c r="S76" s="81">
        <f t="shared" ca="1" si="9"/>
        <v>0.13500000000000001</v>
      </c>
      <c r="T76" s="63">
        <f t="shared" ca="1" si="10"/>
        <v>2.4</v>
      </c>
      <c r="U76" s="63">
        <f t="shared" ca="1" si="11"/>
        <v>0.9684603148024109</v>
      </c>
      <c r="V76" s="63">
        <f t="shared" ca="1" si="12"/>
        <v>0.40350000000000003</v>
      </c>
      <c r="W76" s="60">
        <f t="shared" ca="1" si="13"/>
        <v>0.35399999999999998</v>
      </c>
      <c r="X76" s="81">
        <f t="shared" ca="1" si="14"/>
        <v>0.253</v>
      </c>
      <c r="Y76" s="334">
        <f t="shared" ca="1" si="62"/>
        <v>0.253</v>
      </c>
      <c r="Z76" s="63">
        <f t="shared" ca="1" si="63"/>
        <v>1.9330000000000001</v>
      </c>
      <c r="AA76" s="63">
        <f t="shared" ca="1" si="64"/>
        <v>0.45210984594775611</v>
      </c>
      <c r="AB76" s="63">
        <f t="shared" ca="1" si="250"/>
        <v>0.2339</v>
      </c>
      <c r="AC76" s="63">
        <f t="shared" ca="1" si="251"/>
        <v>0.2339</v>
      </c>
      <c r="AD76" s="81">
        <f t="shared" ca="1" si="65"/>
        <v>0.16700000000000001</v>
      </c>
      <c r="AE76" s="60">
        <f t="shared" ca="1" si="66"/>
        <v>1.9330000000000001</v>
      </c>
      <c r="AF76" s="60">
        <f t="shared" ca="1" si="67"/>
        <v>0.45210984594775611</v>
      </c>
      <c r="AG76" s="63">
        <f t="shared" ca="1" si="252"/>
        <v>0.2339</v>
      </c>
      <c r="AH76" s="63">
        <f t="shared" ca="1" si="253"/>
        <v>0.2339</v>
      </c>
      <c r="AI76" s="81">
        <f t="shared" ca="1" si="68"/>
        <v>0.108</v>
      </c>
      <c r="AJ76" s="60">
        <f t="shared" ca="1" si="69"/>
        <v>2.4</v>
      </c>
      <c r="AK76" s="60">
        <f t="shared" ca="1" si="70"/>
        <v>0.50653047555257869</v>
      </c>
      <c r="AL76" s="63">
        <f t="shared" ca="1" si="254"/>
        <v>0.21110000000000001</v>
      </c>
      <c r="AM76" s="60">
        <f t="shared" ca="1" si="255"/>
        <v>0.21110000000000001</v>
      </c>
      <c r="AN76" s="81">
        <f t="shared" ca="1" si="71"/>
        <v>0.151</v>
      </c>
      <c r="AO76" s="334">
        <f t="shared" ca="1" si="256"/>
        <v>0.16700000000000001</v>
      </c>
      <c r="AP76" s="344">
        <f t="shared" si="259"/>
        <v>1.6930000000000001</v>
      </c>
      <c r="AQ76" s="340">
        <f t="shared" si="22"/>
        <v>0.11437605569586611</v>
      </c>
      <c r="AR76" s="58">
        <f t="shared" si="73"/>
        <v>0.11437605569586611</v>
      </c>
      <c r="AS76" s="58">
        <f t="shared" si="258"/>
        <v>0.21334851609089145</v>
      </c>
      <c r="AT76" s="58">
        <f t="shared" si="258"/>
        <v>0.16041241811345222</v>
      </c>
      <c r="AU76" s="58">
        <f t="shared" si="258"/>
        <v>0.12832993449076177</v>
      </c>
      <c r="AV76" s="58">
        <f t="shared" si="258"/>
        <v>0.16041241811345222</v>
      </c>
      <c r="AW76" s="58">
        <f t="shared" si="58"/>
        <v>0.53898572486119944</v>
      </c>
      <c r="AX76" s="58">
        <f t="shared" si="249"/>
        <v>0.60186739276167267</v>
      </c>
      <c r="AY76" s="340">
        <f t="shared" si="260"/>
        <v>1.7</v>
      </c>
      <c r="AZ76" s="58">
        <f t="shared" si="261"/>
        <v>1.5989662927238446</v>
      </c>
      <c r="BA76" s="58">
        <f t="shared" si="27"/>
        <v>0.94056840748461445</v>
      </c>
      <c r="BB76" s="58">
        <f t="shared" si="74"/>
        <v>0.94056840748461445</v>
      </c>
      <c r="BC76" s="58">
        <f t="shared" si="262"/>
        <v>0.52765887659886879</v>
      </c>
      <c r="BD76" s="58">
        <f t="shared" si="60"/>
        <v>0.20729455866384131</v>
      </c>
      <c r="BE76" s="58">
        <f t="shared" si="263"/>
        <v>0.52765887659886879</v>
      </c>
      <c r="BF76" s="58">
        <f t="shared" si="61"/>
        <v>0.20729455866384131</v>
      </c>
      <c r="BG76" s="58">
        <f t="shared" ca="1" si="264"/>
        <v>0.45210984594775611</v>
      </c>
      <c r="BH76" s="58">
        <f t="shared" ca="1" si="265"/>
        <v>0.50653047555257869</v>
      </c>
      <c r="BI76" s="341">
        <f t="shared" ca="1" si="266"/>
        <v>0.15614500000000001</v>
      </c>
      <c r="BJ76" s="64">
        <f t="shared" ca="1" si="267"/>
        <v>0.35419999999999996</v>
      </c>
      <c r="BK76" s="63">
        <f t="shared" si="268"/>
        <v>1.1944000000000004</v>
      </c>
      <c r="BL76" s="209">
        <f t="shared" ca="1" si="269"/>
        <v>347.47019999999998</v>
      </c>
    </row>
    <row r="77" spans="8:64" ht="16">
      <c r="I77" s="344">
        <f t="shared" si="257"/>
        <v>1.2444000000000004</v>
      </c>
      <c r="J77" s="63">
        <f t="shared" ca="1" si="0"/>
        <v>1.9330000000000001</v>
      </c>
      <c r="K77" s="63">
        <f t="shared" ca="1" si="1"/>
        <v>0.68482802957248445</v>
      </c>
      <c r="L77" s="63">
        <f t="shared" ca="1" si="2"/>
        <v>0.3543</v>
      </c>
      <c r="M77" s="63">
        <f t="shared" ca="1" si="3"/>
        <v>0.32800000000000001</v>
      </c>
      <c r="N77" s="81">
        <f t="shared" ca="1" si="4"/>
        <v>0.23400000000000001</v>
      </c>
      <c r="O77" s="63">
        <f t="shared" ca="1" si="5"/>
        <v>1.9330000000000001</v>
      </c>
      <c r="P77" s="63">
        <f t="shared" ca="1" si="6"/>
        <v>0.54243008678881377</v>
      </c>
      <c r="Q77" s="63">
        <f t="shared" ca="1" si="7"/>
        <v>0.28060000000000002</v>
      </c>
      <c r="R77" s="63">
        <f t="shared" ca="1" si="8"/>
        <v>0.28060000000000002</v>
      </c>
      <c r="S77" s="81">
        <f t="shared" ca="1" si="9"/>
        <v>0.129</v>
      </c>
      <c r="T77" s="63">
        <f t="shared" ca="1" si="10"/>
        <v>2.4</v>
      </c>
      <c r="U77" s="63">
        <f t="shared" ca="1" si="11"/>
        <v>0.92954757312761127</v>
      </c>
      <c r="V77" s="63">
        <f t="shared" ca="1" si="12"/>
        <v>0.38729999999999998</v>
      </c>
      <c r="W77" s="60">
        <f t="shared" ca="1" si="13"/>
        <v>0.34499999999999997</v>
      </c>
      <c r="X77" s="81">
        <f t="shared" ca="1" si="14"/>
        <v>0.246</v>
      </c>
      <c r="Y77" s="334">
        <f t="shared" ca="1" si="62"/>
        <v>0.246</v>
      </c>
      <c r="Z77" s="63">
        <f t="shared" ca="1" si="63"/>
        <v>1.9330000000000001</v>
      </c>
      <c r="AA77" s="63">
        <f t="shared" ca="1" si="64"/>
        <v>0.43394406943105102</v>
      </c>
      <c r="AB77" s="63">
        <f t="shared" ca="1" si="250"/>
        <v>0.22450000000000001</v>
      </c>
      <c r="AC77" s="63">
        <f t="shared" ca="1" si="251"/>
        <v>0.22450000000000001</v>
      </c>
      <c r="AD77" s="81">
        <f t="shared" ca="1" si="65"/>
        <v>0.16</v>
      </c>
      <c r="AE77" s="60">
        <f t="shared" ca="1" si="66"/>
        <v>1.9330000000000001</v>
      </c>
      <c r="AF77" s="60">
        <f t="shared" ca="1" si="67"/>
        <v>0.43394406943105102</v>
      </c>
      <c r="AG77" s="63">
        <f t="shared" ca="1" si="252"/>
        <v>0.22450000000000001</v>
      </c>
      <c r="AH77" s="63">
        <f t="shared" ca="1" si="253"/>
        <v>0.22450000000000001</v>
      </c>
      <c r="AI77" s="81">
        <f t="shared" ca="1" si="68"/>
        <v>0.10299999999999999</v>
      </c>
      <c r="AJ77" s="60">
        <f t="shared" ca="1" si="69"/>
        <v>2.4</v>
      </c>
      <c r="AK77" s="60">
        <f t="shared" ca="1" si="70"/>
        <v>0.48617807778849237</v>
      </c>
      <c r="AL77" s="63">
        <f t="shared" ca="1" si="254"/>
        <v>0.2026</v>
      </c>
      <c r="AM77" s="60">
        <f t="shared" ca="1" si="255"/>
        <v>0.2026</v>
      </c>
      <c r="AN77" s="81">
        <f t="shared" ca="1" si="71"/>
        <v>0.14499999999999999</v>
      </c>
      <c r="AO77" s="334">
        <f t="shared" ca="1" si="256"/>
        <v>0.16</v>
      </c>
      <c r="AP77" s="344">
        <f t="shared" si="259"/>
        <v>1.6930000000000001</v>
      </c>
      <c r="AQ77" s="340">
        <f t="shared" si="22"/>
        <v>0.11205468311944984</v>
      </c>
      <c r="AR77" s="58">
        <f t="shared" si="73"/>
        <v>0.11205468311944984</v>
      </c>
      <c r="AS77" s="58">
        <f t="shared" si="258"/>
        <v>0.20901840178978778</v>
      </c>
      <c r="AT77" s="58">
        <f t="shared" si="258"/>
        <v>0.15715669307502841</v>
      </c>
      <c r="AU77" s="58">
        <f t="shared" si="258"/>
        <v>0.12572535446002275</v>
      </c>
      <c r="AV77" s="58">
        <f t="shared" si="258"/>
        <v>0.15715669307502841</v>
      </c>
      <c r="AW77" s="58">
        <f t="shared" si="58"/>
        <v>0.52804648873209536</v>
      </c>
      <c r="AX77" s="58">
        <f t="shared" si="249"/>
        <v>0.58965191241750659</v>
      </c>
      <c r="AY77" s="340">
        <f t="shared" si="260"/>
        <v>1.7</v>
      </c>
      <c r="AZ77" s="58">
        <f t="shared" si="261"/>
        <v>1.5558432384879435</v>
      </c>
      <c r="BA77" s="58">
        <f t="shared" si="27"/>
        <v>0.91520190499290799</v>
      </c>
      <c r="BB77" s="58">
        <f t="shared" si="74"/>
        <v>0.91520190499290799</v>
      </c>
      <c r="BC77" s="58">
        <f t="shared" si="262"/>
        <v>0.51342826870102132</v>
      </c>
      <c r="BD77" s="58">
        <f t="shared" si="60"/>
        <v>0.20170396270397273</v>
      </c>
      <c r="BE77" s="58">
        <f t="shared" si="263"/>
        <v>0.51342826870102132</v>
      </c>
      <c r="BF77" s="58">
        <f t="shared" si="61"/>
        <v>0.20170396270397273</v>
      </c>
      <c r="BG77" s="58">
        <f t="shared" ca="1" si="264"/>
        <v>0.43394406943105102</v>
      </c>
      <c r="BH77" s="58">
        <f t="shared" ca="1" si="265"/>
        <v>0.48617807778849237</v>
      </c>
      <c r="BI77" s="341">
        <f t="shared" ca="1" si="266"/>
        <v>0.14960000000000001</v>
      </c>
      <c r="BJ77" s="64">
        <f t="shared" ca="1" si="267"/>
        <v>0.34439999999999998</v>
      </c>
      <c r="BK77" s="63">
        <f t="shared" si="268"/>
        <v>1.2444000000000004</v>
      </c>
      <c r="BL77" s="209">
        <f t="shared" ca="1" si="269"/>
        <v>337.85640000000001</v>
      </c>
    </row>
    <row r="78" spans="8:64" ht="16">
      <c r="I78" s="344">
        <f t="shared" si="257"/>
        <v>1.2944000000000004</v>
      </c>
      <c r="J78" s="63">
        <f t="shared" ca="1" si="0"/>
        <v>1.9330000000000001</v>
      </c>
      <c r="K78" s="63">
        <f t="shared" ca="1" si="1"/>
        <v>0.65837453646477107</v>
      </c>
      <c r="L78" s="63">
        <f t="shared" ca="1" si="2"/>
        <v>0.34060000000000001</v>
      </c>
      <c r="M78" s="63">
        <f t="shared" ca="1" si="3"/>
        <v>0.32100000000000001</v>
      </c>
      <c r="N78" s="81">
        <f t="shared" ca="1" si="4"/>
        <v>0.22900000000000001</v>
      </c>
      <c r="O78" s="63">
        <f t="shared" ca="1" si="5"/>
        <v>1.9330000000000001</v>
      </c>
      <c r="P78" s="63">
        <f t="shared" ca="1" si="6"/>
        <v>0.52147713226205172</v>
      </c>
      <c r="Q78" s="63">
        <f t="shared" ca="1" si="7"/>
        <v>0.26979999999999998</v>
      </c>
      <c r="R78" s="63">
        <f t="shared" ca="1" si="8"/>
        <v>0.26979999999999998</v>
      </c>
      <c r="S78" s="81">
        <f t="shared" ca="1" si="9"/>
        <v>0.124</v>
      </c>
      <c r="T78" s="63">
        <f t="shared" ca="1" si="10"/>
        <v>2.4</v>
      </c>
      <c r="U78" s="63">
        <f t="shared" ca="1" si="11"/>
        <v>0.89364106922126041</v>
      </c>
      <c r="V78" s="63">
        <f t="shared" ca="1" si="12"/>
        <v>0.37240000000000001</v>
      </c>
      <c r="W78" s="60">
        <f t="shared" ca="1" si="13"/>
        <v>0.33800000000000002</v>
      </c>
      <c r="X78" s="81">
        <f t="shared" ca="1" si="14"/>
        <v>0.24099999999999999</v>
      </c>
      <c r="Y78" s="334">
        <f t="shared" ca="1" si="62"/>
        <v>0.24099999999999999</v>
      </c>
      <c r="Z78" s="63">
        <f t="shared" ca="1" si="63"/>
        <v>1.9330000000000001</v>
      </c>
      <c r="AA78" s="63">
        <f t="shared" ca="1" si="64"/>
        <v>0.41718170580964142</v>
      </c>
      <c r="AB78" s="63">
        <f t="shared" ca="1" si="250"/>
        <v>0.21579999999999999</v>
      </c>
      <c r="AC78" s="63">
        <f t="shared" ca="1" si="251"/>
        <v>0.21579999999999999</v>
      </c>
      <c r="AD78" s="81">
        <f t="shared" ca="1" si="65"/>
        <v>0.154</v>
      </c>
      <c r="AE78" s="60">
        <f t="shared" ca="1" si="66"/>
        <v>1.9330000000000001</v>
      </c>
      <c r="AF78" s="60">
        <f t="shared" ca="1" si="67"/>
        <v>0.41718170580964142</v>
      </c>
      <c r="AG78" s="63">
        <f t="shared" ca="1" si="252"/>
        <v>0.21579999999999999</v>
      </c>
      <c r="AH78" s="63">
        <f t="shared" ca="1" si="253"/>
        <v>0.21579999999999999</v>
      </c>
      <c r="AI78" s="81">
        <f t="shared" ca="1" si="68"/>
        <v>9.9000000000000005E-2</v>
      </c>
      <c r="AJ78" s="60">
        <f t="shared" ca="1" si="69"/>
        <v>2.4</v>
      </c>
      <c r="AK78" s="60">
        <f t="shared" ca="1" si="70"/>
        <v>0.4673980222496909</v>
      </c>
      <c r="AL78" s="63">
        <f t="shared" ca="1" si="254"/>
        <v>0.19470000000000001</v>
      </c>
      <c r="AM78" s="60">
        <f t="shared" ca="1" si="255"/>
        <v>0.19470000000000001</v>
      </c>
      <c r="AN78" s="81">
        <f t="shared" ca="1" si="71"/>
        <v>0.13900000000000001</v>
      </c>
      <c r="AO78" s="334">
        <f t="shared" ca="1" si="256"/>
        <v>0.154</v>
      </c>
      <c r="AP78" s="344">
        <f t="shared" si="259"/>
        <v>1.6930000000000001</v>
      </c>
      <c r="AQ78" s="340">
        <f t="shared" si="22"/>
        <v>0.10986914905228592</v>
      </c>
      <c r="AR78" s="58">
        <f t="shared" si="73"/>
        <v>0.10986914905228592</v>
      </c>
      <c r="AS78" s="58">
        <f t="shared" si="258"/>
        <v>0.20494167045595529</v>
      </c>
      <c r="AT78" s="58">
        <f t="shared" si="258"/>
        <v>0.15409148154583102</v>
      </c>
      <c r="AU78" s="58">
        <f t="shared" si="258"/>
        <v>0.12327318523666483</v>
      </c>
      <c r="AV78" s="58">
        <f t="shared" si="258"/>
        <v>0.15409148154583102</v>
      </c>
      <c r="AW78" s="58">
        <f t="shared" si="58"/>
        <v>0.51774737799399217</v>
      </c>
      <c r="AX78" s="58">
        <f t="shared" si="249"/>
        <v>0.578151238759958</v>
      </c>
      <c r="AY78" s="340">
        <f t="shared" si="260"/>
        <v>1.7</v>
      </c>
      <c r="AZ78" s="58">
        <f t="shared" si="261"/>
        <v>1.5155147547348258</v>
      </c>
      <c r="BA78" s="58">
        <f t="shared" si="27"/>
        <v>0.89147926749107398</v>
      </c>
      <c r="BB78" s="58">
        <f t="shared" si="74"/>
        <v>0.89147926749107398</v>
      </c>
      <c r="BC78" s="58">
        <f t="shared" si="262"/>
        <v>0.50011986906249251</v>
      </c>
      <c r="BD78" s="58">
        <f t="shared" si="60"/>
        <v>0.1964756628459792</v>
      </c>
      <c r="BE78" s="58">
        <f t="shared" si="263"/>
        <v>0.50011986906249251</v>
      </c>
      <c r="BF78" s="58">
        <f t="shared" si="61"/>
        <v>0.1964756628459792</v>
      </c>
      <c r="BG78" s="58">
        <f t="shared" ca="1" si="264"/>
        <v>0.41718170580964142</v>
      </c>
      <c r="BH78" s="58">
        <f t="shared" ca="1" si="265"/>
        <v>0.4673980222496909</v>
      </c>
      <c r="BI78" s="341">
        <f t="shared" ca="1" si="266"/>
        <v>0.14399000000000001</v>
      </c>
      <c r="BJ78" s="64">
        <f t="shared" ca="1" si="267"/>
        <v>0.33739999999999998</v>
      </c>
      <c r="BK78" s="63">
        <f t="shared" si="268"/>
        <v>1.2944000000000004</v>
      </c>
      <c r="BL78" s="209">
        <f t="shared" ca="1" si="269"/>
        <v>330.98939999999999</v>
      </c>
    </row>
    <row r="79" spans="8:64" ht="16">
      <c r="I79" s="443">
        <v>1.3149999999999999</v>
      </c>
      <c r="J79" s="63">
        <f t="shared" ref="J79" ca="1" si="270">ROUND(IF($I79&gt;=D$17,D$12,IF($I79&gt;=F$17,D$13+(D$12-D$13)*($I79-0.6*D$17)/0.4/D$17,IF($I79&lt;E$17,D$13+(D$13-1)*($I79-E$17)/E$17,D$13))),3)</f>
        <v>1.9330000000000001</v>
      </c>
      <c r="K79" s="63">
        <f t="shared" ref="K79" ca="1" si="271">IF($I79&lt;E$17,ROUND(B$17*(0.4+3*$I79/D$17),3),IF($I79&lt;=D$17,B$17,IF($I79&lt;=2.5*D$17,C$17/$I79,0.4*B$17)))</f>
        <v>0.64806083650190116</v>
      </c>
      <c r="L79" s="63">
        <f t="shared" ref="L79" ca="1" si="272">ROUND(K79/J79,4)</f>
        <v>0.33529999999999999</v>
      </c>
      <c r="M79" s="63">
        <f t="shared" ref="M79" ca="1" si="273">IF(L79&lt;=0.3,L79,IF(L79&lt;0.8,ROUND(0.52*L79+0.144,3),0.7*L79))</f>
        <v>0.318</v>
      </c>
      <c r="N79" s="81">
        <f t="shared" ref="N79" ca="1" si="274">ROUND(B$13*M79/1.4/B$14,3)</f>
        <v>0.22700000000000001</v>
      </c>
      <c r="O79" s="63">
        <f t="shared" ref="O79" ca="1" si="275">ROUND(IF($I79&gt;=D$19,D$12,IF($I79&gt;=F$19,D$13+(D$12-D$13)*($I79-0.6*D$19)/0.4/D$19,IF($I79&lt;E$19,D$13+(D$13-1)*($I79-E$19)/E$19,D$13))),3)</f>
        <v>1.9330000000000001</v>
      </c>
      <c r="P79" s="63">
        <f t="shared" ref="P79" ca="1" si="276">IF($I79&lt;E$19,ROUND(B$19*(0.4+3*$I79/D$19),3),IF($I79&lt;=D$19,B$19,IF($I79&lt;=2.5*D$19,C$19/$I79,0.4*B$19)))</f>
        <v>0.51330798479087458</v>
      </c>
      <c r="Q79" s="63">
        <f t="shared" ref="Q79" ca="1" si="277">ROUND(P79/O79,4)</f>
        <v>0.26550000000000001</v>
      </c>
      <c r="R79" s="63">
        <f t="shared" ref="R79" ca="1" si="278">IF(Q79&lt;=0.3,Q79,IF(Q79&lt;0.8,ROUND(0.52*Q79+0.144,3),0.7*Q79))</f>
        <v>0.26550000000000001</v>
      </c>
      <c r="S79" s="81">
        <f t="shared" ref="S79" ca="1" si="279">ROUND(B$13*O79*R79/4.2/B$14,3)</f>
        <v>0.122</v>
      </c>
      <c r="T79" s="63">
        <f t="shared" ref="T79" ca="1" si="280">ROUND(IF($I79&gt;=D$21,B$12,IF($I79&gt;=F$21,D$14+(B$12-D$14)*($I79-0.6*D$21)/0.4/D$21,IF($I79&lt;E$21,D$14+(D$14-1)*($I79-E$21)/E$21,D$14))),3)</f>
        <v>2.4</v>
      </c>
      <c r="U79" s="63">
        <f t="shared" ref="U79" ca="1" si="281">IF($I79&lt;E$21,ROUND(B$21*(0.4+3*$I79/D$21),3),IF($I79&lt;=D$21,B$21,IF($I79&lt;=2.5*D$21,C$21/$I79,0.4*B$21)))</f>
        <v>0.87964182509505695</v>
      </c>
      <c r="V79" s="63">
        <f t="shared" ref="V79" ca="1" si="282">ROUND(U79/T79,4)</f>
        <v>0.36649999999999999</v>
      </c>
      <c r="W79" s="60">
        <f t="shared" ref="W79" ca="1" si="283">IF(V79&lt;=0.3,V79,IF(V79&lt;0.8,ROUND(0.52*V79+0.144,3),0.7*V79))</f>
        <v>0.33500000000000002</v>
      </c>
      <c r="X79" s="81">
        <f t="shared" ref="X79" ca="1" si="284">ROUND(B$13*W79/1.4/B$14,3)</f>
        <v>0.23899999999999999</v>
      </c>
      <c r="Y79" s="334">
        <f t="shared" ref="Y79" ca="1" si="285">MAX(X79,S79,N79)</f>
        <v>0.23899999999999999</v>
      </c>
      <c r="Z79" s="63">
        <f t="shared" ref="Z79" ca="1" si="286">ROUND(IF($I79&gt;=K$17,D$12,IF($I79&gt;=M$17,D$13+(D$12-D$13)*($I79-0.6*K$17)/0.4/K$17,IF($I79&lt;L$17,D$13+(D$13-1)*($I79-L$17)/L$17,D$13))),3)</f>
        <v>1.9330000000000001</v>
      </c>
      <c r="AA79" s="63">
        <f t="shared" ref="AA79" ca="1" si="287">IF($I79&lt;L$17,ROUND(I$17*(0.4+3*$I79/K$17),3),IF($I79&lt;=K$17,I$17,IF($I79&lt;=2.5*K$17,J$17/$I79,0.4*I$17)))</f>
        <v>0.41064638783269969</v>
      </c>
      <c r="AB79" s="63">
        <f t="shared" ref="AB79" ca="1" si="288">ROUND(AA79/Z79,4)</f>
        <v>0.21240000000000001</v>
      </c>
      <c r="AC79" s="63">
        <f t="shared" ref="AC79" ca="1" si="289">IF(AB79&lt;=0.3,AB79,IF(AB79&lt;0.8,ROUND(0.52*AB79+0.144,3),0.7*AB79))</f>
        <v>0.21240000000000001</v>
      </c>
      <c r="AD79" s="81">
        <f t="shared" ref="AD79" ca="1" si="290">ROUND(B$13*AC79/1.4/B$14,3)</f>
        <v>0.152</v>
      </c>
      <c r="AE79" s="60">
        <f t="shared" ref="AE79" ca="1" si="291">ROUND(IF($I79&gt;=K$19,D$12,IF($I79&gt;=M$19,D$13+(D$12-D$13)*($I79-0.6*K$19)/0.4/K$19,IF($I79&lt;L$19,D$13+(D$13-1)*($I79-L$19)/L$19,D$13))),3)</f>
        <v>1.9330000000000001</v>
      </c>
      <c r="AF79" s="60">
        <f t="shared" ref="AF79" ca="1" si="292">IF($I79&lt;L$19,ROUND(I$19*(0.4+3*$I79/K$19),3),IF($I79&lt;=K$19,I$19,IF($I79&lt;=2.5*K$19,J$19/$I79,0.4*I$19)))</f>
        <v>0.41064638783269969</v>
      </c>
      <c r="AG79" s="63">
        <f t="shared" ref="AG79" ca="1" si="293">ROUND(AF79/AE79,4)</f>
        <v>0.21240000000000001</v>
      </c>
      <c r="AH79" s="63">
        <f t="shared" ref="AH79" ca="1" si="294">IF(AG79&lt;=0.3,AG79,IF(AG79&lt;0.8,ROUND(0.52*AG79+0.144,3),0.7*AG79))</f>
        <v>0.21240000000000001</v>
      </c>
      <c r="AI79" s="81">
        <f t="shared" ref="AI79" ca="1" si="295">ROUND(B$13*AE79*AH79/4.2/B$14,3)</f>
        <v>9.8000000000000004E-2</v>
      </c>
      <c r="AJ79" s="60">
        <f t="shared" ref="AJ79" ca="1" si="296">ROUND(IF($I79&gt;=K$21,B$12,IF($I79&gt;=M$21,D$14+(B$12-D$14)*($I79-0.6*K$21)/0.4/K$21,IF($I79&lt;L$21,D$14+(D$14-1)*($I79-L$21)/L$21,D$14))),3)</f>
        <v>2.4</v>
      </c>
      <c r="AK79" s="60">
        <f t="shared" ref="AK79" ca="1" si="297">IF($I79&lt;L$21,ROUND(I$21*(0.4+3*$I79/K$21),3),IF($I79&lt;=K$21,I$21,IF($I79&lt;=2.5*K$21,J$21/$I79,0.4*I$21)))</f>
        <v>0.46007604562737653</v>
      </c>
      <c r="AL79" s="63">
        <f t="shared" ref="AL79" ca="1" si="298">ROUND(AK79/AJ79,4)</f>
        <v>0.19170000000000001</v>
      </c>
      <c r="AM79" s="60">
        <f t="shared" ref="AM79" ca="1" si="299">IF(AL79&lt;=0.3,AL79,IF(AL79&lt;0.8,ROUND(0.52*AL79+0.144,3),0.7*AL79))</f>
        <v>0.19170000000000001</v>
      </c>
      <c r="AN79" s="81">
        <f t="shared" ref="AN79" ca="1" si="300">ROUND(B$13*AM79/1.4/B$14,3)</f>
        <v>0.13700000000000001</v>
      </c>
      <c r="AO79" s="334">
        <f t="shared" ref="AO79" ca="1" si="301">MAX(AN79,AI79,AD79)</f>
        <v>0.152</v>
      </c>
      <c r="AP79" s="344">
        <f t="shared" si="259"/>
        <v>1.6930000000000001</v>
      </c>
      <c r="AQ79" s="340">
        <f t="shared" ref="AQ79" si="302">1/8/I79^0.5</f>
        <v>0.10900518004923683</v>
      </c>
      <c r="AR79" s="58">
        <f t="shared" ref="AR79" si="303">IF(AQ79&gt;0.15,0.15,IF(AQ79&lt;0.0625,0.0625,AQ79))</f>
        <v>0.10900518004923683</v>
      </c>
      <c r="AS79" s="58">
        <f t="shared" si="258"/>
        <v>0.2033300874753427</v>
      </c>
      <c r="AT79" s="58">
        <f t="shared" si="258"/>
        <v>0.15287976501905468</v>
      </c>
      <c r="AU79" s="58">
        <f t="shared" si="258"/>
        <v>0.12230381201524375</v>
      </c>
      <c r="AV79" s="58">
        <f t="shared" si="258"/>
        <v>0.15287976501905468</v>
      </c>
      <c r="AW79" s="58">
        <f t="shared" si="58"/>
        <v>0.51367601046402367</v>
      </c>
      <c r="AX79" s="58">
        <f t="shared" si="249"/>
        <v>0.5736048783514931</v>
      </c>
      <c r="AY79" s="340">
        <f t="shared" si="260"/>
        <v>1.7</v>
      </c>
      <c r="AZ79" s="58">
        <f t="shared" si="261"/>
        <v>1.4996457114079289</v>
      </c>
      <c r="BA79" s="58">
        <f t="shared" ref="BA79" si="304">AZ79/AY79</f>
        <v>0.88214453612231114</v>
      </c>
      <c r="BB79" s="58">
        <f t="shared" ref="BB79" si="305">IF(BA79&gt;1,1,BA79)</f>
        <v>0.88214453612231114</v>
      </c>
      <c r="BC79" s="58">
        <f t="shared" si="262"/>
        <v>0.49488308476461657</v>
      </c>
      <c r="BD79" s="58">
        <f t="shared" si="60"/>
        <v>0.19441835472895655</v>
      </c>
      <c r="BE79" s="58">
        <f t="shared" si="263"/>
        <v>0.49488308476461657</v>
      </c>
      <c r="BF79" s="58">
        <f t="shared" si="61"/>
        <v>0.19441835472895655</v>
      </c>
      <c r="BG79" s="58">
        <f t="shared" ca="1" si="264"/>
        <v>0.41064638783269969</v>
      </c>
      <c r="BH79" s="58">
        <f t="shared" ca="1" si="265"/>
        <v>0.46007604562737653</v>
      </c>
      <c r="BI79" s="341">
        <f t="shared" ca="1" si="266"/>
        <v>0.14212</v>
      </c>
      <c r="BJ79" s="64">
        <f t="shared" ca="1" si="267"/>
        <v>0.33459999999999995</v>
      </c>
      <c r="BK79" s="63">
        <f t="shared" si="268"/>
        <v>1.3149999999999999</v>
      </c>
      <c r="BL79" s="209">
        <f t="shared" ca="1" si="269"/>
        <v>328.24259999999998</v>
      </c>
    </row>
    <row r="80" spans="8:64" ht="16">
      <c r="I80" s="344">
        <f>I78+0.05</f>
        <v>1.3444000000000005</v>
      </c>
      <c r="J80" s="63">
        <f t="shared" ca="1" si="0"/>
        <v>1.9330000000000001</v>
      </c>
      <c r="K80" s="63">
        <f t="shared" ca="1" si="1"/>
        <v>0.63388872359416815</v>
      </c>
      <c r="L80" s="63">
        <f t="shared" ca="1" si="2"/>
        <v>0.32790000000000002</v>
      </c>
      <c r="M80" s="63">
        <f t="shared" ca="1" si="3"/>
        <v>0.315</v>
      </c>
      <c r="N80" s="81">
        <f t="shared" ca="1" si="4"/>
        <v>0.22500000000000001</v>
      </c>
      <c r="O80" s="63">
        <f t="shared" ca="1" si="5"/>
        <v>1.9330000000000001</v>
      </c>
      <c r="P80" s="63">
        <f t="shared" ca="1" si="6"/>
        <v>0.50208271347813138</v>
      </c>
      <c r="Q80" s="63">
        <f t="shared" ca="1" si="7"/>
        <v>0.25969999999999999</v>
      </c>
      <c r="R80" s="63">
        <f t="shared" ca="1" si="8"/>
        <v>0.25969999999999999</v>
      </c>
      <c r="S80" s="81">
        <f t="shared" ca="1" si="9"/>
        <v>0.12</v>
      </c>
      <c r="T80" s="63">
        <f t="shared" ca="1" si="10"/>
        <v>2.4</v>
      </c>
      <c r="U80" s="63">
        <f t="shared" ca="1" si="11"/>
        <v>0.86040538530199306</v>
      </c>
      <c r="V80" s="63">
        <f t="shared" ca="1" si="12"/>
        <v>0.35849999999999999</v>
      </c>
      <c r="W80" s="60">
        <f t="shared" ca="1" si="13"/>
        <v>0.33</v>
      </c>
      <c r="X80" s="81">
        <f t="shared" ca="1" si="14"/>
        <v>0.23599999999999999</v>
      </c>
      <c r="Y80" s="334">
        <f t="shared" ca="1" si="62"/>
        <v>0.23599999999999999</v>
      </c>
      <c r="Z80" s="63">
        <f t="shared" ca="1" si="63"/>
        <v>1.9330000000000001</v>
      </c>
      <c r="AA80" s="63">
        <f t="shared" ca="1" si="64"/>
        <v>0.40166617078250511</v>
      </c>
      <c r="AB80" s="63">
        <f t="shared" ca="1" si="250"/>
        <v>0.20780000000000001</v>
      </c>
      <c r="AC80" s="63">
        <f t="shared" ca="1" si="251"/>
        <v>0.20780000000000001</v>
      </c>
      <c r="AD80" s="81">
        <f t="shared" ca="1" si="65"/>
        <v>0.14799999999999999</v>
      </c>
      <c r="AE80" s="60">
        <f t="shared" ca="1" si="66"/>
        <v>1.9330000000000001</v>
      </c>
      <c r="AF80" s="60">
        <f t="shared" ca="1" si="67"/>
        <v>0.40166617078250511</v>
      </c>
      <c r="AG80" s="63">
        <f t="shared" ca="1" si="252"/>
        <v>0.20780000000000001</v>
      </c>
      <c r="AH80" s="63">
        <f t="shared" ca="1" si="253"/>
        <v>0.20780000000000001</v>
      </c>
      <c r="AI80" s="81">
        <f t="shared" ca="1" si="68"/>
        <v>9.6000000000000002E-2</v>
      </c>
      <c r="AJ80" s="60">
        <f t="shared" ca="1" si="69"/>
        <v>2.4</v>
      </c>
      <c r="AK80" s="60">
        <f t="shared" ca="1" si="70"/>
        <v>0.45001487652484368</v>
      </c>
      <c r="AL80" s="63">
        <f t="shared" ca="1" si="254"/>
        <v>0.1875</v>
      </c>
      <c r="AM80" s="60">
        <f t="shared" ca="1" si="255"/>
        <v>0.1875</v>
      </c>
      <c r="AN80" s="81">
        <f t="shared" ca="1" si="71"/>
        <v>0.13400000000000001</v>
      </c>
      <c r="AO80" s="334">
        <f t="shared" ca="1" si="256"/>
        <v>0.14799999999999999</v>
      </c>
      <c r="AP80" s="344">
        <f t="shared" si="259"/>
        <v>1.6930000000000001</v>
      </c>
      <c r="AQ80" s="340">
        <f t="shared" si="22"/>
        <v>0.10780670217670144</v>
      </c>
      <c r="AR80" s="58">
        <f t="shared" si="73"/>
        <v>0.10780670217670144</v>
      </c>
      <c r="AS80" s="58">
        <f t="shared" si="258"/>
        <v>0.20109453673775565</v>
      </c>
      <c r="AT80" s="58">
        <f t="shared" si="258"/>
        <v>0.15119889980282378</v>
      </c>
      <c r="AU80" s="58">
        <f t="shared" si="258"/>
        <v>0.12095911984225903</v>
      </c>
      <c r="AV80" s="58">
        <f t="shared" si="258"/>
        <v>0.15119889980282378</v>
      </c>
      <c r="AW80" s="58">
        <f t="shared" si="58"/>
        <v>0.50802830333748783</v>
      </c>
      <c r="AX80" s="58">
        <f t="shared" si="249"/>
        <v>0.5672982720601949</v>
      </c>
      <c r="AY80" s="340">
        <f t="shared" si="260"/>
        <v>1.7</v>
      </c>
      <c r="AZ80" s="58">
        <f t="shared" si="261"/>
        <v>1.4777019142071091</v>
      </c>
      <c r="BA80" s="58">
        <f t="shared" si="27"/>
        <v>0.86923642012182889</v>
      </c>
      <c r="BB80" s="58">
        <f t="shared" si="74"/>
        <v>0.86923642012182889</v>
      </c>
      <c r="BC80" s="58">
        <f t="shared" si="262"/>
        <v>0.48764163168834601</v>
      </c>
      <c r="BD80" s="58">
        <f t="shared" si="60"/>
        <v>0.19157349816327882</v>
      </c>
      <c r="BE80" s="58">
        <f t="shared" si="263"/>
        <v>0.48764163168834601</v>
      </c>
      <c r="BF80" s="58">
        <f t="shared" si="61"/>
        <v>0.19157349816327882</v>
      </c>
      <c r="BG80" s="58">
        <f t="shared" ca="1" si="264"/>
        <v>0.40166617078250511</v>
      </c>
      <c r="BH80" s="58">
        <f t="shared" ca="1" si="265"/>
        <v>0.45001487652484368</v>
      </c>
      <c r="BI80" s="341">
        <f t="shared" ca="1" si="266"/>
        <v>0.13838</v>
      </c>
      <c r="BJ80" s="64">
        <f t="shared" ca="1" si="267"/>
        <v>0.33039999999999997</v>
      </c>
      <c r="BK80" s="63">
        <f t="shared" si="268"/>
        <v>1.3444000000000005</v>
      </c>
      <c r="BL80" s="209">
        <f t="shared" ca="1" si="269"/>
        <v>324.12239999999997</v>
      </c>
    </row>
    <row r="81" spans="9:64" ht="16">
      <c r="I81" s="344">
        <f t="shared" si="257"/>
        <v>1.3944000000000005</v>
      </c>
      <c r="J81" s="63">
        <f t="shared" ca="1" si="0"/>
        <v>1.9330000000000001</v>
      </c>
      <c r="K81" s="63">
        <f t="shared" ca="1" si="1"/>
        <v>0.61115892139988504</v>
      </c>
      <c r="L81" s="63">
        <f t="shared" ca="1" si="2"/>
        <v>0.31619999999999998</v>
      </c>
      <c r="M81" s="63">
        <f t="shared" ca="1" si="3"/>
        <v>0.308</v>
      </c>
      <c r="N81" s="81">
        <f t="shared" ca="1" si="4"/>
        <v>0.22</v>
      </c>
      <c r="O81" s="63">
        <f t="shared" ca="1" si="5"/>
        <v>1.9330000000000001</v>
      </c>
      <c r="P81" s="63">
        <f t="shared" ca="1" si="6"/>
        <v>0.48407917383820981</v>
      </c>
      <c r="Q81" s="63">
        <f t="shared" ca="1" si="7"/>
        <v>0.25040000000000001</v>
      </c>
      <c r="R81" s="63">
        <f t="shared" ca="1" si="8"/>
        <v>0.25040000000000001</v>
      </c>
      <c r="S81" s="81">
        <f t="shared" ca="1" si="9"/>
        <v>0.115</v>
      </c>
      <c r="T81" s="63">
        <f t="shared" ca="1" si="10"/>
        <v>2.4</v>
      </c>
      <c r="U81" s="63">
        <f t="shared" ca="1" si="11"/>
        <v>0.82955321285140526</v>
      </c>
      <c r="V81" s="63">
        <f t="shared" ca="1" si="12"/>
        <v>0.34560000000000002</v>
      </c>
      <c r="W81" s="60">
        <f t="shared" ca="1" si="13"/>
        <v>0.32400000000000001</v>
      </c>
      <c r="X81" s="81">
        <f t="shared" ca="1" si="14"/>
        <v>0.23100000000000001</v>
      </c>
      <c r="Y81" s="334">
        <f t="shared" ca="1" si="62"/>
        <v>0.23100000000000001</v>
      </c>
      <c r="Z81" s="63">
        <f t="shared" ca="1" si="63"/>
        <v>1.9330000000000001</v>
      </c>
      <c r="AA81" s="63">
        <f t="shared" ca="1" si="64"/>
        <v>0.38726333907056787</v>
      </c>
      <c r="AB81" s="63">
        <f t="shared" ca="1" si="250"/>
        <v>0.20030000000000001</v>
      </c>
      <c r="AC81" s="63">
        <f t="shared" ca="1" si="251"/>
        <v>0.20030000000000001</v>
      </c>
      <c r="AD81" s="81">
        <f t="shared" ca="1" si="65"/>
        <v>0.14299999999999999</v>
      </c>
      <c r="AE81" s="60">
        <f t="shared" ca="1" si="66"/>
        <v>1.9330000000000001</v>
      </c>
      <c r="AF81" s="60">
        <f t="shared" ca="1" si="67"/>
        <v>0.38726333907056787</v>
      </c>
      <c r="AG81" s="63">
        <f t="shared" ca="1" si="252"/>
        <v>0.20030000000000001</v>
      </c>
      <c r="AH81" s="63">
        <f t="shared" ca="1" si="253"/>
        <v>0.20030000000000001</v>
      </c>
      <c r="AI81" s="81">
        <f t="shared" ca="1" si="68"/>
        <v>9.1999999999999998E-2</v>
      </c>
      <c r="AJ81" s="60">
        <f t="shared" ca="1" si="69"/>
        <v>2.4</v>
      </c>
      <c r="AK81" s="60">
        <f t="shared" ca="1" si="70"/>
        <v>0.4338783706253585</v>
      </c>
      <c r="AL81" s="63">
        <f t="shared" ca="1" si="254"/>
        <v>0.18079999999999999</v>
      </c>
      <c r="AM81" s="60">
        <f t="shared" ca="1" si="255"/>
        <v>0.18079999999999999</v>
      </c>
      <c r="AN81" s="81">
        <f t="shared" ca="1" si="71"/>
        <v>0.129</v>
      </c>
      <c r="AO81" s="334">
        <f t="shared" ca="1" si="256"/>
        <v>0.14299999999999999</v>
      </c>
      <c r="AP81" s="344">
        <f t="shared" si="259"/>
        <v>1.6930000000000001</v>
      </c>
      <c r="AQ81" s="340">
        <f t="shared" si="22"/>
        <v>0.10585620639074518</v>
      </c>
      <c r="AR81" s="58">
        <f t="shared" si="73"/>
        <v>0.10585620639074518</v>
      </c>
      <c r="AS81" s="58">
        <f t="shared" si="258"/>
        <v>0.19745622818581679</v>
      </c>
      <c r="AT81" s="58">
        <f t="shared" si="258"/>
        <v>0.14846332946302013</v>
      </c>
      <c r="AU81" s="58">
        <f t="shared" si="258"/>
        <v>0.11877066357041612</v>
      </c>
      <c r="AV81" s="58">
        <f t="shared" si="258"/>
        <v>0.14846332946302013</v>
      </c>
      <c r="AW81" s="58">
        <f t="shared" si="58"/>
        <v>0.49883678699574763</v>
      </c>
      <c r="AX81" s="58">
        <f t="shared" si="249"/>
        <v>0.55703441214525151</v>
      </c>
      <c r="AY81" s="340">
        <f t="shared" si="260"/>
        <v>1.7</v>
      </c>
      <c r="AZ81" s="58">
        <f t="shared" si="261"/>
        <v>1.4421626896905524</v>
      </c>
      <c r="BA81" s="58">
        <f t="shared" si="27"/>
        <v>0.84833099393561906</v>
      </c>
      <c r="BB81" s="58">
        <f t="shared" si="74"/>
        <v>0.84833099393561906</v>
      </c>
      <c r="BC81" s="58">
        <f t="shared" si="262"/>
        <v>0.47591368759788233</v>
      </c>
      <c r="BD81" s="58">
        <f t="shared" si="60"/>
        <v>0.18696609155631094</v>
      </c>
      <c r="BE81" s="58">
        <f t="shared" si="263"/>
        <v>0.47591368759788233</v>
      </c>
      <c r="BF81" s="58">
        <f t="shared" si="61"/>
        <v>0.18696609155631094</v>
      </c>
      <c r="BG81" s="58">
        <f t="shared" ca="1" si="264"/>
        <v>0.38726333907056787</v>
      </c>
      <c r="BH81" s="58">
        <f t="shared" ca="1" si="265"/>
        <v>0.4338783706253585</v>
      </c>
      <c r="BI81" s="341">
        <f t="shared" ca="1" si="266"/>
        <v>0.13370499999999999</v>
      </c>
      <c r="BJ81" s="64">
        <f t="shared" ca="1" si="267"/>
        <v>0.32340000000000002</v>
      </c>
      <c r="BK81" s="63">
        <f t="shared" si="268"/>
        <v>1.3944000000000005</v>
      </c>
      <c r="BL81" s="209">
        <f t="shared" ca="1" si="269"/>
        <v>317.25540000000001</v>
      </c>
    </row>
    <row r="82" spans="9:64" ht="16">
      <c r="I82" s="344">
        <f t="shared" si="257"/>
        <v>1.4444000000000006</v>
      </c>
      <c r="J82" s="63">
        <f t="shared" ca="1" si="0"/>
        <v>1.9330000000000001</v>
      </c>
      <c r="K82" s="63">
        <f t="shared" ca="1" si="1"/>
        <v>0.59000276931597873</v>
      </c>
      <c r="L82" s="63">
        <f t="shared" ca="1" si="2"/>
        <v>0.30520000000000003</v>
      </c>
      <c r="M82" s="63">
        <f t="shared" ca="1" si="3"/>
        <v>0.30299999999999999</v>
      </c>
      <c r="N82" s="81">
        <f t="shared" ref="N82:N102" ca="1" si="306">ROUND(B$13*M82/1.4/B$14,3)</f>
        <v>0.216</v>
      </c>
      <c r="O82" s="63">
        <f t="shared" ref="O82:O102" ca="1" si="307">ROUND(IF($I82&gt;=D$19,D$12,IF($I82&gt;=F$19,D$13+(D$12-D$13)*($I82-0.6*D$19)/0.4/D$19,IF($I82&lt;E$19,D$13+(D$13-1)*($I82-E$19)/E$19,D$13))),3)</f>
        <v>1.9330000000000001</v>
      </c>
      <c r="P82" s="63">
        <f t="shared" ref="P82:P102" ca="1" si="308">IF($I82&lt;E$19,ROUND(B$19*(0.4+3*$I82/D$19),3),IF($I82&lt;=D$19,B$19,IF($I82&lt;=2.5*D$19,C$19/$I82,0.4*B$19)))</f>
        <v>0.46732207144835208</v>
      </c>
      <c r="Q82" s="63">
        <f t="shared" ca="1" si="7"/>
        <v>0.24179999999999999</v>
      </c>
      <c r="R82" s="63">
        <f t="shared" ca="1" si="8"/>
        <v>0.24179999999999999</v>
      </c>
      <c r="S82" s="81">
        <f t="shared" ref="S82:S102" ca="1" si="309">ROUND(B$13*O82*R82/4.2/B$14,3)</f>
        <v>0.111</v>
      </c>
      <c r="T82" s="63">
        <f t="shared" ref="T82:T102" ca="1" si="310">ROUND(IF($I82&gt;=D$21,B$12,IF($I82&gt;=F$21,D$14+(B$12-D$14)*($I82-0.6*D$21)/0.4/D$21,IF($I82&lt;E$21,D$14+(D$14-1)*($I82-E$21)/E$21,D$14))),3)</f>
        <v>2.4</v>
      </c>
      <c r="U82" s="63">
        <f t="shared" ref="U82:U102" ca="1" si="311">IF($I82&lt;E$21,ROUND(B$21*(0.4+3*$I82/D$21),3),IF($I82&lt;=D$21,B$21,IF($I82&lt;=2.5*D$21,C$21/$I82,0.4*B$21)))</f>
        <v>0.80083702575463822</v>
      </c>
      <c r="V82" s="63">
        <f t="shared" ca="1" si="12"/>
        <v>0.3337</v>
      </c>
      <c r="W82" s="60">
        <f t="shared" ca="1" si="13"/>
        <v>0.318</v>
      </c>
      <c r="X82" s="81">
        <f t="shared" ref="X82:X102" ca="1" si="312">ROUND(B$13*W82/1.4/B$14,3)</f>
        <v>0.22700000000000001</v>
      </c>
      <c r="Y82" s="334">
        <f t="shared" ca="1" si="62"/>
        <v>0.22700000000000001</v>
      </c>
      <c r="Z82" s="63">
        <f t="shared" ca="1" si="63"/>
        <v>1.9330000000000001</v>
      </c>
      <c r="AA82" s="63">
        <f t="shared" ca="1" si="64"/>
        <v>0.37385765715868169</v>
      </c>
      <c r="AB82" s="63">
        <f t="shared" ca="1" si="250"/>
        <v>0.19339999999999999</v>
      </c>
      <c r="AC82" s="63">
        <f t="shared" ca="1" si="251"/>
        <v>0.19339999999999999</v>
      </c>
      <c r="AD82" s="81">
        <f t="shared" ca="1" si="65"/>
        <v>0.13800000000000001</v>
      </c>
      <c r="AE82" s="60">
        <f t="shared" ca="1" si="66"/>
        <v>1.9330000000000001</v>
      </c>
      <c r="AF82" s="60">
        <f t="shared" ca="1" si="67"/>
        <v>0.37385765715868169</v>
      </c>
      <c r="AG82" s="63">
        <f t="shared" ca="1" si="252"/>
        <v>0.19339999999999999</v>
      </c>
      <c r="AH82" s="63">
        <f t="shared" ca="1" si="253"/>
        <v>0.19339999999999999</v>
      </c>
      <c r="AI82" s="81">
        <f t="shared" ca="1" si="68"/>
        <v>8.8999999999999996E-2</v>
      </c>
      <c r="AJ82" s="60">
        <f t="shared" ca="1" si="69"/>
        <v>2.4</v>
      </c>
      <c r="AK82" s="60">
        <f t="shared" ca="1" si="70"/>
        <v>0.41885904181667116</v>
      </c>
      <c r="AL82" s="63">
        <f t="shared" ca="1" si="254"/>
        <v>0.17449999999999999</v>
      </c>
      <c r="AM82" s="60">
        <f t="shared" ca="1" si="255"/>
        <v>0.17449999999999999</v>
      </c>
      <c r="AN82" s="81">
        <f t="shared" ca="1" si="71"/>
        <v>0.125</v>
      </c>
      <c r="AO82" s="334">
        <f t="shared" ca="1" si="256"/>
        <v>0.13800000000000001</v>
      </c>
      <c r="AP82" s="344">
        <f t="shared" si="259"/>
        <v>1.6930000000000001</v>
      </c>
      <c r="AQ82" s="340">
        <f t="shared" ref="AQ82:AQ102" si="313">1/8/I82^0.5</f>
        <v>0.10400788692587658</v>
      </c>
      <c r="AR82" s="58">
        <f t="shared" si="73"/>
        <v>0.10400788692587658</v>
      </c>
      <c r="AS82" s="58">
        <f t="shared" si="258"/>
        <v>0.19400851168001076</v>
      </c>
      <c r="AT82" s="58">
        <f t="shared" si="258"/>
        <v>0.14587106141354192</v>
      </c>
      <c r="AU82" s="58">
        <f t="shared" si="258"/>
        <v>0.11669684913083353</v>
      </c>
      <c r="AV82" s="58">
        <f t="shared" si="258"/>
        <v>0.14587106141354192</v>
      </c>
      <c r="AW82" s="58">
        <f t="shared" si="58"/>
        <v>0.49012676634950081</v>
      </c>
      <c r="AX82" s="58">
        <f t="shared" si="249"/>
        <v>0.54730822242360921</v>
      </c>
      <c r="AY82" s="340">
        <f t="shared" si="260"/>
        <v>1.7</v>
      </c>
      <c r="AZ82" s="58">
        <f t="shared" si="261"/>
        <v>1.4086859572147323</v>
      </c>
      <c r="BA82" s="58">
        <f t="shared" si="27"/>
        <v>0.82863879836160725</v>
      </c>
      <c r="BB82" s="58">
        <f t="shared" si="74"/>
        <v>0.82863879836160725</v>
      </c>
      <c r="BC82" s="58">
        <f t="shared" si="262"/>
        <v>0.46486636588086166</v>
      </c>
      <c r="BD82" s="58">
        <f t="shared" si="60"/>
        <v>0.18262607231033856</v>
      </c>
      <c r="BE82" s="58">
        <f t="shared" si="263"/>
        <v>0.46486636588086166</v>
      </c>
      <c r="BF82" s="58">
        <f t="shared" si="61"/>
        <v>0.18262607231033856</v>
      </c>
      <c r="BG82" s="58">
        <f t="shared" ca="1" si="264"/>
        <v>0.37385765715868169</v>
      </c>
      <c r="BH82" s="58">
        <f t="shared" ca="1" si="265"/>
        <v>0.41885904181667116</v>
      </c>
      <c r="BI82" s="341">
        <f t="shared" ca="1" si="266"/>
        <v>0.12903000000000003</v>
      </c>
      <c r="BJ82" s="64">
        <f t="shared" ca="1" si="267"/>
        <v>0.31779999999999997</v>
      </c>
      <c r="BK82" s="63">
        <f t="shared" si="268"/>
        <v>1.4444000000000006</v>
      </c>
      <c r="BL82" s="209">
        <f t="shared" ca="1" si="269"/>
        <v>311.76179999999999</v>
      </c>
    </row>
    <row r="83" spans="9:64" ht="16">
      <c r="I83" s="344">
        <f t="shared" si="257"/>
        <v>1.4944000000000006</v>
      </c>
      <c r="J83" s="63">
        <f t="shared" ca="1" si="0"/>
        <v>1.9330000000000001</v>
      </c>
      <c r="K83" s="63">
        <f t="shared" ca="1" si="1"/>
        <v>0.57026231263383276</v>
      </c>
      <c r="L83" s="63">
        <f t="shared" ca="1" si="2"/>
        <v>0.29499999999999998</v>
      </c>
      <c r="M83" s="63">
        <f t="shared" ca="1" si="3"/>
        <v>0.29499999999999998</v>
      </c>
      <c r="N83" s="81">
        <f t="shared" ca="1" si="306"/>
        <v>0.21099999999999999</v>
      </c>
      <c r="O83" s="63">
        <f t="shared" ca="1" si="307"/>
        <v>1.9330000000000001</v>
      </c>
      <c r="P83" s="63">
        <f t="shared" ca="1" si="308"/>
        <v>0.45168629550321182</v>
      </c>
      <c r="Q83" s="63">
        <f t="shared" ca="1" si="7"/>
        <v>0.23369999999999999</v>
      </c>
      <c r="R83" s="63">
        <f t="shared" ca="1" si="8"/>
        <v>0.23369999999999999</v>
      </c>
      <c r="S83" s="81">
        <f t="shared" ca="1" si="309"/>
        <v>0.108</v>
      </c>
      <c r="T83" s="63">
        <f t="shared" ca="1" si="310"/>
        <v>2.4</v>
      </c>
      <c r="U83" s="63">
        <f t="shared" ca="1" si="311"/>
        <v>0.77404242505353282</v>
      </c>
      <c r="V83" s="63">
        <f t="shared" ca="1" si="12"/>
        <v>0.32250000000000001</v>
      </c>
      <c r="W83" s="60">
        <f t="shared" ca="1" si="13"/>
        <v>0.312</v>
      </c>
      <c r="X83" s="81">
        <f t="shared" ca="1" si="312"/>
        <v>0.223</v>
      </c>
      <c r="Y83" s="334">
        <f t="shared" ca="1" si="62"/>
        <v>0.223</v>
      </c>
      <c r="Z83" s="63">
        <f t="shared" ca="1" si="63"/>
        <v>1.9330000000000001</v>
      </c>
      <c r="AA83" s="63">
        <f t="shared" ca="1" si="64"/>
        <v>0.36134903640256949</v>
      </c>
      <c r="AB83" s="63">
        <f t="shared" ca="1" si="250"/>
        <v>0.18690000000000001</v>
      </c>
      <c r="AC83" s="63">
        <f t="shared" ca="1" si="251"/>
        <v>0.18690000000000001</v>
      </c>
      <c r="AD83" s="81">
        <f t="shared" ca="1" si="65"/>
        <v>0.13400000000000001</v>
      </c>
      <c r="AE83" s="60">
        <f t="shared" ca="1" si="66"/>
        <v>1.9330000000000001</v>
      </c>
      <c r="AF83" s="60">
        <f t="shared" ca="1" si="67"/>
        <v>0.36134903640256949</v>
      </c>
      <c r="AG83" s="63">
        <f t="shared" ca="1" si="252"/>
        <v>0.18690000000000001</v>
      </c>
      <c r="AH83" s="63">
        <f t="shared" ca="1" si="253"/>
        <v>0.18690000000000001</v>
      </c>
      <c r="AI83" s="81">
        <f t="shared" ca="1" si="68"/>
        <v>8.5999999999999993E-2</v>
      </c>
      <c r="AJ83" s="60">
        <f t="shared" ca="1" si="69"/>
        <v>2.4</v>
      </c>
      <c r="AK83" s="60">
        <f t="shared" ca="1" si="70"/>
        <v>0.40484475374732326</v>
      </c>
      <c r="AL83" s="63">
        <f t="shared" ca="1" si="254"/>
        <v>0.16869999999999999</v>
      </c>
      <c r="AM83" s="60">
        <f t="shared" ca="1" si="255"/>
        <v>0.16869999999999999</v>
      </c>
      <c r="AN83" s="81">
        <f t="shared" ca="1" si="71"/>
        <v>0.121</v>
      </c>
      <c r="AO83" s="334">
        <f t="shared" ca="1" si="256"/>
        <v>0.13400000000000001</v>
      </c>
      <c r="AP83" s="344">
        <f t="shared" si="259"/>
        <v>1.6930000000000001</v>
      </c>
      <c r="AQ83" s="340">
        <f t="shared" si="313"/>
        <v>0.10225312359432631</v>
      </c>
      <c r="AR83" s="58">
        <f t="shared" si="73"/>
        <v>0.10225312359432631</v>
      </c>
      <c r="AS83" s="58">
        <f t="shared" si="258"/>
        <v>0.19073530776858674</v>
      </c>
      <c r="AT83" s="58">
        <f t="shared" si="258"/>
        <v>0.14341000584104266</v>
      </c>
      <c r="AU83" s="58">
        <f t="shared" si="258"/>
        <v>0.11472800467283413</v>
      </c>
      <c r="AV83" s="58">
        <f t="shared" si="258"/>
        <v>0.14341000584104266</v>
      </c>
      <c r="AW83" s="58">
        <f t="shared" si="58"/>
        <v>0.48185761962590329</v>
      </c>
      <c r="AX83" s="58">
        <f t="shared" si="249"/>
        <v>0.53807434191559211</v>
      </c>
      <c r="AY83" s="340">
        <f t="shared" si="260"/>
        <v>1.7</v>
      </c>
      <c r="AZ83" s="58">
        <f t="shared" si="261"/>
        <v>1.3770866428689359</v>
      </c>
      <c r="BA83" s="58">
        <f t="shared" si="27"/>
        <v>0.81005096639349172</v>
      </c>
      <c r="BB83" s="58">
        <f t="shared" si="74"/>
        <v>0.81005096639349172</v>
      </c>
      <c r="BC83" s="58">
        <f t="shared" si="262"/>
        <v>0.45443859214674887</v>
      </c>
      <c r="BD83" s="58">
        <f t="shared" si="60"/>
        <v>0.17852944691479422</v>
      </c>
      <c r="BE83" s="58">
        <f t="shared" si="263"/>
        <v>0.45443859214674887</v>
      </c>
      <c r="BF83" s="58">
        <f t="shared" si="61"/>
        <v>0.17852944691479422</v>
      </c>
      <c r="BG83" s="58">
        <f t="shared" ca="1" si="264"/>
        <v>0.36134903640256949</v>
      </c>
      <c r="BH83" s="58">
        <f t="shared" ca="1" si="265"/>
        <v>0.40484475374732326</v>
      </c>
      <c r="BI83" s="341">
        <f t="shared" ca="1" si="266"/>
        <v>0.12529000000000001</v>
      </c>
      <c r="BJ83" s="64">
        <f t="shared" ca="1" si="267"/>
        <v>0.31219999999999998</v>
      </c>
      <c r="BK83" s="63">
        <f t="shared" si="268"/>
        <v>1.4944000000000006</v>
      </c>
      <c r="BL83" s="209">
        <f t="shared" ca="1" si="269"/>
        <v>306.26819999999998</v>
      </c>
    </row>
    <row r="84" spans="9:64" ht="16">
      <c r="I84" s="344">
        <f t="shared" si="257"/>
        <v>1.5444000000000007</v>
      </c>
      <c r="J84" s="63">
        <f t="shared" ca="1" si="0"/>
        <v>1.9330000000000001</v>
      </c>
      <c r="K84" s="63">
        <f t="shared" ca="1" si="1"/>
        <v>0.55180005180005154</v>
      </c>
      <c r="L84" s="63">
        <f t="shared" ca="1" si="2"/>
        <v>0.28549999999999998</v>
      </c>
      <c r="M84" s="63">
        <f t="shared" ca="1" si="3"/>
        <v>0.28549999999999998</v>
      </c>
      <c r="N84" s="81">
        <f t="shared" ca="1" si="306"/>
        <v>0.20399999999999999</v>
      </c>
      <c r="O84" s="63">
        <f t="shared" ca="1" si="307"/>
        <v>1.9330000000000001</v>
      </c>
      <c r="P84" s="63">
        <f t="shared" ca="1" si="308"/>
        <v>0.43706293706293692</v>
      </c>
      <c r="Q84" s="63">
        <f t="shared" ca="1" si="7"/>
        <v>0.2261</v>
      </c>
      <c r="R84" s="63">
        <f t="shared" ca="1" si="8"/>
        <v>0.2261</v>
      </c>
      <c r="S84" s="81">
        <f t="shared" ca="1" si="309"/>
        <v>0.104</v>
      </c>
      <c r="T84" s="63">
        <f t="shared" ca="1" si="310"/>
        <v>2.4</v>
      </c>
      <c r="U84" s="63">
        <f t="shared" ca="1" si="311"/>
        <v>0.74898277648277611</v>
      </c>
      <c r="V84" s="63">
        <f t="shared" ca="1" si="12"/>
        <v>0.31209999999999999</v>
      </c>
      <c r="W84" s="60">
        <f t="shared" ca="1" si="13"/>
        <v>0.30599999999999999</v>
      </c>
      <c r="X84" s="81">
        <f t="shared" ca="1" si="312"/>
        <v>0.219</v>
      </c>
      <c r="Y84" s="334">
        <f t="shared" ca="1" si="62"/>
        <v>0.219</v>
      </c>
      <c r="Z84" s="63">
        <f t="shared" ca="1" si="63"/>
        <v>1.9330000000000001</v>
      </c>
      <c r="AA84" s="63">
        <f t="shared" ca="1" si="64"/>
        <v>0.34965034965034952</v>
      </c>
      <c r="AB84" s="63">
        <f t="shared" ca="1" si="250"/>
        <v>0.18090000000000001</v>
      </c>
      <c r="AC84" s="63">
        <f t="shared" ca="1" si="251"/>
        <v>0.18090000000000001</v>
      </c>
      <c r="AD84" s="81">
        <f t="shared" ca="1" si="65"/>
        <v>0.129</v>
      </c>
      <c r="AE84" s="60">
        <f t="shared" ca="1" si="66"/>
        <v>1.9330000000000001</v>
      </c>
      <c r="AF84" s="60">
        <f t="shared" ca="1" si="67"/>
        <v>0.34965034965034952</v>
      </c>
      <c r="AG84" s="63">
        <f t="shared" ca="1" si="252"/>
        <v>0.18090000000000001</v>
      </c>
      <c r="AH84" s="63">
        <f t="shared" ca="1" si="253"/>
        <v>0.18090000000000001</v>
      </c>
      <c r="AI84" s="81">
        <f t="shared" ca="1" si="68"/>
        <v>8.3000000000000004E-2</v>
      </c>
      <c r="AJ84" s="60">
        <f t="shared" ca="1" si="69"/>
        <v>2.4</v>
      </c>
      <c r="AK84" s="60">
        <f t="shared" ca="1" si="70"/>
        <v>0.4</v>
      </c>
      <c r="AL84" s="63">
        <f t="shared" ca="1" si="254"/>
        <v>0.16669999999999999</v>
      </c>
      <c r="AM84" s="60">
        <f t="shared" ca="1" si="255"/>
        <v>0.16669999999999999</v>
      </c>
      <c r="AN84" s="81">
        <f t="shared" ca="1" si="71"/>
        <v>0.11899999999999999</v>
      </c>
      <c r="AO84" s="334">
        <f t="shared" ca="1" si="256"/>
        <v>0.129</v>
      </c>
      <c r="AP84" s="344">
        <f t="shared" si="259"/>
        <v>1.6930000000000001</v>
      </c>
      <c r="AQ84" s="340">
        <f t="shared" si="313"/>
        <v>0.10058428116359738</v>
      </c>
      <c r="AR84" s="58">
        <f t="shared" si="73"/>
        <v>0.10058428116359738</v>
      </c>
      <c r="AS84" s="58">
        <f t="shared" si="258"/>
        <v>0.18762237426148731</v>
      </c>
      <c r="AT84" s="58">
        <f t="shared" si="258"/>
        <v>0.14106945433194534</v>
      </c>
      <c r="AU84" s="58">
        <f t="shared" si="258"/>
        <v>0.11285556346555628</v>
      </c>
      <c r="AV84" s="58">
        <f t="shared" si="258"/>
        <v>0.14106945433194534</v>
      </c>
      <c r="AW84" s="58">
        <f t="shared" si="58"/>
        <v>0.4739933665553363</v>
      </c>
      <c r="AX84" s="58">
        <f t="shared" si="249"/>
        <v>0.52929259265345896</v>
      </c>
      <c r="AY84" s="340">
        <f t="shared" si="260"/>
        <v>1.7</v>
      </c>
      <c r="AZ84" s="58">
        <f t="shared" si="261"/>
        <v>1.3472017650005197</v>
      </c>
      <c r="BA84" s="58">
        <f t="shared" si="27"/>
        <v>0.79247162647089398</v>
      </c>
      <c r="BB84" s="58">
        <f t="shared" si="74"/>
        <v>0.79247162647089398</v>
      </c>
      <c r="BC84" s="58">
        <f t="shared" si="262"/>
        <v>0.44457658245017151</v>
      </c>
      <c r="BD84" s="58">
        <f t="shared" si="60"/>
        <v>0.17465508596256743</v>
      </c>
      <c r="BE84" s="58">
        <f t="shared" si="263"/>
        <v>0.44457658245017151</v>
      </c>
      <c r="BF84" s="58">
        <f t="shared" si="61"/>
        <v>0.17465508596256743</v>
      </c>
      <c r="BG84" s="58">
        <f t="shared" ca="1" si="264"/>
        <v>0.34965034965034952</v>
      </c>
      <c r="BH84" s="58">
        <f t="shared" ca="1" si="265"/>
        <v>0.4</v>
      </c>
      <c r="BI84" s="341">
        <f t="shared" ca="1" si="266"/>
        <v>0.12061500000000001</v>
      </c>
      <c r="BJ84" s="64">
        <f t="shared" ca="1" si="267"/>
        <v>0.30659999999999998</v>
      </c>
      <c r="BK84" s="63">
        <f t="shared" si="268"/>
        <v>1.5444000000000007</v>
      </c>
      <c r="BL84" s="209">
        <f t="shared" ca="1" si="269"/>
        <v>300.77459999999996</v>
      </c>
    </row>
    <row r="85" spans="9:64" ht="16">
      <c r="I85" s="344">
        <f t="shared" si="257"/>
        <v>1.5944000000000007</v>
      </c>
      <c r="J85" s="63">
        <f t="shared" ca="1" si="0"/>
        <v>1.9330000000000001</v>
      </c>
      <c r="K85" s="63">
        <f t="shared" ca="1" si="1"/>
        <v>0.53449573507275439</v>
      </c>
      <c r="L85" s="63">
        <f t="shared" ca="1" si="2"/>
        <v>0.27650000000000002</v>
      </c>
      <c r="M85" s="63">
        <f t="shared" ca="1" si="3"/>
        <v>0.27650000000000002</v>
      </c>
      <c r="N85" s="81">
        <f t="shared" ca="1" si="306"/>
        <v>0.19800000000000001</v>
      </c>
      <c r="O85" s="63">
        <f t="shared" ca="1" si="307"/>
        <v>1.9330000000000001</v>
      </c>
      <c r="P85" s="63">
        <f t="shared" ca="1" si="308"/>
        <v>0.42335674862017042</v>
      </c>
      <c r="Q85" s="63">
        <f t="shared" ca="1" si="7"/>
        <v>0.219</v>
      </c>
      <c r="R85" s="63">
        <f t="shared" ca="1" si="8"/>
        <v>0.219</v>
      </c>
      <c r="S85" s="81">
        <f t="shared" ca="1" si="309"/>
        <v>0.10100000000000001</v>
      </c>
      <c r="T85" s="63">
        <f t="shared" ca="1" si="310"/>
        <v>2.4</v>
      </c>
      <c r="U85" s="63">
        <f t="shared" ca="1" si="311"/>
        <v>0.72549485699949789</v>
      </c>
      <c r="V85" s="63">
        <f t="shared" ca="1" si="12"/>
        <v>0.30230000000000001</v>
      </c>
      <c r="W85" s="60">
        <f t="shared" ca="1" si="13"/>
        <v>0.30099999999999999</v>
      </c>
      <c r="X85" s="81">
        <f t="shared" ca="1" si="312"/>
        <v>0.215</v>
      </c>
      <c r="Y85" s="334">
        <f t="shared" ca="1" si="62"/>
        <v>0.215</v>
      </c>
      <c r="Z85" s="63">
        <f t="shared" ca="1" si="63"/>
        <v>1.9330000000000001</v>
      </c>
      <c r="AA85" s="63">
        <f t="shared" ca="1" si="64"/>
        <v>0.33868539889613636</v>
      </c>
      <c r="AB85" s="63">
        <f t="shared" ca="1" si="250"/>
        <v>0.17519999999999999</v>
      </c>
      <c r="AC85" s="63">
        <f t="shared" ca="1" si="251"/>
        <v>0.17519999999999999</v>
      </c>
      <c r="AD85" s="81">
        <f t="shared" ca="1" si="65"/>
        <v>0.125</v>
      </c>
      <c r="AE85" s="60">
        <f t="shared" ca="1" si="66"/>
        <v>1.9330000000000001</v>
      </c>
      <c r="AF85" s="60">
        <f t="shared" ca="1" si="67"/>
        <v>0.33868539889613636</v>
      </c>
      <c r="AG85" s="63">
        <f t="shared" ca="1" si="252"/>
        <v>0.17519999999999999</v>
      </c>
      <c r="AH85" s="63">
        <f t="shared" ca="1" si="253"/>
        <v>0.17519999999999999</v>
      </c>
      <c r="AI85" s="81">
        <f t="shared" ca="1" si="68"/>
        <v>8.1000000000000003E-2</v>
      </c>
      <c r="AJ85" s="60">
        <f t="shared" ca="1" si="69"/>
        <v>2.4</v>
      </c>
      <c r="AK85" s="60">
        <f t="shared" ca="1" si="70"/>
        <v>0.4</v>
      </c>
      <c r="AL85" s="63">
        <f t="shared" ca="1" si="254"/>
        <v>0.16669999999999999</v>
      </c>
      <c r="AM85" s="60">
        <f t="shared" ca="1" si="255"/>
        <v>0.16669999999999999</v>
      </c>
      <c r="AN85" s="81">
        <f t="shared" ca="1" si="71"/>
        <v>0.11899999999999999</v>
      </c>
      <c r="AO85" s="334">
        <f t="shared" ca="1" si="256"/>
        <v>0.125</v>
      </c>
      <c r="AP85" s="344">
        <f t="shared" si="259"/>
        <v>1.6930000000000001</v>
      </c>
      <c r="AQ85" s="340">
        <f t="shared" si="313"/>
        <v>9.8994569227700654E-2</v>
      </c>
      <c r="AR85" s="58">
        <f t="shared" si="73"/>
        <v>9.8994569227700654E-2</v>
      </c>
      <c r="AS85" s="58">
        <f t="shared" si="258"/>
        <v>0.18465704484466075</v>
      </c>
      <c r="AT85" s="58">
        <f t="shared" si="258"/>
        <v>0.13883988334185018</v>
      </c>
      <c r="AU85" s="58">
        <f t="shared" si="258"/>
        <v>0.11107190667348014</v>
      </c>
      <c r="AV85" s="58">
        <f t="shared" si="258"/>
        <v>0.13883988334185018</v>
      </c>
      <c r="AW85" s="58">
        <f t="shared" si="58"/>
        <v>0.46650200802861652</v>
      </c>
      <c r="AX85" s="58">
        <f t="shared" si="249"/>
        <v>0.52092724229862186</v>
      </c>
      <c r="AY85" s="340">
        <f t="shared" si="260"/>
        <v>1.7</v>
      </c>
      <c r="AZ85" s="58">
        <f t="shared" si="261"/>
        <v>1.3188871835743026</v>
      </c>
      <c r="BA85" s="58">
        <f t="shared" si="27"/>
        <v>0.77581599033782511</v>
      </c>
      <c r="BB85" s="58">
        <f t="shared" si="74"/>
        <v>0.77581599033782511</v>
      </c>
      <c r="BC85" s="58">
        <f t="shared" si="262"/>
        <v>0.43523277057951987</v>
      </c>
      <c r="BD85" s="58">
        <f t="shared" si="60"/>
        <v>0.17098430272766857</v>
      </c>
      <c r="BE85" s="58">
        <f t="shared" si="263"/>
        <v>0.43523277057951987</v>
      </c>
      <c r="BF85" s="58">
        <f t="shared" si="61"/>
        <v>0.17098430272766857</v>
      </c>
      <c r="BG85" s="58">
        <f t="shared" ca="1" si="264"/>
        <v>0.33868539889613636</v>
      </c>
      <c r="BH85" s="58">
        <f t="shared" ca="1" si="265"/>
        <v>0.4</v>
      </c>
      <c r="BI85" s="341">
        <f t="shared" ca="1" si="266"/>
        <v>0.11687500000000001</v>
      </c>
      <c r="BJ85" s="64">
        <f t="shared" ca="1" si="267"/>
        <v>0.30099999999999999</v>
      </c>
      <c r="BK85" s="63">
        <f t="shared" si="268"/>
        <v>1.5944000000000007</v>
      </c>
      <c r="BL85" s="209">
        <f t="shared" ca="1" si="269"/>
        <v>295.28100000000001</v>
      </c>
    </row>
    <row r="86" spans="9:64" ht="16">
      <c r="I86" s="344">
        <f t="shared" si="257"/>
        <v>1.6444000000000007</v>
      </c>
      <c r="J86" s="63">
        <f t="shared" ca="1" si="0"/>
        <v>1.9330000000000001</v>
      </c>
      <c r="K86" s="63">
        <f t="shared" ca="1" si="1"/>
        <v>0.51824373631719745</v>
      </c>
      <c r="L86" s="63">
        <f t="shared" ca="1" si="2"/>
        <v>0.2681</v>
      </c>
      <c r="M86" s="63">
        <f t="shared" ca="1" si="3"/>
        <v>0.2681</v>
      </c>
      <c r="N86" s="81">
        <f t="shared" ca="1" si="306"/>
        <v>0.192</v>
      </c>
      <c r="O86" s="63">
        <f t="shared" ca="1" si="307"/>
        <v>1.9330000000000001</v>
      </c>
      <c r="P86" s="63">
        <f t="shared" ca="1" si="308"/>
        <v>0.41048406713694946</v>
      </c>
      <c r="Q86" s="63">
        <f t="shared" ca="1" si="7"/>
        <v>0.21240000000000001</v>
      </c>
      <c r="R86" s="63">
        <f t="shared" ca="1" si="8"/>
        <v>0.21240000000000001</v>
      </c>
      <c r="S86" s="81">
        <f t="shared" ca="1" si="309"/>
        <v>9.8000000000000004E-2</v>
      </c>
      <c r="T86" s="63">
        <f t="shared" ca="1" si="310"/>
        <v>2.4</v>
      </c>
      <c r="U86" s="63">
        <f t="shared" ca="1" si="311"/>
        <v>0.70343529554852791</v>
      </c>
      <c r="V86" s="63">
        <f t="shared" ca="1" si="12"/>
        <v>0.29310000000000003</v>
      </c>
      <c r="W86" s="60">
        <f t="shared" ca="1" si="13"/>
        <v>0.29310000000000003</v>
      </c>
      <c r="X86" s="81">
        <f t="shared" ca="1" si="312"/>
        <v>0.20899999999999999</v>
      </c>
      <c r="Y86" s="334">
        <f t="shared" ca="1" si="62"/>
        <v>0.20899999999999999</v>
      </c>
      <c r="Z86" s="63">
        <f t="shared" ca="1" si="63"/>
        <v>1.9330000000000001</v>
      </c>
      <c r="AA86" s="63">
        <f t="shared" ca="1" si="64"/>
        <v>0.32838725370955957</v>
      </c>
      <c r="AB86" s="63">
        <f t="shared" ca="1" si="250"/>
        <v>0.1699</v>
      </c>
      <c r="AC86" s="63">
        <f t="shared" ca="1" si="251"/>
        <v>0.1699</v>
      </c>
      <c r="AD86" s="81">
        <f t="shared" ca="1" si="65"/>
        <v>0.121</v>
      </c>
      <c r="AE86" s="60">
        <f t="shared" ca="1" si="66"/>
        <v>1.9330000000000001</v>
      </c>
      <c r="AF86" s="60">
        <f t="shared" ca="1" si="67"/>
        <v>0.32838725370955957</v>
      </c>
      <c r="AG86" s="63">
        <f t="shared" ca="1" si="252"/>
        <v>0.1699</v>
      </c>
      <c r="AH86" s="63">
        <f t="shared" ca="1" si="253"/>
        <v>0.1699</v>
      </c>
      <c r="AI86" s="81">
        <f t="shared" ca="1" si="68"/>
        <v>7.8E-2</v>
      </c>
      <c r="AJ86" s="60">
        <f t="shared" ca="1" si="69"/>
        <v>2.4</v>
      </c>
      <c r="AK86" s="60">
        <f t="shared" ca="1" si="70"/>
        <v>0.4</v>
      </c>
      <c r="AL86" s="63">
        <f t="shared" ca="1" si="254"/>
        <v>0.16669999999999999</v>
      </c>
      <c r="AM86" s="60">
        <f t="shared" ca="1" si="255"/>
        <v>0.16669999999999999</v>
      </c>
      <c r="AN86" s="81">
        <f t="shared" ca="1" si="71"/>
        <v>0.11899999999999999</v>
      </c>
      <c r="AO86" s="334">
        <f t="shared" ca="1" si="256"/>
        <v>0.121</v>
      </c>
      <c r="AP86" s="344">
        <f t="shared" si="259"/>
        <v>1.6930000000000001</v>
      </c>
      <c r="AQ86" s="340">
        <f t="shared" si="313"/>
        <v>9.7477925698798581E-2</v>
      </c>
      <c r="AR86" s="58">
        <f t="shared" si="73"/>
        <v>9.7477925698798581E-2</v>
      </c>
      <c r="AS86" s="58">
        <f t="shared" si="258"/>
        <v>0.18182801175411148</v>
      </c>
      <c r="AT86" s="58">
        <f t="shared" si="258"/>
        <v>0.13671279079256501</v>
      </c>
      <c r="AU86" s="58">
        <f t="shared" si="258"/>
        <v>0.10937023263405202</v>
      </c>
      <c r="AV86" s="58">
        <f t="shared" si="258"/>
        <v>0.13671279079256501</v>
      </c>
      <c r="AW86" s="58">
        <f t="shared" si="58"/>
        <v>0.45935497706301842</v>
      </c>
      <c r="AX86" s="58">
        <f t="shared" si="249"/>
        <v>0.51294639105370399</v>
      </c>
      <c r="AY86" s="340">
        <f t="shared" si="260"/>
        <v>1.7</v>
      </c>
      <c r="AZ86" s="58">
        <f t="shared" si="261"/>
        <v>1.2920149125834628</v>
      </c>
      <c r="BA86" s="58">
        <f t="shared" si="27"/>
        <v>0.76000877210791928</v>
      </c>
      <c r="BB86" s="58">
        <f t="shared" si="74"/>
        <v>0.76000877210791928</v>
      </c>
      <c r="BC86" s="58">
        <f t="shared" si="262"/>
        <v>0.42636492115254276</v>
      </c>
      <c r="BD86" s="58">
        <f t="shared" si="60"/>
        <v>0.16750050473849892</v>
      </c>
      <c r="BE86" s="58">
        <f t="shared" si="263"/>
        <v>0.42636492115254276</v>
      </c>
      <c r="BF86" s="58">
        <f t="shared" si="61"/>
        <v>0.16750050473849892</v>
      </c>
      <c r="BG86" s="58">
        <f t="shared" ca="1" si="264"/>
        <v>0.32838725370955957</v>
      </c>
      <c r="BH86" s="58">
        <f t="shared" ca="1" si="265"/>
        <v>0.4</v>
      </c>
      <c r="BI86" s="341">
        <f t="shared" ca="1" si="266"/>
        <v>0.113135</v>
      </c>
      <c r="BJ86" s="64">
        <f t="shared" ca="1" si="267"/>
        <v>0.29259999999999997</v>
      </c>
      <c r="BK86" s="63">
        <f t="shared" si="268"/>
        <v>1.6444000000000007</v>
      </c>
      <c r="BL86" s="209">
        <f t="shared" ca="1" si="269"/>
        <v>287.04059999999998</v>
      </c>
    </row>
    <row r="87" spans="9:64" ht="16">
      <c r="I87" s="344">
        <f t="shared" si="257"/>
        <v>1.6944000000000008</v>
      </c>
      <c r="J87" s="63">
        <f t="shared" ca="1" si="0"/>
        <v>1.9330000000000001</v>
      </c>
      <c r="K87" s="63">
        <f t="shared" ca="1" si="1"/>
        <v>0.50295089707270979</v>
      </c>
      <c r="L87" s="63">
        <f t="shared" ca="1" si="2"/>
        <v>0.26019999999999999</v>
      </c>
      <c r="M87" s="63">
        <f t="shared" ca="1" si="3"/>
        <v>0.26019999999999999</v>
      </c>
      <c r="N87" s="81">
        <f t="shared" ca="1" si="306"/>
        <v>0.186</v>
      </c>
      <c r="O87" s="63">
        <f t="shared" ca="1" si="307"/>
        <v>1.9330000000000001</v>
      </c>
      <c r="P87" s="63">
        <f t="shared" ca="1" si="308"/>
        <v>0.39837110481586385</v>
      </c>
      <c r="Q87" s="63">
        <f t="shared" ca="1" si="7"/>
        <v>0.20610000000000001</v>
      </c>
      <c r="R87" s="63">
        <f t="shared" ca="1" si="8"/>
        <v>0.20610000000000001</v>
      </c>
      <c r="S87" s="81">
        <f t="shared" ca="1" si="309"/>
        <v>9.5000000000000001E-2</v>
      </c>
      <c r="T87" s="63">
        <f t="shared" ca="1" si="310"/>
        <v>2.4</v>
      </c>
      <c r="U87" s="63">
        <f t="shared" ca="1" si="311"/>
        <v>0.68267764400377673</v>
      </c>
      <c r="V87" s="63">
        <f t="shared" ca="1" si="12"/>
        <v>0.28439999999999999</v>
      </c>
      <c r="W87" s="60">
        <f t="shared" ca="1" si="13"/>
        <v>0.28439999999999999</v>
      </c>
      <c r="X87" s="81">
        <f t="shared" ca="1" si="312"/>
        <v>0.20300000000000001</v>
      </c>
      <c r="Y87" s="334">
        <f t="shared" ca="1" si="62"/>
        <v>0.20300000000000001</v>
      </c>
      <c r="Z87" s="63">
        <f t="shared" ca="1" si="63"/>
        <v>1.9330000000000001</v>
      </c>
      <c r="AA87" s="63">
        <f t="shared" ca="1" si="64"/>
        <v>0.32000000000000006</v>
      </c>
      <c r="AB87" s="63">
        <f t="shared" ca="1" si="250"/>
        <v>0.16550000000000001</v>
      </c>
      <c r="AC87" s="63">
        <f t="shared" ca="1" si="251"/>
        <v>0.16550000000000001</v>
      </c>
      <c r="AD87" s="81">
        <f t="shared" ca="1" si="65"/>
        <v>0.11799999999999999</v>
      </c>
      <c r="AE87" s="60">
        <f t="shared" ca="1" si="66"/>
        <v>1.9330000000000001</v>
      </c>
      <c r="AF87" s="60">
        <f t="shared" ca="1" si="67"/>
        <v>0.32000000000000006</v>
      </c>
      <c r="AG87" s="63">
        <f t="shared" ca="1" si="252"/>
        <v>0.16550000000000001</v>
      </c>
      <c r="AH87" s="63">
        <f t="shared" ca="1" si="253"/>
        <v>0.16550000000000001</v>
      </c>
      <c r="AI87" s="81">
        <f t="shared" ca="1" si="68"/>
        <v>7.5999999999999998E-2</v>
      </c>
      <c r="AJ87" s="60">
        <f t="shared" ca="1" si="69"/>
        <v>2.4</v>
      </c>
      <c r="AK87" s="60">
        <f t="shared" ca="1" si="70"/>
        <v>0.4</v>
      </c>
      <c r="AL87" s="63">
        <f t="shared" ca="1" si="254"/>
        <v>0.16669999999999999</v>
      </c>
      <c r="AM87" s="60">
        <f t="shared" ca="1" si="255"/>
        <v>0.16669999999999999</v>
      </c>
      <c r="AN87" s="81">
        <f t="shared" ca="1" si="71"/>
        <v>0.11899999999999999</v>
      </c>
      <c r="AO87" s="334">
        <f t="shared" ca="1" si="256"/>
        <v>0.11899999999999999</v>
      </c>
      <c r="AP87" s="344">
        <f t="shared" si="259"/>
        <v>1.6930000000000001</v>
      </c>
      <c r="AQ87" s="340">
        <f t="shared" si="313"/>
        <v>9.6028919353594047E-2</v>
      </c>
      <c r="AR87" s="58">
        <f t="shared" si="73"/>
        <v>9.6028919353594047E-2</v>
      </c>
      <c r="AS87" s="58">
        <f t="shared" si="258"/>
        <v>0.17912514399324284</v>
      </c>
      <c r="AT87" s="58">
        <f t="shared" si="258"/>
        <v>0.13468055939341567</v>
      </c>
      <c r="AU87" s="58">
        <f t="shared" si="258"/>
        <v>0.10774444751473253</v>
      </c>
      <c r="AV87" s="58">
        <f t="shared" si="258"/>
        <v>0.13468055939341567</v>
      </c>
      <c r="AW87" s="58">
        <f t="shared" si="58"/>
        <v>0.45252667956187659</v>
      </c>
      <c r="AX87" s="58">
        <f t="shared" si="249"/>
        <v>0.50532145884409552</v>
      </c>
      <c r="AY87" s="340">
        <f t="shared" si="260"/>
        <v>1.7</v>
      </c>
      <c r="AZ87" s="58">
        <f t="shared" si="261"/>
        <v>1.2664708841741199</v>
      </c>
      <c r="BA87" s="58">
        <f t="shared" si="27"/>
        <v>0.7449828730436</v>
      </c>
      <c r="BB87" s="58">
        <f t="shared" si="74"/>
        <v>0.7449828730436</v>
      </c>
      <c r="BC87" s="58">
        <f t="shared" si="262"/>
        <v>0.41793539177745959</v>
      </c>
      <c r="BD87" s="58">
        <f t="shared" si="60"/>
        <v>0.16418890391257346</v>
      </c>
      <c r="BE87" s="58">
        <f t="shared" si="263"/>
        <v>0.41793539177745959</v>
      </c>
      <c r="BF87" s="58">
        <f t="shared" si="61"/>
        <v>0.16418890391257346</v>
      </c>
      <c r="BG87" s="58">
        <f t="shared" ca="1" si="264"/>
        <v>0.32000000000000006</v>
      </c>
      <c r="BH87" s="58">
        <f t="shared" ca="1" si="265"/>
        <v>0.4</v>
      </c>
      <c r="BI87" s="341">
        <f t="shared" ca="1" si="266"/>
        <v>0.11126499999999999</v>
      </c>
      <c r="BJ87" s="64">
        <f t="shared" ca="1" si="267"/>
        <v>0.28420000000000001</v>
      </c>
      <c r="BK87" s="63">
        <f t="shared" si="268"/>
        <v>1.6944000000000008</v>
      </c>
      <c r="BL87" s="209">
        <f t="shared" ca="1" si="269"/>
        <v>278.80020000000002</v>
      </c>
    </row>
    <row r="88" spans="9:64" ht="16">
      <c r="I88" s="344">
        <f t="shared" si="257"/>
        <v>1.7444000000000008</v>
      </c>
      <c r="J88" s="63">
        <f t="shared" ca="1" si="0"/>
        <v>1.9330000000000001</v>
      </c>
      <c r="K88" s="63">
        <f t="shared" ca="1" si="1"/>
        <v>0.48853473973859179</v>
      </c>
      <c r="L88" s="63">
        <f t="shared" ca="1" si="2"/>
        <v>0.25269999999999998</v>
      </c>
      <c r="M88" s="63">
        <f t="shared" ca="1" si="3"/>
        <v>0.25269999999999998</v>
      </c>
      <c r="N88" s="81">
        <f t="shared" ca="1" si="306"/>
        <v>0.18099999999999999</v>
      </c>
      <c r="O88" s="63">
        <f t="shared" ca="1" si="307"/>
        <v>1.9330000000000001</v>
      </c>
      <c r="P88" s="63">
        <f t="shared" ca="1" si="308"/>
        <v>0.3869525338225176</v>
      </c>
      <c r="Q88" s="63">
        <f t="shared" ca="1" si="7"/>
        <v>0.20019999999999999</v>
      </c>
      <c r="R88" s="63">
        <f t="shared" ca="1" si="8"/>
        <v>0.20019999999999999</v>
      </c>
      <c r="S88" s="81">
        <f t="shared" ca="1" si="309"/>
        <v>9.1999999999999998E-2</v>
      </c>
      <c r="T88" s="63">
        <f t="shared" ca="1" si="310"/>
        <v>2.4</v>
      </c>
      <c r="U88" s="63">
        <f t="shared" ca="1" si="311"/>
        <v>0.66310995184590649</v>
      </c>
      <c r="V88" s="63">
        <f t="shared" ca="1" si="12"/>
        <v>0.27629999999999999</v>
      </c>
      <c r="W88" s="60">
        <f t="shared" ca="1" si="13"/>
        <v>0.27629999999999999</v>
      </c>
      <c r="X88" s="81">
        <f t="shared" ca="1" si="312"/>
        <v>0.19700000000000001</v>
      </c>
      <c r="Y88" s="334">
        <f t="shared" ca="1" si="62"/>
        <v>0.19700000000000001</v>
      </c>
      <c r="Z88" s="63">
        <f t="shared" ca="1" si="63"/>
        <v>1.9330000000000001</v>
      </c>
      <c r="AA88" s="63">
        <f t="shared" ca="1" si="64"/>
        <v>0.32000000000000006</v>
      </c>
      <c r="AB88" s="63">
        <f t="shared" ca="1" si="250"/>
        <v>0.16550000000000001</v>
      </c>
      <c r="AC88" s="63">
        <f t="shared" ca="1" si="251"/>
        <v>0.16550000000000001</v>
      </c>
      <c r="AD88" s="81">
        <f t="shared" ca="1" si="65"/>
        <v>0.11799999999999999</v>
      </c>
      <c r="AE88" s="60">
        <f t="shared" ca="1" si="66"/>
        <v>1.9330000000000001</v>
      </c>
      <c r="AF88" s="60">
        <f t="shared" ca="1" si="67"/>
        <v>0.32000000000000006</v>
      </c>
      <c r="AG88" s="63">
        <f t="shared" ca="1" si="252"/>
        <v>0.16550000000000001</v>
      </c>
      <c r="AH88" s="63">
        <f t="shared" ca="1" si="253"/>
        <v>0.16550000000000001</v>
      </c>
      <c r="AI88" s="81">
        <f t="shared" ca="1" si="68"/>
        <v>7.5999999999999998E-2</v>
      </c>
      <c r="AJ88" s="60">
        <f t="shared" ca="1" si="69"/>
        <v>2.4</v>
      </c>
      <c r="AK88" s="60">
        <f t="shared" ca="1" si="70"/>
        <v>0.4</v>
      </c>
      <c r="AL88" s="63">
        <f t="shared" ca="1" si="254"/>
        <v>0.16669999999999999</v>
      </c>
      <c r="AM88" s="60">
        <f t="shared" ca="1" si="255"/>
        <v>0.16669999999999999</v>
      </c>
      <c r="AN88" s="81">
        <f t="shared" ca="1" si="71"/>
        <v>0.11899999999999999</v>
      </c>
      <c r="AO88" s="334">
        <f t="shared" ca="1" si="256"/>
        <v>0.11899999999999999</v>
      </c>
      <c r="AP88" s="344">
        <f t="shared" si="259"/>
        <v>1.6930000000000001</v>
      </c>
      <c r="AQ88" s="340">
        <f t="shared" si="313"/>
        <v>9.4642667857710694E-2</v>
      </c>
      <c r="AR88" s="58">
        <f t="shared" si="73"/>
        <v>9.4642667857710694E-2</v>
      </c>
      <c r="AS88" s="58">
        <f t="shared" si="258"/>
        <v>0.17653933442168421</v>
      </c>
      <c r="AT88" s="58">
        <f t="shared" si="258"/>
        <v>0.13273634167043927</v>
      </c>
      <c r="AU88" s="58">
        <f t="shared" si="258"/>
        <v>0.10618907333635141</v>
      </c>
      <c r="AV88" s="58">
        <f t="shared" si="258"/>
        <v>0.13273634167043927</v>
      </c>
      <c r="AW88" s="58">
        <f t="shared" si="58"/>
        <v>0.44599410801267592</v>
      </c>
      <c r="AX88" s="58">
        <f t="shared" si="249"/>
        <v>0.49802675394748813</v>
      </c>
      <c r="AY88" s="340">
        <f t="shared" si="260"/>
        <v>1.7</v>
      </c>
      <c r="AZ88" s="58">
        <f t="shared" si="261"/>
        <v>1.2421530777353287</v>
      </c>
      <c r="BA88" s="58">
        <f t="shared" si="27"/>
        <v>0.73067828102078158</v>
      </c>
      <c r="BB88" s="58">
        <f t="shared" si="74"/>
        <v>0.73067828102078158</v>
      </c>
      <c r="BC88" s="58">
        <f t="shared" si="262"/>
        <v>0.40991051565265846</v>
      </c>
      <c r="BD88" s="58">
        <f t="shared" si="60"/>
        <v>0.16103627400640158</v>
      </c>
      <c r="BE88" s="58">
        <f t="shared" si="263"/>
        <v>0.40991051565265846</v>
      </c>
      <c r="BF88" s="58">
        <f t="shared" si="61"/>
        <v>0.16103627400640158</v>
      </c>
      <c r="BG88" s="58">
        <f t="shared" ca="1" si="264"/>
        <v>0.32000000000000006</v>
      </c>
      <c r="BH88" s="58">
        <f t="shared" ca="1" si="265"/>
        <v>0.4</v>
      </c>
      <c r="BI88" s="341">
        <f t="shared" ca="1" si="266"/>
        <v>0.11126499999999999</v>
      </c>
      <c r="BJ88" s="64">
        <f t="shared" ca="1" si="267"/>
        <v>0.27579999999999999</v>
      </c>
      <c r="BK88" s="63">
        <f t="shared" si="268"/>
        <v>1.7444000000000008</v>
      </c>
      <c r="BL88" s="209">
        <f t="shared" ca="1" si="269"/>
        <v>270.5598</v>
      </c>
    </row>
    <row r="89" spans="9:64" ht="16">
      <c r="I89" s="344">
        <f t="shared" si="257"/>
        <v>1.7944000000000009</v>
      </c>
      <c r="J89" s="63">
        <f t="shared" ca="1" si="0"/>
        <v>1.9330000000000001</v>
      </c>
      <c r="K89" s="63">
        <f t="shared" ca="1" si="1"/>
        <v>0.47492197949175186</v>
      </c>
      <c r="L89" s="63">
        <f t="shared" ca="1" si="2"/>
        <v>0.2457</v>
      </c>
      <c r="M89" s="63">
        <f t="shared" ca="1" si="3"/>
        <v>0.2457</v>
      </c>
      <c r="N89" s="81">
        <f t="shared" ca="1" si="306"/>
        <v>0.17599999999999999</v>
      </c>
      <c r="O89" s="63">
        <f t="shared" ca="1" si="307"/>
        <v>1.9330000000000001</v>
      </c>
      <c r="P89" s="63">
        <f t="shared" ca="1" si="308"/>
        <v>0.37617030762371806</v>
      </c>
      <c r="Q89" s="63">
        <f t="shared" ca="1" si="7"/>
        <v>0.1946</v>
      </c>
      <c r="R89" s="63">
        <f t="shared" ca="1" si="8"/>
        <v>0.1946</v>
      </c>
      <c r="S89" s="81">
        <f t="shared" ca="1" si="309"/>
        <v>0.09</v>
      </c>
      <c r="T89" s="63">
        <f t="shared" ca="1" si="310"/>
        <v>2.4</v>
      </c>
      <c r="U89" s="63">
        <f t="shared" ca="1" si="311"/>
        <v>0.64463274632188994</v>
      </c>
      <c r="V89" s="63">
        <f t="shared" ca="1" si="12"/>
        <v>0.26860000000000001</v>
      </c>
      <c r="W89" s="60">
        <f t="shared" ca="1" si="13"/>
        <v>0.26860000000000001</v>
      </c>
      <c r="X89" s="81">
        <f t="shared" ca="1" si="312"/>
        <v>0.192</v>
      </c>
      <c r="Y89" s="334">
        <f t="shared" ca="1" si="62"/>
        <v>0.192</v>
      </c>
      <c r="Z89" s="63">
        <f t="shared" ca="1" si="63"/>
        <v>1.9330000000000001</v>
      </c>
      <c r="AA89" s="63">
        <f t="shared" ca="1" si="64"/>
        <v>0.32000000000000006</v>
      </c>
      <c r="AB89" s="63">
        <f t="shared" ca="1" si="250"/>
        <v>0.16550000000000001</v>
      </c>
      <c r="AC89" s="63">
        <f t="shared" ca="1" si="251"/>
        <v>0.16550000000000001</v>
      </c>
      <c r="AD89" s="81">
        <f t="shared" ca="1" si="65"/>
        <v>0.11799999999999999</v>
      </c>
      <c r="AE89" s="60">
        <f t="shared" ca="1" si="66"/>
        <v>1.9330000000000001</v>
      </c>
      <c r="AF89" s="60">
        <f t="shared" ca="1" si="67"/>
        <v>0.32000000000000006</v>
      </c>
      <c r="AG89" s="63">
        <f t="shared" ca="1" si="252"/>
        <v>0.16550000000000001</v>
      </c>
      <c r="AH89" s="63">
        <f t="shared" ca="1" si="253"/>
        <v>0.16550000000000001</v>
      </c>
      <c r="AI89" s="81">
        <f t="shared" ca="1" si="68"/>
        <v>7.5999999999999998E-2</v>
      </c>
      <c r="AJ89" s="60">
        <f t="shared" ca="1" si="69"/>
        <v>2.4</v>
      </c>
      <c r="AK89" s="60">
        <f t="shared" ca="1" si="70"/>
        <v>0.4</v>
      </c>
      <c r="AL89" s="63">
        <f t="shared" ca="1" si="254"/>
        <v>0.16669999999999999</v>
      </c>
      <c r="AM89" s="60">
        <f t="shared" ca="1" si="255"/>
        <v>0.16669999999999999</v>
      </c>
      <c r="AN89" s="81">
        <f t="shared" ca="1" si="71"/>
        <v>0.11899999999999999</v>
      </c>
      <c r="AO89" s="334">
        <f t="shared" ca="1" si="256"/>
        <v>0.11899999999999999</v>
      </c>
      <c r="AP89" s="344">
        <f t="shared" si="259"/>
        <v>1.6930000000000001</v>
      </c>
      <c r="AQ89" s="340">
        <f t="shared" si="313"/>
        <v>9.3314768444273E-2</v>
      </c>
      <c r="AR89" s="58">
        <f t="shared" si="73"/>
        <v>9.3314768444273E-2</v>
      </c>
      <c r="AS89" s="58">
        <f t="shared" si="258"/>
        <v>0.17406237044831355</v>
      </c>
      <c r="AT89" s="58">
        <f t="shared" si="258"/>
        <v>0.1308739627430929</v>
      </c>
      <c r="AU89" s="58">
        <f t="shared" si="258"/>
        <v>0.10469917019447432</v>
      </c>
      <c r="AV89" s="58">
        <f t="shared" si="258"/>
        <v>0.1308739627430929</v>
      </c>
      <c r="AW89" s="58">
        <f t="shared" si="58"/>
        <v>0.4397365148167921</v>
      </c>
      <c r="AX89" s="58">
        <f t="shared" si="249"/>
        <v>0.49103910821208452</v>
      </c>
      <c r="AY89" s="340">
        <f t="shared" si="260"/>
        <v>1.7</v>
      </c>
      <c r="AZ89" s="58">
        <f t="shared" si="261"/>
        <v>1.2189699458284753</v>
      </c>
      <c r="BA89" s="58">
        <f t="shared" si="27"/>
        <v>0.71704114460498547</v>
      </c>
      <c r="BB89" s="58">
        <f t="shared" si="74"/>
        <v>0.71704114460498547</v>
      </c>
      <c r="BC89" s="58">
        <f t="shared" si="262"/>
        <v>0.40226008212339687</v>
      </c>
      <c r="BD89" s="58">
        <f t="shared" si="60"/>
        <v>0.15803074654847735</v>
      </c>
      <c r="BE89" s="58">
        <f t="shared" si="263"/>
        <v>0.40226008212339687</v>
      </c>
      <c r="BF89" s="58">
        <f t="shared" si="61"/>
        <v>0.15803074654847735</v>
      </c>
      <c r="BG89" s="58">
        <f t="shared" ca="1" si="264"/>
        <v>0.32000000000000006</v>
      </c>
      <c r="BH89" s="58">
        <f t="shared" ca="1" si="265"/>
        <v>0.4</v>
      </c>
      <c r="BI89" s="341">
        <f t="shared" ca="1" si="266"/>
        <v>0.11126499999999999</v>
      </c>
      <c r="BJ89" s="64">
        <f t="shared" ca="1" si="267"/>
        <v>0.26879999999999998</v>
      </c>
      <c r="BK89" s="63">
        <f t="shared" si="268"/>
        <v>1.7944000000000009</v>
      </c>
      <c r="BL89" s="209">
        <f t="shared" ca="1" si="269"/>
        <v>263.69279999999998</v>
      </c>
    </row>
    <row r="90" spans="9:64" ht="16">
      <c r="I90" s="344">
        <f t="shared" si="257"/>
        <v>1.8444000000000009</v>
      </c>
      <c r="J90" s="63">
        <f t="shared" ca="1" si="0"/>
        <v>1.9330000000000001</v>
      </c>
      <c r="K90" s="63">
        <f t="shared" ca="1" si="1"/>
        <v>0.46204727824766834</v>
      </c>
      <c r="L90" s="63">
        <f t="shared" ca="1" si="2"/>
        <v>0.23899999999999999</v>
      </c>
      <c r="M90" s="63">
        <f t="shared" ca="1" si="3"/>
        <v>0.23899999999999999</v>
      </c>
      <c r="N90" s="81">
        <f t="shared" ca="1" si="306"/>
        <v>0.17100000000000001</v>
      </c>
      <c r="O90" s="63">
        <f t="shared" ca="1" si="307"/>
        <v>1.9330000000000001</v>
      </c>
      <c r="P90" s="63">
        <f t="shared" ca="1" si="308"/>
        <v>0.36597267404033818</v>
      </c>
      <c r="Q90" s="63">
        <f t="shared" ca="1" si="7"/>
        <v>0.1893</v>
      </c>
      <c r="R90" s="63">
        <f t="shared" ca="1" si="8"/>
        <v>0.1893</v>
      </c>
      <c r="S90" s="81">
        <f t="shared" ca="1" si="309"/>
        <v>8.6999999999999994E-2</v>
      </c>
      <c r="T90" s="63">
        <f t="shared" ca="1" si="310"/>
        <v>2.4</v>
      </c>
      <c r="U90" s="63">
        <f t="shared" ca="1" si="311"/>
        <v>0.62715734114075006</v>
      </c>
      <c r="V90" s="63">
        <f t="shared" ca="1" si="12"/>
        <v>0.26129999999999998</v>
      </c>
      <c r="W90" s="60">
        <f t="shared" ca="1" si="13"/>
        <v>0.26129999999999998</v>
      </c>
      <c r="X90" s="81">
        <f t="shared" ca="1" si="312"/>
        <v>0.187</v>
      </c>
      <c r="Y90" s="334">
        <f t="shared" ca="1" si="62"/>
        <v>0.187</v>
      </c>
      <c r="Z90" s="63">
        <f t="shared" ca="1" si="63"/>
        <v>1.9330000000000001</v>
      </c>
      <c r="AA90" s="63">
        <f t="shared" ca="1" si="64"/>
        <v>0.32000000000000006</v>
      </c>
      <c r="AB90" s="63">
        <f t="shared" ca="1" si="250"/>
        <v>0.16550000000000001</v>
      </c>
      <c r="AC90" s="63">
        <f t="shared" ca="1" si="251"/>
        <v>0.16550000000000001</v>
      </c>
      <c r="AD90" s="81">
        <f t="shared" ca="1" si="65"/>
        <v>0.11799999999999999</v>
      </c>
      <c r="AE90" s="60">
        <f t="shared" ca="1" si="66"/>
        <v>1.9330000000000001</v>
      </c>
      <c r="AF90" s="60">
        <f t="shared" ca="1" si="67"/>
        <v>0.32000000000000006</v>
      </c>
      <c r="AG90" s="63">
        <f t="shared" ca="1" si="252"/>
        <v>0.16550000000000001</v>
      </c>
      <c r="AH90" s="63">
        <f t="shared" ca="1" si="253"/>
        <v>0.16550000000000001</v>
      </c>
      <c r="AI90" s="81">
        <f t="shared" ca="1" si="68"/>
        <v>7.5999999999999998E-2</v>
      </c>
      <c r="AJ90" s="60">
        <f t="shared" ca="1" si="69"/>
        <v>2.4</v>
      </c>
      <c r="AK90" s="60">
        <f t="shared" ca="1" si="70"/>
        <v>0.4</v>
      </c>
      <c r="AL90" s="63">
        <f t="shared" ca="1" si="254"/>
        <v>0.16669999999999999</v>
      </c>
      <c r="AM90" s="60">
        <f t="shared" ca="1" si="255"/>
        <v>0.16669999999999999</v>
      </c>
      <c r="AN90" s="81">
        <f t="shared" ca="1" si="71"/>
        <v>0.11899999999999999</v>
      </c>
      <c r="AO90" s="334">
        <f t="shared" ca="1" si="256"/>
        <v>0.11899999999999999</v>
      </c>
      <c r="AP90" s="344">
        <f t="shared" si="259"/>
        <v>1.6930000000000001</v>
      </c>
      <c r="AQ90" s="340">
        <f t="shared" si="313"/>
        <v>9.2041239001111233E-2</v>
      </c>
      <c r="AR90" s="58">
        <f t="shared" si="73"/>
        <v>9.2041239001111233E-2</v>
      </c>
      <c r="AS90" s="58">
        <f t="shared" ref="AS90:AV109" si="314">$Q$5*AS$41*$Q$15*$AR90*$AH$6</f>
        <v>0.17168682413974784</v>
      </c>
      <c r="AT90" s="58">
        <f t="shared" si="314"/>
        <v>0.12908783769905852</v>
      </c>
      <c r="AU90" s="58">
        <f t="shared" si="314"/>
        <v>0.10327027015924682</v>
      </c>
      <c r="AV90" s="58">
        <f t="shared" si="314"/>
        <v>0.12908783769905852</v>
      </c>
      <c r="AW90" s="58">
        <f t="shared" si="58"/>
        <v>0.43373513466883656</v>
      </c>
      <c r="AX90" s="58">
        <f t="shared" si="249"/>
        <v>0.48433756704686753</v>
      </c>
      <c r="AY90" s="340">
        <f t="shared" si="260"/>
        <v>1.7</v>
      </c>
      <c r="AZ90" s="58">
        <f t="shared" si="261"/>
        <v>1.1968390830562168</v>
      </c>
      <c r="BA90" s="58">
        <f t="shared" si="27"/>
        <v>0.70402299003306867</v>
      </c>
      <c r="BB90" s="58">
        <f t="shared" si="74"/>
        <v>0.70402299003306867</v>
      </c>
      <c r="BC90" s="58">
        <f t="shared" si="262"/>
        <v>0.39495689740855155</v>
      </c>
      <c r="BD90" s="58">
        <f t="shared" si="60"/>
        <v>0.15516163826764526</v>
      </c>
      <c r="BE90" s="58">
        <f t="shared" si="263"/>
        <v>0.39495689740855155</v>
      </c>
      <c r="BF90" s="58">
        <f t="shared" si="61"/>
        <v>0.15516163826764526</v>
      </c>
      <c r="BG90" s="58">
        <f t="shared" ca="1" si="264"/>
        <v>0.32000000000000006</v>
      </c>
      <c r="BH90" s="58">
        <f t="shared" ca="1" si="265"/>
        <v>0.4</v>
      </c>
      <c r="BI90" s="341">
        <f t="shared" ca="1" si="266"/>
        <v>0.11126499999999999</v>
      </c>
      <c r="BJ90" s="64">
        <f t="shared" ca="1" si="267"/>
        <v>0.26179999999999998</v>
      </c>
      <c r="BK90" s="63">
        <f t="shared" si="268"/>
        <v>1.8444000000000009</v>
      </c>
      <c r="BL90" s="209">
        <f t="shared" ca="1" si="269"/>
        <v>256.82579999999996</v>
      </c>
    </row>
    <row r="91" spans="9:64" ht="16">
      <c r="I91" s="344">
        <f t="shared" si="257"/>
        <v>1.894400000000001</v>
      </c>
      <c r="J91" s="63">
        <f t="shared" ca="1" si="0"/>
        <v>1.9330000000000001</v>
      </c>
      <c r="K91" s="63">
        <f t="shared" ca="1" si="1"/>
        <v>0.44985219594594567</v>
      </c>
      <c r="L91" s="63">
        <f t="shared" ca="1" si="2"/>
        <v>0.23269999999999999</v>
      </c>
      <c r="M91" s="63">
        <f t="shared" ca="1" si="3"/>
        <v>0.23269999999999999</v>
      </c>
      <c r="N91" s="81">
        <f t="shared" ca="1" si="306"/>
        <v>0.16600000000000001</v>
      </c>
      <c r="O91" s="63">
        <f t="shared" ca="1" si="307"/>
        <v>1.9330000000000001</v>
      </c>
      <c r="P91" s="63">
        <f t="shared" ca="1" si="308"/>
        <v>0.35631334459459446</v>
      </c>
      <c r="Q91" s="63">
        <f t="shared" ca="1" si="7"/>
        <v>0.18429999999999999</v>
      </c>
      <c r="R91" s="63">
        <f t="shared" ca="1" si="8"/>
        <v>0.18429999999999999</v>
      </c>
      <c r="S91" s="81">
        <f t="shared" ca="1" si="309"/>
        <v>8.5000000000000006E-2</v>
      </c>
      <c r="T91" s="63">
        <f t="shared" ca="1" si="310"/>
        <v>2.4</v>
      </c>
      <c r="U91" s="63">
        <f t="shared" ca="1" si="311"/>
        <v>0.61060441300675639</v>
      </c>
      <c r="V91" s="63">
        <f t="shared" ca="1" si="12"/>
        <v>0.25440000000000002</v>
      </c>
      <c r="W91" s="60">
        <f t="shared" ca="1" si="13"/>
        <v>0.25440000000000002</v>
      </c>
      <c r="X91" s="81">
        <f t="shared" ca="1" si="312"/>
        <v>0.182</v>
      </c>
      <c r="Y91" s="334">
        <f t="shared" ca="1" si="62"/>
        <v>0.182</v>
      </c>
      <c r="Z91" s="63">
        <f t="shared" ca="1" si="63"/>
        <v>1.9330000000000001</v>
      </c>
      <c r="AA91" s="63">
        <f t="shared" ca="1" si="64"/>
        <v>0.32000000000000006</v>
      </c>
      <c r="AB91" s="63">
        <f t="shared" ca="1" si="250"/>
        <v>0.16550000000000001</v>
      </c>
      <c r="AC91" s="63">
        <f t="shared" ca="1" si="251"/>
        <v>0.16550000000000001</v>
      </c>
      <c r="AD91" s="81">
        <f t="shared" ca="1" si="65"/>
        <v>0.11799999999999999</v>
      </c>
      <c r="AE91" s="60">
        <f t="shared" ca="1" si="66"/>
        <v>1.9330000000000001</v>
      </c>
      <c r="AF91" s="60">
        <f t="shared" ca="1" si="67"/>
        <v>0.32000000000000006</v>
      </c>
      <c r="AG91" s="63">
        <f t="shared" ca="1" si="252"/>
        <v>0.16550000000000001</v>
      </c>
      <c r="AH91" s="63">
        <f t="shared" ca="1" si="253"/>
        <v>0.16550000000000001</v>
      </c>
      <c r="AI91" s="81">
        <f t="shared" ca="1" si="68"/>
        <v>7.5999999999999998E-2</v>
      </c>
      <c r="AJ91" s="60">
        <f t="shared" ca="1" si="69"/>
        <v>2.4</v>
      </c>
      <c r="AK91" s="60">
        <f t="shared" ca="1" si="70"/>
        <v>0.4</v>
      </c>
      <c r="AL91" s="63">
        <f t="shared" ca="1" si="254"/>
        <v>0.16669999999999999</v>
      </c>
      <c r="AM91" s="60">
        <f t="shared" ca="1" si="255"/>
        <v>0.16669999999999999</v>
      </c>
      <c r="AN91" s="81">
        <f t="shared" ca="1" si="71"/>
        <v>0.11899999999999999</v>
      </c>
      <c r="AO91" s="334">
        <f t="shared" ca="1" si="256"/>
        <v>0.11899999999999999</v>
      </c>
      <c r="AP91" s="344">
        <f t="shared" si="259"/>
        <v>1.6930000000000001</v>
      </c>
      <c r="AQ91" s="340">
        <f t="shared" si="313"/>
        <v>9.0818467768608788E-2</v>
      </c>
      <c r="AR91" s="58">
        <f t="shared" si="73"/>
        <v>9.0818467768608788E-2</v>
      </c>
      <c r="AS91" s="58">
        <f t="shared" si="314"/>
        <v>0.16940595839048023</v>
      </c>
      <c r="AT91" s="58">
        <f t="shared" si="314"/>
        <v>0.12737290104547383</v>
      </c>
      <c r="AU91" s="58">
        <f t="shared" si="314"/>
        <v>0.10189832083637906</v>
      </c>
      <c r="AV91" s="58">
        <f t="shared" si="314"/>
        <v>0.12737290104547383</v>
      </c>
      <c r="AW91" s="58">
        <f t="shared" si="58"/>
        <v>0.42797294751279208</v>
      </c>
      <c r="AX91" s="58">
        <f t="shared" si="249"/>
        <v>0.47790312472261781</v>
      </c>
      <c r="AY91" s="340">
        <f t="shared" si="260"/>
        <v>1.7</v>
      </c>
      <c r="AZ91" s="58">
        <f t="shared" si="261"/>
        <v>1.1756860949280672</v>
      </c>
      <c r="BA91" s="58">
        <f t="shared" si="27"/>
        <v>0.69158005584003956</v>
      </c>
      <c r="BB91" s="58">
        <f t="shared" si="74"/>
        <v>0.69158005584003956</v>
      </c>
      <c r="BC91" s="58">
        <f t="shared" si="262"/>
        <v>0.3879764113262622</v>
      </c>
      <c r="BD91" s="58">
        <f t="shared" si="60"/>
        <v>0.15241930444960305</v>
      </c>
      <c r="BE91" s="58">
        <f t="shared" si="263"/>
        <v>0.3879764113262622</v>
      </c>
      <c r="BF91" s="58">
        <f t="shared" si="61"/>
        <v>0.15241930444960305</v>
      </c>
      <c r="BG91" s="58">
        <f t="shared" ca="1" si="264"/>
        <v>0.32000000000000006</v>
      </c>
      <c r="BH91" s="58">
        <f t="shared" ca="1" si="265"/>
        <v>0.4</v>
      </c>
      <c r="BI91" s="341">
        <f t="shared" ca="1" si="266"/>
        <v>0.11126499999999999</v>
      </c>
      <c r="BJ91" s="64">
        <f t="shared" ca="1" si="267"/>
        <v>0.25479999999999997</v>
      </c>
      <c r="BK91" s="63">
        <f t="shared" si="268"/>
        <v>1.894400000000001</v>
      </c>
      <c r="BL91" s="209">
        <f t="shared" ca="1" si="269"/>
        <v>249.95879999999997</v>
      </c>
    </row>
    <row r="92" spans="9:64" ht="16">
      <c r="I92" s="344">
        <f t="shared" si="257"/>
        <v>1.944400000000001</v>
      </c>
      <c r="J92" s="63">
        <f t="shared" ca="1" si="0"/>
        <v>1.9330000000000001</v>
      </c>
      <c r="K92" s="63">
        <f t="shared" ca="1" si="1"/>
        <v>0.43828430364122584</v>
      </c>
      <c r="L92" s="63">
        <f t="shared" ca="1" si="2"/>
        <v>0.22670000000000001</v>
      </c>
      <c r="M92" s="63">
        <f t="shared" ca="1" si="3"/>
        <v>0.22670000000000001</v>
      </c>
      <c r="N92" s="81">
        <f t="shared" ca="1" si="306"/>
        <v>0.16200000000000001</v>
      </c>
      <c r="O92" s="63">
        <f t="shared" ca="1" si="307"/>
        <v>1.9330000000000001</v>
      </c>
      <c r="P92" s="63">
        <f t="shared" ca="1" si="308"/>
        <v>0.34715079201810312</v>
      </c>
      <c r="Q92" s="63">
        <f t="shared" ca="1" si="7"/>
        <v>0.17960000000000001</v>
      </c>
      <c r="R92" s="63">
        <f t="shared" ca="1" si="8"/>
        <v>0.17960000000000001</v>
      </c>
      <c r="S92" s="81">
        <f t="shared" ca="1" si="309"/>
        <v>8.3000000000000004E-2</v>
      </c>
      <c r="T92" s="63">
        <f t="shared" ca="1" si="310"/>
        <v>2.4</v>
      </c>
      <c r="U92" s="63">
        <f t="shared" ca="1" si="311"/>
        <v>0.59490279777823452</v>
      </c>
      <c r="V92" s="63">
        <f t="shared" ca="1" si="12"/>
        <v>0.24790000000000001</v>
      </c>
      <c r="W92" s="60">
        <f t="shared" ca="1" si="13"/>
        <v>0.24790000000000001</v>
      </c>
      <c r="X92" s="81">
        <f t="shared" ca="1" si="312"/>
        <v>0.17699999999999999</v>
      </c>
      <c r="Y92" s="334">
        <f t="shared" ca="1" si="62"/>
        <v>0.17699999999999999</v>
      </c>
      <c r="Z92" s="63">
        <f t="shared" ca="1" si="63"/>
        <v>1.9330000000000001</v>
      </c>
      <c r="AA92" s="63">
        <f t="shared" ca="1" si="64"/>
        <v>0.32000000000000006</v>
      </c>
      <c r="AB92" s="63">
        <f t="shared" ca="1" si="250"/>
        <v>0.16550000000000001</v>
      </c>
      <c r="AC92" s="63">
        <f t="shared" ca="1" si="251"/>
        <v>0.16550000000000001</v>
      </c>
      <c r="AD92" s="81">
        <f t="shared" ca="1" si="65"/>
        <v>0.11799999999999999</v>
      </c>
      <c r="AE92" s="60">
        <f t="shared" ca="1" si="66"/>
        <v>1.9330000000000001</v>
      </c>
      <c r="AF92" s="60">
        <f t="shared" ca="1" si="67"/>
        <v>0.32000000000000006</v>
      </c>
      <c r="AG92" s="63">
        <f t="shared" ca="1" si="252"/>
        <v>0.16550000000000001</v>
      </c>
      <c r="AH92" s="63">
        <f t="shared" ca="1" si="253"/>
        <v>0.16550000000000001</v>
      </c>
      <c r="AI92" s="81">
        <f t="shared" ca="1" si="68"/>
        <v>7.5999999999999998E-2</v>
      </c>
      <c r="AJ92" s="60">
        <f t="shared" ca="1" si="69"/>
        <v>2.4</v>
      </c>
      <c r="AK92" s="60">
        <f t="shared" ca="1" si="70"/>
        <v>0.4</v>
      </c>
      <c r="AL92" s="63">
        <f t="shared" ca="1" si="254"/>
        <v>0.16669999999999999</v>
      </c>
      <c r="AM92" s="60">
        <f t="shared" ca="1" si="255"/>
        <v>0.16669999999999999</v>
      </c>
      <c r="AN92" s="81">
        <f t="shared" ca="1" si="71"/>
        <v>0.11899999999999999</v>
      </c>
      <c r="AO92" s="334">
        <f t="shared" ca="1" si="256"/>
        <v>0.11899999999999999</v>
      </c>
      <c r="AP92" s="344">
        <f t="shared" si="259"/>
        <v>1.6930000000000001</v>
      </c>
      <c r="AQ92" s="340">
        <f t="shared" si="313"/>
        <v>8.9643170199307523E-2</v>
      </c>
      <c r="AR92" s="58">
        <f t="shared" si="73"/>
        <v>8.9643170199307523E-2</v>
      </c>
      <c r="AS92" s="58">
        <f t="shared" si="314"/>
        <v>0.16721364645202333</v>
      </c>
      <c r="AT92" s="58">
        <f t="shared" si="314"/>
        <v>0.1257245462045288</v>
      </c>
      <c r="AU92" s="58">
        <f t="shared" si="314"/>
        <v>0.10057963696362306</v>
      </c>
      <c r="AV92" s="58">
        <f t="shared" si="314"/>
        <v>0.1257245462045288</v>
      </c>
      <c r="AW92" s="58">
        <f t="shared" si="58"/>
        <v>0.42243447524721678</v>
      </c>
      <c r="AX92" s="58">
        <f t="shared" si="249"/>
        <v>0.47171849735939209</v>
      </c>
      <c r="AY92" s="340">
        <f t="shared" si="260"/>
        <v>1.7</v>
      </c>
      <c r="AZ92" s="58">
        <f t="shared" si="261"/>
        <v>1.1554436322837542</v>
      </c>
      <c r="BA92" s="58">
        <f t="shared" si="27"/>
        <v>0.67967272487279662</v>
      </c>
      <c r="BB92" s="58">
        <f t="shared" si="74"/>
        <v>0.67967272487279662</v>
      </c>
      <c r="BC92" s="58">
        <f t="shared" si="262"/>
        <v>0.3812963986536389</v>
      </c>
      <c r="BD92" s="58">
        <f t="shared" si="60"/>
        <v>0.14979501375678675</v>
      </c>
      <c r="BE92" s="58">
        <f t="shared" si="263"/>
        <v>0.3812963986536389</v>
      </c>
      <c r="BF92" s="58">
        <f t="shared" si="61"/>
        <v>0.14979501375678675</v>
      </c>
      <c r="BG92" s="58">
        <f t="shared" ca="1" si="264"/>
        <v>0.32000000000000006</v>
      </c>
      <c r="BH92" s="58">
        <f t="shared" ca="1" si="265"/>
        <v>0.4</v>
      </c>
      <c r="BI92" s="341">
        <f t="shared" ca="1" si="266"/>
        <v>0.11126499999999999</v>
      </c>
      <c r="BJ92" s="64">
        <f t="shared" ca="1" si="267"/>
        <v>0.24779999999999996</v>
      </c>
      <c r="BK92" s="63">
        <f t="shared" si="268"/>
        <v>1.944400000000001</v>
      </c>
      <c r="BL92" s="209">
        <f t="shared" ca="1" si="269"/>
        <v>243.09179999999998</v>
      </c>
    </row>
    <row r="93" spans="9:64" ht="16">
      <c r="I93" s="344">
        <f t="shared" si="257"/>
        <v>1.9944000000000011</v>
      </c>
      <c r="J93" s="63">
        <f t="shared" ca="1" si="0"/>
        <v>1.9330000000000001</v>
      </c>
      <c r="K93" s="63">
        <f t="shared" ca="1" si="1"/>
        <v>0.42729643000401096</v>
      </c>
      <c r="L93" s="63">
        <f t="shared" ca="1" si="2"/>
        <v>0.22109999999999999</v>
      </c>
      <c r="M93" s="63">
        <f t="shared" ca="1" si="3"/>
        <v>0.22109999999999999</v>
      </c>
      <c r="N93" s="81">
        <f t="shared" ca="1" si="306"/>
        <v>0.158</v>
      </c>
      <c r="O93" s="63">
        <f t="shared" ca="1" si="307"/>
        <v>1.9330000000000001</v>
      </c>
      <c r="P93" s="63">
        <f t="shared" ca="1" si="308"/>
        <v>0.33844765342960276</v>
      </c>
      <c r="Q93" s="63">
        <f t="shared" ca="1" si="7"/>
        <v>0.17510000000000001</v>
      </c>
      <c r="R93" s="63">
        <f t="shared" ca="1" si="8"/>
        <v>0.17510000000000001</v>
      </c>
      <c r="S93" s="81">
        <f t="shared" ca="1" si="309"/>
        <v>8.1000000000000003E-2</v>
      </c>
      <c r="T93" s="63">
        <f t="shared" ca="1" si="310"/>
        <v>2.4</v>
      </c>
      <c r="U93" s="63">
        <f t="shared" ca="1" si="311"/>
        <v>0.57998846770958645</v>
      </c>
      <c r="V93" s="63">
        <f t="shared" ca="1" si="12"/>
        <v>0.2417</v>
      </c>
      <c r="W93" s="60">
        <f t="shared" ca="1" si="13"/>
        <v>0.2417</v>
      </c>
      <c r="X93" s="81">
        <f t="shared" ca="1" si="312"/>
        <v>0.17299999999999999</v>
      </c>
      <c r="Y93" s="334">
        <f t="shared" ca="1" si="62"/>
        <v>0.17299999999999999</v>
      </c>
      <c r="Z93" s="63">
        <f t="shared" ca="1" si="63"/>
        <v>1.9330000000000001</v>
      </c>
      <c r="AA93" s="63">
        <f t="shared" ca="1" si="64"/>
        <v>0.32000000000000006</v>
      </c>
      <c r="AB93" s="63">
        <f t="shared" ca="1" si="250"/>
        <v>0.16550000000000001</v>
      </c>
      <c r="AC93" s="63">
        <f t="shared" ca="1" si="251"/>
        <v>0.16550000000000001</v>
      </c>
      <c r="AD93" s="81">
        <f t="shared" ca="1" si="65"/>
        <v>0.11799999999999999</v>
      </c>
      <c r="AE93" s="60">
        <f t="shared" ca="1" si="66"/>
        <v>1.9330000000000001</v>
      </c>
      <c r="AF93" s="60">
        <f t="shared" ca="1" si="67"/>
        <v>0.32000000000000006</v>
      </c>
      <c r="AG93" s="63">
        <f t="shared" ca="1" si="252"/>
        <v>0.16550000000000001</v>
      </c>
      <c r="AH93" s="63">
        <f t="shared" ca="1" si="253"/>
        <v>0.16550000000000001</v>
      </c>
      <c r="AI93" s="81">
        <f t="shared" ca="1" si="68"/>
        <v>7.5999999999999998E-2</v>
      </c>
      <c r="AJ93" s="60">
        <f t="shared" ca="1" si="69"/>
        <v>2.4</v>
      </c>
      <c r="AK93" s="60">
        <f t="shared" ca="1" si="70"/>
        <v>0.4</v>
      </c>
      <c r="AL93" s="63">
        <f t="shared" ca="1" si="254"/>
        <v>0.16669999999999999</v>
      </c>
      <c r="AM93" s="60">
        <f t="shared" ca="1" si="255"/>
        <v>0.16669999999999999</v>
      </c>
      <c r="AN93" s="81">
        <f t="shared" ca="1" si="71"/>
        <v>0.11899999999999999</v>
      </c>
      <c r="AO93" s="334">
        <f t="shared" ca="1" si="256"/>
        <v>0.11899999999999999</v>
      </c>
      <c r="AP93" s="344">
        <f t="shared" si="259"/>
        <v>1.6930000000000001</v>
      </c>
      <c r="AQ93" s="340">
        <f t="shared" si="313"/>
        <v>8.8512351804601513E-2</v>
      </c>
      <c r="AR93" s="58">
        <f t="shared" si="73"/>
        <v>8.8512351804601513E-2</v>
      </c>
      <c r="AS93" s="58">
        <f t="shared" si="314"/>
        <v>0.16510430262991835</v>
      </c>
      <c r="AT93" s="58">
        <f t="shared" si="314"/>
        <v>0.12413857340595363</v>
      </c>
      <c r="AU93" s="58">
        <f t="shared" si="314"/>
        <v>9.9310858724762904E-2</v>
      </c>
      <c r="AV93" s="58">
        <f t="shared" si="314"/>
        <v>0.12413857340595363</v>
      </c>
      <c r="AW93" s="58">
        <f t="shared" si="58"/>
        <v>0.41710560664400415</v>
      </c>
      <c r="AX93" s="58">
        <f t="shared" si="249"/>
        <v>0.46576792741913797</v>
      </c>
      <c r="AY93" s="340">
        <f t="shared" si="260"/>
        <v>1.7</v>
      </c>
      <c r="AZ93" s="58">
        <f t="shared" si="261"/>
        <v>1.1360505634837073</v>
      </c>
      <c r="BA93" s="58">
        <f t="shared" si="27"/>
        <v>0.66826503734335718</v>
      </c>
      <c r="BB93" s="58">
        <f t="shared" si="74"/>
        <v>0.66826503734335718</v>
      </c>
      <c r="BC93" s="58">
        <f t="shared" si="262"/>
        <v>0.37489668594962339</v>
      </c>
      <c r="BD93" s="58">
        <f t="shared" si="60"/>
        <v>0.14728084090878066</v>
      </c>
      <c r="BE93" s="58">
        <f t="shared" si="263"/>
        <v>0.37489668594962339</v>
      </c>
      <c r="BF93" s="58">
        <f t="shared" si="61"/>
        <v>0.14728084090878066</v>
      </c>
      <c r="BG93" s="58">
        <f t="shared" ca="1" si="264"/>
        <v>0.32000000000000006</v>
      </c>
      <c r="BH93" s="58">
        <f t="shared" ca="1" si="265"/>
        <v>0.4</v>
      </c>
      <c r="BI93" s="341">
        <f t="shared" ca="1" si="266"/>
        <v>0.11126499999999999</v>
      </c>
      <c r="BJ93" s="64">
        <f t="shared" ca="1" si="267"/>
        <v>0.24219999999999997</v>
      </c>
      <c r="BK93" s="63">
        <f t="shared" si="268"/>
        <v>1.9944000000000011</v>
      </c>
      <c r="BL93" s="209">
        <f t="shared" ca="1" si="269"/>
        <v>237.59819999999996</v>
      </c>
    </row>
    <row r="94" spans="9:64" ht="16">
      <c r="I94" s="344">
        <f t="shared" si="257"/>
        <v>2.0444000000000009</v>
      </c>
      <c r="J94" s="63">
        <f t="shared" ca="1" si="0"/>
        <v>1.9330000000000001</v>
      </c>
      <c r="K94" s="63">
        <f t="shared" ca="1" si="1"/>
        <v>0.41684601839170399</v>
      </c>
      <c r="L94" s="63">
        <f t="shared" ca="1" si="2"/>
        <v>0.21560000000000001</v>
      </c>
      <c r="M94" s="63">
        <f t="shared" ca="1" si="3"/>
        <v>0.21560000000000001</v>
      </c>
      <c r="N94" s="81">
        <f t="shared" ca="1" si="306"/>
        <v>0.154</v>
      </c>
      <c r="O94" s="63">
        <f t="shared" ca="1" si="307"/>
        <v>1.9330000000000001</v>
      </c>
      <c r="P94" s="63">
        <f t="shared" ca="1" si="308"/>
        <v>0.33017022109176275</v>
      </c>
      <c r="Q94" s="63">
        <f t="shared" ca="1" si="7"/>
        <v>0.17080000000000001</v>
      </c>
      <c r="R94" s="63">
        <f t="shared" ca="1" si="8"/>
        <v>0.17080000000000001</v>
      </c>
      <c r="S94" s="81">
        <f t="shared" ca="1" si="309"/>
        <v>7.9000000000000001E-2</v>
      </c>
      <c r="T94" s="63">
        <f t="shared" ca="1" si="310"/>
        <v>2.4</v>
      </c>
      <c r="U94" s="63">
        <f t="shared" ca="1" si="311"/>
        <v>0.56580365877519045</v>
      </c>
      <c r="V94" s="63">
        <f t="shared" ca="1" si="12"/>
        <v>0.23580000000000001</v>
      </c>
      <c r="W94" s="60">
        <f t="shared" ca="1" si="13"/>
        <v>0.23580000000000001</v>
      </c>
      <c r="X94" s="81">
        <f t="shared" ca="1" si="312"/>
        <v>0.16800000000000001</v>
      </c>
      <c r="Y94" s="334">
        <f t="shared" ca="1" si="62"/>
        <v>0.16800000000000001</v>
      </c>
      <c r="Z94" s="63">
        <f t="shared" ca="1" si="63"/>
        <v>1.9330000000000001</v>
      </c>
      <c r="AA94" s="63">
        <f t="shared" ca="1" si="64"/>
        <v>0.32000000000000006</v>
      </c>
      <c r="AB94" s="63">
        <f t="shared" ca="1" si="250"/>
        <v>0.16550000000000001</v>
      </c>
      <c r="AC94" s="63">
        <f t="shared" ca="1" si="251"/>
        <v>0.16550000000000001</v>
      </c>
      <c r="AD94" s="81">
        <f t="shared" ca="1" si="65"/>
        <v>0.11799999999999999</v>
      </c>
      <c r="AE94" s="60">
        <f t="shared" ca="1" si="66"/>
        <v>1.9330000000000001</v>
      </c>
      <c r="AF94" s="60">
        <f t="shared" ca="1" si="67"/>
        <v>0.32000000000000006</v>
      </c>
      <c r="AG94" s="63">
        <f t="shared" ca="1" si="252"/>
        <v>0.16550000000000001</v>
      </c>
      <c r="AH94" s="63">
        <f t="shared" ca="1" si="253"/>
        <v>0.16550000000000001</v>
      </c>
      <c r="AI94" s="81">
        <f t="shared" ca="1" si="68"/>
        <v>7.5999999999999998E-2</v>
      </c>
      <c r="AJ94" s="60">
        <f t="shared" ca="1" si="69"/>
        <v>2.4</v>
      </c>
      <c r="AK94" s="60">
        <f t="shared" ca="1" si="70"/>
        <v>0.4</v>
      </c>
      <c r="AL94" s="63">
        <f t="shared" ca="1" si="254"/>
        <v>0.16669999999999999</v>
      </c>
      <c r="AM94" s="60">
        <f t="shared" ca="1" si="255"/>
        <v>0.16669999999999999</v>
      </c>
      <c r="AN94" s="81">
        <f t="shared" ca="1" si="71"/>
        <v>0.11899999999999999</v>
      </c>
      <c r="AO94" s="334">
        <f t="shared" ca="1" si="256"/>
        <v>0.11899999999999999</v>
      </c>
      <c r="AP94" s="344">
        <f t="shared" si="259"/>
        <v>1.6930000000000001</v>
      </c>
      <c r="AQ94" s="340">
        <f t="shared" si="313"/>
        <v>8.7423276030694205E-2</v>
      </c>
      <c r="AR94" s="58">
        <f t="shared" si="73"/>
        <v>8.7423276030694205E-2</v>
      </c>
      <c r="AS94" s="58">
        <f t="shared" si="314"/>
        <v>0.16307282236195469</v>
      </c>
      <c r="AT94" s="58">
        <f t="shared" si="314"/>
        <v>0.12261114463304863</v>
      </c>
      <c r="AU94" s="58">
        <f t="shared" si="314"/>
        <v>9.8088915706438906E-2</v>
      </c>
      <c r="AV94" s="58">
        <f t="shared" si="314"/>
        <v>0.12261114463304863</v>
      </c>
      <c r="AW94" s="58">
        <f t="shared" si="58"/>
        <v>0.41197344596704338</v>
      </c>
      <c r="AX94" s="58">
        <f t="shared" si="249"/>
        <v>0.46003701466319846</v>
      </c>
      <c r="AY94" s="340">
        <f t="shared" si="260"/>
        <v>1.7</v>
      </c>
      <c r="AZ94" s="58">
        <f t="shared" si="261"/>
        <v>1.1174512618090486</v>
      </c>
      <c r="BA94" s="58">
        <f t="shared" si="27"/>
        <v>0.65732427165238161</v>
      </c>
      <c r="BB94" s="58">
        <f t="shared" si="74"/>
        <v>0.65732427165238161</v>
      </c>
      <c r="BC94" s="58">
        <f t="shared" si="262"/>
        <v>0.36875891639698605</v>
      </c>
      <c r="BD94" s="58">
        <f t="shared" si="60"/>
        <v>0.14486957429881597</v>
      </c>
      <c r="BE94" s="58">
        <f t="shared" si="263"/>
        <v>0.36875891639698605</v>
      </c>
      <c r="BF94" s="58">
        <f t="shared" si="61"/>
        <v>0.14486957429881597</v>
      </c>
      <c r="BG94" s="58">
        <f t="shared" ca="1" si="264"/>
        <v>0.32000000000000006</v>
      </c>
      <c r="BH94" s="58">
        <f t="shared" ca="1" si="265"/>
        <v>0.4</v>
      </c>
      <c r="BI94" s="341">
        <f t="shared" ca="1" si="266"/>
        <v>0.11126499999999999</v>
      </c>
      <c r="BJ94" s="64">
        <f t="shared" ca="1" si="267"/>
        <v>0.23519999999999999</v>
      </c>
      <c r="BK94" s="63">
        <f t="shared" si="268"/>
        <v>2.0444000000000009</v>
      </c>
      <c r="BL94" s="209">
        <f t="shared" ca="1" si="269"/>
        <v>230.7312</v>
      </c>
    </row>
    <row r="95" spans="9:64" ht="16">
      <c r="I95" s="344">
        <f t="shared" si="257"/>
        <v>2.0944000000000007</v>
      </c>
      <c r="J95" s="63">
        <f t="shared" ref="J95:J102" ca="1" si="315">ROUND(IF($I95&gt;=D$17,D$12,IF($I95&gt;=F$17,D$13+(D$12-D$13)*($I95-0.6*D$17)/0.4/D$17,IF($I95&lt;E$17,D$13+(D$13-1)*($I95-E$17)/E$17,D$13))),3)</f>
        <v>1.9330000000000001</v>
      </c>
      <c r="K95" s="63">
        <f t="shared" ref="K95:K102" ca="1" si="316">IF($I95&lt;E$17,ROUND(B$17*(0.4+3*$I95/D$17),3),IF($I95&lt;=D$17,B$17,IF($I95&lt;=2.5*D$17,C$17/$I95,0.4*B$17)))</f>
        <v>0.4068945760122229</v>
      </c>
      <c r="L95" s="63">
        <f ca="1">ROUND(K95/J95,4)</f>
        <v>0.21049999999999999</v>
      </c>
      <c r="M95" s="63">
        <f ca="1">IF(L95&lt;=0.3,L95,IF(L95&lt;0.8,ROUND(0.52*L95+0.144,3),0.7*L95))</f>
        <v>0.21049999999999999</v>
      </c>
      <c r="N95" s="81">
        <f t="shared" ca="1" si="306"/>
        <v>0.15</v>
      </c>
      <c r="O95" s="63">
        <f t="shared" ca="1" si="307"/>
        <v>1.9330000000000001</v>
      </c>
      <c r="P95" s="63">
        <f t="shared" ca="1" si="308"/>
        <v>0.32228800611153546</v>
      </c>
      <c r="Q95" s="63">
        <f ca="1">ROUND(P95/O95,4)</f>
        <v>0.16669999999999999</v>
      </c>
      <c r="R95" s="63">
        <f ca="1">IF(Q95&lt;=0.3,Q95,IF(Q95&lt;0.8,ROUND(0.52*Q95+0.144,3),0.7*Q95))</f>
        <v>0.16669999999999999</v>
      </c>
      <c r="S95" s="81">
        <f t="shared" ca="1" si="309"/>
        <v>7.6999999999999999E-2</v>
      </c>
      <c r="T95" s="63">
        <f t="shared" ca="1" si="310"/>
        <v>2.4</v>
      </c>
      <c r="U95" s="63">
        <f t="shared" ca="1" si="311"/>
        <v>0.55229612299465214</v>
      </c>
      <c r="V95" s="63">
        <f ca="1">ROUND(U95/T95,4)</f>
        <v>0.2301</v>
      </c>
      <c r="W95" s="60">
        <f ca="1">IF(V95&lt;=0.3,V95,IF(V95&lt;0.8,ROUND(0.52*V95+0.144,3),0.7*V95))</f>
        <v>0.2301</v>
      </c>
      <c r="X95" s="81">
        <f t="shared" ca="1" si="312"/>
        <v>0.16400000000000001</v>
      </c>
      <c r="Y95" s="334">
        <f ca="1">MAX(X95,S95,N95)</f>
        <v>0.16400000000000001</v>
      </c>
      <c r="Z95" s="63">
        <f t="shared" ca="1" si="63"/>
        <v>1.9330000000000001</v>
      </c>
      <c r="AA95" s="63">
        <f t="shared" ca="1" si="64"/>
        <v>0.32000000000000006</v>
      </c>
      <c r="AB95" s="63">
        <f ca="1">ROUND(AA95/Z95,4)</f>
        <v>0.16550000000000001</v>
      </c>
      <c r="AC95" s="63">
        <f ca="1">IF(AB95&lt;=0.3,AB95,IF(AB95&lt;0.8,ROUND(0.52*AB95+0.144,3),0.7*AB95))</f>
        <v>0.16550000000000001</v>
      </c>
      <c r="AD95" s="81">
        <f t="shared" ca="1" si="65"/>
        <v>0.11799999999999999</v>
      </c>
      <c r="AE95" s="60">
        <f t="shared" ca="1" si="66"/>
        <v>1.9330000000000001</v>
      </c>
      <c r="AF95" s="60">
        <f t="shared" ca="1" si="67"/>
        <v>0.32000000000000006</v>
      </c>
      <c r="AG95" s="63">
        <f ca="1">ROUND(AF95/AE95,4)</f>
        <v>0.16550000000000001</v>
      </c>
      <c r="AH95" s="63">
        <f ca="1">IF(AG95&lt;=0.3,AG95,IF(AG95&lt;0.8,ROUND(0.52*AG95+0.144,3),0.7*AG95))</f>
        <v>0.16550000000000001</v>
      </c>
      <c r="AI95" s="81">
        <f t="shared" ca="1" si="68"/>
        <v>7.5999999999999998E-2</v>
      </c>
      <c r="AJ95" s="60">
        <f t="shared" ca="1" si="69"/>
        <v>2.4</v>
      </c>
      <c r="AK95" s="60">
        <f t="shared" ca="1" si="70"/>
        <v>0.4</v>
      </c>
      <c r="AL95" s="63">
        <f ca="1">ROUND(AK95/AJ95,4)</f>
        <v>0.16669999999999999</v>
      </c>
      <c r="AM95" s="60">
        <f ca="1">IF(AL95&lt;=0.3,AL95,IF(AL95&lt;0.8,ROUND(0.52*AL95+0.144,3),0.7*AL95))</f>
        <v>0.16669999999999999</v>
      </c>
      <c r="AN95" s="81">
        <f t="shared" ca="1" si="71"/>
        <v>0.11899999999999999</v>
      </c>
      <c r="AO95" s="334">
        <f ca="1">MAX(AN95,AI95,AD95)</f>
        <v>0.11899999999999999</v>
      </c>
      <c r="AP95" s="344">
        <f t="shared" si="259"/>
        <v>1.6930000000000001</v>
      </c>
      <c r="AQ95" s="340">
        <f t="shared" si="313"/>
        <v>8.6373436378559681E-2</v>
      </c>
      <c r="AR95" s="58">
        <f>IF(AQ95&gt;0.15,0.15,IF(AQ95&lt;0.0625,0.0625,AQ95))</f>
        <v>8.6373436378559681E-2</v>
      </c>
      <c r="AS95" s="58">
        <f t="shared" si="314"/>
        <v>0.16111453021283687</v>
      </c>
      <c r="AT95" s="58">
        <f t="shared" si="314"/>
        <v>0.12113874452092996</v>
      </c>
      <c r="AU95" s="58">
        <f t="shared" si="314"/>
        <v>9.6910995616743961E-2</v>
      </c>
      <c r="AV95" s="58">
        <f t="shared" si="314"/>
        <v>0.12113874452092996</v>
      </c>
      <c r="AW95" s="58">
        <f t="shared" si="58"/>
        <v>0.40702618159032461</v>
      </c>
      <c r="AX95" s="58">
        <f t="shared" si="249"/>
        <v>0.45451256944252921</v>
      </c>
      <c r="AY95" s="340">
        <f t="shared" si="260"/>
        <v>1.7</v>
      </c>
      <c r="AZ95" s="58">
        <f t="shared" si="261"/>
        <v>1.0995949896592734</v>
      </c>
      <c r="BA95" s="58">
        <f>AZ95/AY95</f>
        <v>0.64682058215251381</v>
      </c>
      <c r="BB95" s="58">
        <f>IF(BA95&gt;1,1,BA95)</f>
        <v>0.64682058215251381</v>
      </c>
      <c r="BC95" s="58">
        <f t="shared" si="262"/>
        <v>0.36286634658756023</v>
      </c>
      <c r="BD95" s="58">
        <f t="shared" si="60"/>
        <v>0.1425546361593987</v>
      </c>
      <c r="BE95" s="58">
        <f t="shared" si="263"/>
        <v>0.36286634658756023</v>
      </c>
      <c r="BF95" s="58">
        <f t="shared" si="61"/>
        <v>0.1425546361593987</v>
      </c>
      <c r="BG95" s="58">
        <f t="shared" ca="1" si="264"/>
        <v>0.32000000000000006</v>
      </c>
      <c r="BH95" s="58">
        <f t="shared" ca="1" si="265"/>
        <v>0.4</v>
      </c>
      <c r="BI95" s="341">
        <f t="shared" ca="1" si="266"/>
        <v>0.11126499999999999</v>
      </c>
      <c r="BJ95" s="64">
        <f t="shared" ca="1" si="267"/>
        <v>0.2296</v>
      </c>
      <c r="BK95" s="63">
        <f t="shared" si="268"/>
        <v>2.0944000000000007</v>
      </c>
      <c r="BL95" s="209">
        <f t="shared" ca="1" si="269"/>
        <v>225.23759999999999</v>
      </c>
    </row>
    <row r="96" spans="9:64" ht="16">
      <c r="I96" s="344">
        <f t="shared" si="257"/>
        <v>2.1444000000000005</v>
      </c>
      <c r="J96" s="63">
        <f t="shared" ca="1" si="315"/>
        <v>1.9330000000000001</v>
      </c>
      <c r="K96" s="63">
        <f t="shared" ca="1" si="316"/>
        <v>0.39740720014922576</v>
      </c>
      <c r="L96" s="63">
        <f ca="1">ROUND(K96/J96,4)</f>
        <v>0.2056</v>
      </c>
      <c r="M96" s="63">
        <f ca="1">IF(L96&lt;=0.3,L96,IF(L96&lt;0.8,ROUND(0.52*L96+0.144,3),0.7*L96))</f>
        <v>0.2056</v>
      </c>
      <c r="N96" s="81">
        <f t="shared" ca="1" si="306"/>
        <v>0.14699999999999999</v>
      </c>
      <c r="O96" s="63">
        <f t="shared" ca="1" si="307"/>
        <v>1.9330000000000001</v>
      </c>
      <c r="P96" s="63">
        <f t="shared" ca="1" si="308"/>
        <v>0.32000000000000006</v>
      </c>
      <c r="Q96" s="63">
        <f ca="1">ROUND(P96/O96,4)</f>
        <v>0.16550000000000001</v>
      </c>
      <c r="R96" s="63">
        <f ca="1">IF(Q96&lt;=0.3,Q96,IF(Q96&lt;0.8,ROUND(0.52*Q96+0.144,3),0.7*Q96))</f>
        <v>0.16550000000000001</v>
      </c>
      <c r="S96" s="81">
        <f t="shared" ca="1" si="309"/>
        <v>7.5999999999999998E-2</v>
      </c>
      <c r="T96" s="63">
        <f t="shared" ca="1" si="310"/>
        <v>2.4</v>
      </c>
      <c r="U96" s="63">
        <f t="shared" ca="1" si="311"/>
        <v>0.53941848535720927</v>
      </c>
      <c r="V96" s="63">
        <f ca="1">ROUND(U96/T96,4)</f>
        <v>0.2248</v>
      </c>
      <c r="W96" s="60">
        <f ca="1">IF(V96&lt;=0.3,V96,IF(V96&lt;0.8,ROUND(0.52*V96+0.144,3),0.7*V96))</f>
        <v>0.2248</v>
      </c>
      <c r="X96" s="81">
        <f t="shared" ca="1" si="312"/>
        <v>0.161</v>
      </c>
      <c r="Y96" s="334">
        <f ca="1">MAX(X96,S96,N96)</f>
        <v>0.161</v>
      </c>
      <c r="Z96" s="63">
        <f t="shared" ca="1" si="63"/>
        <v>1.9330000000000001</v>
      </c>
      <c r="AA96" s="63">
        <f t="shared" ca="1" si="64"/>
        <v>0.32000000000000006</v>
      </c>
      <c r="AB96" s="63">
        <f ca="1">ROUND(AA96/Z96,4)</f>
        <v>0.16550000000000001</v>
      </c>
      <c r="AC96" s="63">
        <f ca="1">IF(AB96&lt;=0.3,AB96,IF(AB96&lt;0.8,ROUND(0.52*AB96+0.144,3),0.7*AB96))</f>
        <v>0.16550000000000001</v>
      </c>
      <c r="AD96" s="81">
        <f t="shared" ca="1" si="65"/>
        <v>0.11799999999999999</v>
      </c>
      <c r="AE96" s="60">
        <f t="shared" ca="1" si="66"/>
        <v>1.9330000000000001</v>
      </c>
      <c r="AF96" s="60">
        <f t="shared" ca="1" si="67"/>
        <v>0.32000000000000006</v>
      </c>
      <c r="AG96" s="63">
        <f ca="1">ROUND(AF96/AE96,4)</f>
        <v>0.16550000000000001</v>
      </c>
      <c r="AH96" s="63">
        <f ca="1">IF(AG96&lt;=0.3,AG96,IF(AG96&lt;0.8,ROUND(0.52*AG96+0.144,3),0.7*AG96))</f>
        <v>0.16550000000000001</v>
      </c>
      <c r="AI96" s="81">
        <f t="shared" ca="1" si="68"/>
        <v>7.5999999999999998E-2</v>
      </c>
      <c r="AJ96" s="60">
        <f t="shared" ca="1" si="69"/>
        <v>2.4</v>
      </c>
      <c r="AK96" s="60">
        <f t="shared" ca="1" si="70"/>
        <v>0.4</v>
      </c>
      <c r="AL96" s="63">
        <f ca="1">ROUND(AK96/AJ96,4)</f>
        <v>0.16669999999999999</v>
      </c>
      <c r="AM96" s="60">
        <f ca="1">IF(AL96&lt;=0.3,AL96,IF(AL96&lt;0.8,ROUND(0.52*AL96+0.144,3),0.7*AL96))</f>
        <v>0.16669999999999999</v>
      </c>
      <c r="AN96" s="81">
        <f t="shared" ca="1" si="71"/>
        <v>0.11899999999999999</v>
      </c>
      <c r="AO96" s="334">
        <f ca="1">MAX(AN96,AI96,AD96)</f>
        <v>0.11899999999999999</v>
      </c>
      <c r="AP96" s="344">
        <f t="shared" si="259"/>
        <v>1.6930000000000001</v>
      </c>
      <c r="AQ96" s="340">
        <f t="shared" si="313"/>
        <v>8.5360532120805244E-2</v>
      </c>
      <c r="AR96" s="58">
        <f>IF(AQ96&gt;0.15,0.15,IF(AQ96&lt;0.0625,0.0625,AQ96))</f>
        <v>8.5360532120805244E-2</v>
      </c>
      <c r="AS96" s="58">
        <f t="shared" si="314"/>
        <v>0.15922513457824106</v>
      </c>
      <c r="AT96" s="58">
        <f t="shared" si="314"/>
        <v>0.11971814629942937</v>
      </c>
      <c r="AU96" s="58">
        <f t="shared" si="314"/>
        <v>9.5774517039543497E-2</v>
      </c>
      <c r="AV96" s="58">
        <f t="shared" si="314"/>
        <v>0.11971814629942937</v>
      </c>
      <c r="AW96" s="58">
        <f t="shared" si="58"/>
        <v>0.40225297156608264</v>
      </c>
      <c r="AX96" s="58">
        <f t="shared" si="249"/>
        <v>0.44918248491545898</v>
      </c>
      <c r="AY96" s="340">
        <f t="shared" si="260"/>
        <v>1.7</v>
      </c>
      <c r="AZ96" s="58">
        <f t="shared" si="261"/>
        <v>1.0824353644404128</v>
      </c>
      <c r="BA96" s="58">
        <f>AZ96/AY96</f>
        <v>0.63672668496494866</v>
      </c>
      <c r="BB96" s="58">
        <f>IF(BA96&gt;1,1,BA96)</f>
        <v>0.63672668496494866</v>
      </c>
      <c r="BC96" s="58">
        <f t="shared" si="262"/>
        <v>0.35720367026533623</v>
      </c>
      <c r="BD96" s="58">
        <f t="shared" si="60"/>
        <v>0.14033001331852496</v>
      </c>
      <c r="BE96" s="58">
        <f t="shared" si="263"/>
        <v>0.35720367026533623</v>
      </c>
      <c r="BF96" s="58">
        <f t="shared" si="61"/>
        <v>0.14033001331852496</v>
      </c>
      <c r="BG96" s="58">
        <f t="shared" ca="1" si="264"/>
        <v>0.32000000000000006</v>
      </c>
      <c r="BH96" s="58">
        <f t="shared" ca="1" si="265"/>
        <v>0.4</v>
      </c>
      <c r="BI96" s="341">
        <f t="shared" ca="1" si="266"/>
        <v>0.11126499999999999</v>
      </c>
      <c r="BJ96" s="64">
        <f t="shared" ca="1" si="267"/>
        <v>0.22539999999999999</v>
      </c>
      <c r="BK96" s="63">
        <f t="shared" si="268"/>
        <v>2.1444000000000005</v>
      </c>
      <c r="BL96" s="209">
        <f t="shared" ca="1" si="269"/>
        <v>221.1174</v>
      </c>
    </row>
    <row r="97" spans="9:64" ht="16">
      <c r="I97" s="344">
        <f t="shared" si="257"/>
        <v>2.1944000000000004</v>
      </c>
      <c r="J97" s="63">
        <f t="shared" ca="1" si="315"/>
        <v>1.9330000000000001</v>
      </c>
      <c r="K97" s="63">
        <f t="shared" ca="1" si="316"/>
        <v>0.39</v>
      </c>
      <c r="L97" s="63">
        <f ca="1">ROUND(K97/J97,4)</f>
        <v>0.20180000000000001</v>
      </c>
      <c r="M97" s="63">
        <f ca="1">IF(L97&lt;=0.3,L97,IF(L97&lt;0.8,ROUND(0.52*L97+0.144,3),0.7*L97))</f>
        <v>0.20180000000000001</v>
      </c>
      <c r="N97" s="81">
        <f t="shared" ca="1" si="306"/>
        <v>0.14399999999999999</v>
      </c>
      <c r="O97" s="63">
        <f t="shared" ca="1" si="307"/>
        <v>1.9330000000000001</v>
      </c>
      <c r="P97" s="63">
        <f t="shared" ca="1" si="308"/>
        <v>0.32000000000000006</v>
      </c>
      <c r="Q97" s="63">
        <f ca="1">ROUND(P97/O97,4)</f>
        <v>0.16550000000000001</v>
      </c>
      <c r="R97" s="63">
        <f ca="1">IF(Q97&lt;=0.3,Q97,IF(Q97&lt;0.8,ROUND(0.52*Q97+0.144,3),0.7*Q97))</f>
        <v>0.16550000000000001</v>
      </c>
      <c r="S97" s="81">
        <f t="shared" ca="1" si="309"/>
        <v>7.5999999999999998E-2</v>
      </c>
      <c r="T97" s="63">
        <f t="shared" ca="1" si="310"/>
        <v>2.4</v>
      </c>
      <c r="U97" s="63">
        <f t="shared" ca="1" si="311"/>
        <v>0.52712768866204873</v>
      </c>
      <c r="V97" s="63">
        <f ca="1">ROUND(U97/T97,4)</f>
        <v>0.21959999999999999</v>
      </c>
      <c r="W97" s="60">
        <f ca="1">IF(V97&lt;=0.3,V97,IF(V97&lt;0.8,ROUND(0.52*V97+0.144,3),0.7*V97))</f>
        <v>0.21959999999999999</v>
      </c>
      <c r="X97" s="81">
        <f t="shared" ca="1" si="312"/>
        <v>0.157</v>
      </c>
      <c r="Y97" s="334">
        <f ca="1">MAX(X97,S97,N97)</f>
        <v>0.157</v>
      </c>
      <c r="Z97" s="63">
        <f t="shared" ca="1" si="63"/>
        <v>1.9330000000000001</v>
      </c>
      <c r="AA97" s="63">
        <f t="shared" ca="1" si="64"/>
        <v>0.32000000000000006</v>
      </c>
      <c r="AB97" s="63">
        <f ca="1">ROUND(AA97/Z97,4)</f>
        <v>0.16550000000000001</v>
      </c>
      <c r="AC97" s="63">
        <f ca="1">IF(AB97&lt;=0.3,AB97,IF(AB97&lt;0.8,ROUND(0.52*AB97+0.144,3),0.7*AB97))</f>
        <v>0.16550000000000001</v>
      </c>
      <c r="AD97" s="81">
        <f t="shared" ca="1" si="65"/>
        <v>0.11799999999999999</v>
      </c>
      <c r="AE97" s="60">
        <f t="shared" ca="1" si="66"/>
        <v>1.9330000000000001</v>
      </c>
      <c r="AF97" s="60">
        <f t="shared" ca="1" si="67"/>
        <v>0.32000000000000006</v>
      </c>
      <c r="AG97" s="63">
        <f ca="1">ROUND(AF97/AE97,4)</f>
        <v>0.16550000000000001</v>
      </c>
      <c r="AH97" s="63">
        <f ca="1">IF(AG97&lt;=0.3,AG97,IF(AG97&lt;0.8,ROUND(0.52*AG97+0.144,3),0.7*AG97))</f>
        <v>0.16550000000000001</v>
      </c>
      <c r="AI97" s="81">
        <f t="shared" ca="1" si="68"/>
        <v>7.5999999999999998E-2</v>
      </c>
      <c r="AJ97" s="60">
        <f t="shared" ca="1" si="69"/>
        <v>2.4</v>
      </c>
      <c r="AK97" s="60">
        <f t="shared" ca="1" si="70"/>
        <v>0.4</v>
      </c>
      <c r="AL97" s="63">
        <f ca="1">ROUND(AK97/AJ97,4)</f>
        <v>0.16669999999999999</v>
      </c>
      <c r="AM97" s="60">
        <f ca="1">IF(AL97&lt;=0.3,AL97,IF(AL97&lt;0.8,ROUND(0.52*AL97+0.144,3),0.7*AL97))</f>
        <v>0.16669999999999999</v>
      </c>
      <c r="AN97" s="81">
        <f t="shared" ca="1" si="71"/>
        <v>0.11899999999999999</v>
      </c>
      <c r="AO97" s="334">
        <f ca="1">MAX(AN97,AI97,AD97)</f>
        <v>0.11899999999999999</v>
      </c>
      <c r="AP97" s="344">
        <f t="shared" si="259"/>
        <v>1.6930000000000001</v>
      </c>
      <c r="AQ97" s="340">
        <f t="shared" si="313"/>
        <v>8.4382447079571654E-2</v>
      </c>
      <c r="AR97" s="58">
        <f>IF(AQ97&gt;0.15,0.15,IF(AQ97&lt;0.0625,0.0625,AQ97))</f>
        <v>8.4382447079571654E-2</v>
      </c>
      <c r="AS97" s="58">
        <f t="shared" si="314"/>
        <v>0.157400688098702</v>
      </c>
      <c r="AT97" s="58">
        <f t="shared" si="314"/>
        <v>0.11834638202909925</v>
      </c>
      <c r="AU97" s="58">
        <f t="shared" si="314"/>
        <v>9.4677105623279412E-2</v>
      </c>
      <c r="AV97" s="58">
        <f t="shared" si="314"/>
        <v>0.11834638202909925</v>
      </c>
      <c r="AW97" s="58">
        <f t="shared" si="58"/>
        <v>0.39764384361777344</v>
      </c>
      <c r="AX97" s="58">
        <f t="shared" si="249"/>
        <v>0.44403562537318042</v>
      </c>
      <c r="AY97" s="340">
        <f t="shared" si="260"/>
        <v>1.7</v>
      </c>
      <c r="AZ97" s="58">
        <f t="shared" si="261"/>
        <v>1.0659298936859378</v>
      </c>
      <c r="BA97" s="58">
        <f>AZ97/AY97</f>
        <v>0.62701758452113987</v>
      </c>
      <c r="BB97" s="58">
        <f>IF(BA97&gt;1,1,BA97)</f>
        <v>0.62701758452113987</v>
      </c>
      <c r="BC97" s="58">
        <f t="shared" si="262"/>
        <v>0.35175686491635949</v>
      </c>
      <c r="BD97" s="58">
        <f t="shared" si="60"/>
        <v>0.13819019693142695</v>
      </c>
      <c r="BE97" s="58">
        <f t="shared" si="263"/>
        <v>0.35175686491635949</v>
      </c>
      <c r="BF97" s="58">
        <f t="shared" si="61"/>
        <v>0.13819019693142695</v>
      </c>
      <c r="BG97" s="58">
        <f t="shared" ca="1" si="264"/>
        <v>0.32000000000000006</v>
      </c>
      <c r="BH97" s="58">
        <f t="shared" ca="1" si="265"/>
        <v>0.4</v>
      </c>
      <c r="BI97" s="341">
        <f t="shared" ca="1" si="266"/>
        <v>0.11126499999999999</v>
      </c>
      <c r="BJ97" s="64">
        <f t="shared" ca="1" si="267"/>
        <v>0.2198</v>
      </c>
      <c r="BK97" s="63">
        <f t="shared" si="268"/>
        <v>2.1944000000000004</v>
      </c>
      <c r="BL97" s="209">
        <f t="shared" ca="1" si="269"/>
        <v>215.62379999999999</v>
      </c>
    </row>
    <row r="98" spans="9:64" ht="16">
      <c r="I98" s="344">
        <v>2.2999999999999998</v>
      </c>
      <c r="J98" s="63">
        <f t="shared" ca="1" si="315"/>
        <v>1.9330000000000001</v>
      </c>
      <c r="K98" s="63">
        <f t="shared" ca="1" si="316"/>
        <v>0.39</v>
      </c>
      <c r="L98" s="63">
        <f t="shared" ca="1" si="2"/>
        <v>0.20180000000000001</v>
      </c>
      <c r="M98" s="63">
        <f t="shared" ca="1" si="3"/>
        <v>0.20180000000000001</v>
      </c>
      <c r="N98" s="81">
        <f t="shared" ca="1" si="306"/>
        <v>0.14399999999999999</v>
      </c>
      <c r="O98" s="63">
        <f t="shared" ca="1" si="307"/>
        <v>1.9330000000000001</v>
      </c>
      <c r="P98" s="63">
        <f t="shared" ca="1" si="308"/>
        <v>0.32000000000000006</v>
      </c>
      <c r="Q98" s="63">
        <f t="shared" ca="1" si="7"/>
        <v>0.16550000000000001</v>
      </c>
      <c r="R98" s="63">
        <f t="shared" ca="1" si="8"/>
        <v>0.16550000000000001</v>
      </c>
      <c r="S98" s="81">
        <f t="shared" ca="1" si="309"/>
        <v>7.5999999999999998E-2</v>
      </c>
      <c r="T98" s="63">
        <f t="shared" ca="1" si="310"/>
        <v>2.4</v>
      </c>
      <c r="U98" s="63">
        <f t="shared" ca="1" si="311"/>
        <v>0.50292565217391305</v>
      </c>
      <c r="V98" s="63">
        <f t="shared" ca="1" si="12"/>
        <v>0.20960000000000001</v>
      </c>
      <c r="W98" s="60">
        <f t="shared" ca="1" si="13"/>
        <v>0.20960000000000001</v>
      </c>
      <c r="X98" s="81">
        <f t="shared" ca="1" si="312"/>
        <v>0.15</v>
      </c>
      <c r="Y98" s="334">
        <f t="shared" ca="1" si="62"/>
        <v>0.15</v>
      </c>
      <c r="Z98" s="63">
        <f t="shared" ca="1" si="63"/>
        <v>1.9330000000000001</v>
      </c>
      <c r="AA98" s="63">
        <f t="shared" ca="1" si="64"/>
        <v>0.32000000000000006</v>
      </c>
      <c r="AB98" s="63">
        <f t="shared" ref="AB98:AB102" ca="1" si="317">ROUND(AA98/Z98,4)</f>
        <v>0.16550000000000001</v>
      </c>
      <c r="AC98" s="63">
        <f t="shared" ref="AC98:AC102" ca="1" si="318">IF(AB98&lt;=0.3,AB98,IF(AB98&lt;0.8,ROUND(0.52*AB98+0.144,3),0.7*AB98))</f>
        <v>0.16550000000000001</v>
      </c>
      <c r="AD98" s="81">
        <f t="shared" ca="1" si="65"/>
        <v>0.11799999999999999</v>
      </c>
      <c r="AE98" s="60">
        <f t="shared" ca="1" si="66"/>
        <v>1.9330000000000001</v>
      </c>
      <c r="AF98" s="60">
        <f t="shared" ca="1" si="67"/>
        <v>0.32000000000000006</v>
      </c>
      <c r="AG98" s="63">
        <f t="shared" ref="AG98:AG102" ca="1" si="319">ROUND(AF98/AE98,4)</f>
        <v>0.16550000000000001</v>
      </c>
      <c r="AH98" s="63">
        <f t="shared" ref="AH98:AH102" ca="1" si="320">IF(AG98&lt;=0.3,AG98,IF(AG98&lt;0.8,ROUND(0.52*AG98+0.144,3),0.7*AG98))</f>
        <v>0.16550000000000001</v>
      </c>
      <c r="AI98" s="81">
        <f t="shared" ca="1" si="68"/>
        <v>7.5999999999999998E-2</v>
      </c>
      <c r="AJ98" s="60">
        <f t="shared" ca="1" si="69"/>
        <v>2.4</v>
      </c>
      <c r="AK98" s="60">
        <f t="shared" ca="1" si="70"/>
        <v>0.4</v>
      </c>
      <c r="AL98" s="63">
        <f t="shared" ref="AL98:AL102" ca="1" si="321">ROUND(AK98/AJ98,4)</f>
        <v>0.16669999999999999</v>
      </c>
      <c r="AM98" s="60">
        <f t="shared" ref="AM98:AM102" ca="1" si="322">IF(AL98&lt;=0.3,AL98,IF(AL98&lt;0.8,ROUND(0.52*AL98+0.144,3),0.7*AL98))</f>
        <v>0.16669999999999999</v>
      </c>
      <c r="AN98" s="81">
        <f t="shared" ca="1" si="71"/>
        <v>0.11899999999999999</v>
      </c>
      <c r="AO98" s="334">
        <f t="shared" ref="AO98:AO102" ca="1" si="323">MAX(AN98,AI98,AD98)</f>
        <v>0.11899999999999999</v>
      </c>
      <c r="AP98" s="344">
        <f t="shared" si="259"/>
        <v>1.6930000000000001</v>
      </c>
      <c r="AQ98" s="340">
        <f t="shared" si="313"/>
        <v>8.2422559174473387E-2</v>
      </c>
      <c r="AR98" s="58">
        <f t="shared" si="73"/>
        <v>8.2422559174473387E-2</v>
      </c>
      <c r="AS98" s="58">
        <f t="shared" si="314"/>
        <v>0.15374486019212458</v>
      </c>
      <c r="AT98" s="58">
        <f t="shared" si="314"/>
        <v>0.11559763924219893</v>
      </c>
      <c r="AU98" s="58">
        <f t="shared" si="314"/>
        <v>9.2478111393759152E-2</v>
      </c>
      <c r="AV98" s="58">
        <f t="shared" si="314"/>
        <v>0.11559763924219893</v>
      </c>
      <c r="AW98" s="58">
        <f t="shared" si="58"/>
        <v>0.38840806785378834</v>
      </c>
      <c r="AX98" s="58">
        <f t="shared" si="249"/>
        <v>0.43372234243673041</v>
      </c>
      <c r="AY98" s="340">
        <f t="shared" si="260"/>
        <v>1.7</v>
      </c>
      <c r="AZ98" s="58">
        <f t="shared" si="261"/>
        <v>1.0330482692315837</v>
      </c>
      <c r="BA98" s="58">
        <f t="shared" si="27"/>
        <v>0.60767545248916688</v>
      </c>
      <c r="BB98" s="58">
        <f t="shared" si="74"/>
        <v>0.60767545248916688</v>
      </c>
      <c r="BC98" s="58">
        <f t="shared" si="262"/>
        <v>0.34090592884642262</v>
      </c>
      <c r="BD98" s="58">
        <f t="shared" si="60"/>
        <v>0.13392732918966604</v>
      </c>
      <c r="BE98" s="58">
        <f t="shared" si="263"/>
        <v>0.34090592884642262</v>
      </c>
      <c r="BF98" s="58">
        <f t="shared" si="61"/>
        <v>0.13392732918966604</v>
      </c>
      <c r="BG98" s="58">
        <f t="shared" ca="1" si="264"/>
        <v>0.32000000000000006</v>
      </c>
      <c r="BH98" s="58">
        <f t="shared" ca="1" si="265"/>
        <v>0.4</v>
      </c>
      <c r="BI98" s="341">
        <f t="shared" ca="1" si="266"/>
        <v>0.11126499999999999</v>
      </c>
      <c r="BJ98" s="64">
        <f t="shared" ca="1" si="267"/>
        <v>0.21</v>
      </c>
      <c r="BK98" s="63">
        <f t="shared" si="268"/>
        <v>2.2999999999999998</v>
      </c>
      <c r="BL98" s="209">
        <f t="shared" ca="1" si="269"/>
        <v>206.01</v>
      </c>
    </row>
    <row r="99" spans="9:64" ht="16">
      <c r="I99" s="344">
        <v>2.35</v>
      </c>
      <c r="J99" s="63">
        <f t="shared" ca="1" si="315"/>
        <v>1.9330000000000001</v>
      </c>
      <c r="K99" s="63">
        <f t="shared" ca="1" si="316"/>
        <v>0.39</v>
      </c>
      <c r="L99" s="63">
        <f t="shared" ca="1" si="2"/>
        <v>0.20180000000000001</v>
      </c>
      <c r="M99" s="63">
        <f t="shared" ca="1" si="3"/>
        <v>0.20180000000000001</v>
      </c>
      <c r="N99" s="81">
        <f t="shared" ca="1" si="306"/>
        <v>0.14399999999999999</v>
      </c>
      <c r="O99" s="63">
        <f t="shared" ca="1" si="307"/>
        <v>1.9330000000000001</v>
      </c>
      <c r="P99" s="63">
        <f t="shared" ca="1" si="308"/>
        <v>0.32000000000000006</v>
      </c>
      <c r="Q99" s="63">
        <f t="shared" ca="1" si="7"/>
        <v>0.16550000000000001</v>
      </c>
      <c r="R99" s="63">
        <f t="shared" ca="1" si="8"/>
        <v>0.16550000000000001</v>
      </c>
      <c r="S99" s="81">
        <f t="shared" ca="1" si="309"/>
        <v>7.5999999999999998E-2</v>
      </c>
      <c r="T99" s="63">
        <f t="shared" ca="1" si="310"/>
        <v>2.4</v>
      </c>
      <c r="U99" s="63">
        <f t="shared" ca="1" si="311"/>
        <v>0.49799199999999999</v>
      </c>
      <c r="V99" s="63">
        <f t="shared" ca="1" si="12"/>
        <v>0.20749999999999999</v>
      </c>
      <c r="W99" s="60">
        <f t="shared" ca="1" si="13"/>
        <v>0.20749999999999999</v>
      </c>
      <c r="X99" s="81">
        <f t="shared" ca="1" si="312"/>
        <v>0.14799999999999999</v>
      </c>
      <c r="Y99" s="334">
        <f t="shared" ca="1" si="62"/>
        <v>0.14799999999999999</v>
      </c>
      <c r="Z99" s="63">
        <f t="shared" ca="1" si="63"/>
        <v>1.9330000000000001</v>
      </c>
      <c r="AA99" s="63">
        <f t="shared" ca="1" si="64"/>
        <v>0.32000000000000006</v>
      </c>
      <c r="AB99" s="63">
        <f t="shared" ca="1" si="317"/>
        <v>0.16550000000000001</v>
      </c>
      <c r="AC99" s="63">
        <f t="shared" ca="1" si="318"/>
        <v>0.16550000000000001</v>
      </c>
      <c r="AD99" s="81">
        <f t="shared" ca="1" si="65"/>
        <v>0.11799999999999999</v>
      </c>
      <c r="AE99" s="60">
        <f t="shared" ca="1" si="66"/>
        <v>1.9330000000000001</v>
      </c>
      <c r="AF99" s="60">
        <f t="shared" ca="1" si="67"/>
        <v>0.32000000000000006</v>
      </c>
      <c r="AG99" s="63">
        <f t="shared" ca="1" si="319"/>
        <v>0.16550000000000001</v>
      </c>
      <c r="AH99" s="63">
        <f t="shared" ca="1" si="320"/>
        <v>0.16550000000000001</v>
      </c>
      <c r="AI99" s="81">
        <f t="shared" ca="1" si="68"/>
        <v>7.5999999999999998E-2</v>
      </c>
      <c r="AJ99" s="60">
        <f t="shared" ca="1" si="69"/>
        <v>2.4</v>
      </c>
      <c r="AK99" s="60">
        <f t="shared" ca="1" si="70"/>
        <v>0.4</v>
      </c>
      <c r="AL99" s="63">
        <f t="shared" ca="1" si="321"/>
        <v>0.16669999999999999</v>
      </c>
      <c r="AM99" s="60">
        <f t="shared" ca="1" si="322"/>
        <v>0.16669999999999999</v>
      </c>
      <c r="AN99" s="81">
        <f t="shared" ca="1" si="71"/>
        <v>0.11899999999999999</v>
      </c>
      <c r="AO99" s="334">
        <f t="shared" ca="1" si="323"/>
        <v>0.11899999999999999</v>
      </c>
      <c r="AP99" s="344">
        <f t="shared" si="259"/>
        <v>1.6930000000000001</v>
      </c>
      <c r="AQ99" s="340">
        <f t="shared" si="313"/>
        <v>8.1541009131680275E-2</v>
      </c>
      <c r="AR99" s="58">
        <f t="shared" si="73"/>
        <v>8.1541009131680275E-2</v>
      </c>
      <c r="AS99" s="58">
        <f t="shared" si="314"/>
        <v>0.15210048285855154</v>
      </c>
      <c r="AT99" s="58">
        <f t="shared" si="314"/>
        <v>0.11436126530718159</v>
      </c>
      <c r="AU99" s="58">
        <f t="shared" si="314"/>
        <v>9.148901224574528E-2</v>
      </c>
      <c r="AV99" s="58">
        <f t="shared" si="314"/>
        <v>0.11436126530718159</v>
      </c>
      <c r="AW99" s="58">
        <f t="shared" si="58"/>
        <v>0.38425385143213014</v>
      </c>
      <c r="AX99" s="58">
        <f t="shared" si="249"/>
        <v>0.42908346743254538</v>
      </c>
      <c r="AY99" s="340">
        <f t="shared" si="260"/>
        <v>1.7</v>
      </c>
      <c r="AZ99" s="58">
        <f t="shared" si="261"/>
        <v>1.0183426431584068</v>
      </c>
      <c r="BA99" s="58">
        <f t="shared" si="27"/>
        <v>0.59902508421082756</v>
      </c>
      <c r="BB99" s="58">
        <f t="shared" si="74"/>
        <v>0.59902508421082756</v>
      </c>
      <c r="BC99" s="58">
        <f t="shared" si="262"/>
        <v>0.33605307224227426</v>
      </c>
      <c r="BD99" s="58">
        <f t="shared" si="60"/>
        <v>0.13202084980946491</v>
      </c>
      <c r="BE99" s="58">
        <f t="shared" si="263"/>
        <v>0.33605307224227426</v>
      </c>
      <c r="BF99" s="58">
        <f t="shared" si="61"/>
        <v>0.13202084980946491</v>
      </c>
      <c r="BG99" s="58">
        <f t="shared" ca="1" si="264"/>
        <v>0.32000000000000006</v>
      </c>
      <c r="BH99" s="58">
        <f t="shared" ca="1" si="265"/>
        <v>0.4</v>
      </c>
      <c r="BI99" s="341">
        <f t="shared" ca="1" si="266"/>
        <v>0.11126499999999999</v>
      </c>
      <c r="BJ99" s="64">
        <f t="shared" ca="1" si="267"/>
        <v>0.20719999999999997</v>
      </c>
      <c r="BK99" s="63">
        <f t="shared" si="268"/>
        <v>2.35</v>
      </c>
      <c r="BL99" s="209">
        <f t="shared" ca="1" si="269"/>
        <v>203.26319999999996</v>
      </c>
    </row>
    <row r="100" spans="9:64" ht="16">
      <c r="I100" s="344">
        <v>2.4</v>
      </c>
      <c r="J100" s="63">
        <f t="shared" ca="1" si="315"/>
        <v>1.9330000000000001</v>
      </c>
      <c r="K100" s="63">
        <f t="shared" ca="1" si="316"/>
        <v>0.39</v>
      </c>
      <c r="L100" s="63">
        <f t="shared" ca="1" si="2"/>
        <v>0.20180000000000001</v>
      </c>
      <c r="M100" s="63">
        <f t="shared" ca="1" si="3"/>
        <v>0.20180000000000001</v>
      </c>
      <c r="N100" s="81">
        <f t="shared" ca="1" si="306"/>
        <v>0.14399999999999999</v>
      </c>
      <c r="O100" s="63">
        <f t="shared" ca="1" si="307"/>
        <v>1.9330000000000001</v>
      </c>
      <c r="P100" s="63">
        <f t="shared" ca="1" si="308"/>
        <v>0.32000000000000006</v>
      </c>
      <c r="Q100" s="63">
        <f t="shared" ca="1" si="7"/>
        <v>0.16550000000000001</v>
      </c>
      <c r="R100" s="63">
        <f t="shared" ca="1" si="8"/>
        <v>0.16550000000000001</v>
      </c>
      <c r="S100" s="81">
        <f t="shared" ca="1" si="309"/>
        <v>7.5999999999999998E-2</v>
      </c>
      <c r="T100" s="63">
        <f t="shared" ca="1" si="310"/>
        <v>2.4</v>
      </c>
      <c r="U100" s="63">
        <f t="shared" ca="1" si="311"/>
        <v>0.49799199999999999</v>
      </c>
      <c r="V100" s="63">
        <f t="shared" ca="1" si="12"/>
        <v>0.20749999999999999</v>
      </c>
      <c r="W100" s="60">
        <f t="shared" ca="1" si="13"/>
        <v>0.20749999999999999</v>
      </c>
      <c r="X100" s="81">
        <f t="shared" ca="1" si="312"/>
        <v>0.14799999999999999</v>
      </c>
      <c r="Y100" s="334">
        <f t="shared" ca="1" si="62"/>
        <v>0.14799999999999999</v>
      </c>
      <c r="Z100" s="63">
        <f t="shared" ca="1" si="63"/>
        <v>1.9330000000000001</v>
      </c>
      <c r="AA100" s="63">
        <f t="shared" ca="1" si="64"/>
        <v>0.32000000000000006</v>
      </c>
      <c r="AB100" s="63">
        <f t="shared" ca="1" si="317"/>
        <v>0.16550000000000001</v>
      </c>
      <c r="AC100" s="63">
        <f t="shared" ca="1" si="318"/>
        <v>0.16550000000000001</v>
      </c>
      <c r="AD100" s="81">
        <f t="shared" ca="1" si="65"/>
        <v>0.11799999999999999</v>
      </c>
      <c r="AE100" s="60">
        <f t="shared" ca="1" si="66"/>
        <v>1.9330000000000001</v>
      </c>
      <c r="AF100" s="60">
        <f t="shared" ca="1" si="67"/>
        <v>0.32000000000000006</v>
      </c>
      <c r="AG100" s="63">
        <f t="shared" ca="1" si="319"/>
        <v>0.16550000000000001</v>
      </c>
      <c r="AH100" s="63">
        <f t="shared" ca="1" si="320"/>
        <v>0.16550000000000001</v>
      </c>
      <c r="AI100" s="81">
        <f t="shared" ca="1" si="68"/>
        <v>7.5999999999999998E-2</v>
      </c>
      <c r="AJ100" s="60">
        <f t="shared" ca="1" si="69"/>
        <v>2.4</v>
      </c>
      <c r="AK100" s="60">
        <f t="shared" ca="1" si="70"/>
        <v>0.4</v>
      </c>
      <c r="AL100" s="63">
        <f t="shared" ca="1" si="321"/>
        <v>0.16669999999999999</v>
      </c>
      <c r="AM100" s="60">
        <f t="shared" ca="1" si="322"/>
        <v>0.16669999999999999</v>
      </c>
      <c r="AN100" s="81">
        <f t="shared" ca="1" si="71"/>
        <v>0.11899999999999999</v>
      </c>
      <c r="AO100" s="334">
        <f t="shared" ca="1" si="323"/>
        <v>0.11899999999999999</v>
      </c>
      <c r="AP100" s="344">
        <f t="shared" si="259"/>
        <v>1.6930000000000001</v>
      </c>
      <c r="AQ100" s="340">
        <f t="shared" si="313"/>
        <v>8.068715304598785E-2</v>
      </c>
      <c r="AR100" s="58">
        <f t="shared" si="73"/>
        <v>8.068715304598785E-2</v>
      </c>
      <c r="AS100" s="58">
        <f t="shared" si="314"/>
        <v>0.15050776375550731</v>
      </c>
      <c r="AT100" s="58">
        <f t="shared" si="314"/>
        <v>0.11316373214699797</v>
      </c>
      <c r="AU100" s="58">
        <f t="shared" si="314"/>
        <v>9.0530985717598378E-2</v>
      </c>
      <c r="AV100" s="58">
        <f t="shared" si="314"/>
        <v>0.11316373214699797</v>
      </c>
      <c r="AW100" s="58">
        <f t="shared" si="58"/>
        <v>0.38023014001391314</v>
      </c>
      <c r="AX100" s="58">
        <f t="shared" si="249"/>
        <v>0.4245903230155364</v>
      </c>
      <c r="AY100" s="340">
        <f t="shared" si="260"/>
        <v>1.7</v>
      </c>
      <c r="AZ100" s="58">
        <f t="shared" si="261"/>
        <v>1.0041494251232543</v>
      </c>
      <c r="BA100" s="58">
        <f t="shared" si="27"/>
        <v>0.5906761324254437</v>
      </c>
      <c r="BB100" s="58">
        <f t="shared" si="74"/>
        <v>0.5906761324254437</v>
      </c>
      <c r="BC100" s="58">
        <f t="shared" si="262"/>
        <v>0.33136931029067396</v>
      </c>
      <c r="BD100" s="58">
        <f t="shared" si="60"/>
        <v>0.13018080047133621</v>
      </c>
      <c r="BE100" s="58">
        <f t="shared" si="263"/>
        <v>0.33136931029067396</v>
      </c>
      <c r="BF100" s="58">
        <f t="shared" si="61"/>
        <v>0.13018080047133621</v>
      </c>
      <c r="BG100" s="58">
        <f t="shared" ca="1" si="264"/>
        <v>0.32000000000000006</v>
      </c>
      <c r="BH100" s="58">
        <f t="shared" ca="1" si="265"/>
        <v>0.4</v>
      </c>
      <c r="BI100" s="341">
        <f t="shared" ca="1" si="266"/>
        <v>0.11126499999999999</v>
      </c>
      <c r="BJ100" s="64">
        <f t="shared" ca="1" si="267"/>
        <v>0.20719999999999997</v>
      </c>
      <c r="BK100" s="63">
        <f t="shared" si="268"/>
        <v>2.4</v>
      </c>
      <c r="BL100" s="209">
        <f t="shared" ca="1" si="269"/>
        <v>203.26319999999996</v>
      </c>
    </row>
    <row r="101" spans="9:64" ht="16">
      <c r="I101" s="344">
        <v>2.4500000000000002</v>
      </c>
      <c r="J101" s="63">
        <f t="shared" ca="1" si="315"/>
        <v>1.9330000000000001</v>
      </c>
      <c r="K101" s="63">
        <f t="shared" ca="1" si="316"/>
        <v>0.39</v>
      </c>
      <c r="L101" s="63">
        <f t="shared" ca="1" si="2"/>
        <v>0.20180000000000001</v>
      </c>
      <c r="M101" s="63">
        <f t="shared" ca="1" si="3"/>
        <v>0.20180000000000001</v>
      </c>
      <c r="N101" s="81">
        <f t="shared" ca="1" si="306"/>
        <v>0.14399999999999999</v>
      </c>
      <c r="O101" s="63">
        <f t="shared" ca="1" si="307"/>
        <v>1.9330000000000001</v>
      </c>
      <c r="P101" s="63">
        <f t="shared" ca="1" si="308"/>
        <v>0.32000000000000006</v>
      </c>
      <c r="Q101" s="63">
        <f t="shared" ca="1" si="7"/>
        <v>0.16550000000000001</v>
      </c>
      <c r="R101" s="63">
        <f t="shared" ca="1" si="8"/>
        <v>0.16550000000000001</v>
      </c>
      <c r="S101" s="81">
        <f t="shared" ca="1" si="309"/>
        <v>7.5999999999999998E-2</v>
      </c>
      <c r="T101" s="63">
        <f t="shared" ca="1" si="310"/>
        <v>2.4</v>
      </c>
      <c r="U101" s="63">
        <f t="shared" ca="1" si="311"/>
        <v>0.49799199999999999</v>
      </c>
      <c r="V101" s="63">
        <f t="shared" ca="1" si="12"/>
        <v>0.20749999999999999</v>
      </c>
      <c r="W101" s="60">
        <f t="shared" ca="1" si="13"/>
        <v>0.20749999999999999</v>
      </c>
      <c r="X101" s="81">
        <f t="shared" ca="1" si="312"/>
        <v>0.14799999999999999</v>
      </c>
      <c r="Y101" s="334">
        <f t="shared" ca="1" si="62"/>
        <v>0.14799999999999999</v>
      </c>
      <c r="Z101" s="63">
        <f t="shared" ca="1" si="63"/>
        <v>1.9330000000000001</v>
      </c>
      <c r="AA101" s="63">
        <f t="shared" ca="1" si="64"/>
        <v>0.32000000000000006</v>
      </c>
      <c r="AB101" s="63">
        <f t="shared" ca="1" si="317"/>
        <v>0.16550000000000001</v>
      </c>
      <c r="AC101" s="63">
        <f t="shared" ca="1" si="318"/>
        <v>0.16550000000000001</v>
      </c>
      <c r="AD101" s="81">
        <f t="shared" ca="1" si="65"/>
        <v>0.11799999999999999</v>
      </c>
      <c r="AE101" s="60">
        <f t="shared" ca="1" si="66"/>
        <v>1.9330000000000001</v>
      </c>
      <c r="AF101" s="60">
        <f t="shared" ca="1" si="67"/>
        <v>0.32000000000000006</v>
      </c>
      <c r="AG101" s="63">
        <f t="shared" ca="1" si="319"/>
        <v>0.16550000000000001</v>
      </c>
      <c r="AH101" s="63">
        <f t="shared" ca="1" si="320"/>
        <v>0.16550000000000001</v>
      </c>
      <c r="AI101" s="81">
        <f t="shared" ca="1" si="68"/>
        <v>7.5999999999999998E-2</v>
      </c>
      <c r="AJ101" s="60">
        <f t="shared" ca="1" si="69"/>
        <v>2.4</v>
      </c>
      <c r="AK101" s="60">
        <f t="shared" ca="1" si="70"/>
        <v>0.4</v>
      </c>
      <c r="AL101" s="63">
        <f t="shared" ca="1" si="321"/>
        <v>0.16669999999999999</v>
      </c>
      <c r="AM101" s="60">
        <f t="shared" ca="1" si="322"/>
        <v>0.16669999999999999</v>
      </c>
      <c r="AN101" s="81">
        <f t="shared" ca="1" si="71"/>
        <v>0.11899999999999999</v>
      </c>
      <c r="AO101" s="334">
        <f t="shared" ca="1" si="323"/>
        <v>0.11899999999999999</v>
      </c>
      <c r="AP101" s="344">
        <f t="shared" si="259"/>
        <v>1.6930000000000001</v>
      </c>
      <c r="AQ101" s="340">
        <f t="shared" si="313"/>
        <v>7.9859570624992493E-2</v>
      </c>
      <c r="AR101" s="58">
        <f t="shared" si="73"/>
        <v>7.9859570624992493E-2</v>
      </c>
      <c r="AS101" s="58">
        <f t="shared" si="314"/>
        <v>0.14896405357606415</v>
      </c>
      <c r="AT101" s="58">
        <f t="shared" si="314"/>
        <v>0.11200304780155197</v>
      </c>
      <c r="AU101" s="58">
        <f t="shared" si="314"/>
        <v>8.9602438241241575E-2</v>
      </c>
      <c r="AV101" s="58">
        <f t="shared" si="314"/>
        <v>0.11200304780155197</v>
      </c>
      <c r="AW101" s="58">
        <f t="shared" si="58"/>
        <v>0.37633024061321457</v>
      </c>
      <c r="AX101" s="58">
        <f t="shared" si="249"/>
        <v>0.42023543535142305</v>
      </c>
      <c r="AY101" s="340">
        <f t="shared" si="260"/>
        <v>1.7</v>
      </c>
      <c r="AZ101" s="58">
        <f t="shared" si="261"/>
        <v>1</v>
      </c>
      <c r="BA101" s="58">
        <f t="shared" si="27"/>
        <v>0.58823529411764708</v>
      </c>
      <c r="BB101" s="58">
        <f t="shared" si="74"/>
        <v>0.58823529411764708</v>
      </c>
      <c r="BC101" s="58">
        <f t="shared" si="262"/>
        <v>0.33</v>
      </c>
      <c r="BD101" s="58">
        <f t="shared" si="60"/>
        <v>0.12964285714285714</v>
      </c>
      <c r="BE101" s="58">
        <f t="shared" si="263"/>
        <v>0.33</v>
      </c>
      <c r="BF101" s="58">
        <f t="shared" si="61"/>
        <v>0.12964285714285714</v>
      </c>
      <c r="BG101" s="58">
        <f t="shared" ca="1" si="264"/>
        <v>0.32000000000000006</v>
      </c>
      <c r="BH101" s="58">
        <f t="shared" ca="1" si="265"/>
        <v>0.4</v>
      </c>
      <c r="BI101" s="341">
        <f t="shared" ca="1" si="266"/>
        <v>0.11126499999999999</v>
      </c>
      <c r="BJ101" s="64">
        <f t="shared" ca="1" si="267"/>
        <v>0.20719999999999997</v>
      </c>
      <c r="BK101" s="63">
        <f t="shared" si="268"/>
        <v>2.4500000000000002</v>
      </c>
      <c r="BL101" s="209">
        <f t="shared" ca="1" si="269"/>
        <v>203.26319999999996</v>
      </c>
    </row>
    <row r="102" spans="9:64" ht="16.5" thickBot="1">
      <c r="I102" s="345">
        <v>2.5</v>
      </c>
      <c r="J102" s="336">
        <f t="shared" ca="1" si="315"/>
        <v>1.9330000000000001</v>
      </c>
      <c r="K102" s="336">
        <f t="shared" ca="1" si="316"/>
        <v>0.39</v>
      </c>
      <c r="L102" s="336">
        <f t="shared" ca="1" si="2"/>
        <v>0.20180000000000001</v>
      </c>
      <c r="M102" s="336">
        <f t="shared" ca="1" si="3"/>
        <v>0.20180000000000001</v>
      </c>
      <c r="N102" s="385">
        <f t="shared" ca="1" si="306"/>
        <v>0.14399999999999999</v>
      </c>
      <c r="O102" s="336">
        <f t="shared" ca="1" si="307"/>
        <v>1.9330000000000001</v>
      </c>
      <c r="P102" s="336">
        <f t="shared" ca="1" si="308"/>
        <v>0.32000000000000006</v>
      </c>
      <c r="Q102" s="336">
        <f t="shared" ca="1" si="7"/>
        <v>0.16550000000000001</v>
      </c>
      <c r="R102" s="336">
        <f t="shared" ca="1" si="8"/>
        <v>0.16550000000000001</v>
      </c>
      <c r="S102" s="385">
        <f t="shared" ca="1" si="309"/>
        <v>7.5999999999999998E-2</v>
      </c>
      <c r="T102" s="336">
        <f t="shared" ca="1" si="310"/>
        <v>2.4</v>
      </c>
      <c r="U102" s="336">
        <f t="shared" ca="1" si="311"/>
        <v>0.49799199999999999</v>
      </c>
      <c r="V102" s="336">
        <f t="shared" ca="1" si="12"/>
        <v>0.20749999999999999</v>
      </c>
      <c r="W102" s="337">
        <f t="shared" ca="1" si="13"/>
        <v>0.20749999999999999</v>
      </c>
      <c r="X102" s="385">
        <f t="shared" ca="1" si="312"/>
        <v>0.14799999999999999</v>
      </c>
      <c r="Y102" s="338">
        <f t="shared" ca="1" si="62"/>
        <v>0.14799999999999999</v>
      </c>
      <c r="Z102" s="63">
        <f t="shared" ca="1" si="63"/>
        <v>1.9330000000000001</v>
      </c>
      <c r="AA102" s="336">
        <f t="shared" ca="1" si="64"/>
        <v>0.32000000000000006</v>
      </c>
      <c r="AB102" s="336">
        <f t="shared" ca="1" si="317"/>
        <v>0.16550000000000001</v>
      </c>
      <c r="AC102" s="336">
        <f t="shared" ca="1" si="318"/>
        <v>0.16550000000000001</v>
      </c>
      <c r="AD102" s="385">
        <f t="shared" ca="1" si="65"/>
        <v>0.11799999999999999</v>
      </c>
      <c r="AE102" s="337">
        <f t="shared" ca="1" si="66"/>
        <v>1.9330000000000001</v>
      </c>
      <c r="AF102" s="337">
        <f t="shared" ca="1" si="67"/>
        <v>0.32000000000000006</v>
      </c>
      <c r="AG102" s="336">
        <f t="shared" ca="1" si="319"/>
        <v>0.16550000000000001</v>
      </c>
      <c r="AH102" s="336">
        <f t="shared" ca="1" si="320"/>
        <v>0.16550000000000001</v>
      </c>
      <c r="AI102" s="337">
        <f t="shared" ca="1" si="68"/>
        <v>7.5999999999999998E-2</v>
      </c>
      <c r="AJ102" s="337">
        <f t="shared" ca="1" si="69"/>
        <v>2.4</v>
      </c>
      <c r="AK102" s="337">
        <f t="shared" ca="1" si="70"/>
        <v>0.4</v>
      </c>
      <c r="AL102" s="336">
        <f t="shared" ca="1" si="321"/>
        <v>0.16669999999999999</v>
      </c>
      <c r="AM102" s="337">
        <f t="shared" ca="1" si="322"/>
        <v>0.16669999999999999</v>
      </c>
      <c r="AN102" s="385">
        <f t="shared" ca="1" si="71"/>
        <v>0.11899999999999999</v>
      </c>
      <c r="AO102" s="338">
        <f t="shared" ca="1" si="323"/>
        <v>0.11899999999999999</v>
      </c>
      <c r="AP102" s="344">
        <f t="shared" si="259"/>
        <v>1.6930000000000001</v>
      </c>
      <c r="AQ102" s="342">
        <f t="shared" si="313"/>
        <v>7.9056941504209485E-2</v>
      </c>
      <c r="AR102" s="343">
        <f t="shared" si="73"/>
        <v>7.9056941504209485E-2</v>
      </c>
      <c r="AS102" s="58">
        <f t="shared" si="314"/>
        <v>0.14746688941133959</v>
      </c>
      <c r="AT102" s="58">
        <f t="shared" si="314"/>
        <v>0.11087736045965381</v>
      </c>
      <c r="AU102" s="58">
        <f t="shared" si="314"/>
        <v>8.8701888367723053E-2</v>
      </c>
      <c r="AV102" s="58">
        <f t="shared" si="314"/>
        <v>0.11087736045965381</v>
      </c>
      <c r="AW102" s="58">
        <f t="shared" si="58"/>
        <v>0.37254793114443679</v>
      </c>
      <c r="AX102" s="58">
        <f t="shared" si="249"/>
        <v>0.41601185644462108</v>
      </c>
      <c r="AY102" s="342">
        <f t="shared" si="260"/>
        <v>1.7</v>
      </c>
      <c r="AZ102" s="58">
        <f t="shared" si="261"/>
        <v>1</v>
      </c>
      <c r="BA102" s="343">
        <f t="shared" si="27"/>
        <v>0.58823529411764708</v>
      </c>
      <c r="BB102" s="343">
        <f t="shared" si="74"/>
        <v>0.58823529411764708</v>
      </c>
      <c r="BC102" s="58">
        <f t="shared" si="262"/>
        <v>0.33</v>
      </c>
      <c r="BD102" s="58">
        <f t="shared" si="60"/>
        <v>0.12964285714285714</v>
      </c>
      <c r="BE102" s="58">
        <f t="shared" si="263"/>
        <v>0.33</v>
      </c>
      <c r="BF102" s="58">
        <f t="shared" si="61"/>
        <v>0.12964285714285714</v>
      </c>
      <c r="BG102" s="58">
        <f t="shared" ca="1" si="264"/>
        <v>0.32000000000000006</v>
      </c>
      <c r="BH102" s="58">
        <f t="shared" ca="1" si="265"/>
        <v>0.4</v>
      </c>
      <c r="BI102" s="341">
        <f t="shared" ca="1" si="266"/>
        <v>0.11126499999999999</v>
      </c>
      <c r="BJ102" s="64">
        <f t="shared" ca="1" si="267"/>
        <v>0.20719999999999997</v>
      </c>
      <c r="BK102" s="63">
        <f t="shared" si="268"/>
        <v>2.5</v>
      </c>
      <c r="BL102" s="209">
        <f t="shared" ca="1" si="269"/>
        <v>203.26319999999996</v>
      </c>
    </row>
    <row r="103" spans="9:64" ht="16">
      <c r="I103" s="344">
        <v>2.5499999999999998</v>
      </c>
      <c r="J103" s="63">
        <f t="shared" ref="J103:J106" ca="1" si="324">ROUND(IF($I103&gt;=D$17,D$12,IF($I103&gt;=F$17,D$13+(D$12-D$13)*($I103-0.6*D$17)/0.4/D$17,IF($I103&lt;E$17,D$13+(D$13-1)*($I103-E$17)/E$17,D$13))),3)</f>
        <v>1.9330000000000001</v>
      </c>
      <c r="K103" s="63">
        <f t="shared" ref="K103:K106" ca="1" si="325">IF($I103&lt;E$17,ROUND(B$17*(0.4+3*$I103/D$17),3),IF($I103&lt;=D$17,B$17,IF($I103&lt;=2.5*D$17,C$17/$I103,0.4*B$17)))</f>
        <v>0.39</v>
      </c>
      <c r="L103" s="63">
        <f t="shared" ref="L103:L106" ca="1" si="326">ROUND(K103/J103,4)</f>
        <v>0.20180000000000001</v>
      </c>
      <c r="M103" s="63">
        <f t="shared" ref="M103:M106" ca="1" si="327">IF(L103&lt;=0.3,L103,IF(L103&lt;0.8,ROUND(0.52*L103+0.144,3),0.7*L103))</f>
        <v>0.20180000000000001</v>
      </c>
      <c r="N103" s="81">
        <f t="shared" ref="N103:N106" ca="1" si="328">ROUND(B$13*M103/1.4/B$14,3)</f>
        <v>0.14399999999999999</v>
      </c>
      <c r="O103" s="63">
        <f t="shared" ref="O103:O106" ca="1" si="329">ROUND(IF($I103&gt;=D$19,D$12,IF($I103&gt;=F$19,D$13+(D$12-D$13)*($I103-0.6*D$19)/0.4/D$19,IF($I103&lt;E$19,D$13+(D$13-1)*($I103-E$19)/E$19,D$13))),3)</f>
        <v>1.9330000000000001</v>
      </c>
      <c r="P103" s="63">
        <f t="shared" ref="P103:P106" ca="1" si="330">IF($I103&lt;E$19,ROUND(B$19*(0.4+3*$I103/D$19),3),IF($I103&lt;=D$19,B$19,IF($I103&lt;=2.5*D$19,C$19/$I103,0.4*B$19)))</f>
        <v>0.32000000000000006</v>
      </c>
      <c r="Q103" s="63">
        <f t="shared" ref="Q103:Q106" ca="1" si="331">ROUND(P103/O103,4)</f>
        <v>0.16550000000000001</v>
      </c>
      <c r="R103" s="63">
        <f t="shared" ref="R103:R106" ca="1" si="332">IF(Q103&lt;=0.3,Q103,IF(Q103&lt;0.8,ROUND(0.52*Q103+0.144,3),0.7*Q103))</f>
        <v>0.16550000000000001</v>
      </c>
      <c r="S103" s="81">
        <f t="shared" ref="S103:S106" ca="1" si="333">ROUND(B$13*O103*R103/4.2/B$14,3)</f>
        <v>7.5999999999999998E-2</v>
      </c>
      <c r="T103" s="63">
        <f t="shared" ref="T103:T106" ca="1" si="334">ROUND(IF($I103&gt;=D$21,B$12,IF($I103&gt;=F$21,D$14+(B$12-D$14)*($I103-0.6*D$21)/0.4/D$21,IF($I103&lt;E$21,D$14+(D$14-1)*($I103-E$21)/E$21,D$14))),3)</f>
        <v>2.4</v>
      </c>
      <c r="U103" s="63">
        <f t="shared" ref="U103:U106" ca="1" si="335">IF($I103&lt;E$21,ROUND(B$21*(0.4+3*$I103/D$21),3),IF($I103&lt;=D$21,B$21,IF($I103&lt;=2.5*D$21,C$21/$I103,0.4*B$21)))</f>
        <v>0.49799199999999999</v>
      </c>
      <c r="V103" s="63">
        <f t="shared" ref="V103:V106" ca="1" si="336">ROUND(U103/T103,4)</f>
        <v>0.20749999999999999</v>
      </c>
      <c r="W103" s="60">
        <f t="shared" ref="W103:W106" ca="1" si="337">IF(V103&lt;=0.3,V103,IF(V103&lt;0.8,ROUND(0.52*V103+0.144,3),0.7*V103))</f>
        <v>0.20749999999999999</v>
      </c>
      <c r="X103" s="81">
        <f t="shared" ref="X103:X106" ca="1" si="338">ROUND(B$13*W103/1.4/B$14,3)</f>
        <v>0.14799999999999999</v>
      </c>
      <c r="Y103" s="334">
        <f t="shared" ref="Y103:Y106" ca="1" si="339">MAX(X103,S103,N103)</f>
        <v>0.14799999999999999</v>
      </c>
      <c r="Z103" s="63">
        <f t="shared" ref="Z103:Z106" ca="1" si="340">ROUND(IF($I103&gt;=K$17,D$12,IF($I103&gt;=M$17,D$13+(D$12-D$13)*($I103-0.6*K$17)/0.4/K$17,IF($I103&lt;L$17,D$13+(D$13-1)*($I103-L$17)/L$17,D$13))),3)</f>
        <v>1.9330000000000001</v>
      </c>
      <c r="AA103" s="63">
        <f t="shared" ref="AA103:AA106" ca="1" si="341">IF($I103&lt;L$17,ROUND(I$17*(0.4+3*$I103/K$17),3),IF($I103&lt;=K$17,I$17,IF($I103&lt;=2.5*K$17,J$17/$I103,0.4*I$17)))</f>
        <v>0.32000000000000006</v>
      </c>
      <c r="AB103" s="63">
        <f t="shared" ref="AB103:AB106" ca="1" si="342">ROUND(AA103/Z103,4)</f>
        <v>0.16550000000000001</v>
      </c>
      <c r="AC103" s="63">
        <f t="shared" ref="AC103:AC106" ca="1" si="343">IF(AB103&lt;=0.3,AB103,IF(AB103&lt;0.8,ROUND(0.52*AB103+0.144,3),0.7*AB103))</f>
        <v>0.16550000000000001</v>
      </c>
      <c r="AD103" s="81">
        <f t="shared" ref="AD103:AD106" ca="1" si="344">ROUND(B$13*AC103/1.4/B$14,3)</f>
        <v>0.11799999999999999</v>
      </c>
      <c r="AE103" s="60">
        <f t="shared" ref="AE103:AE106" ca="1" si="345">ROUND(IF($I103&gt;=K$19,D$12,IF($I103&gt;=M$19,D$13+(D$12-D$13)*($I103-0.6*K$19)/0.4/K$19,IF($I103&lt;L$19,D$13+(D$13-1)*($I103-L$19)/L$19,D$13))),3)</f>
        <v>1.9330000000000001</v>
      </c>
      <c r="AF103" s="60">
        <f t="shared" ref="AF103:AF106" ca="1" si="346">IF($I103&lt;L$19,ROUND(I$19*(0.4+3*$I103/K$19),3),IF($I103&lt;=K$19,I$19,IF($I103&lt;=2.5*K$19,J$19/$I103,0.4*I$19)))</f>
        <v>0.32000000000000006</v>
      </c>
      <c r="AG103" s="63">
        <f t="shared" ref="AG103:AG106" ca="1" si="347">ROUND(AF103/AE103,4)</f>
        <v>0.16550000000000001</v>
      </c>
      <c r="AH103" s="63">
        <f t="shared" ref="AH103:AH106" ca="1" si="348">IF(AG103&lt;=0.3,AG103,IF(AG103&lt;0.8,ROUND(0.52*AG103+0.144,3),0.7*AG103))</f>
        <v>0.16550000000000001</v>
      </c>
      <c r="AI103" s="81">
        <f t="shared" ref="AI103:AI106" ca="1" si="349">ROUND(B$13*AE103*AH103/4.2/B$14,3)</f>
        <v>7.5999999999999998E-2</v>
      </c>
      <c r="AJ103" s="60">
        <f t="shared" ref="AJ103:AJ106" ca="1" si="350">ROUND(IF($I103&gt;=K$21,B$12,IF($I103&gt;=M$21,D$14+(B$12-D$14)*($I103-0.6*K$21)/0.4/K$21,IF($I103&lt;L$21,D$14+(D$14-1)*($I103-L$21)/L$21,D$14))),3)</f>
        <v>2.4</v>
      </c>
      <c r="AK103" s="60">
        <f t="shared" ref="AK103:AK106" ca="1" si="351">IF($I103&lt;L$21,ROUND(I$21*(0.4+3*$I103/K$21),3),IF($I103&lt;=K$21,I$21,IF($I103&lt;=2.5*K$21,J$21/$I103,0.4*I$21)))</f>
        <v>0.4</v>
      </c>
      <c r="AL103" s="63">
        <f t="shared" ref="AL103:AL106" ca="1" si="352">ROUND(AK103/AJ103,4)</f>
        <v>0.16669999999999999</v>
      </c>
      <c r="AM103" s="60">
        <f t="shared" ref="AM103:AM106" ca="1" si="353">IF(AL103&lt;=0.3,AL103,IF(AL103&lt;0.8,ROUND(0.52*AL103+0.144,3),0.7*AL103))</f>
        <v>0.16669999999999999</v>
      </c>
      <c r="AN103" s="81">
        <f t="shared" ref="AN103:AN106" ca="1" si="354">ROUND(B$13*AM103/1.4/B$14,3)</f>
        <v>0.11899999999999999</v>
      </c>
      <c r="AO103" s="334">
        <f t="shared" ref="AO103:AO106" ca="1" si="355">MAX(AN103,AI103,AD103)</f>
        <v>0.11899999999999999</v>
      </c>
      <c r="AP103" s="344">
        <f t="shared" si="259"/>
        <v>1.6930000000000001</v>
      </c>
      <c r="AQ103" s="340">
        <f t="shared" ref="AQ103:AQ106" si="356">1/8/I103^0.5</f>
        <v>7.8278036385643693E-2</v>
      </c>
      <c r="AR103" s="58">
        <f t="shared" ref="AR103:AR106" si="357">IF(AQ103&gt;0.15,0.15,IF(AQ103&lt;0.0625,0.0625,AQ103))</f>
        <v>7.8278036385643693E-2</v>
      </c>
      <c r="AS103" s="58">
        <f t="shared" si="314"/>
        <v>0.14601397822105083</v>
      </c>
      <c r="AT103" s="58">
        <f t="shared" si="314"/>
        <v>0.10978494603086529</v>
      </c>
      <c r="AU103" s="58">
        <f t="shared" si="314"/>
        <v>8.782795682469223E-2</v>
      </c>
      <c r="AV103" s="58">
        <f t="shared" si="314"/>
        <v>0.10978494603086529</v>
      </c>
      <c r="AW103" s="58">
        <f t="shared" si="58"/>
        <v>0.36887741866370732</v>
      </c>
      <c r="AX103" s="58">
        <f t="shared" si="249"/>
        <v>0.41191311750780657</v>
      </c>
      <c r="AY103" s="340">
        <f t="shared" si="260"/>
        <v>1.7</v>
      </c>
      <c r="AZ103" s="58">
        <f t="shared" si="261"/>
        <v>1</v>
      </c>
      <c r="BA103" s="58">
        <f t="shared" ref="BA103:BA106" si="358">AZ103/AY103</f>
        <v>0.58823529411764708</v>
      </c>
      <c r="BB103" s="58">
        <f t="shared" ref="BB103:BB106" si="359">IF(BA103&gt;1,1,BA103)</f>
        <v>0.58823529411764708</v>
      </c>
      <c r="BC103" s="58">
        <f t="shared" si="262"/>
        <v>0.33</v>
      </c>
      <c r="BD103" s="58">
        <f t="shared" ref="BD103:BD106" si="360">$T$5*$T$11*BB103/1.4/$T$6*$AH$6</f>
        <v>0.12964285714285714</v>
      </c>
      <c r="BE103" s="58">
        <f t="shared" si="263"/>
        <v>0.33</v>
      </c>
      <c r="BF103" s="58">
        <f t="shared" ref="BF103:BF106" si="361">$V$5*$V$11*BB103/1.4/$V$6*$AH$6</f>
        <v>0.12964285714285714</v>
      </c>
      <c r="BG103" s="58">
        <f t="shared" ca="1" si="264"/>
        <v>0.32000000000000006</v>
      </c>
      <c r="BH103" s="58">
        <f t="shared" ca="1" si="265"/>
        <v>0.4</v>
      </c>
      <c r="BI103" s="341">
        <f t="shared" ca="1" si="266"/>
        <v>0.11126499999999999</v>
      </c>
      <c r="BJ103" s="64">
        <f t="shared" ca="1" si="267"/>
        <v>0.20719999999999997</v>
      </c>
      <c r="BK103" s="63">
        <f t="shared" si="268"/>
        <v>2.5499999999999998</v>
      </c>
      <c r="BL103" s="209">
        <f t="shared" ca="1" si="269"/>
        <v>203.26319999999996</v>
      </c>
    </row>
    <row r="104" spans="9:64" ht="16.5" thickBot="1">
      <c r="I104" s="345">
        <v>2.6</v>
      </c>
      <c r="J104" s="336">
        <f t="shared" ca="1" si="324"/>
        <v>1.9330000000000001</v>
      </c>
      <c r="K104" s="336">
        <f t="shared" ca="1" si="325"/>
        <v>0.39</v>
      </c>
      <c r="L104" s="336">
        <f t="shared" ca="1" si="326"/>
        <v>0.20180000000000001</v>
      </c>
      <c r="M104" s="336">
        <f t="shared" ca="1" si="327"/>
        <v>0.20180000000000001</v>
      </c>
      <c r="N104" s="385">
        <f t="shared" ca="1" si="328"/>
        <v>0.14399999999999999</v>
      </c>
      <c r="O104" s="336">
        <f t="shared" ca="1" si="329"/>
        <v>1.9330000000000001</v>
      </c>
      <c r="P104" s="336">
        <f t="shared" ca="1" si="330"/>
        <v>0.32000000000000006</v>
      </c>
      <c r="Q104" s="336">
        <f t="shared" ca="1" si="331"/>
        <v>0.16550000000000001</v>
      </c>
      <c r="R104" s="336">
        <f t="shared" ca="1" si="332"/>
        <v>0.16550000000000001</v>
      </c>
      <c r="S104" s="385">
        <f t="shared" ca="1" si="333"/>
        <v>7.5999999999999998E-2</v>
      </c>
      <c r="T104" s="336">
        <f t="shared" ca="1" si="334"/>
        <v>2.4</v>
      </c>
      <c r="U104" s="336">
        <f t="shared" ca="1" si="335"/>
        <v>0.49799199999999999</v>
      </c>
      <c r="V104" s="336">
        <f t="shared" ca="1" si="336"/>
        <v>0.20749999999999999</v>
      </c>
      <c r="W104" s="337">
        <f t="shared" ca="1" si="337"/>
        <v>0.20749999999999999</v>
      </c>
      <c r="X104" s="385">
        <f t="shared" ca="1" si="338"/>
        <v>0.14799999999999999</v>
      </c>
      <c r="Y104" s="338">
        <f t="shared" ca="1" si="339"/>
        <v>0.14799999999999999</v>
      </c>
      <c r="Z104" s="63">
        <f t="shared" ca="1" si="340"/>
        <v>1.9330000000000001</v>
      </c>
      <c r="AA104" s="336">
        <f t="shared" ca="1" si="341"/>
        <v>0.32000000000000006</v>
      </c>
      <c r="AB104" s="336">
        <f t="shared" ca="1" si="342"/>
        <v>0.16550000000000001</v>
      </c>
      <c r="AC104" s="336">
        <f t="shared" ca="1" si="343"/>
        <v>0.16550000000000001</v>
      </c>
      <c r="AD104" s="385">
        <f t="shared" ca="1" si="344"/>
        <v>0.11799999999999999</v>
      </c>
      <c r="AE104" s="337">
        <f t="shared" ca="1" si="345"/>
        <v>1.9330000000000001</v>
      </c>
      <c r="AF104" s="337">
        <f t="shared" ca="1" si="346"/>
        <v>0.32000000000000006</v>
      </c>
      <c r="AG104" s="336">
        <f t="shared" ca="1" si="347"/>
        <v>0.16550000000000001</v>
      </c>
      <c r="AH104" s="336">
        <f t="shared" ca="1" si="348"/>
        <v>0.16550000000000001</v>
      </c>
      <c r="AI104" s="337">
        <f t="shared" ca="1" si="349"/>
        <v>7.5999999999999998E-2</v>
      </c>
      <c r="AJ104" s="337">
        <f t="shared" ca="1" si="350"/>
        <v>2.4</v>
      </c>
      <c r="AK104" s="337">
        <f t="shared" ca="1" si="351"/>
        <v>0.4</v>
      </c>
      <c r="AL104" s="336">
        <f t="shared" ca="1" si="352"/>
        <v>0.16669999999999999</v>
      </c>
      <c r="AM104" s="337">
        <f t="shared" ca="1" si="353"/>
        <v>0.16669999999999999</v>
      </c>
      <c r="AN104" s="385">
        <f t="shared" ca="1" si="354"/>
        <v>0.11899999999999999</v>
      </c>
      <c r="AO104" s="338">
        <f t="shared" ca="1" si="355"/>
        <v>0.11899999999999999</v>
      </c>
      <c r="AP104" s="344">
        <f t="shared" si="259"/>
        <v>1.6930000000000001</v>
      </c>
      <c r="AQ104" s="342">
        <f t="shared" si="356"/>
        <v>7.7521709118255275E-2</v>
      </c>
      <c r="AR104" s="343">
        <f t="shared" si="357"/>
        <v>7.7521709118255275E-2</v>
      </c>
      <c r="AS104" s="58">
        <f t="shared" si="314"/>
        <v>0.14460318206100953</v>
      </c>
      <c r="AT104" s="58">
        <f t="shared" si="314"/>
        <v>0.10872419703835302</v>
      </c>
      <c r="AU104" s="58">
        <f t="shared" si="314"/>
        <v>8.697935763068243E-2</v>
      </c>
      <c r="AV104" s="58">
        <f t="shared" si="314"/>
        <v>0.10872419703835302</v>
      </c>
      <c r="AW104" s="58">
        <f t="shared" si="58"/>
        <v>0.36531330204886614</v>
      </c>
      <c r="AX104" s="58">
        <f t="shared" si="249"/>
        <v>0.40793318728790057</v>
      </c>
      <c r="AY104" s="342">
        <f t="shared" si="260"/>
        <v>1.7</v>
      </c>
      <c r="AZ104" s="58">
        <f t="shared" si="261"/>
        <v>1</v>
      </c>
      <c r="BA104" s="343">
        <f t="shared" si="358"/>
        <v>0.58823529411764708</v>
      </c>
      <c r="BB104" s="343">
        <f t="shared" si="359"/>
        <v>0.58823529411764708</v>
      </c>
      <c r="BC104" s="58">
        <f t="shared" si="262"/>
        <v>0.33</v>
      </c>
      <c r="BD104" s="58">
        <f t="shared" si="360"/>
        <v>0.12964285714285714</v>
      </c>
      <c r="BE104" s="58">
        <f t="shared" si="263"/>
        <v>0.33</v>
      </c>
      <c r="BF104" s="58">
        <f t="shared" si="361"/>
        <v>0.12964285714285714</v>
      </c>
      <c r="BG104" s="58">
        <f t="shared" ca="1" si="264"/>
        <v>0.32000000000000006</v>
      </c>
      <c r="BH104" s="58">
        <f t="shared" ca="1" si="265"/>
        <v>0.4</v>
      </c>
      <c r="BI104" s="341">
        <f t="shared" ca="1" si="266"/>
        <v>0.11126499999999999</v>
      </c>
      <c r="BJ104" s="64">
        <f t="shared" ca="1" si="267"/>
        <v>0.20719999999999997</v>
      </c>
      <c r="BK104" s="63">
        <f t="shared" si="268"/>
        <v>2.6</v>
      </c>
      <c r="BL104" s="209">
        <f t="shared" ca="1" si="269"/>
        <v>203.26319999999996</v>
      </c>
    </row>
    <row r="105" spans="9:64" ht="16">
      <c r="I105" s="344">
        <v>2.65</v>
      </c>
      <c r="J105" s="63">
        <f t="shared" ca="1" si="324"/>
        <v>1.9330000000000001</v>
      </c>
      <c r="K105" s="63">
        <f t="shared" ca="1" si="325"/>
        <v>0.39</v>
      </c>
      <c r="L105" s="63">
        <f t="shared" ca="1" si="326"/>
        <v>0.20180000000000001</v>
      </c>
      <c r="M105" s="63">
        <f t="shared" ca="1" si="327"/>
        <v>0.20180000000000001</v>
      </c>
      <c r="N105" s="81">
        <f t="shared" ca="1" si="328"/>
        <v>0.14399999999999999</v>
      </c>
      <c r="O105" s="63">
        <f t="shared" ca="1" si="329"/>
        <v>1.9330000000000001</v>
      </c>
      <c r="P105" s="63">
        <f t="shared" ca="1" si="330"/>
        <v>0.32000000000000006</v>
      </c>
      <c r="Q105" s="63">
        <f t="shared" ca="1" si="331"/>
        <v>0.16550000000000001</v>
      </c>
      <c r="R105" s="63">
        <f t="shared" ca="1" si="332"/>
        <v>0.16550000000000001</v>
      </c>
      <c r="S105" s="81">
        <f t="shared" ca="1" si="333"/>
        <v>7.5999999999999998E-2</v>
      </c>
      <c r="T105" s="63">
        <f t="shared" ca="1" si="334"/>
        <v>2.4</v>
      </c>
      <c r="U105" s="63">
        <f t="shared" ca="1" si="335"/>
        <v>0.49799199999999999</v>
      </c>
      <c r="V105" s="63">
        <f t="shared" ca="1" si="336"/>
        <v>0.20749999999999999</v>
      </c>
      <c r="W105" s="60">
        <f t="shared" ca="1" si="337"/>
        <v>0.20749999999999999</v>
      </c>
      <c r="X105" s="81">
        <f t="shared" ca="1" si="338"/>
        <v>0.14799999999999999</v>
      </c>
      <c r="Y105" s="334">
        <f t="shared" ca="1" si="339"/>
        <v>0.14799999999999999</v>
      </c>
      <c r="Z105" s="63">
        <f t="shared" ca="1" si="340"/>
        <v>1.9330000000000001</v>
      </c>
      <c r="AA105" s="63">
        <f t="shared" ca="1" si="341"/>
        <v>0.32000000000000006</v>
      </c>
      <c r="AB105" s="63">
        <f t="shared" ca="1" si="342"/>
        <v>0.16550000000000001</v>
      </c>
      <c r="AC105" s="63">
        <f t="shared" ca="1" si="343"/>
        <v>0.16550000000000001</v>
      </c>
      <c r="AD105" s="81">
        <f t="shared" ca="1" si="344"/>
        <v>0.11799999999999999</v>
      </c>
      <c r="AE105" s="60">
        <f t="shared" ca="1" si="345"/>
        <v>1.9330000000000001</v>
      </c>
      <c r="AF105" s="60">
        <f t="shared" ca="1" si="346"/>
        <v>0.32000000000000006</v>
      </c>
      <c r="AG105" s="63">
        <f t="shared" ca="1" si="347"/>
        <v>0.16550000000000001</v>
      </c>
      <c r="AH105" s="63">
        <f t="shared" ca="1" si="348"/>
        <v>0.16550000000000001</v>
      </c>
      <c r="AI105" s="81">
        <f t="shared" ca="1" si="349"/>
        <v>7.5999999999999998E-2</v>
      </c>
      <c r="AJ105" s="60">
        <f t="shared" ca="1" si="350"/>
        <v>2.4</v>
      </c>
      <c r="AK105" s="60">
        <f t="shared" ca="1" si="351"/>
        <v>0.4</v>
      </c>
      <c r="AL105" s="63">
        <f t="shared" ca="1" si="352"/>
        <v>0.16669999999999999</v>
      </c>
      <c r="AM105" s="60">
        <f t="shared" ca="1" si="353"/>
        <v>0.16669999999999999</v>
      </c>
      <c r="AN105" s="81">
        <f t="shared" ca="1" si="354"/>
        <v>0.11899999999999999</v>
      </c>
      <c r="AO105" s="334">
        <f t="shared" ca="1" si="355"/>
        <v>0.11899999999999999</v>
      </c>
      <c r="AP105" s="344">
        <f t="shared" si="259"/>
        <v>1.6930000000000001</v>
      </c>
      <c r="AQ105" s="340">
        <f t="shared" si="356"/>
        <v>7.6786889604243902E-2</v>
      </c>
      <c r="AR105" s="58">
        <f t="shared" si="357"/>
        <v>7.6786889604243902E-2</v>
      </c>
      <c r="AS105" s="58">
        <f t="shared" si="314"/>
        <v>0.14323250485103628</v>
      </c>
      <c r="AT105" s="58">
        <f t="shared" si="314"/>
        <v>0.10769361266995207</v>
      </c>
      <c r="AU105" s="58">
        <f t="shared" si="314"/>
        <v>8.615489013596167E-2</v>
      </c>
      <c r="AV105" s="58">
        <f t="shared" si="314"/>
        <v>0.10769361266995207</v>
      </c>
      <c r="AW105" s="58">
        <f t="shared" si="58"/>
        <v>0.36185053857103894</v>
      </c>
      <c r="AX105" s="58">
        <f t="shared" si="249"/>
        <v>0.40406643473766019</v>
      </c>
      <c r="AY105" s="340">
        <f t="shared" si="260"/>
        <v>1.7</v>
      </c>
      <c r="AZ105" s="58">
        <f t="shared" si="261"/>
        <v>1</v>
      </c>
      <c r="BA105" s="58">
        <f t="shared" si="358"/>
        <v>0.58823529411764708</v>
      </c>
      <c r="BB105" s="58">
        <f t="shared" si="359"/>
        <v>0.58823529411764708</v>
      </c>
      <c r="BC105" s="58">
        <f t="shared" si="262"/>
        <v>0.33</v>
      </c>
      <c r="BD105" s="58">
        <f t="shared" si="360"/>
        <v>0.12964285714285714</v>
      </c>
      <c r="BE105" s="58">
        <f t="shared" si="263"/>
        <v>0.33</v>
      </c>
      <c r="BF105" s="58">
        <f t="shared" si="361"/>
        <v>0.12964285714285714</v>
      </c>
      <c r="BG105" s="58">
        <f t="shared" ca="1" si="264"/>
        <v>0.32000000000000006</v>
      </c>
      <c r="BH105" s="58">
        <f t="shared" ca="1" si="265"/>
        <v>0.4</v>
      </c>
      <c r="BI105" s="341">
        <f t="shared" ca="1" si="266"/>
        <v>0.11126499999999999</v>
      </c>
      <c r="BJ105" s="64">
        <f t="shared" ca="1" si="267"/>
        <v>0.20719999999999997</v>
      </c>
      <c r="BK105" s="63">
        <f t="shared" si="268"/>
        <v>2.65</v>
      </c>
      <c r="BL105" s="209">
        <f t="shared" ca="1" si="269"/>
        <v>203.26319999999996</v>
      </c>
    </row>
    <row r="106" spans="9:64" ht="16.5" thickBot="1">
      <c r="I106" s="345">
        <v>2.7</v>
      </c>
      <c r="J106" s="336">
        <f t="shared" ca="1" si="324"/>
        <v>1.9330000000000001</v>
      </c>
      <c r="K106" s="336">
        <f t="shared" ca="1" si="325"/>
        <v>0.39</v>
      </c>
      <c r="L106" s="336">
        <f t="shared" ca="1" si="326"/>
        <v>0.20180000000000001</v>
      </c>
      <c r="M106" s="336">
        <f t="shared" ca="1" si="327"/>
        <v>0.20180000000000001</v>
      </c>
      <c r="N106" s="385">
        <f t="shared" ca="1" si="328"/>
        <v>0.14399999999999999</v>
      </c>
      <c r="O106" s="336">
        <f t="shared" ca="1" si="329"/>
        <v>1.9330000000000001</v>
      </c>
      <c r="P106" s="336">
        <f t="shared" ca="1" si="330"/>
        <v>0.32000000000000006</v>
      </c>
      <c r="Q106" s="336">
        <f t="shared" ca="1" si="331"/>
        <v>0.16550000000000001</v>
      </c>
      <c r="R106" s="336">
        <f t="shared" ca="1" si="332"/>
        <v>0.16550000000000001</v>
      </c>
      <c r="S106" s="385">
        <f t="shared" ca="1" si="333"/>
        <v>7.5999999999999998E-2</v>
      </c>
      <c r="T106" s="336">
        <f t="shared" ca="1" si="334"/>
        <v>2.4</v>
      </c>
      <c r="U106" s="336">
        <f t="shared" ca="1" si="335"/>
        <v>0.49799199999999999</v>
      </c>
      <c r="V106" s="336">
        <f t="shared" ca="1" si="336"/>
        <v>0.20749999999999999</v>
      </c>
      <c r="W106" s="337">
        <f t="shared" ca="1" si="337"/>
        <v>0.20749999999999999</v>
      </c>
      <c r="X106" s="385">
        <f t="shared" ca="1" si="338"/>
        <v>0.14799999999999999</v>
      </c>
      <c r="Y106" s="338">
        <f t="shared" ca="1" si="339"/>
        <v>0.14799999999999999</v>
      </c>
      <c r="Z106" s="63">
        <f t="shared" ca="1" si="340"/>
        <v>1.9330000000000001</v>
      </c>
      <c r="AA106" s="336">
        <f t="shared" ca="1" si="341"/>
        <v>0.32000000000000006</v>
      </c>
      <c r="AB106" s="336">
        <f t="shared" ca="1" si="342"/>
        <v>0.16550000000000001</v>
      </c>
      <c r="AC106" s="336">
        <f t="shared" ca="1" si="343"/>
        <v>0.16550000000000001</v>
      </c>
      <c r="AD106" s="385">
        <f t="shared" ca="1" si="344"/>
        <v>0.11799999999999999</v>
      </c>
      <c r="AE106" s="337">
        <f t="shared" ca="1" si="345"/>
        <v>1.9330000000000001</v>
      </c>
      <c r="AF106" s="337">
        <f t="shared" ca="1" si="346"/>
        <v>0.32000000000000006</v>
      </c>
      <c r="AG106" s="336">
        <f t="shared" ca="1" si="347"/>
        <v>0.16550000000000001</v>
      </c>
      <c r="AH106" s="336">
        <f t="shared" ca="1" si="348"/>
        <v>0.16550000000000001</v>
      </c>
      <c r="AI106" s="337">
        <f t="shared" ca="1" si="349"/>
        <v>7.5999999999999998E-2</v>
      </c>
      <c r="AJ106" s="337">
        <f t="shared" ca="1" si="350"/>
        <v>2.4</v>
      </c>
      <c r="AK106" s="337">
        <f t="shared" ca="1" si="351"/>
        <v>0.4</v>
      </c>
      <c r="AL106" s="336">
        <f t="shared" ca="1" si="352"/>
        <v>0.16669999999999999</v>
      </c>
      <c r="AM106" s="337">
        <f t="shared" ca="1" si="353"/>
        <v>0.16669999999999999</v>
      </c>
      <c r="AN106" s="385">
        <f t="shared" ca="1" si="354"/>
        <v>0.11899999999999999</v>
      </c>
      <c r="AO106" s="338">
        <f t="shared" ca="1" si="355"/>
        <v>0.11899999999999999</v>
      </c>
      <c r="AP106" s="344">
        <f t="shared" si="259"/>
        <v>1.6930000000000001</v>
      </c>
      <c r="AQ106" s="342">
        <f t="shared" si="356"/>
        <v>7.6072577431273061E-2</v>
      </c>
      <c r="AR106" s="343">
        <f t="shared" si="357"/>
        <v>7.6072577431273061E-2</v>
      </c>
      <c r="AS106" s="58">
        <f t="shared" ref="AS106:AV114" si="362">$Q$5*AS$41*$Q$15*$AR106*$AH$6</f>
        <v>0.14190008049698943</v>
      </c>
      <c r="AT106" s="58">
        <f t="shared" si="362"/>
        <v>0.10669178984736047</v>
      </c>
      <c r="AU106" s="58">
        <f t="shared" si="362"/>
        <v>8.535343187788838E-2</v>
      </c>
      <c r="AV106" s="58">
        <f t="shared" si="362"/>
        <v>0.10669178984736047</v>
      </c>
      <c r="AW106" s="58">
        <f t="shared" si="58"/>
        <v>0.35848441388713115</v>
      </c>
      <c r="AX106" s="58">
        <f t="shared" si="249"/>
        <v>0.40030759550729655</v>
      </c>
      <c r="AY106" s="342">
        <f t="shared" si="260"/>
        <v>1.7</v>
      </c>
      <c r="AZ106" s="58">
        <f t="shared" si="261"/>
        <v>1</v>
      </c>
      <c r="BA106" s="343">
        <f t="shared" si="358"/>
        <v>0.58823529411764708</v>
      </c>
      <c r="BB106" s="343">
        <f t="shared" si="359"/>
        <v>0.58823529411764708</v>
      </c>
      <c r="BC106" s="58">
        <f t="shared" si="262"/>
        <v>0.33</v>
      </c>
      <c r="BD106" s="58">
        <f t="shared" si="360"/>
        <v>0.12964285714285714</v>
      </c>
      <c r="BE106" s="58">
        <f t="shared" si="263"/>
        <v>0.33</v>
      </c>
      <c r="BF106" s="58">
        <f t="shared" si="361"/>
        <v>0.12964285714285714</v>
      </c>
      <c r="BG106" s="58">
        <f t="shared" ca="1" si="264"/>
        <v>0.32000000000000006</v>
      </c>
      <c r="BH106" s="58">
        <f t="shared" ca="1" si="265"/>
        <v>0.4</v>
      </c>
      <c r="BI106" s="341">
        <f t="shared" ca="1" si="266"/>
        <v>0.11126499999999999</v>
      </c>
      <c r="BJ106" s="64">
        <f t="shared" ca="1" si="267"/>
        <v>0.20719999999999997</v>
      </c>
      <c r="BK106" s="63">
        <f t="shared" si="268"/>
        <v>2.7</v>
      </c>
      <c r="BL106" s="209">
        <f t="shared" ca="1" si="269"/>
        <v>203.26319999999996</v>
      </c>
    </row>
    <row r="107" spans="9:64" ht="16">
      <c r="I107" s="344">
        <v>2.75</v>
      </c>
      <c r="J107" s="63">
        <f t="shared" ref="J107:J108" ca="1" si="363">ROUND(IF($I107&gt;=D$17,D$12,IF($I107&gt;=F$17,D$13+(D$12-D$13)*($I107-0.6*D$17)/0.4/D$17,IF($I107&lt;E$17,D$13+(D$13-1)*($I107-E$17)/E$17,D$13))),3)</f>
        <v>1.9330000000000001</v>
      </c>
      <c r="K107" s="63">
        <f t="shared" ref="K107:K108" ca="1" si="364">IF($I107&lt;E$17,ROUND(B$17*(0.4+3*$I107/D$17),3),IF($I107&lt;=D$17,B$17,IF($I107&lt;=2.5*D$17,C$17/$I107,0.4*B$17)))</f>
        <v>0.39</v>
      </c>
      <c r="L107" s="63">
        <f t="shared" ref="L107:L108" ca="1" si="365">ROUND(K107/J107,4)</f>
        <v>0.20180000000000001</v>
      </c>
      <c r="M107" s="63">
        <f t="shared" ref="M107:M108" ca="1" si="366">IF(L107&lt;=0.3,L107,IF(L107&lt;0.8,ROUND(0.52*L107+0.144,3),0.7*L107))</f>
        <v>0.20180000000000001</v>
      </c>
      <c r="N107" s="81">
        <f t="shared" ref="N107:N108" ca="1" si="367">ROUND(B$13*M107/1.4/B$14,3)</f>
        <v>0.14399999999999999</v>
      </c>
      <c r="O107" s="63">
        <f t="shared" ref="O107:O108" ca="1" si="368">ROUND(IF($I107&gt;=D$19,D$12,IF($I107&gt;=F$19,D$13+(D$12-D$13)*($I107-0.6*D$19)/0.4/D$19,IF($I107&lt;E$19,D$13+(D$13-1)*($I107-E$19)/E$19,D$13))),3)</f>
        <v>1.9330000000000001</v>
      </c>
      <c r="P107" s="63">
        <f t="shared" ref="P107:P108" ca="1" si="369">IF($I107&lt;E$19,ROUND(B$19*(0.4+3*$I107/D$19),3),IF($I107&lt;=D$19,B$19,IF($I107&lt;=2.5*D$19,C$19/$I107,0.4*B$19)))</f>
        <v>0.32000000000000006</v>
      </c>
      <c r="Q107" s="63">
        <f t="shared" ref="Q107:Q108" ca="1" si="370">ROUND(P107/O107,4)</f>
        <v>0.16550000000000001</v>
      </c>
      <c r="R107" s="63">
        <f t="shared" ref="R107:R108" ca="1" si="371">IF(Q107&lt;=0.3,Q107,IF(Q107&lt;0.8,ROUND(0.52*Q107+0.144,3),0.7*Q107))</f>
        <v>0.16550000000000001</v>
      </c>
      <c r="S107" s="81">
        <f t="shared" ref="S107:S108" ca="1" si="372">ROUND(B$13*O107*R107/4.2/B$14,3)</f>
        <v>7.5999999999999998E-2</v>
      </c>
      <c r="T107" s="63">
        <f t="shared" ref="T107:T108" ca="1" si="373">ROUND(IF($I107&gt;=D$21,B$12,IF($I107&gt;=F$21,D$14+(B$12-D$14)*($I107-0.6*D$21)/0.4/D$21,IF($I107&lt;E$21,D$14+(D$14-1)*($I107-E$21)/E$21,D$14))),3)</f>
        <v>2.4</v>
      </c>
      <c r="U107" s="63">
        <f t="shared" ref="U107:U108" ca="1" si="374">IF($I107&lt;E$21,ROUND(B$21*(0.4+3*$I107/D$21),3),IF($I107&lt;=D$21,B$21,IF($I107&lt;=2.5*D$21,C$21/$I107,0.4*B$21)))</f>
        <v>0.49799199999999999</v>
      </c>
      <c r="V107" s="63">
        <f t="shared" ref="V107:V108" ca="1" si="375">ROUND(U107/T107,4)</f>
        <v>0.20749999999999999</v>
      </c>
      <c r="W107" s="60">
        <f t="shared" ref="W107:W108" ca="1" si="376">IF(V107&lt;=0.3,V107,IF(V107&lt;0.8,ROUND(0.52*V107+0.144,3),0.7*V107))</f>
        <v>0.20749999999999999</v>
      </c>
      <c r="X107" s="81">
        <f t="shared" ref="X107:X108" ca="1" si="377">ROUND(B$13*W107/1.4/B$14,3)</f>
        <v>0.14799999999999999</v>
      </c>
      <c r="Y107" s="334">
        <f t="shared" ref="Y107:Y108" ca="1" si="378">MAX(X107,S107,N107)</f>
        <v>0.14799999999999999</v>
      </c>
      <c r="Z107" s="63">
        <f t="shared" ref="Z107:Z108" ca="1" si="379">ROUND(IF($I107&gt;=K$17,D$12,IF($I107&gt;=M$17,D$13+(D$12-D$13)*($I107-0.6*K$17)/0.4/K$17,IF($I107&lt;L$17,D$13+(D$13-1)*($I107-L$17)/L$17,D$13))),3)</f>
        <v>1.9330000000000001</v>
      </c>
      <c r="AA107" s="63">
        <f t="shared" ref="AA107:AA108" ca="1" si="380">IF($I107&lt;L$17,ROUND(I$17*(0.4+3*$I107/K$17),3),IF($I107&lt;=K$17,I$17,IF($I107&lt;=2.5*K$17,J$17/$I107,0.4*I$17)))</f>
        <v>0.32000000000000006</v>
      </c>
      <c r="AB107" s="63">
        <f t="shared" ref="AB107:AB108" ca="1" si="381">ROUND(AA107/Z107,4)</f>
        <v>0.16550000000000001</v>
      </c>
      <c r="AC107" s="63">
        <f t="shared" ref="AC107:AC108" ca="1" si="382">IF(AB107&lt;=0.3,AB107,IF(AB107&lt;0.8,ROUND(0.52*AB107+0.144,3),0.7*AB107))</f>
        <v>0.16550000000000001</v>
      </c>
      <c r="AD107" s="81">
        <f t="shared" ref="AD107:AD108" ca="1" si="383">ROUND(B$13*AC107/1.4/B$14,3)</f>
        <v>0.11799999999999999</v>
      </c>
      <c r="AE107" s="60">
        <f t="shared" ref="AE107:AE108" ca="1" si="384">ROUND(IF($I107&gt;=K$19,D$12,IF($I107&gt;=M$19,D$13+(D$12-D$13)*($I107-0.6*K$19)/0.4/K$19,IF($I107&lt;L$19,D$13+(D$13-1)*($I107-L$19)/L$19,D$13))),3)</f>
        <v>1.9330000000000001</v>
      </c>
      <c r="AF107" s="60">
        <f t="shared" ref="AF107:AF108" ca="1" si="385">IF($I107&lt;L$19,ROUND(I$19*(0.4+3*$I107/K$19),3),IF($I107&lt;=K$19,I$19,IF($I107&lt;=2.5*K$19,J$19/$I107,0.4*I$19)))</f>
        <v>0.32000000000000006</v>
      </c>
      <c r="AG107" s="63">
        <f t="shared" ref="AG107:AG108" ca="1" si="386">ROUND(AF107/AE107,4)</f>
        <v>0.16550000000000001</v>
      </c>
      <c r="AH107" s="63">
        <f t="shared" ref="AH107:AH108" ca="1" si="387">IF(AG107&lt;=0.3,AG107,IF(AG107&lt;0.8,ROUND(0.52*AG107+0.144,3),0.7*AG107))</f>
        <v>0.16550000000000001</v>
      </c>
      <c r="AI107" s="81">
        <f t="shared" ref="AI107:AI108" ca="1" si="388">ROUND(B$13*AE107*AH107/4.2/B$14,3)</f>
        <v>7.5999999999999998E-2</v>
      </c>
      <c r="AJ107" s="60">
        <f t="shared" ref="AJ107:AJ108" ca="1" si="389">ROUND(IF($I107&gt;=K$21,B$12,IF($I107&gt;=M$21,D$14+(B$12-D$14)*($I107-0.6*K$21)/0.4/K$21,IF($I107&lt;L$21,D$14+(D$14-1)*($I107-L$21)/L$21,D$14))),3)</f>
        <v>2.4</v>
      </c>
      <c r="AK107" s="60">
        <f t="shared" ref="AK107:AK108" ca="1" si="390">IF($I107&lt;L$21,ROUND(I$21*(0.4+3*$I107/K$21),3),IF($I107&lt;=K$21,I$21,IF($I107&lt;=2.5*K$21,J$21/$I107,0.4*I$21)))</f>
        <v>0.4</v>
      </c>
      <c r="AL107" s="63">
        <f t="shared" ref="AL107:AL108" ca="1" si="391">ROUND(AK107/AJ107,4)</f>
        <v>0.16669999999999999</v>
      </c>
      <c r="AM107" s="60">
        <f t="shared" ref="AM107:AM108" ca="1" si="392">IF(AL107&lt;=0.3,AL107,IF(AL107&lt;0.8,ROUND(0.52*AL107+0.144,3),0.7*AL107))</f>
        <v>0.16669999999999999</v>
      </c>
      <c r="AN107" s="81">
        <f t="shared" ref="AN107:AN108" ca="1" si="393">ROUND(B$13*AM107/1.4/B$14,3)</f>
        <v>0.11899999999999999</v>
      </c>
      <c r="AO107" s="334">
        <f t="shared" ref="AO107:AO108" ca="1" si="394">MAX(AN107,AI107,AD107)</f>
        <v>0.11899999999999999</v>
      </c>
      <c r="AP107" s="344">
        <f t="shared" ref="AP107:AP114" si="395">ROUND(IF($I107&gt;=AX$38,D$13,IF($I107&lt;AX$39,D$13+(D$13-1)*($I107-AX$39)/AX$39,D$13)),3)</f>
        <v>1.6930000000000001</v>
      </c>
      <c r="AQ107" s="340">
        <f t="shared" ref="AQ107:AQ108" si="396">1/8/I107^0.5</f>
        <v>7.5377836144440907E-2</v>
      </c>
      <c r="AR107" s="58">
        <f t="shared" ref="AR107:AR108" si="397">IF(AQ107&gt;0.15,0.15,IF(AQ107&lt;0.0625,0.0625,AQ107))</f>
        <v>7.5377836144440907E-2</v>
      </c>
      <c r="AS107" s="58">
        <f t="shared" si="314"/>
        <v>0.14060416220612926</v>
      </c>
      <c r="AT107" s="58">
        <f t="shared" si="314"/>
        <v>0.10571741519257838</v>
      </c>
      <c r="AU107" s="58">
        <f t="shared" si="314"/>
        <v>8.4573932154062711E-2</v>
      </c>
      <c r="AV107" s="58">
        <f t="shared" si="314"/>
        <v>0.10571741519257838</v>
      </c>
      <c r="AW107" s="58">
        <f t="shared" si="58"/>
        <v>0.3552105150470633</v>
      </c>
      <c r="AX107" s="58">
        <f t="shared" si="249"/>
        <v>0.39665174180255408</v>
      </c>
      <c r="AY107" s="340">
        <f t="shared" ref="AY107:AY114" si="398">IF(I107&gt;0.611,$T$12,IF(I107&gt;0.406,AE$5+($T$12-AE$5)*(I107-0.406)/0.205,IF(I107&gt;0.2,AE$5,IF(I107&gt;0.03,AE$5+(AE$5-1)*(I107-0.2)/0.17,1))))</f>
        <v>1.7</v>
      </c>
      <c r="AZ107" s="58">
        <f t="shared" ref="AZ107:AZ114" si="399">IF(I107&lt;=S$17,1,IF(I107&lt;T$17,X$17*I107+Y$17,IF(I107&lt;U$17,Z$17,IF(I107&lt;V$17,AA$17/I107^(AB$17),1))))</f>
        <v>1</v>
      </c>
      <c r="BA107" s="58">
        <f t="shared" ref="BA107:BA108" si="400">AZ107/AY107</f>
        <v>0.58823529411764708</v>
      </c>
      <c r="BB107" s="58">
        <f t="shared" ref="BB107:BB108" si="401">IF(BA107&gt;1,1,BA107)</f>
        <v>0.58823529411764708</v>
      </c>
      <c r="BC107" s="58">
        <f t="shared" ref="BC107:BC114" si="402">AZ107*T$5</f>
        <v>0.33</v>
      </c>
      <c r="BD107" s="58">
        <f t="shared" ref="BD107:BD108" si="403">$T$5*$T$11*BB107/1.4/$T$6*$AH$6</f>
        <v>0.12964285714285714</v>
      </c>
      <c r="BE107" s="58">
        <f t="shared" ref="BE107:BE114" si="404">AZ107*AD$5</f>
        <v>0.33</v>
      </c>
      <c r="BF107" s="58">
        <f t="shared" ref="BF107:BF108" si="405">$V$5*$V$11*BB107/1.4/$V$6*$AH$6</f>
        <v>0.12964285714285714</v>
      </c>
      <c r="BG107" s="58">
        <f t="shared" ref="BG107:BG114" ca="1" si="406">AA107</f>
        <v>0.32000000000000006</v>
      </c>
      <c r="BH107" s="58">
        <f t="shared" ref="BH107:BH114" ca="1" si="407">AK107</f>
        <v>0.4</v>
      </c>
      <c r="BI107" s="341">
        <f t="shared" ref="BI107:BI114" ca="1" si="408">AO107/1.5*$AH$6</f>
        <v>0.11126499999999999</v>
      </c>
      <c r="BJ107" s="64">
        <f t="shared" ref="BJ107:BJ114" ca="1" si="409">Y107/B$13*1.4</f>
        <v>0.20719999999999997</v>
      </c>
      <c r="BK107" s="63">
        <f t="shared" ref="BK107:BK114" si="410">I107</f>
        <v>2.75</v>
      </c>
      <c r="BL107" s="209">
        <f t="shared" ref="BL107:BL114" ca="1" si="411">BJ107*U$39</f>
        <v>203.26319999999996</v>
      </c>
    </row>
    <row r="108" spans="9:64" ht="16.5" thickBot="1">
      <c r="I108" s="345">
        <v>2.8</v>
      </c>
      <c r="J108" s="336">
        <f t="shared" ca="1" si="363"/>
        <v>1.9330000000000001</v>
      </c>
      <c r="K108" s="336">
        <f t="shared" ca="1" si="364"/>
        <v>0.39</v>
      </c>
      <c r="L108" s="336">
        <f t="shared" ca="1" si="365"/>
        <v>0.20180000000000001</v>
      </c>
      <c r="M108" s="336">
        <f t="shared" ca="1" si="366"/>
        <v>0.20180000000000001</v>
      </c>
      <c r="N108" s="385">
        <f t="shared" ca="1" si="367"/>
        <v>0.14399999999999999</v>
      </c>
      <c r="O108" s="336">
        <f t="shared" ca="1" si="368"/>
        <v>1.9330000000000001</v>
      </c>
      <c r="P108" s="336">
        <f t="shared" ca="1" si="369"/>
        <v>0.32000000000000006</v>
      </c>
      <c r="Q108" s="336">
        <f t="shared" ca="1" si="370"/>
        <v>0.16550000000000001</v>
      </c>
      <c r="R108" s="336">
        <f t="shared" ca="1" si="371"/>
        <v>0.16550000000000001</v>
      </c>
      <c r="S108" s="385">
        <f t="shared" ca="1" si="372"/>
        <v>7.5999999999999998E-2</v>
      </c>
      <c r="T108" s="336">
        <f t="shared" ca="1" si="373"/>
        <v>2.4</v>
      </c>
      <c r="U108" s="336">
        <f t="shared" ca="1" si="374"/>
        <v>0.49799199999999999</v>
      </c>
      <c r="V108" s="336">
        <f t="shared" ca="1" si="375"/>
        <v>0.20749999999999999</v>
      </c>
      <c r="W108" s="337">
        <f t="shared" ca="1" si="376"/>
        <v>0.20749999999999999</v>
      </c>
      <c r="X108" s="385">
        <f t="shared" ca="1" si="377"/>
        <v>0.14799999999999999</v>
      </c>
      <c r="Y108" s="338">
        <f t="shared" ca="1" si="378"/>
        <v>0.14799999999999999</v>
      </c>
      <c r="Z108" s="63">
        <f t="shared" ca="1" si="379"/>
        <v>1.9330000000000001</v>
      </c>
      <c r="AA108" s="336">
        <f t="shared" ca="1" si="380"/>
        <v>0.32000000000000006</v>
      </c>
      <c r="AB108" s="336">
        <f t="shared" ca="1" si="381"/>
        <v>0.16550000000000001</v>
      </c>
      <c r="AC108" s="336">
        <f t="shared" ca="1" si="382"/>
        <v>0.16550000000000001</v>
      </c>
      <c r="AD108" s="385">
        <f t="shared" ca="1" si="383"/>
        <v>0.11799999999999999</v>
      </c>
      <c r="AE108" s="337">
        <f t="shared" ca="1" si="384"/>
        <v>1.9330000000000001</v>
      </c>
      <c r="AF108" s="337">
        <f t="shared" ca="1" si="385"/>
        <v>0.32000000000000006</v>
      </c>
      <c r="AG108" s="336">
        <f t="shared" ca="1" si="386"/>
        <v>0.16550000000000001</v>
      </c>
      <c r="AH108" s="336">
        <f t="shared" ca="1" si="387"/>
        <v>0.16550000000000001</v>
      </c>
      <c r="AI108" s="337">
        <f t="shared" ca="1" si="388"/>
        <v>7.5999999999999998E-2</v>
      </c>
      <c r="AJ108" s="337">
        <f t="shared" ca="1" si="389"/>
        <v>2.4</v>
      </c>
      <c r="AK108" s="337">
        <f t="shared" ca="1" si="390"/>
        <v>0.4</v>
      </c>
      <c r="AL108" s="336">
        <f t="shared" ca="1" si="391"/>
        <v>0.16669999999999999</v>
      </c>
      <c r="AM108" s="337">
        <f t="shared" ca="1" si="392"/>
        <v>0.16669999999999999</v>
      </c>
      <c r="AN108" s="385">
        <f t="shared" ca="1" si="393"/>
        <v>0.11899999999999999</v>
      </c>
      <c r="AO108" s="338">
        <f t="shared" ca="1" si="394"/>
        <v>0.11899999999999999</v>
      </c>
      <c r="AP108" s="344">
        <f t="shared" si="395"/>
        <v>1.6930000000000001</v>
      </c>
      <c r="AQ108" s="342">
        <f t="shared" si="396"/>
        <v>7.4701788083399598E-2</v>
      </c>
      <c r="AR108" s="343">
        <f t="shared" si="397"/>
        <v>7.4701788083399598E-2</v>
      </c>
      <c r="AS108" s="58">
        <f t="shared" si="362"/>
        <v>0.13934311285666737</v>
      </c>
      <c r="AT108" s="58">
        <f t="shared" si="362"/>
        <v>0.10476925778696794</v>
      </c>
      <c r="AU108" s="58">
        <f t="shared" si="362"/>
        <v>8.3815406229574355E-2</v>
      </c>
      <c r="AV108" s="58">
        <f t="shared" si="362"/>
        <v>0.10476925778696794</v>
      </c>
      <c r="AW108" s="58">
        <f t="shared" ref="AW108:AW114" si="412">$AH$6*$Q$5*AW$41*$AR108*1.4*AW$40</f>
        <v>0.35202470616421228</v>
      </c>
      <c r="AX108" s="58">
        <f t="shared" ref="AX108:AX114" si="413">$AH$6*$Q$5*AX$41*$AR108*1.4*AX$40</f>
        <v>0.39309425521670371</v>
      </c>
      <c r="AY108" s="342">
        <f t="shared" si="398"/>
        <v>1.7</v>
      </c>
      <c r="AZ108" s="58">
        <f t="shared" si="399"/>
        <v>1</v>
      </c>
      <c r="BA108" s="343">
        <f t="shared" si="400"/>
        <v>0.58823529411764708</v>
      </c>
      <c r="BB108" s="343">
        <f t="shared" si="401"/>
        <v>0.58823529411764708</v>
      </c>
      <c r="BC108" s="58">
        <f t="shared" si="402"/>
        <v>0.33</v>
      </c>
      <c r="BD108" s="58">
        <f t="shared" si="403"/>
        <v>0.12964285714285714</v>
      </c>
      <c r="BE108" s="58">
        <f t="shared" si="404"/>
        <v>0.33</v>
      </c>
      <c r="BF108" s="58">
        <f t="shared" si="405"/>
        <v>0.12964285714285714</v>
      </c>
      <c r="BG108" s="58">
        <f t="shared" ca="1" si="406"/>
        <v>0.32000000000000006</v>
      </c>
      <c r="BH108" s="58">
        <f t="shared" ca="1" si="407"/>
        <v>0.4</v>
      </c>
      <c r="BI108" s="341">
        <f t="shared" ca="1" si="408"/>
        <v>0.11126499999999999</v>
      </c>
      <c r="BJ108" s="64">
        <f t="shared" ca="1" si="409"/>
        <v>0.20719999999999997</v>
      </c>
      <c r="BK108" s="63">
        <f t="shared" si="410"/>
        <v>2.8</v>
      </c>
      <c r="BL108" s="209">
        <f t="shared" ca="1" si="411"/>
        <v>203.26319999999996</v>
      </c>
    </row>
    <row r="109" spans="9:64" ht="16">
      <c r="I109" s="344">
        <v>2.85</v>
      </c>
      <c r="J109" s="63">
        <f t="shared" ref="J109:J114" ca="1" si="414">ROUND(IF($I109&gt;=D$17,D$12,IF($I109&gt;=F$17,D$13+(D$12-D$13)*($I109-0.6*D$17)/0.4/D$17,IF($I109&lt;E$17,D$13+(D$13-1)*($I109-E$17)/E$17,D$13))),3)</f>
        <v>1.9330000000000001</v>
      </c>
      <c r="K109" s="63">
        <f t="shared" ref="K109:K114" ca="1" si="415">IF($I109&lt;E$17,ROUND(B$17*(0.4+3*$I109/D$17),3),IF($I109&lt;=D$17,B$17,IF($I109&lt;=2.5*D$17,C$17/$I109,0.4*B$17)))</f>
        <v>0.39</v>
      </c>
      <c r="L109" s="63">
        <f t="shared" ref="L109:L114" ca="1" si="416">ROUND(K109/J109,4)</f>
        <v>0.20180000000000001</v>
      </c>
      <c r="M109" s="63">
        <f t="shared" ref="M109:M114" ca="1" si="417">IF(L109&lt;=0.3,L109,IF(L109&lt;0.8,ROUND(0.52*L109+0.144,3),0.7*L109))</f>
        <v>0.20180000000000001</v>
      </c>
      <c r="N109" s="81">
        <f t="shared" ref="N109:N114" ca="1" si="418">ROUND(B$13*M109/1.4/B$14,3)</f>
        <v>0.14399999999999999</v>
      </c>
      <c r="O109" s="63">
        <f t="shared" ref="O109:O114" ca="1" si="419">ROUND(IF($I109&gt;=D$19,D$12,IF($I109&gt;=F$19,D$13+(D$12-D$13)*($I109-0.6*D$19)/0.4/D$19,IF($I109&lt;E$19,D$13+(D$13-1)*($I109-E$19)/E$19,D$13))),3)</f>
        <v>1.9330000000000001</v>
      </c>
      <c r="P109" s="63">
        <f t="shared" ref="P109:P114" ca="1" si="420">IF($I109&lt;E$19,ROUND(B$19*(0.4+3*$I109/D$19),3),IF($I109&lt;=D$19,B$19,IF($I109&lt;=2.5*D$19,C$19/$I109,0.4*B$19)))</f>
        <v>0.32000000000000006</v>
      </c>
      <c r="Q109" s="63">
        <f t="shared" ref="Q109:Q114" ca="1" si="421">ROUND(P109/O109,4)</f>
        <v>0.16550000000000001</v>
      </c>
      <c r="R109" s="63">
        <f t="shared" ref="R109:R114" ca="1" si="422">IF(Q109&lt;=0.3,Q109,IF(Q109&lt;0.8,ROUND(0.52*Q109+0.144,3),0.7*Q109))</f>
        <v>0.16550000000000001</v>
      </c>
      <c r="S109" s="81">
        <f t="shared" ref="S109:S114" ca="1" si="423">ROUND(B$13*O109*R109/4.2/B$14,3)</f>
        <v>7.5999999999999998E-2</v>
      </c>
      <c r="T109" s="63">
        <f t="shared" ref="T109:T114" ca="1" si="424">ROUND(IF($I109&gt;=D$21,B$12,IF($I109&gt;=F$21,D$14+(B$12-D$14)*($I109-0.6*D$21)/0.4/D$21,IF($I109&lt;E$21,D$14+(D$14-1)*($I109-E$21)/E$21,D$14))),3)</f>
        <v>2.4</v>
      </c>
      <c r="U109" s="63">
        <f t="shared" ref="U109:U114" ca="1" si="425">IF($I109&lt;E$21,ROUND(B$21*(0.4+3*$I109/D$21),3),IF($I109&lt;=D$21,B$21,IF($I109&lt;=2.5*D$21,C$21/$I109,0.4*B$21)))</f>
        <v>0.49799199999999999</v>
      </c>
      <c r="V109" s="63">
        <f t="shared" ref="V109:V114" ca="1" si="426">ROUND(U109/T109,4)</f>
        <v>0.20749999999999999</v>
      </c>
      <c r="W109" s="60">
        <f t="shared" ref="W109:W114" ca="1" si="427">IF(V109&lt;=0.3,V109,IF(V109&lt;0.8,ROUND(0.52*V109+0.144,3),0.7*V109))</f>
        <v>0.20749999999999999</v>
      </c>
      <c r="X109" s="81">
        <f t="shared" ref="X109:X114" ca="1" si="428">ROUND(B$13*W109/1.4/B$14,3)</f>
        <v>0.14799999999999999</v>
      </c>
      <c r="Y109" s="334">
        <f t="shared" ref="Y109:Y114" ca="1" si="429">MAX(X109,S109,N109)</f>
        <v>0.14799999999999999</v>
      </c>
      <c r="Z109" s="63">
        <f t="shared" ref="Z109:Z114" ca="1" si="430">ROUND(IF($I109&gt;=K$17,D$12,IF($I109&gt;=M$17,D$13+(D$12-D$13)*($I109-0.6*K$17)/0.4/K$17,IF($I109&lt;L$17,D$13+(D$13-1)*($I109-L$17)/L$17,D$13))),3)</f>
        <v>1.9330000000000001</v>
      </c>
      <c r="AA109" s="63">
        <f t="shared" ref="AA109:AA114" ca="1" si="431">IF($I109&lt;L$17,ROUND(I$17*(0.4+3*$I109/K$17),3),IF($I109&lt;=K$17,I$17,IF($I109&lt;=2.5*K$17,J$17/$I109,0.4*I$17)))</f>
        <v>0.32000000000000006</v>
      </c>
      <c r="AB109" s="63">
        <f t="shared" ref="AB109:AB114" ca="1" si="432">ROUND(AA109/Z109,4)</f>
        <v>0.16550000000000001</v>
      </c>
      <c r="AC109" s="63">
        <f t="shared" ref="AC109:AC114" ca="1" si="433">IF(AB109&lt;=0.3,AB109,IF(AB109&lt;0.8,ROUND(0.52*AB109+0.144,3),0.7*AB109))</f>
        <v>0.16550000000000001</v>
      </c>
      <c r="AD109" s="81">
        <f t="shared" ref="AD109:AD114" ca="1" si="434">ROUND(B$13*AC109/1.4/B$14,3)</f>
        <v>0.11799999999999999</v>
      </c>
      <c r="AE109" s="60">
        <f t="shared" ref="AE109:AE114" ca="1" si="435">ROUND(IF($I109&gt;=K$19,D$12,IF($I109&gt;=M$19,D$13+(D$12-D$13)*($I109-0.6*K$19)/0.4/K$19,IF($I109&lt;L$19,D$13+(D$13-1)*($I109-L$19)/L$19,D$13))),3)</f>
        <v>1.9330000000000001</v>
      </c>
      <c r="AF109" s="60">
        <f t="shared" ref="AF109:AF114" ca="1" si="436">IF($I109&lt;L$19,ROUND(I$19*(0.4+3*$I109/K$19),3),IF($I109&lt;=K$19,I$19,IF($I109&lt;=2.5*K$19,J$19/$I109,0.4*I$19)))</f>
        <v>0.32000000000000006</v>
      </c>
      <c r="AG109" s="63">
        <f t="shared" ref="AG109:AG114" ca="1" si="437">ROUND(AF109/AE109,4)</f>
        <v>0.16550000000000001</v>
      </c>
      <c r="AH109" s="63">
        <f t="shared" ref="AH109:AH114" ca="1" si="438">IF(AG109&lt;=0.3,AG109,IF(AG109&lt;0.8,ROUND(0.52*AG109+0.144,3),0.7*AG109))</f>
        <v>0.16550000000000001</v>
      </c>
      <c r="AI109" s="81">
        <f t="shared" ref="AI109:AI114" ca="1" si="439">ROUND(B$13*AE109*AH109/4.2/B$14,3)</f>
        <v>7.5999999999999998E-2</v>
      </c>
      <c r="AJ109" s="60">
        <f t="shared" ref="AJ109:AJ114" ca="1" si="440">ROUND(IF($I109&gt;=K$21,B$12,IF($I109&gt;=M$21,D$14+(B$12-D$14)*($I109-0.6*K$21)/0.4/K$21,IF($I109&lt;L$21,D$14+(D$14-1)*($I109-L$21)/L$21,D$14))),3)</f>
        <v>2.4</v>
      </c>
      <c r="AK109" s="60">
        <f t="shared" ref="AK109:AK114" ca="1" si="441">IF($I109&lt;L$21,ROUND(I$21*(0.4+3*$I109/K$21),3),IF($I109&lt;=K$21,I$21,IF($I109&lt;=2.5*K$21,J$21/$I109,0.4*I$21)))</f>
        <v>0.4</v>
      </c>
      <c r="AL109" s="63">
        <f t="shared" ref="AL109:AL114" ca="1" si="442">ROUND(AK109/AJ109,4)</f>
        <v>0.16669999999999999</v>
      </c>
      <c r="AM109" s="60">
        <f t="shared" ref="AM109:AM114" ca="1" si="443">IF(AL109&lt;=0.3,AL109,IF(AL109&lt;0.8,ROUND(0.52*AL109+0.144,3),0.7*AL109))</f>
        <v>0.16669999999999999</v>
      </c>
      <c r="AN109" s="81">
        <f t="shared" ref="AN109:AN114" ca="1" si="444">ROUND(B$13*AM109/1.4/B$14,3)</f>
        <v>0.11899999999999999</v>
      </c>
      <c r="AO109" s="334">
        <f t="shared" ref="AO109:AO114" ca="1" si="445">MAX(AN109,AI109,AD109)</f>
        <v>0.11899999999999999</v>
      </c>
      <c r="AP109" s="344">
        <f t="shared" si="395"/>
        <v>1.6930000000000001</v>
      </c>
      <c r="AQ109" s="340">
        <f t="shared" ref="AQ109:AQ114" si="446">1/8/I109^0.5</f>
        <v>7.4043609719886536E-2</v>
      </c>
      <c r="AR109" s="58">
        <f t="shared" ref="AR109:AR114" si="447">IF(AQ109&gt;0.15,0.15,IF(AQ109&lt;0.0625,0.0625,AQ109))</f>
        <v>7.4043609719886536E-2</v>
      </c>
      <c r="AS109" s="58">
        <f t="shared" si="314"/>
        <v>0.13811539630074737</v>
      </c>
      <c r="AT109" s="58">
        <f t="shared" si="314"/>
        <v>0.10384616263214087</v>
      </c>
      <c r="AU109" s="58">
        <f t="shared" si="314"/>
        <v>8.307693010571271E-2</v>
      </c>
      <c r="AV109" s="58">
        <f t="shared" si="314"/>
        <v>0.10384616263214087</v>
      </c>
      <c r="AW109" s="58">
        <f t="shared" si="412"/>
        <v>0.34892310644399332</v>
      </c>
      <c r="AX109" s="58">
        <f t="shared" si="249"/>
        <v>0.38963080219579255</v>
      </c>
      <c r="AY109" s="340">
        <f t="shared" si="398"/>
        <v>1.7</v>
      </c>
      <c r="AZ109" s="58">
        <f t="shared" si="399"/>
        <v>1</v>
      </c>
      <c r="BA109" s="58">
        <f t="shared" ref="BA109:BA114" si="448">AZ109/AY109</f>
        <v>0.58823529411764708</v>
      </c>
      <c r="BB109" s="58">
        <f t="shared" ref="BB109:BB114" si="449">IF(BA109&gt;1,1,BA109)</f>
        <v>0.58823529411764708</v>
      </c>
      <c r="BC109" s="58">
        <f t="shared" si="402"/>
        <v>0.33</v>
      </c>
      <c r="BD109" s="58">
        <f t="shared" ref="BD109:BD114" si="450">$T$5*$T$11*BB109/1.4/$T$6*$AH$6</f>
        <v>0.12964285714285714</v>
      </c>
      <c r="BE109" s="58">
        <f t="shared" si="404"/>
        <v>0.33</v>
      </c>
      <c r="BF109" s="58">
        <f t="shared" ref="BF109:BF114" si="451">$V$5*$V$11*BB109/1.4/$V$6*$AH$6</f>
        <v>0.12964285714285714</v>
      </c>
      <c r="BG109" s="58">
        <f t="shared" ca="1" si="406"/>
        <v>0.32000000000000006</v>
      </c>
      <c r="BH109" s="58">
        <f t="shared" ca="1" si="407"/>
        <v>0.4</v>
      </c>
      <c r="BI109" s="341">
        <f t="shared" ca="1" si="408"/>
        <v>0.11126499999999999</v>
      </c>
      <c r="BJ109" s="64">
        <f t="shared" ca="1" si="409"/>
        <v>0.20719999999999997</v>
      </c>
      <c r="BK109" s="63">
        <f t="shared" si="410"/>
        <v>2.85</v>
      </c>
      <c r="BL109" s="209">
        <f t="shared" ca="1" si="411"/>
        <v>203.26319999999996</v>
      </c>
    </row>
    <row r="110" spans="9:64" ht="16.5" thickBot="1">
      <c r="I110" s="345">
        <v>2.9</v>
      </c>
      <c r="J110" s="336">
        <f t="shared" ca="1" si="414"/>
        <v>1.9330000000000001</v>
      </c>
      <c r="K110" s="336">
        <f t="shared" ca="1" si="415"/>
        <v>0.39</v>
      </c>
      <c r="L110" s="336">
        <f t="shared" ca="1" si="416"/>
        <v>0.20180000000000001</v>
      </c>
      <c r="M110" s="336">
        <f t="shared" ca="1" si="417"/>
        <v>0.20180000000000001</v>
      </c>
      <c r="N110" s="385">
        <f t="shared" ca="1" si="418"/>
        <v>0.14399999999999999</v>
      </c>
      <c r="O110" s="336">
        <f t="shared" ca="1" si="419"/>
        <v>1.9330000000000001</v>
      </c>
      <c r="P110" s="336">
        <f t="shared" ca="1" si="420"/>
        <v>0.32000000000000006</v>
      </c>
      <c r="Q110" s="336">
        <f t="shared" ca="1" si="421"/>
        <v>0.16550000000000001</v>
      </c>
      <c r="R110" s="336">
        <f t="shared" ca="1" si="422"/>
        <v>0.16550000000000001</v>
      </c>
      <c r="S110" s="385">
        <f t="shared" ca="1" si="423"/>
        <v>7.5999999999999998E-2</v>
      </c>
      <c r="T110" s="336">
        <f t="shared" ca="1" si="424"/>
        <v>2.4</v>
      </c>
      <c r="U110" s="336">
        <f t="shared" ca="1" si="425"/>
        <v>0.49799199999999999</v>
      </c>
      <c r="V110" s="336">
        <f t="shared" ca="1" si="426"/>
        <v>0.20749999999999999</v>
      </c>
      <c r="W110" s="337">
        <f t="shared" ca="1" si="427"/>
        <v>0.20749999999999999</v>
      </c>
      <c r="X110" s="385">
        <f t="shared" ca="1" si="428"/>
        <v>0.14799999999999999</v>
      </c>
      <c r="Y110" s="338">
        <f t="shared" ca="1" si="429"/>
        <v>0.14799999999999999</v>
      </c>
      <c r="Z110" s="63">
        <f t="shared" ca="1" si="430"/>
        <v>1.9330000000000001</v>
      </c>
      <c r="AA110" s="336">
        <f t="shared" ca="1" si="431"/>
        <v>0.32000000000000006</v>
      </c>
      <c r="AB110" s="336">
        <f t="shared" ca="1" si="432"/>
        <v>0.16550000000000001</v>
      </c>
      <c r="AC110" s="336">
        <f t="shared" ca="1" si="433"/>
        <v>0.16550000000000001</v>
      </c>
      <c r="AD110" s="385">
        <f t="shared" ca="1" si="434"/>
        <v>0.11799999999999999</v>
      </c>
      <c r="AE110" s="337">
        <f t="shared" ca="1" si="435"/>
        <v>1.9330000000000001</v>
      </c>
      <c r="AF110" s="337">
        <f t="shared" ca="1" si="436"/>
        <v>0.32000000000000006</v>
      </c>
      <c r="AG110" s="336">
        <f t="shared" ca="1" si="437"/>
        <v>0.16550000000000001</v>
      </c>
      <c r="AH110" s="336">
        <f t="shared" ca="1" si="438"/>
        <v>0.16550000000000001</v>
      </c>
      <c r="AI110" s="337">
        <f t="shared" ca="1" si="439"/>
        <v>7.5999999999999998E-2</v>
      </c>
      <c r="AJ110" s="337">
        <f t="shared" ca="1" si="440"/>
        <v>2.4</v>
      </c>
      <c r="AK110" s="337">
        <f t="shared" ca="1" si="441"/>
        <v>0.4</v>
      </c>
      <c r="AL110" s="336">
        <f t="shared" ca="1" si="442"/>
        <v>0.16669999999999999</v>
      </c>
      <c r="AM110" s="337">
        <f t="shared" ca="1" si="443"/>
        <v>0.16669999999999999</v>
      </c>
      <c r="AN110" s="385">
        <f t="shared" ca="1" si="444"/>
        <v>0.11899999999999999</v>
      </c>
      <c r="AO110" s="338">
        <f t="shared" ca="1" si="445"/>
        <v>0.11899999999999999</v>
      </c>
      <c r="AP110" s="344">
        <f t="shared" si="395"/>
        <v>1.6930000000000001</v>
      </c>
      <c r="AQ110" s="342">
        <f t="shared" si="446"/>
        <v>7.3402527439337936E-2</v>
      </c>
      <c r="AR110" s="343">
        <f t="shared" si="447"/>
        <v>7.3402527439337936E-2</v>
      </c>
      <c r="AS110" s="58">
        <f t="shared" si="362"/>
        <v>0.13691956949578304</v>
      </c>
      <c r="AT110" s="58">
        <f t="shared" si="362"/>
        <v>0.10294704473367146</v>
      </c>
      <c r="AU110" s="58">
        <f t="shared" si="362"/>
        <v>8.2357635786937181E-2</v>
      </c>
      <c r="AV110" s="58">
        <f t="shared" si="362"/>
        <v>0.10294704473367146</v>
      </c>
      <c r="AW110" s="58">
        <f t="shared" si="412"/>
        <v>0.34590207030513603</v>
      </c>
      <c r="AX110" s="58">
        <f t="shared" si="413"/>
        <v>0.38625731184073536</v>
      </c>
      <c r="AY110" s="342">
        <f t="shared" si="398"/>
        <v>1.7</v>
      </c>
      <c r="AZ110" s="58">
        <f t="shared" si="399"/>
        <v>1</v>
      </c>
      <c r="BA110" s="343">
        <f t="shared" si="448"/>
        <v>0.58823529411764708</v>
      </c>
      <c r="BB110" s="343">
        <f t="shared" si="449"/>
        <v>0.58823529411764708</v>
      </c>
      <c r="BC110" s="58">
        <f t="shared" si="402"/>
        <v>0.33</v>
      </c>
      <c r="BD110" s="58">
        <f t="shared" si="450"/>
        <v>0.12964285714285714</v>
      </c>
      <c r="BE110" s="58">
        <f t="shared" si="404"/>
        <v>0.33</v>
      </c>
      <c r="BF110" s="58">
        <f t="shared" si="451"/>
        <v>0.12964285714285714</v>
      </c>
      <c r="BG110" s="58">
        <f t="shared" ca="1" si="406"/>
        <v>0.32000000000000006</v>
      </c>
      <c r="BH110" s="58">
        <f t="shared" ca="1" si="407"/>
        <v>0.4</v>
      </c>
      <c r="BI110" s="341">
        <f t="shared" ca="1" si="408"/>
        <v>0.11126499999999999</v>
      </c>
      <c r="BJ110" s="64">
        <f t="shared" ca="1" si="409"/>
        <v>0.20719999999999997</v>
      </c>
      <c r="BK110" s="63">
        <f t="shared" si="410"/>
        <v>2.9</v>
      </c>
      <c r="BL110" s="209">
        <f t="shared" ca="1" si="411"/>
        <v>203.26319999999996</v>
      </c>
    </row>
    <row r="111" spans="9:64" ht="16">
      <c r="I111" s="344">
        <v>2.95</v>
      </c>
      <c r="J111" s="63">
        <f t="shared" ca="1" si="414"/>
        <v>1.9330000000000001</v>
      </c>
      <c r="K111" s="63">
        <f t="shared" ca="1" si="415"/>
        <v>0.39</v>
      </c>
      <c r="L111" s="63">
        <f t="shared" ca="1" si="416"/>
        <v>0.20180000000000001</v>
      </c>
      <c r="M111" s="63">
        <f t="shared" ca="1" si="417"/>
        <v>0.20180000000000001</v>
      </c>
      <c r="N111" s="81">
        <f t="shared" ca="1" si="418"/>
        <v>0.14399999999999999</v>
      </c>
      <c r="O111" s="63">
        <f t="shared" ca="1" si="419"/>
        <v>1.9330000000000001</v>
      </c>
      <c r="P111" s="63">
        <f t="shared" ca="1" si="420"/>
        <v>0.32000000000000006</v>
      </c>
      <c r="Q111" s="63">
        <f t="shared" ca="1" si="421"/>
        <v>0.16550000000000001</v>
      </c>
      <c r="R111" s="63">
        <f t="shared" ca="1" si="422"/>
        <v>0.16550000000000001</v>
      </c>
      <c r="S111" s="81">
        <f t="shared" ca="1" si="423"/>
        <v>7.5999999999999998E-2</v>
      </c>
      <c r="T111" s="63">
        <f t="shared" ca="1" si="424"/>
        <v>2.4</v>
      </c>
      <c r="U111" s="63">
        <f t="shared" ca="1" si="425"/>
        <v>0.49799199999999999</v>
      </c>
      <c r="V111" s="63">
        <f t="shared" ca="1" si="426"/>
        <v>0.20749999999999999</v>
      </c>
      <c r="W111" s="60">
        <f t="shared" ca="1" si="427"/>
        <v>0.20749999999999999</v>
      </c>
      <c r="X111" s="81">
        <f t="shared" ca="1" si="428"/>
        <v>0.14799999999999999</v>
      </c>
      <c r="Y111" s="334">
        <f t="shared" ca="1" si="429"/>
        <v>0.14799999999999999</v>
      </c>
      <c r="Z111" s="63">
        <f t="shared" ca="1" si="430"/>
        <v>1.9330000000000001</v>
      </c>
      <c r="AA111" s="63">
        <f t="shared" ca="1" si="431"/>
        <v>0.32000000000000006</v>
      </c>
      <c r="AB111" s="63">
        <f t="shared" ca="1" si="432"/>
        <v>0.16550000000000001</v>
      </c>
      <c r="AC111" s="63">
        <f t="shared" ca="1" si="433"/>
        <v>0.16550000000000001</v>
      </c>
      <c r="AD111" s="81">
        <f t="shared" ca="1" si="434"/>
        <v>0.11799999999999999</v>
      </c>
      <c r="AE111" s="60">
        <f t="shared" ca="1" si="435"/>
        <v>1.9330000000000001</v>
      </c>
      <c r="AF111" s="60">
        <f t="shared" ca="1" si="436"/>
        <v>0.32000000000000006</v>
      </c>
      <c r="AG111" s="63">
        <f t="shared" ca="1" si="437"/>
        <v>0.16550000000000001</v>
      </c>
      <c r="AH111" s="63">
        <f t="shared" ca="1" si="438"/>
        <v>0.16550000000000001</v>
      </c>
      <c r="AI111" s="81">
        <f t="shared" ca="1" si="439"/>
        <v>7.5999999999999998E-2</v>
      </c>
      <c r="AJ111" s="60">
        <f t="shared" ca="1" si="440"/>
        <v>2.4</v>
      </c>
      <c r="AK111" s="60">
        <f t="shared" ca="1" si="441"/>
        <v>0.4</v>
      </c>
      <c r="AL111" s="63">
        <f t="shared" ca="1" si="442"/>
        <v>0.16669999999999999</v>
      </c>
      <c r="AM111" s="60">
        <f t="shared" ca="1" si="443"/>
        <v>0.16669999999999999</v>
      </c>
      <c r="AN111" s="81">
        <f t="shared" ca="1" si="444"/>
        <v>0.11899999999999999</v>
      </c>
      <c r="AO111" s="334">
        <f t="shared" ca="1" si="445"/>
        <v>0.11899999999999999</v>
      </c>
      <c r="AP111" s="344">
        <f t="shared" si="395"/>
        <v>1.6930000000000001</v>
      </c>
      <c r="AQ111" s="340">
        <f t="shared" si="446"/>
        <v>7.2777813717447751E-2</v>
      </c>
      <c r="AR111" s="58">
        <f t="shared" si="447"/>
        <v>7.2777813717447751E-2</v>
      </c>
      <c r="AS111" s="58">
        <f t="shared" si="362"/>
        <v>0.13575427537249823</v>
      </c>
      <c r="AT111" s="58">
        <f t="shared" si="362"/>
        <v>0.10207088373872047</v>
      </c>
      <c r="AU111" s="58">
        <f t="shared" si="362"/>
        <v>8.165670699097638E-2</v>
      </c>
      <c r="AV111" s="58">
        <f t="shared" si="362"/>
        <v>0.10207088373872047</v>
      </c>
      <c r="AW111" s="58">
        <f t="shared" si="412"/>
        <v>0.34295816936210077</v>
      </c>
      <c r="AX111" s="58">
        <f t="shared" si="413"/>
        <v>0.38296995578767928</v>
      </c>
      <c r="AY111" s="340">
        <f t="shared" si="398"/>
        <v>1.7</v>
      </c>
      <c r="AZ111" s="58">
        <f t="shared" si="399"/>
        <v>1</v>
      </c>
      <c r="BA111" s="58">
        <f t="shared" si="448"/>
        <v>0.58823529411764708</v>
      </c>
      <c r="BB111" s="58">
        <f t="shared" si="449"/>
        <v>0.58823529411764708</v>
      </c>
      <c r="BC111" s="58">
        <f t="shared" si="402"/>
        <v>0.33</v>
      </c>
      <c r="BD111" s="58">
        <f t="shared" si="450"/>
        <v>0.12964285714285714</v>
      </c>
      <c r="BE111" s="58">
        <f t="shared" si="404"/>
        <v>0.33</v>
      </c>
      <c r="BF111" s="58">
        <f t="shared" si="451"/>
        <v>0.12964285714285714</v>
      </c>
      <c r="BG111" s="58">
        <f t="shared" ca="1" si="406"/>
        <v>0.32000000000000006</v>
      </c>
      <c r="BH111" s="58">
        <f t="shared" ca="1" si="407"/>
        <v>0.4</v>
      </c>
      <c r="BI111" s="341">
        <f t="shared" ca="1" si="408"/>
        <v>0.11126499999999999</v>
      </c>
      <c r="BJ111" s="64">
        <f t="shared" ca="1" si="409"/>
        <v>0.20719999999999997</v>
      </c>
      <c r="BK111" s="63">
        <f t="shared" si="410"/>
        <v>2.95</v>
      </c>
      <c r="BL111" s="209">
        <f t="shared" ca="1" si="411"/>
        <v>203.26319999999996</v>
      </c>
    </row>
    <row r="112" spans="9:64" ht="16.5" thickBot="1">
      <c r="I112" s="345">
        <v>3</v>
      </c>
      <c r="J112" s="336">
        <f t="shared" ca="1" si="414"/>
        <v>1.9330000000000001</v>
      </c>
      <c r="K112" s="336">
        <f t="shared" ca="1" si="415"/>
        <v>0.39</v>
      </c>
      <c r="L112" s="336">
        <f t="shared" ca="1" si="416"/>
        <v>0.20180000000000001</v>
      </c>
      <c r="M112" s="336">
        <f t="shared" ca="1" si="417"/>
        <v>0.20180000000000001</v>
      </c>
      <c r="N112" s="385">
        <f t="shared" ca="1" si="418"/>
        <v>0.14399999999999999</v>
      </c>
      <c r="O112" s="336">
        <f t="shared" ca="1" si="419"/>
        <v>1.9330000000000001</v>
      </c>
      <c r="P112" s="336">
        <f t="shared" ca="1" si="420"/>
        <v>0.32000000000000006</v>
      </c>
      <c r="Q112" s="336">
        <f t="shared" ca="1" si="421"/>
        <v>0.16550000000000001</v>
      </c>
      <c r="R112" s="336">
        <f t="shared" ca="1" si="422"/>
        <v>0.16550000000000001</v>
      </c>
      <c r="S112" s="385">
        <f t="shared" ca="1" si="423"/>
        <v>7.5999999999999998E-2</v>
      </c>
      <c r="T112" s="336">
        <f t="shared" ca="1" si="424"/>
        <v>2.4</v>
      </c>
      <c r="U112" s="336">
        <f t="shared" ca="1" si="425"/>
        <v>0.49799199999999999</v>
      </c>
      <c r="V112" s="336">
        <f t="shared" ca="1" si="426"/>
        <v>0.20749999999999999</v>
      </c>
      <c r="W112" s="337">
        <f t="shared" ca="1" si="427"/>
        <v>0.20749999999999999</v>
      </c>
      <c r="X112" s="385">
        <f t="shared" ca="1" si="428"/>
        <v>0.14799999999999999</v>
      </c>
      <c r="Y112" s="338">
        <f t="shared" ca="1" si="429"/>
        <v>0.14799999999999999</v>
      </c>
      <c r="Z112" s="63">
        <f t="shared" ca="1" si="430"/>
        <v>1.9330000000000001</v>
      </c>
      <c r="AA112" s="336">
        <f t="shared" ca="1" si="431"/>
        <v>0.32000000000000006</v>
      </c>
      <c r="AB112" s="336">
        <f t="shared" ca="1" si="432"/>
        <v>0.16550000000000001</v>
      </c>
      <c r="AC112" s="336">
        <f t="shared" ca="1" si="433"/>
        <v>0.16550000000000001</v>
      </c>
      <c r="AD112" s="385">
        <f t="shared" ca="1" si="434"/>
        <v>0.11799999999999999</v>
      </c>
      <c r="AE112" s="337">
        <f t="shared" ca="1" si="435"/>
        <v>1.9330000000000001</v>
      </c>
      <c r="AF112" s="337">
        <f t="shared" ca="1" si="436"/>
        <v>0.32000000000000006</v>
      </c>
      <c r="AG112" s="336">
        <f t="shared" ca="1" si="437"/>
        <v>0.16550000000000001</v>
      </c>
      <c r="AH112" s="336">
        <f t="shared" ca="1" si="438"/>
        <v>0.16550000000000001</v>
      </c>
      <c r="AI112" s="337">
        <f t="shared" ca="1" si="439"/>
        <v>7.5999999999999998E-2</v>
      </c>
      <c r="AJ112" s="337">
        <f t="shared" ca="1" si="440"/>
        <v>2.4</v>
      </c>
      <c r="AK112" s="337">
        <f t="shared" ca="1" si="441"/>
        <v>0.4</v>
      </c>
      <c r="AL112" s="336">
        <f t="shared" ca="1" si="442"/>
        <v>0.16669999999999999</v>
      </c>
      <c r="AM112" s="337">
        <f t="shared" ca="1" si="443"/>
        <v>0.16669999999999999</v>
      </c>
      <c r="AN112" s="385">
        <f t="shared" ca="1" si="444"/>
        <v>0.11899999999999999</v>
      </c>
      <c r="AO112" s="338">
        <f t="shared" ca="1" si="445"/>
        <v>0.11899999999999999</v>
      </c>
      <c r="AP112" s="344">
        <f t="shared" si="395"/>
        <v>1.6930000000000001</v>
      </c>
      <c r="AQ112" s="342">
        <f t="shared" si="446"/>
        <v>7.216878364870323E-2</v>
      </c>
      <c r="AR112" s="343">
        <f t="shared" si="447"/>
        <v>7.216878364870323E-2</v>
      </c>
      <c r="AS112" s="58">
        <f t="shared" si="362"/>
        <v>0.13461823635951736</v>
      </c>
      <c r="AT112" s="58">
        <f t="shared" si="362"/>
        <v>0.10121671906730628</v>
      </c>
      <c r="AU112" s="58">
        <f t="shared" si="362"/>
        <v>8.0973375253845029E-2</v>
      </c>
      <c r="AV112" s="58">
        <f t="shared" si="362"/>
        <v>0.10121671906730628</v>
      </c>
      <c r="AW112" s="58">
        <f t="shared" si="412"/>
        <v>0.34008817606614911</v>
      </c>
      <c r="AX112" s="58">
        <f t="shared" si="413"/>
        <v>0.37976512994053319</v>
      </c>
      <c r="AY112" s="342">
        <f t="shared" si="398"/>
        <v>1.7</v>
      </c>
      <c r="AZ112" s="58">
        <f t="shared" si="399"/>
        <v>1</v>
      </c>
      <c r="BA112" s="343">
        <f t="shared" si="448"/>
        <v>0.58823529411764708</v>
      </c>
      <c r="BB112" s="343">
        <f t="shared" si="449"/>
        <v>0.58823529411764708</v>
      </c>
      <c r="BC112" s="58">
        <f t="shared" si="402"/>
        <v>0.33</v>
      </c>
      <c r="BD112" s="58">
        <f t="shared" si="450"/>
        <v>0.12964285714285714</v>
      </c>
      <c r="BE112" s="58">
        <f t="shared" si="404"/>
        <v>0.33</v>
      </c>
      <c r="BF112" s="58">
        <f t="shared" si="451"/>
        <v>0.12964285714285714</v>
      </c>
      <c r="BG112" s="58">
        <f t="shared" ca="1" si="406"/>
        <v>0.32000000000000006</v>
      </c>
      <c r="BH112" s="58">
        <f t="shared" ca="1" si="407"/>
        <v>0.4</v>
      </c>
      <c r="BI112" s="341">
        <f t="shared" ca="1" si="408"/>
        <v>0.11126499999999999</v>
      </c>
      <c r="BJ112" s="64">
        <f t="shared" ca="1" si="409"/>
        <v>0.20719999999999997</v>
      </c>
      <c r="BK112" s="63">
        <f t="shared" si="410"/>
        <v>3</v>
      </c>
      <c r="BL112" s="209">
        <f t="shared" ca="1" si="411"/>
        <v>203.26319999999996</v>
      </c>
    </row>
    <row r="113" spans="8:64" ht="16">
      <c r="I113" s="344">
        <v>3.5</v>
      </c>
      <c r="J113" s="63">
        <f t="shared" ca="1" si="414"/>
        <v>1.9330000000000001</v>
      </c>
      <c r="K113" s="63">
        <f t="shared" ca="1" si="415"/>
        <v>0.39</v>
      </c>
      <c r="L113" s="63">
        <f t="shared" ca="1" si="416"/>
        <v>0.20180000000000001</v>
      </c>
      <c r="M113" s="63">
        <f t="shared" ca="1" si="417"/>
        <v>0.20180000000000001</v>
      </c>
      <c r="N113" s="81">
        <f t="shared" ca="1" si="418"/>
        <v>0.14399999999999999</v>
      </c>
      <c r="O113" s="63">
        <f t="shared" ca="1" si="419"/>
        <v>1.9330000000000001</v>
      </c>
      <c r="P113" s="63">
        <f t="shared" ca="1" si="420"/>
        <v>0.32000000000000006</v>
      </c>
      <c r="Q113" s="63">
        <f t="shared" ca="1" si="421"/>
        <v>0.16550000000000001</v>
      </c>
      <c r="R113" s="63">
        <f t="shared" ca="1" si="422"/>
        <v>0.16550000000000001</v>
      </c>
      <c r="S113" s="81">
        <f t="shared" ca="1" si="423"/>
        <v>7.5999999999999998E-2</v>
      </c>
      <c r="T113" s="63">
        <f t="shared" ca="1" si="424"/>
        <v>2.4</v>
      </c>
      <c r="U113" s="63">
        <f t="shared" ca="1" si="425"/>
        <v>0.49799199999999999</v>
      </c>
      <c r="V113" s="63">
        <f t="shared" ca="1" si="426"/>
        <v>0.20749999999999999</v>
      </c>
      <c r="W113" s="60">
        <f t="shared" ca="1" si="427"/>
        <v>0.20749999999999999</v>
      </c>
      <c r="X113" s="81">
        <f t="shared" ca="1" si="428"/>
        <v>0.14799999999999999</v>
      </c>
      <c r="Y113" s="334">
        <f t="shared" ca="1" si="429"/>
        <v>0.14799999999999999</v>
      </c>
      <c r="Z113" s="63">
        <f t="shared" ca="1" si="430"/>
        <v>1.9330000000000001</v>
      </c>
      <c r="AA113" s="63">
        <f t="shared" ca="1" si="431"/>
        <v>0.32000000000000006</v>
      </c>
      <c r="AB113" s="63">
        <f t="shared" ca="1" si="432"/>
        <v>0.16550000000000001</v>
      </c>
      <c r="AC113" s="63">
        <f t="shared" ca="1" si="433"/>
        <v>0.16550000000000001</v>
      </c>
      <c r="AD113" s="81">
        <f t="shared" ca="1" si="434"/>
        <v>0.11799999999999999</v>
      </c>
      <c r="AE113" s="60">
        <f t="shared" ca="1" si="435"/>
        <v>1.9330000000000001</v>
      </c>
      <c r="AF113" s="60">
        <f t="shared" ca="1" si="436"/>
        <v>0.32000000000000006</v>
      </c>
      <c r="AG113" s="63">
        <f t="shared" ca="1" si="437"/>
        <v>0.16550000000000001</v>
      </c>
      <c r="AH113" s="63">
        <f t="shared" ca="1" si="438"/>
        <v>0.16550000000000001</v>
      </c>
      <c r="AI113" s="81">
        <f t="shared" ca="1" si="439"/>
        <v>7.5999999999999998E-2</v>
      </c>
      <c r="AJ113" s="60">
        <f t="shared" ca="1" si="440"/>
        <v>2.4</v>
      </c>
      <c r="AK113" s="60">
        <f t="shared" ca="1" si="441"/>
        <v>0.4</v>
      </c>
      <c r="AL113" s="63">
        <f t="shared" ca="1" si="442"/>
        <v>0.16669999999999999</v>
      </c>
      <c r="AM113" s="60">
        <f t="shared" ca="1" si="443"/>
        <v>0.16669999999999999</v>
      </c>
      <c r="AN113" s="81">
        <f t="shared" ca="1" si="444"/>
        <v>0.11899999999999999</v>
      </c>
      <c r="AO113" s="334">
        <f t="shared" ca="1" si="445"/>
        <v>0.11899999999999999</v>
      </c>
      <c r="AP113" s="344">
        <f t="shared" si="395"/>
        <v>1.6930000000000001</v>
      </c>
      <c r="AQ113" s="340">
        <f t="shared" si="446"/>
        <v>6.6815310478106099E-2</v>
      </c>
      <c r="AR113" s="58">
        <f t="shared" si="447"/>
        <v>6.6815310478106099E-2</v>
      </c>
      <c r="AS113" s="58">
        <f t="shared" si="362"/>
        <v>0.12463226901757327</v>
      </c>
      <c r="AT113" s="58">
        <f t="shared" si="362"/>
        <v>9.3708472945543811E-2</v>
      </c>
      <c r="AU113" s="58">
        <f t="shared" si="362"/>
        <v>7.496677835643506E-2</v>
      </c>
      <c r="AV113" s="58">
        <f t="shared" si="362"/>
        <v>9.3708472945543811E-2</v>
      </c>
      <c r="AW113" s="58">
        <f t="shared" si="412"/>
        <v>0.3148604690970272</v>
      </c>
      <c r="AX113" s="58">
        <f t="shared" si="413"/>
        <v>0.35159419049168039</v>
      </c>
      <c r="AY113" s="340">
        <f t="shared" si="398"/>
        <v>1.7</v>
      </c>
      <c r="AZ113" s="58">
        <f t="shared" si="399"/>
        <v>1</v>
      </c>
      <c r="BA113" s="58">
        <f t="shared" si="448"/>
        <v>0.58823529411764708</v>
      </c>
      <c r="BB113" s="58">
        <f t="shared" si="449"/>
        <v>0.58823529411764708</v>
      </c>
      <c r="BC113" s="58">
        <f t="shared" si="402"/>
        <v>0.33</v>
      </c>
      <c r="BD113" s="58">
        <f t="shared" si="450"/>
        <v>0.12964285714285714</v>
      </c>
      <c r="BE113" s="58">
        <f t="shared" si="404"/>
        <v>0.33</v>
      </c>
      <c r="BF113" s="58">
        <f t="shared" si="451"/>
        <v>0.12964285714285714</v>
      </c>
      <c r="BG113" s="58">
        <f t="shared" ca="1" si="406"/>
        <v>0.32000000000000006</v>
      </c>
      <c r="BH113" s="58">
        <f t="shared" ca="1" si="407"/>
        <v>0.4</v>
      </c>
      <c r="BI113" s="341">
        <f t="shared" ca="1" si="408"/>
        <v>0.11126499999999999</v>
      </c>
      <c r="BJ113" s="64">
        <f t="shared" ca="1" si="409"/>
        <v>0.20719999999999997</v>
      </c>
      <c r="BK113" s="63">
        <f t="shared" si="410"/>
        <v>3.5</v>
      </c>
      <c r="BL113" s="209">
        <f t="shared" ca="1" si="411"/>
        <v>203.26319999999996</v>
      </c>
    </row>
    <row r="114" spans="8:64" ht="16.5" thickBot="1">
      <c r="I114" s="345">
        <v>4</v>
      </c>
      <c r="J114" s="336">
        <f t="shared" ca="1" si="414"/>
        <v>1.9330000000000001</v>
      </c>
      <c r="K114" s="336">
        <f t="shared" ca="1" si="415"/>
        <v>0.39</v>
      </c>
      <c r="L114" s="336">
        <f t="shared" ca="1" si="416"/>
        <v>0.20180000000000001</v>
      </c>
      <c r="M114" s="336">
        <f t="shared" ca="1" si="417"/>
        <v>0.20180000000000001</v>
      </c>
      <c r="N114" s="385">
        <f t="shared" ca="1" si="418"/>
        <v>0.14399999999999999</v>
      </c>
      <c r="O114" s="336">
        <f t="shared" ca="1" si="419"/>
        <v>1.9330000000000001</v>
      </c>
      <c r="P114" s="336">
        <f t="shared" ca="1" si="420"/>
        <v>0.32000000000000006</v>
      </c>
      <c r="Q114" s="336">
        <f t="shared" ca="1" si="421"/>
        <v>0.16550000000000001</v>
      </c>
      <c r="R114" s="336">
        <f t="shared" ca="1" si="422"/>
        <v>0.16550000000000001</v>
      </c>
      <c r="S114" s="385">
        <f t="shared" ca="1" si="423"/>
        <v>7.5999999999999998E-2</v>
      </c>
      <c r="T114" s="336">
        <f t="shared" ca="1" si="424"/>
        <v>2.4</v>
      </c>
      <c r="U114" s="336">
        <f t="shared" ca="1" si="425"/>
        <v>0.49799199999999999</v>
      </c>
      <c r="V114" s="336">
        <f t="shared" ca="1" si="426"/>
        <v>0.20749999999999999</v>
      </c>
      <c r="W114" s="337">
        <f t="shared" ca="1" si="427"/>
        <v>0.20749999999999999</v>
      </c>
      <c r="X114" s="385">
        <f t="shared" ca="1" si="428"/>
        <v>0.14799999999999999</v>
      </c>
      <c r="Y114" s="338">
        <f t="shared" ca="1" si="429"/>
        <v>0.14799999999999999</v>
      </c>
      <c r="Z114" s="63">
        <f t="shared" ca="1" si="430"/>
        <v>1.9330000000000001</v>
      </c>
      <c r="AA114" s="336">
        <f t="shared" ca="1" si="431"/>
        <v>0.32000000000000006</v>
      </c>
      <c r="AB114" s="336">
        <f t="shared" ca="1" si="432"/>
        <v>0.16550000000000001</v>
      </c>
      <c r="AC114" s="336">
        <f t="shared" ca="1" si="433"/>
        <v>0.16550000000000001</v>
      </c>
      <c r="AD114" s="385">
        <f t="shared" ca="1" si="434"/>
        <v>0.11799999999999999</v>
      </c>
      <c r="AE114" s="337">
        <f t="shared" ca="1" si="435"/>
        <v>1.9330000000000001</v>
      </c>
      <c r="AF114" s="337">
        <f t="shared" ca="1" si="436"/>
        <v>0.32000000000000006</v>
      </c>
      <c r="AG114" s="336">
        <f t="shared" ca="1" si="437"/>
        <v>0.16550000000000001</v>
      </c>
      <c r="AH114" s="336">
        <f t="shared" ca="1" si="438"/>
        <v>0.16550000000000001</v>
      </c>
      <c r="AI114" s="337">
        <f t="shared" ca="1" si="439"/>
        <v>7.5999999999999998E-2</v>
      </c>
      <c r="AJ114" s="337">
        <f t="shared" ca="1" si="440"/>
        <v>2.4</v>
      </c>
      <c r="AK114" s="337">
        <f t="shared" ca="1" si="441"/>
        <v>0.4</v>
      </c>
      <c r="AL114" s="336">
        <f t="shared" ca="1" si="442"/>
        <v>0.16669999999999999</v>
      </c>
      <c r="AM114" s="337">
        <f t="shared" ca="1" si="443"/>
        <v>0.16669999999999999</v>
      </c>
      <c r="AN114" s="385">
        <f t="shared" ca="1" si="444"/>
        <v>0.11899999999999999</v>
      </c>
      <c r="AO114" s="338">
        <f t="shared" ca="1" si="445"/>
        <v>0.11899999999999999</v>
      </c>
      <c r="AP114" s="344">
        <f t="shared" si="395"/>
        <v>1.6930000000000001</v>
      </c>
      <c r="AQ114" s="342">
        <f t="shared" si="446"/>
        <v>6.25E-2</v>
      </c>
      <c r="AR114" s="343">
        <f t="shared" si="447"/>
        <v>6.25E-2</v>
      </c>
      <c r="AS114" s="58">
        <f t="shared" si="362"/>
        <v>0.11658281250000001</v>
      </c>
      <c r="AT114" s="58">
        <f t="shared" si="362"/>
        <v>8.7656250000000005E-2</v>
      </c>
      <c r="AU114" s="58">
        <f t="shared" si="362"/>
        <v>7.0125000000000007E-2</v>
      </c>
      <c r="AV114" s="58">
        <f t="shared" si="362"/>
        <v>8.7656250000000005E-2</v>
      </c>
      <c r="AW114" s="58">
        <f t="shared" si="412"/>
        <v>0.29452499999999998</v>
      </c>
      <c r="AX114" s="58">
        <f t="shared" si="413"/>
        <v>0.32888625000000005</v>
      </c>
      <c r="AY114" s="342">
        <f t="shared" si="398"/>
        <v>1.7</v>
      </c>
      <c r="AZ114" s="58">
        <f t="shared" si="399"/>
        <v>1</v>
      </c>
      <c r="BA114" s="343">
        <f t="shared" si="448"/>
        <v>0.58823529411764708</v>
      </c>
      <c r="BB114" s="343">
        <f t="shared" si="449"/>
        <v>0.58823529411764708</v>
      </c>
      <c r="BC114" s="58">
        <f t="shared" si="402"/>
        <v>0.33</v>
      </c>
      <c r="BD114" s="58">
        <f t="shared" si="450"/>
        <v>0.12964285714285714</v>
      </c>
      <c r="BE114" s="58">
        <f t="shared" si="404"/>
        <v>0.33</v>
      </c>
      <c r="BF114" s="58">
        <f t="shared" si="451"/>
        <v>0.12964285714285714</v>
      </c>
      <c r="BG114" s="58">
        <f t="shared" ca="1" si="406"/>
        <v>0.32000000000000006</v>
      </c>
      <c r="BH114" s="58">
        <f t="shared" ca="1" si="407"/>
        <v>0.4</v>
      </c>
      <c r="BI114" s="341">
        <f t="shared" ca="1" si="408"/>
        <v>0.11126499999999999</v>
      </c>
      <c r="BJ114" s="64">
        <f t="shared" ca="1" si="409"/>
        <v>0.20719999999999997</v>
      </c>
      <c r="BK114" s="63">
        <f t="shared" si="410"/>
        <v>4</v>
      </c>
      <c r="BL114" s="209">
        <f t="shared" ca="1" si="411"/>
        <v>203.26319999999996</v>
      </c>
    </row>
    <row r="115" spans="8:64" ht="16">
      <c r="I115" s="448"/>
      <c r="J115" s="60"/>
      <c r="K115" s="60"/>
      <c r="L115" s="60"/>
      <c r="M115" s="60"/>
      <c r="N115" s="60"/>
      <c r="O115" s="60"/>
      <c r="P115" s="60"/>
      <c r="Q115" s="60"/>
      <c r="R115" s="60"/>
      <c r="S115" s="60"/>
      <c r="T115" s="60"/>
      <c r="U115" s="60"/>
      <c r="V115" s="60"/>
      <c r="W115" s="60"/>
      <c r="X115" s="60"/>
      <c r="Y115" s="60"/>
      <c r="Z115" s="60"/>
      <c r="AA115" s="60"/>
      <c r="AB115" s="60"/>
      <c r="AC115" s="60"/>
      <c r="AD115" s="60"/>
      <c r="AE115" s="60"/>
      <c r="AF115" s="60"/>
      <c r="AG115" s="60"/>
      <c r="AH115" s="60"/>
      <c r="AI115" s="60"/>
      <c r="AJ115" s="60"/>
      <c r="AK115" s="60"/>
      <c r="AL115" s="60"/>
      <c r="AM115" s="60"/>
      <c r="AN115" s="60"/>
      <c r="AO115" s="60"/>
      <c r="AP115" s="448"/>
      <c r="AQ115" s="58"/>
      <c r="AR115" s="58"/>
      <c r="AS115" s="58"/>
      <c r="AT115" s="58"/>
      <c r="AU115" s="58"/>
      <c r="AV115" s="58"/>
      <c r="AW115" s="58"/>
      <c r="AX115" s="58"/>
      <c r="AY115" s="58"/>
      <c r="AZ115" s="58"/>
      <c r="BA115" s="58"/>
      <c r="BB115" s="58"/>
      <c r="BC115" s="58"/>
      <c r="BD115" s="58"/>
      <c r="BE115" s="58"/>
      <c r="BF115" s="58"/>
      <c r="BG115" s="58"/>
      <c r="BH115" s="58"/>
      <c r="BI115" s="449"/>
      <c r="BJ115" s="60"/>
    </row>
    <row r="116" spans="8:64" ht="17">
      <c r="H116" t="s">
        <v>519</v>
      </c>
      <c r="I116" s="16">
        <f>F11</f>
        <v>0.86799999999999999</v>
      </c>
      <c r="J116" t="s">
        <v>520</v>
      </c>
      <c r="AP116" t="s">
        <v>519</v>
      </c>
      <c r="AQ116" s="16">
        <f>Q7</f>
        <v>0.74398241908833773</v>
      </c>
      <c r="AR116" t="s">
        <v>520</v>
      </c>
    </row>
    <row r="117" spans="8:64" ht="17">
      <c r="H117" t="s">
        <v>504</v>
      </c>
      <c r="I117" s="16">
        <f>I116</f>
        <v>0.86799999999999999</v>
      </c>
      <c r="J117" s="16">
        <v>0</v>
      </c>
      <c r="K117" s="16">
        <v>0</v>
      </c>
      <c r="P117" s="16">
        <v>0</v>
      </c>
      <c r="T117" s="16">
        <v>0</v>
      </c>
      <c r="U117" s="16">
        <v>0</v>
      </c>
      <c r="X117" s="16">
        <v>0</v>
      </c>
      <c r="AP117" t="s">
        <v>504</v>
      </c>
      <c r="AQ117" s="16">
        <f>AQ116</f>
        <v>0.74398241908833773</v>
      </c>
      <c r="AR117" s="16">
        <v>0</v>
      </c>
      <c r="AS117" s="16">
        <v>0</v>
      </c>
    </row>
    <row r="118" spans="8:64" ht="17">
      <c r="I118" s="16">
        <f>I116</f>
        <v>0.86799999999999999</v>
      </c>
      <c r="J118" s="16">
        <f ca="1">ROUNDUP(MAX(J43:J102),2)</f>
        <v>1.94</v>
      </c>
      <c r="K118" s="16">
        <f ca="1">ROUNDUP(MAX(K43:K102),2)</f>
        <v>0.98</v>
      </c>
      <c r="P118" s="16">
        <f ca="1">ROUNDUP(MAX(P43:P102),2)</f>
        <v>0.8</v>
      </c>
      <c r="T118" s="16">
        <f ca="1">ROUNDUP(MAX(T43:T102),2)</f>
        <v>2.4</v>
      </c>
      <c r="U118" s="16">
        <f ca="1">ROUNDUP(MAX(U43:U102),2)</f>
        <v>1.25</v>
      </c>
      <c r="X118" s="16">
        <f ca="1">ROUNDUP(MAX(X43:X102),2)</f>
        <v>0.34</v>
      </c>
      <c r="AQ118" s="16">
        <f>AQ116</f>
        <v>0.74398241908833773</v>
      </c>
      <c r="AR118" s="16">
        <f ca="1">ROUNDUP(MAX(AR43:AR102),2)</f>
        <v>0.15</v>
      </c>
      <c r="AS118" s="16">
        <f ca="1">ROUNDUP(MAX(AS43:AS102),1)</f>
        <v>0.30000000000000004</v>
      </c>
    </row>
    <row r="119" spans="8:64" ht="17.5">
      <c r="J119" s="38" t="s">
        <v>1399</v>
      </c>
      <c r="K119" s="38" t="s">
        <v>1400</v>
      </c>
      <c r="P119" s="38" t="s">
        <v>1404</v>
      </c>
      <c r="T119" s="38" t="s">
        <v>1407</v>
      </c>
      <c r="U119" s="38" t="s">
        <v>1408</v>
      </c>
      <c r="X119" s="38" t="s">
        <v>1731</v>
      </c>
    </row>
  </sheetData>
  <mergeCells count="25">
    <mergeCell ref="AF3:AH3"/>
    <mergeCell ref="H46:H48"/>
    <mergeCell ref="H55:H57"/>
    <mergeCell ref="H62:H64"/>
    <mergeCell ref="A34:B34"/>
    <mergeCell ref="H34:I34"/>
    <mergeCell ref="D35:F35"/>
    <mergeCell ref="K35:L35"/>
    <mergeCell ref="A37:F37"/>
    <mergeCell ref="H37:M37"/>
    <mergeCell ref="D31:F31"/>
    <mergeCell ref="K31:L31"/>
    <mergeCell ref="A32:B32"/>
    <mergeCell ref="H32:I32"/>
    <mergeCell ref="D33:F33"/>
    <mergeCell ref="K33:L33"/>
    <mergeCell ref="A30:B30"/>
    <mergeCell ref="H30:I30"/>
    <mergeCell ref="O2:R2"/>
    <mergeCell ref="A15:B15"/>
    <mergeCell ref="H15:I15"/>
    <mergeCell ref="A23:B23"/>
    <mergeCell ref="H23:I23"/>
    <mergeCell ref="I14:J14"/>
    <mergeCell ref="K14:L14"/>
  </mergeCells>
  <phoneticPr fontId="13" type="noConversion"/>
  <dataValidations count="16">
    <dataValidation type="list" allowBlank="1" showInputMessage="1" showErrorMessage="1" sqref="H6" xr:uid="{00000000-0002-0000-0000-000000000000}">
      <formula1>INDIRECT("斷層"&amp;$N$1)</formula1>
    </dataValidation>
    <dataValidation type="list" allowBlank="1" showInputMessage="1" showErrorMessage="1" sqref="B2 H2" xr:uid="{00000000-0002-0000-0000-000001000000}">
      <formula1>縣市</formula1>
    </dataValidation>
    <dataValidation type="list" allowBlank="1" showInputMessage="1" showErrorMessage="1" sqref="B6" xr:uid="{00000000-0002-0000-0000-000002000000}">
      <formula1>INDIRECT($B$2&amp;$B$3)</formula1>
    </dataValidation>
    <dataValidation type="list" allowBlank="1" showInputMessage="1" showErrorMessage="1" sqref="B5 H5" xr:uid="{00000000-0002-0000-0000-000003000000}">
      <formula1>地盤種類</formula1>
    </dataValidation>
    <dataValidation type="list" allowBlank="1" showInputMessage="1" showErrorMessage="1" sqref="IF4 WUR4 WKV4 WAZ4 VRD4 VHH4 UXL4 UNP4 UDT4 TTX4 TKB4 TAF4 SQJ4 SGN4 RWR4 RMV4 RCZ4 QTD4 QJH4 PZL4 PPP4 PFT4 OVX4 OMB4 OCF4 NSJ4 NIN4 MYR4 MOV4 MEZ4 LVD4 LLH4 LBL4 KRP4 KHT4 JXX4 JOB4 JEF4 IUJ4 IKN4 IAR4 HQV4 HGZ4 GXD4 GNH4 GDL4 FTP4 FJT4 EZX4 EQB4 EGF4 DWJ4 DMN4 DCR4 CSV4 CIZ4 BZD4 BPH4 BFL4 AVP4 ALT4 ABX4 SB4" xr:uid="{00000000-0002-0000-0000-000004000000}">
      <formula1>INDIRECT(#REF!)</formula1>
    </dataValidation>
    <dataValidation type="list" allowBlank="1" showInputMessage="1" showErrorMessage="1" sqref="IF3 WUR3 WKV3 WAZ3 VRD3 VHH3 UXL3 UNP3 UDT3 TTX3 TKB3 TAF3 SQJ3 SGN3 RWR3 RMV3 RCZ3 QTD3 QJH3 PZL3 PPP3 PFT3 OVX3 OMB3 OCF3 NSJ3 NIN3 MYR3 MOV3 MEZ3 LVD3 LLH3 LBL3 KRP3 KHT3 JXX3 JOB3 JEF3 IUJ3 IKN3 IAR3 HQV3 HGZ3 GXD3 GNH3 GDL3 FTP3 FJT3 EZX3 EQB3 EGF3 DWJ3 DMN3 DCR3 CSV3 CIZ3 BZD3 BPH3 BFL3 AVP3 ALT3 ABX3 SB3" xr:uid="{00000000-0002-0000-0000-000005000000}">
      <formula1>行政區</formula1>
    </dataValidation>
    <dataValidation type="list" allowBlank="1" showInputMessage="1" showErrorMessage="1" sqref="B11" xr:uid="{00000000-0002-0000-0000-000006000000}">
      <formula1>構造</formula1>
    </dataValidation>
    <dataValidation type="list" allowBlank="1" showInputMessage="1" showErrorMessage="1" sqref="B3 H3" xr:uid="{00000000-0002-0000-0000-000007000000}">
      <formula1>INDEX(INDIRECT(B2),,1)</formula1>
    </dataValidation>
    <dataValidation allowBlank="1" showInputMessage="1" showErrorMessage="1" prompt="震區短週期設計水平譜加速度係數" sqref="C3" xr:uid="{00000000-0002-0000-0000-000008000000}"/>
    <dataValidation allowBlank="1" showInputMessage="1" showErrorMessage="1" prompt="震區一秒週期設計水平譜加速度係數" sqref="D3" xr:uid="{00000000-0002-0000-0000-000009000000}"/>
    <dataValidation allowBlank="1" showInputMessage="1" showErrorMessage="1" prompt="前後斷層的距離" sqref="F38" xr:uid="{00000000-0002-0000-0000-00000A000000}"/>
    <dataValidation type="list" allowBlank="1" showInputMessage="1" showErrorMessage="1" sqref="T4" xr:uid="{FFC38D26-36DE-4535-8D94-822593A193C0}">
      <formula1>建技86</formula1>
    </dataValidation>
    <dataValidation type="list" allowBlank="1" showInputMessage="1" showErrorMessage="1" sqref="V4" xr:uid="{73989127-E8FA-435A-A233-0D9F0FD850EF}">
      <formula1>建技89</formula1>
    </dataValidation>
    <dataValidation type="list" allowBlank="1" showInputMessage="1" showErrorMessage="1" sqref="Q4" xr:uid="{F6D059E7-0097-463F-B810-AF1829360243}">
      <formula1>建技71</formula1>
    </dataValidation>
    <dataValidation type="list" allowBlank="1" showInputMessage="1" showErrorMessage="1" sqref="Q6" xr:uid="{92529F92-A66E-4861-B23F-06BEB14E997B}">
      <formula1>$X$18:$AA$18</formula1>
    </dataValidation>
    <dataValidation type="list" allowBlank="1" showInputMessage="1" showErrorMessage="1" sqref="AV41:AX41" xr:uid="{7E34A626-3161-4646-9350-829024444973}">
      <formula1>$AV$37:$AV$40</formula1>
    </dataValidation>
  </dataValidations>
  <pageMargins left="0.74803149606299213" right="0.19685039370078741" top="0.78740157480314965" bottom="0.59055118110236227" header="0.51181102362204722" footer="0.51181102362204722"/>
  <pageSetup paperSize="9" scale="90" orientation="portrait" horizontalDpi="1200" verticalDpi="12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工作表4"/>
  <dimension ref="A1:Y364"/>
  <sheetViews>
    <sheetView zoomScale="85" zoomScaleNormal="85" workbookViewId="0">
      <pane xSplit="5" ySplit="2" topLeftCell="F333" activePane="bottomRight" state="frozen"/>
      <selection pane="topRight" activeCell="F1" sqref="F1"/>
      <selection pane="bottomLeft" activeCell="A2" sqref="A2"/>
      <selection pane="bottomRight" activeCell="J341" sqref="J341"/>
    </sheetView>
  </sheetViews>
  <sheetFormatPr defaultColWidth="9" defaultRowHeight="15.5"/>
  <cols>
    <col min="1" max="1" width="15.36328125" style="160" bestFit="1" customWidth="1"/>
    <col min="2" max="2" width="9.6328125" style="160" bestFit="1" customWidth="1"/>
    <col min="3" max="3" width="11.6328125" style="160" bestFit="1" customWidth="1"/>
    <col min="4" max="4" width="7" style="160" bestFit="1" customWidth="1"/>
    <col min="5" max="5" width="9.6328125" style="160" bestFit="1" customWidth="1"/>
    <col min="6" max="9" width="9" style="181"/>
    <col min="10" max="10" width="23.26953125" style="161" customWidth="1"/>
    <col min="11" max="11" width="19.36328125" style="161" customWidth="1"/>
    <col min="12" max="12" width="20.453125" style="161" customWidth="1"/>
    <col min="13" max="14" width="19" style="161" bestFit="1" customWidth="1"/>
    <col min="15" max="18" width="9" style="181"/>
    <col min="19" max="19" width="36.08984375" style="162" bestFit="1" customWidth="1"/>
    <col min="20" max="20" width="4.08984375" style="162" bestFit="1" customWidth="1"/>
    <col min="21" max="21" width="7.6328125" style="162" bestFit="1" customWidth="1"/>
    <col min="22" max="22" width="10.453125" style="32" bestFit="1" customWidth="1"/>
    <col min="23" max="24" width="9" style="162"/>
    <col min="25" max="25" width="10.1796875" style="160" bestFit="1" customWidth="1"/>
    <col min="26" max="27" width="9" style="160"/>
    <col min="28" max="28" width="10.26953125" style="160" bestFit="1" customWidth="1"/>
    <col min="29" max="29" width="5.453125" style="160" bestFit="1" customWidth="1"/>
    <col min="30" max="30" width="11.6328125" style="160" bestFit="1" customWidth="1"/>
    <col min="31" max="16384" width="9" style="160"/>
  </cols>
  <sheetData>
    <row r="1" spans="1:25">
      <c r="F1" s="504">
        <v>44835</v>
      </c>
      <c r="G1" s="505"/>
      <c r="H1" s="505"/>
      <c r="I1" s="505"/>
      <c r="O1" s="504">
        <v>40725</v>
      </c>
      <c r="P1" s="505"/>
      <c r="Q1" s="505"/>
      <c r="R1" s="505"/>
    </row>
    <row r="2" spans="1:25" ht="17.5">
      <c r="A2" s="160" t="s">
        <v>1805</v>
      </c>
      <c r="B2" s="160" t="s">
        <v>39</v>
      </c>
      <c r="C2" s="160" t="s">
        <v>1568</v>
      </c>
      <c r="D2" s="163" t="s">
        <v>1569</v>
      </c>
      <c r="E2" s="164" t="s">
        <v>1570</v>
      </c>
      <c r="F2" s="162" t="s">
        <v>1571</v>
      </c>
      <c r="G2" s="162" t="s">
        <v>1572</v>
      </c>
      <c r="H2" s="162" t="s">
        <v>1573</v>
      </c>
      <c r="I2" s="162" t="s">
        <v>1574</v>
      </c>
      <c r="J2" s="161" t="s">
        <v>1800</v>
      </c>
      <c r="K2" s="161" t="s">
        <v>1801</v>
      </c>
      <c r="L2" s="161" t="s">
        <v>1802</v>
      </c>
      <c r="M2" s="161" t="s">
        <v>1803</v>
      </c>
      <c r="N2" s="161" t="s">
        <v>1804</v>
      </c>
      <c r="O2" s="162" t="s">
        <v>1571</v>
      </c>
      <c r="P2" s="162" t="s">
        <v>1572</v>
      </c>
      <c r="Q2" s="162" t="s">
        <v>1573</v>
      </c>
      <c r="R2" s="162" t="s">
        <v>1574</v>
      </c>
      <c r="S2" s="162" t="s">
        <v>41</v>
      </c>
      <c r="V2" s="162" t="s">
        <v>42</v>
      </c>
      <c r="W2" s="162" t="s">
        <v>39</v>
      </c>
      <c r="X2" s="162" t="s">
        <v>40</v>
      </c>
    </row>
    <row r="3" spans="1:25" ht="16">
      <c r="A3" s="461" t="str">
        <f t="shared" ref="A3:A66" si="0">B3&amp;C3</f>
        <v>臺北市文山區</v>
      </c>
      <c r="B3" s="169" t="s">
        <v>872</v>
      </c>
      <c r="C3" s="160" t="s">
        <v>873</v>
      </c>
      <c r="D3" s="166">
        <v>42.5</v>
      </c>
      <c r="E3" s="164">
        <v>116</v>
      </c>
      <c r="F3" s="167">
        <v>0.6</v>
      </c>
      <c r="G3" s="167">
        <v>0.35</v>
      </c>
      <c r="H3" s="167">
        <v>0.8</v>
      </c>
      <c r="I3" s="167">
        <v>0.5</v>
      </c>
      <c r="O3" s="167">
        <v>0.6</v>
      </c>
      <c r="P3" s="167">
        <v>0.35</v>
      </c>
      <c r="Q3" s="167">
        <v>0.8</v>
      </c>
      <c r="R3" s="167">
        <v>0.5</v>
      </c>
      <c r="T3" s="162">
        <v>0</v>
      </c>
      <c r="V3" s="162"/>
      <c r="Y3" s="169" t="s">
        <v>872</v>
      </c>
    </row>
    <row r="4" spans="1:25" ht="16">
      <c r="A4" s="461" t="str">
        <f t="shared" si="0"/>
        <v>臺北市南港區</v>
      </c>
      <c r="B4" s="169" t="s">
        <v>872</v>
      </c>
      <c r="C4" s="160" t="s">
        <v>874</v>
      </c>
      <c r="D4" s="166">
        <v>42.5</v>
      </c>
      <c r="E4" s="164">
        <v>115</v>
      </c>
      <c r="F4" s="167">
        <v>0.6</v>
      </c>
      <c r="G4" s="167">
        <v>0.35</v>
      </c>
      <c r="H4" s="167">
        <v>0.8</v>
      </c>
      <c r="I4" s="167">
        <v>0.5</v>
      </c>
      <c r="O4" s="167">
        <v>0.6</v>
      </c>
      <c r="P4" s="167">
        <v>0.35</v>
      </c>
      <c r="Q4" s="167">
        <v>0.8</v>
      </c>
      <c r="R4" s="167">
        <v>0.5</v>
      </c>
      <c r="T4" s="162">
        <v>0</v>
      </c>
      <c r="V4" s="162"/>
      <c r="Y4" s="169" t="s">
        <v>43</v>
      </c>
    </row>
    <row r="5" spans="1:25" ht="16">
      <c r="A5" s="461" t="str">
        <f t="shared" si="0"/>
        <v>臺北市內湖區</v>
      </c>
      <c r="B5" s="169" t="s">
        <v>872</v>
      </c>
      <c r="C5" s="160" t="s">
        <v>875</v>
      </c>
      <c r="D5" s="166">
        <v>42.5</v>
      </c>
      <c r="E5" s="164">
        <v>114</v>
      </c>
      <c r="F5" s="167">
        <v>0.6</v>
      </c>
      <c r="G5" s="167">
        <v>0.35</v>
      </c>
      <c r="H5" s="167">
        <v>0.7</v>
      </c>
      <c r="I5" s="167">
        <v>0.45</v>
      </c>
      <c r="O5" s="167">
        <v>0.6</v>
      </c>
      <c r="P5" s="167">
        <v>0.35</v>
      </c>
      <c r="Q5" s="167">
        <v>0.7</v>
      </c>
      <c r="R5" s="167">
        <v>0.45</v>
      </c>
      <c r="T5" s="162">
        <v>0</v>
      </c>
      <c r="V5" s="162"/>
      <c r="Y5" s="169" t="s">
        <v>728</v>
      </c>
    </row>
    <row r="6" spans="1:25" ht="16">
      <c r="A6" s="461" t="str">
        <f t="shared" si="0"/>
        <v>臺北市士林區</v>
      </c>
      <c r="B6" s="169" t="s">
        <v>872</v>
      </c>
      <c r="C6" s="160" t="s">
        <v>876</v>
      </c>
      <c r="D6" s="166">
        <v>42.5</v>
      </c>
      <c r="E6" s="164">
        <v>111</v>
      </c>
      <c r="F6" s="167">
        <v>0.5</v>
      </c>
      <c r="G6" s="167">
        <v>0.3</v>
      </c>
      <c r="H6" s="167">
        <v>0.8</v>
      </c>
      <c r="I6" s="167">
        <v>0.5</v>
      </c>
      <c r="O6" s="167">
        <v>0.5</v>
      </c>
      <c r="P6" s="167">
        <v>0.3</v>
      </c>
      <c r="Q6" s="167">
        <v>0.8</v>
      </c>
      <c r="R6" s="167">
        <v>0.5</v>
      </c>
      <c r="T6" s="162">
        <v>0</v>
      </c>
      <c r="V6" s="162"/>
      <c r="Y6" s="169" t="s">
        <v>51</v>
      </c>
    </row>
    <row r="7" spans="1:25" ht="16">
      <c r="A7" s="461" t="str">
        <f t="shared" si="0"/>
        <v>臺北市北投區</v>
      </c>
      <c r="B7" s="169" t="s">
        <v>872</v>
      </c>
      <c r="C7" s="160" t="s">
        <v>877</v>
      </c>
      <c r="D7" s="166">
        <v>42.5</v>
      </c>
      <c r="E7" s="164">
        <v>112</v>
      </c>
      <c r="F7" s="167">
        <v>0.5</v>
      </c>
      <c r="G7" s="167">
        <v>0.3</v>
      </c>
      <c r="H7" s="167">
        <v>0.7</v>
      </c>
      <c r="I7" s="167">
        <v>0.45</v>
      </c>
      <c r="O7" s="167">
        <v>0.5</v>
      </c>
      <c r="P7" s="167">
        <v>0.3</v>
      </c>
      <c r="Q7" s="167">
        <v>0.7</v>
      </c>
      <c r="R7" s="167">
        <v>0.45</v>
      </c>
      <c r="T7" s="162">
        <v>0</v>
      </c>
      <c r="V7" s="162"/>
      <c r="Y7" s="169" t="s">
        <v>1575</v>
      </c>
    </row>
    <row r="8" spans="1:25" ht="16">
      <c r="A8" s="461" t="str">
        <f t="shared" si="0"/>
        <v>基隆市中正區</v>
      </c>
      <c r="B8" s="169" t="s">
        <v>43</v>
      </c>
      <c r="C8" s="169" t="s">
        <v>44</v>
      </c>
      <c r="D8" s="166">
        <v>42.5</v>
      </c>
      <c r="E8" s="164">
        <v>202</v>
      </c>
      <c r="F8" s="167">
        <v>0.6</v>
      </c>
      <c r="G8" s="167">
        <v>0.35</v>
      </c>
      <c r="H8" s="167">
        <v>0.8</v>
      </c>
      <c r="I8" s="167">
        <v>0.5</v>
      </c>
      <c r="O8" s="167">
        <v>0.6</v>
      </c>
      <c r="P8" s="167">
        <v>0.35</v>
      </c>
      <c r="Q8" s="167">
        <v>0.8</v>
      </c>
      <c r="R8" s="167">
        <v>0.5</v>
      </c>
      <c r="T8" s="162">
        <v>0</v>
      </c>
      <c r="U8" s="162" t="s">
        <v>1796</v>
      </c>
      <c r="V8" s="168">
        <v>0.8</v>
      </c>
      <c r="W8" s="162" t="s">
        <v>43</v>
      </c>
      <c r="X8" s="162" t="s">
        <v>44</v>
      </c>
      <c r="Y8" s="464" t="s">
        <v>1576</v>
      </c>
    </row>
    <row r="9" spans="1:25" ht="16">
      <c r="A9" s="461" t="str">
        <f t="shared" si="0"/>
        <v>基隆市七堵區</v>
      </c>
      <c r="B9" s="169" t="s">
        <v>43</v>
      </c>
      <c r="C9" s="169" t="s">
        <v>45</v>
      </c>
      <c r="D9" s="166">
        <v>42.5</v>
      </c>
      <c r="E9" s="164">
        <v>206</v>
      </c>
      <c r="F9" s="167">
        <v>0.6</v>
      </c>
      <c r="G9" s="167">
        <v>0.3</v>
      </c>
      <c r="H9" s="167">
        <v>0.8</v>
      </c>
      <c r="I9" s="167">
        <v>0.45</v>
      </c>
      <c r="O9" s="167">
        <v>0.6</v>
      </c>
      <c r="P9" s="167">
        <v>0.3</v>
      </c>
      <c r="Q9" s="167">
        <v>0.8</v>
      </c>
      <c r="R9" s="167">
        <v>0.45</v>
      </c>
      <c r="T9" s="162">
        <v>0</v>
      </c>
      <c r="U9" s="162" t="s">
        <v>1796</v>
      </c>
      <c r="V9" s="168">
        <v>0.8</v>
      </c>
      <c r="W9" s="162" t="s">
        <v>43</v>
      </c>
      <c r="X9" s="162" t="s">
        <v>45</v>
      </c>
      <c r="Y9" s="465" t="s">
        <v>1807</v>
      </c>
    </row>
    <row r="10" spans="1:25" ht="16">
      <c r="A10" s="461" t="str">
        <f t="shared" si="0"/>
        <v>基隆市暖暖區</v>
      </c>
      <c r="B10" s="169" t="s">
        <v>43</v>
      </c>
      <c r="C10" s="169" t="s">
        <v>46</v>
      </c>
      <c r="D10" s="166">
        <v>42.5</v>
      </c>
      <c r="E10" s="164">
        <v>205</v>
      </c>
      <c r="F10" s="167">
        <v>0.6</v>
      </c>
      <c r="G10" s="167">
        <v>0.35</v>
      </c>
      <c r="H10" s="167">
        <v>0.8</v>
      </c>
      <c r="I10" s="167">
        <v>0.5</v>
      </c>
      <c r="O10" s="167">
        <v>0.6</v>
      </c>
      <c r="P10" s="167">
        <v>0.35</v>
      </c>
      <c r="Q10" s="167">
        <v>0.8</v>
      </c>
      <c r="R10" s="167">
        <v>0.5</v>
      </c>
      <c r="T10" s="162">
        <v>0</v>
      </c>
      <c r="U10" s="162" t="s">
        <v>1796</v>
      </c>
      <c r="V10" s="168">
        <v>0.8</v>
      </c>
      <c r="W10" s="162" t="s">
        <v>43</v>
      </c>
      <c r="X10" s="162" t="s">
        <v>46</v>
      </c>
      <c r="Y10" s="169" t="s">
        <v>1577</v>
      </c>
    </row>
    <row r="11" spans="1:25" ht="16.399999999999999" customHeight="1">
      <c r="A11" s="461" t="str">
        <f t="shared" si="0"/>
        <v>基隆市仁愛區</v>
      </c>
      <c r="B11" s="169" t="s">
        <v>43</v>
      </c>
      <c r="C11" s="169" t="s">
        <v>47</v>
      </c>
      <c r="D11" s="166">
        <v>42.5</v>
      </c>
      <c r="E11" s="164">
        <v>200</v>
      </c>
      <c r="F11" s="167">
        <v>0.6</v>
      </c>
      <c r="G11" s="167">
        <v>0.35</v>
      </c>
      <c r="H11" s="167">
        <v>0.8</v>
      </c>
      <c r="I11" s="167">
        <v>0.5</v>
      </c>
      <c r="O11" s="167">
        <v>0.6</v>
      </c>
      <c r="P11" s="167">
        <v>0.35</v>
      </c>
      <c r="Q11" s="167">
        <v>0.8</v>
      </c>
      <c r="R11" s="167">
        <v>0.5</v>
      </c>
      <c r="T11" s="162">
        <v>0</v>
      </c>
      <c r="U11" s="162" t="s">
        <v>1796</v>
      </c>
      <c r="V11" s="168">
        <v>0.8</v>
      </c>
      <c r="W11" s="162" t="s">
        <v>43</v>
      </c>
      <c r="X11" s="162" t="s">
        <v>47</v>
      </c>
      <c r="Y11" s="169" t="s">
        <v>125</v>
      </c>
    </row>
    <row r="12" spans="1:25" ht="16">
      <c r="A12" s="461" t="str">
        <f t="shared" si="0"/>
        <v>基隆市中山區</v>
      </c>
      <c r="B12" s="169" t="s">
        <v>43</v>
      </c>
      <c r="C12" s="169" t="s">
        <v>48</v>
      </c>
      <c r="D12" s="166">
        <v>42.5</v>
      </c>
      <c r="E12" s="164">
        <v>203</v>
      </c>
      <c r="F12" s="167">
        <v>0.6</v>
      </c>
      <c r="G12" s="167">
        <v>0.35</v>
      </c>
      <c r="H12" s="167">
        <v>0.8</v>
      </c>
      <c r="I12" s="167">
        <v>0.5</v>
      </c>
      <c r="O12" s="167">
        <v>0.6</v>
      </c>
      <c r="P12" s="167">
        <v>0.35</v>
      </c>
      <c r="Q12" s="167">
        <v>0.8</v>
      </c>
      <c r="R12" s="167">
        <v>0.5</v>
      </c>
      <c r="T12" s="162">
        <v>0</v>
      </c>
      <c r="U12" s="162" t="s">
        <v>1796</v>
      </c>
      <c r="V12" s="168">
        <v>0.8</v>
      </c>
      <c r="W12" s="162" t="s">
        <v>43</v>
      </c>
      <c r="X12" s="162" t="s">
        <v>48</v>
      </c>
      <c r="Y12" s="169" t="s">
        <v>151</v>
      </c>
    </row>
    <row r="13" spans="1:25" ht="16">
      <c r="A13" s="461" t="str">
        <f t="shared" si="0"/>
        <v>基隆市安樂區</v>
      </c>
      <c r="B13" s="169" t="s">
        <v>43</v>
      </c>
      <c r="C13" s="169" t="s">
        <v>49</v>
      </c>
      <c r="D13" s="166">
        <v>42.5</v>
      </c>
      <c r="E13" s="164">
        <v>204</v>
      </c>
      <c r="F13" s="167">
        <v>0.6</v>
      </c>
      <c r="G13" s="167">
        <v>0.3</v>
      </c>
      <c r="H13" s="167">
        <v>0.8</v>
      </c>
      <c r="I13" s="167">
        <v>0.5</v>
      </c>
      <c r="O13" s="167">
        <v>0.6</v>
      </c>
      <c r="P13" s="167">
        <v>0.3</v>
      </c>
      <c r="Q13" s="167">
        <v>0.8</v>
      </c>
      <c r="R13" s="167">
        <v>0.5</v>
      </c>
      <c r="T13" s="162">
        <v>0</v>
      </c>
      <c r="U13" s="162" t="s">
        <v>1796</v>
      </c>
      <c r="V13" s="168">
        <v>0.8</v>
      </c>
      <c r="W13" s="162" t="s">
        <v>43</v>
      </c>
      <c r="X13" s="162" t="s">
        <v>49</v>
      </c>
      <c r="Y13" s="464" t="s">
        <v>166</v>
      </c>
    </row>
    <row r="14" spans="1:25" ht="16">
      <c r="A14" s="461" t="str">
        <f t="shared" si="0"/>
        <v>基隆市信義區</v>
      </c>
      <c r="B14" s="169" t="s">
        <v>43</v>
      </c>
      <c r="C14" s="169" t="s">
        <v>50</v>
      </c>
      <c r="D14" s="166">
        <v>42.5</v>
      </c>
      <c r="E14" s="164">
        <v>201</v>
      </c>
      <c r="F14" s="167">
        <v>0.6</v>
      </c>
      <c r="G14" s="167">
        <v>0.35</v>
      </c>
      <c r="H14" s="167">
        <v>0.8</v>
      </c>
      <c r="I14" s="167">
        <v>0.5</v>
      </c>
      <c r="O14" s="167">
        <v>0.6</v>
      </c>
      <c r="P14" s="167">
        <v>0.35</v>
      </c>
      <c r="Q14" s="167">
        <v>0.8</v>
      </c>
      <c r="R14" s="167">
        <v>0.5</v>
      </c>
      <c r="T14" s="162">
        <v>0</v>
      </c>
      <c r="U14" s="162" t="s">
        <v>1796</v>
      </c>
      <c r="V14" s="168">
        <v>0.8</v>
      </c>
      <c r="W14" s="162" t="s">
        <v>43</v>
      </c>
      <c r="X14" s="162" t="s">
        <v>50</v>
      </c>
      <c r="Y14" s="169" t="s">
        <v>207</v>
      </c>
    </row>
    <row r="15" spans="1:25" s="199" customFormat="1" ht="16.5" thickBot="1">
      <c r="A15" s="462" t="str">
        <f t="shared" si="0"/>
        <v>基隆市彭佳嶼</v>
      </c>
      <c r="B15" s="198" t="s">
        <v>43</v>
      </c>
      <c r="C15" s="198" t="s">
        <v>1578</v>
      </c>
      <c r="D15" s="194">
        <v>57</v>
      </c>
      <c r="E15" s="195">
        <v>202</v>
      </c>
      <c r="F15" s="193">
        <v>0.6</v>
      </c>
      <c r="G15" s="193">
        <v>0.35</v>
      </c>
      <c r="H15" s="193">
        <v>0.8</v>
      </c>
      <c r="I15" s="193">
        <v>0.5</v>
      </c>
      <c r="J15" s="180"/>
      <c r="K15" s="180"/>
      <c r="L15" s="180"/>
      <c r="M15" s="180"/>
      <c r="N15" s="180"/>
      <c r="O15" s="193">
        <v>0.6</v>
      </c>
      <c r="P15" s="193">
        <v>0.35</v>
      </c>
      <c r="Q15" s="193">
        <v>0.8</v>
      </c>
      <c r="R15" s="193">
        <v>0.5</v>
      </c>
      <c r="S15" s="196"/>
      <c r="T15" s="162">
        <v>0</v>
      </c>
      <c r="U15" s="162" t="s">
        <v>1796</v>
      </c>
      <c r="V15" s="197">
        <v>0.8</v>
      </c>
      <c r="W15" s="198" t="s">
        <v>43</v>
      </c>
      <c r="X15" s="198" t="s">
        <v>1578</v>
      </c>
      <c r="Y15" s="169" t="s">
        <v>1579</v>
      </c>
    </row>
    <row r="16" spans="1:25" ht="16">
      <c r="A16" s="461" t="str">
        <f t="shared" si="0"/>
        <v>新北市中和區</v>
      </c>
      <c r="B16" s="169" t="s">
        <v>728</v>
      </c>
      <c r="C16" s="169" t="s">
        <v>878</v>
      </c>
      <c r="D16" s="166">
        <v>37.5</v>
      </c>
      <c r="E16" s="164">
        <v>235</v>
      </c>
      <c r="F16" s="167">
        <v>0.6</v>
      </c>
      <c r="G16" s="167">
        <v>0.35</v>
      </c>
      <c r="H16" s="167">
        <v>0.8</v>
      </c>
      <c r="I16" s="167">
        <v>0.5</v>
      </c>
      <c r="O16" s="167">
        <v>0.6</v>
      </c>
      <c r="P16" s="167">
        <v>0.35</v>
      </c>
      <c r="Q16" s="167">
        <v>0.8</v>
      </c>
      <c r="R16" s="167">
        <v>0.5</v>
      </c>
      <c r="T16" s="162">
        <v>0</v>
      </c>
      <c r="U16" s="162" t="s">
        <v>1796</v>
      </c>
      <c r="V16" s="170">
        <v>0.8</v>
      </c>
      <c r="W16" s="169" t="s">
        <v>728</v>
      </c>
      <c r="X16" s="169" t="s">
        <v>878</v>
      </c>
      <c r="Y16" s="474" t="s">
        <v>244</v>
      </c>
    </row>
    <row r="17" spans="1:25" ht="16">
      <c r="A17" s="461" t="str">
        <f t="shared" si="0"/>
        <v>新北市新店區</v>
      </c>
      <c r="B17" s="169" t="s">
        <v>728</v>
      </c>
      <c r="C17" s="169" t="s">
        <v>879</v>
      </c>
      <c r="D17" s="166">
        <v>37.5</v>
      </c>
      <c r="E17" s="164">
        <v>231</v>
      </c>
      <c r="F17" s="167">
        <v>0.6</v>
      </c>
      <c r="G17" s="167">
        <v>0.35</v>
      </c>
      <c r="H17" s="167">
        <v>0.8</v>
      </c>
      <c r="I17" s="167">
        <v>0.5</v>
      </c>
      <c r="O17" s="167">
        <v>0.6</v>
      </c>
      <c r="P17" s="167">
        <v>0.35</v>
      </c>
      <c r="Q17" s="167">
        <v>0.8</v>
      </c>
      <c r="R17" s="167">
        <v>0.5</v>
      </c>
      <c r="T17" s="162">
        <v>0</v>
      </c>
      <c r="U17" s="162" t="s">
        <v>1796</v>
      </c>
      <c r="V17" s="171">
        <v>0.8</v>
      </c>
      <c r="W17" s="169" t="s">
        <v>728</v>
      </c>
      <c r="X17" s="169" t="s">
        <v>879</v>
      </c>
      <c r="Y17" s="169" t="s">
        <v>283</v>
      </c>
    </row>
    <row r="18" spans="1:25" ht="16">
      <c r="A18" s="461" t="str">
        <f t="shared" si="0"/>
        <v>新北市樹林區</v>
      </c>
      <c r="B18" s="169" t="s">
        <v>728</v>
      </c>
      <c r="C18" s="169" t="s">
        <v>881</v>
      </c>
      <c r="D18" s="166">
        <v>37.5</v>
      </c>
      <c r="E18" s="164">
        <v>238</v>
      </c>
      <c r="F18" s="167">
        <v>0.6</v>
      </c>
      <c r="G18" s="167">
        <v>0.35</v>
      </c>
      <c r="H18" s="167">
        <v>0.8</v>
      </c>
      <c r="I18" s="167">
        <v>0.5</v>
      </c>
      <c r="O18" s="167">
        <v>0.6</v>
      </c>
      <c r="P18" s="167">
        <v>0.35</v>
      </c>
      <c r="Q18" s="167">
        <v>0.8</v>
      </c>
      <c r="R18" s="167">
        <v>0.5</v>
      </c>
      <c r="T18" s="162">
        <v>0</v>
      </c>
      <c r="U18" s="162" t="s">
        <v>1796</v>
      </c>
      <c r="V18" s="171">
        <v>0.8</v>
      </c>
      <c r="W18" s="169" t="s">
        <v>728</v>
      </c>
      <c r="X18" s="169" t="s">
        <v>881</v>
      </c>
      <c r="Y18" s="169" t="s">
        <v>1580</v>
      </c>
    </row>
    <row r="19" spans="1:25" ht="16">
      <c r="A19" s="461" t="str">
        <f t="shared" si="0"/>
        <v>新北市土城區</v>
      </c>
      <c r="B19" s="169" t="s">
        <v>728</v>
      </c>
      <c r="C19" s="169" t="s">
        <v>880</v>
      </c>
      <c r="D19" s="166">
        <v>37.5</v>
      </c>
      <c r="E19" s="164">
        <v>236</v>
      </c>
      <c r="F19" s="167">
        <v>0.6</v>
      </c>
      <c r="G19" s="167">
        <v>0.35</v>
      </c>
      <c r="H19" s="167">
        <v>0.8</v>
      </c>
      <c r="I19" s="167">
        <v>0.5</v>
      </c>
      <c r="O19" s="167">
        <v>0.6</v>
      </c>
      <c r="P19" s="167">
        <v>0.35</v>
      </c>
      <c r="Q19" s="167">
        <v>0.8</v>
      </c>
      <c r="R19" s="167">
        <v>0.5</v>
      </c>
      <c r="T19" s="162">
        <v>0</v>
      </c>
      <c r="U19" s="162" t="s">
        <v>1796</v>
      </c>
      <c r="V19" s="171">
        <v>0.8</v>
      </c>
      <c r="W19" s="169" t="s">
        <v>728</v>
      </c>
      <c r="X19" s="169" t="s">
        <v>880</v>
      </c>
      <c r="Y19" s="169" t="s">
        <v>341</v>
      </c>
    </row>
    <row r="20" spans="1:25" ht="16">
      <c r="A20" s="461" t="str">
        <f t="shared" si="0"/>
        <v>新北市五股區</v>
      </c>
      <c r="B20" s="169" t="s">
        <v>728</v>
      </c>
      <c r="C20" s="169" t="s">
        <v>882</v>
      </c>
      <c r="D20" s="166">
        <v>37.5</v>
      </c>
      <c r="E20" s="164">
        <v>248</v>
      </c>
      <c r="F20" s="167">
        <v>0.5</v>
      </c>
      <c r="G20" s="167">
        <v>0.3</v>
      </c>
      <c r="H20" s="167">
        <v>0.7</v>
      </c>
      <c r="I20" s="167">
        <v>0.45</v>
      </c>
      <c r="O20" s="167">
        <v>0.5</v>
      </c>
      <c r="P20" s="167">
        <v>0.3</v>
      </c>
      <c r="Q20" s="167">
        <v>0.7</v>
      </c>
      <c r="R20" s="167">
        <v>0.45</v>
      </c>
      <c r="T20" s="162">
        <v>0</v>
      </c>
      <c r="U20" s="162" t="s">
        <v>1796</v>
      </c>
      <c r="V20" s="171">
        <v>0.8</v>
      </c>
      <c r="W20" s="169" t="s">
        <v>728</v>
      </c>
      <c r="X20" s="169" t="s">
        <v>882</v>
      </c>
      <c r="Y20" s="169" t="s">
        <v>317</v>
      </c>
    </row>
    <row r="21" spans="1:25" ht="16.5" thickBot="1">
      <c r="A21" s="461" t="str">
        <f t="shared" si="0"/>
        <v>新北市泰山區</v>
      </c>
      <c r="B21" s="169" t="s">
        <v>728</v>
      </c>
      <c r="C21" s="169" t="s">
        <v>883</v>
      </c>
      <c r="D21" s="166">
        <v>37.5</v>
      </c>
      <c r="E21" s="164">
        <v>243</v>
      </c>
      <c r="F21" s="167">
        <v>0.5</v>
      </c>
      <c r="G21" s="167">
        <v>0.3</v>
      </c>
      <c r="H21" s="167">
        <v>0.7</v>
      </c>
      <c r="I21" s="167">
        <v>0.45</v>
      </c>
      <c r="O21" s="167">
        <v>0.5</v>
      </c>
      <c r="P21" s="167">
        <v>0.3</v>
      </c>
      <c r="Q21" s="167">
        <v>0.7</v>
      </c>
      <c r="R21" s="167">
        <v>0.45</v>
      </c>
      <c r="T21" s="162">
        <v>0</v>
      </c>
      <c r="U21" s="162" t="s">
        <v>1796</v>
      </c>
      <c r="V21" s="172">
        <v>0.8</v>
      </c>
      <c r="W21" s="169" t="s">
        <v>728</v>
      </c>
      <c r="X21" s="169" t="s">
        <v>883</v>
      </c>
      <c r="Y21" s="169" t="s">
        <v>356</v>
      </c>
    </row>
    <row r="22" spans="1:25" ht="16">
      <c r="A22" s="461" t="str">
        <f t="shared" si="0"/>
        <v>新北市淡水區</v>
      </c>
      <c r="B22" s="169" t="s">
        <v>728</v>
      </c>
      <c r="C22" s="169" t="s">
        <v>1035</v>
      </c>
      <c r="D22" s="166">
        <v>42.5</v>
      </c>
      <c r="E22" s="164">
        <v>251</v>
      </c>
      <c r="F22" s="167">
        <v>0.5</v>
      </c>
      <c r="G22" s="167">
        <v>0.3</v>
      </c>
      <c r="H22" s="167">
        <v>0.7</v>
      </c>
      <c r="I22" s="173">
        <v>0.45</v>
      </c>
      <c r="O22" s="167">
        <v>0.5</v>
      </c>
      <c r="P22" s="167">
        <v>0.3</v>
      </c>
      <c r="Q22" s="167">
        <v>0.7</v>
      </c>
      <c r="R22" s="173">
        <v>0.45</v>
      </c>
      <c r="T22" s="162">
        <v>0</v>
      </c>
      <c r="U22" s="162" t="s">
        <v>1796</v>
      </c>
      <c r="V22" s="168">
        <v>0.8</v>
      </c>
      <c r="W22" s="169" t="s">
        <v>728</v>
      </c>
      <c r="X22" s="174" t="s">
        <v>1035</v>
      </c>
      <c r="Y22" s="169" t="s">
        <v>358</v>
      </c>
    </row>
    <row r="23" spans="1:25" ht="16">
      <c r="A23" s="461" t="str">
        <f t="shared" si="0"/>
        <v>新北市汐止區</v>
      </c>
      <c r="B23" s="169" t="s">
        <v>728</v>
      </c>
      <c r="C23" s="169" t="s">
        <v>1037</v>
      </c>
      <c r="D23" s="166">
        <v>42.5</v>
      </c>
      <c r="E23" s="164">
        <v>221</v>
      </c>
      <c r="F23" s="167">
        <v>0.6</v>
      </c>
      <c r="G23" s="173">
        <v>0.35</v>
      </c>
      <c r="H23" s="167">
        <v>0.8</v>
      </c>
      <c r="I23" s="173">
        <v>0.5</v>
      </c>
      <c r="O23" s="167">
        <v>0.6</v>
      </c>
      <c r="P23" s="173">
        <v>0.35</v>
      </c>
      <c r="Q23" s="167">
        <v>0.8</v>
      </c>
      <c r="R23" s="173">
        <v>0.5</v>
      </c>
      <c r="T23" s="162">
        <v>0</v>
      </c>
      <c r="U23" s="162" t="s">
        <v>1796</v>
      </c>
      <c r="V23" s="168">
        <v>0.8</v>
      </c>
      <c r="W23" s="169" t="s">
        <v>728</v>
      </c>
      <c r="X23" s="174" t="s">
        <v>1037</v>
      </c>
      <c r="Y23" s="477" t="s">
        <v>1581</v>
      </c>
    </row>
    <row r="24" spans="1:25" ht="16">
      <c r="A24" s="461" t="str">
        <f t="shared" si="0"/>
        <v>新北市八里區</v>
      </c>
      <c r="B24" s="169" t="s">
        <v>728</v>
      </c>
      <c r="C24" s="169" t="s">
        <v>1036</v>
      </c>
      <c r="D24" s="166">
        <v>37.5</v>
      </c>
      <c r="E24" s="164">
        <v>249</v>
      </c>
      <c r="F24" s="167">
        <v>0.5</v>
      </c>
      <c r="G24" s="167">
        <v>0.3</v>
      </c>
      <c r="H24" s="167">
        <v>0.7</v>
      </c>
      <c r="I24" s="173">
        <v>0.45</v>
      </c>
      <c r="O24" s="167">
        <v>0.5</v>
      </c>
      <c r="P24" s="167">
        <v>0.3</v>
      </c>
      <c r="Q24" s="167">
        <v>0.7</v>
      </c>
      <c r="R24" s="173">
        <v>0.45</v>
      </c>
      <c r="T24" s="162">
        <v>0</v>
      </c>
      <c r="U24" s="175" t="s">
        <v>1797</v>
      </c>
      <c r="V24" s="175">
        <v>0.6</v>
      </c>
      <c r="W24" s="169" t="s">
        <v>728</v>
      </c>
      <c r="X24" s="174" t="s">
        <v>1036</v>
      </c>
    </row>
    <row r="25" spans="1:25" ht="16">
      <c r="A25" s="461" t="str">
        <f t="shared" si="0"/>
        <v>新北市鶯歌區</v>
      </c>
      <c r="B25" s="169" t="s">
        <v>728</v>
      </c>
      <c r="C25" s="169" t="s">
        <v>1582</v>
      </c>
      <c r="D25" s="166">
        <v>37.5</v>
      </c>
      <c r="E25" s="164">
        <v>239</v>
      </c>
      <c r="F25" s="167">
        <v>0.6</v>
      </c>
      <c r="G25" s="173">
        <v>0.35</v>
      </c>
      <c r="H25" s="167">
        <v>0.8</v>
      </c>
      <c r="I25" s="173">
        <v>0.5</v>
      </c>
      <c r="O25" s="167">
        <v>0.6</v>
      </c>
      <c r="P25" s="173">
        <v>0.35</v>
      </c>
      <c r="Q25" s="167">
        <v>0.8</v>
      </c>
      <c r="R25" s="173">
        <v>0.5</v>
      </c>
      <c r="T25" s="162">
        <v>0</v>
      </c>
      <c r="U25" s="162" t="s">
        <v>1796</v>
      </c>
      <c r="V25" s="168">
        <v>0.8</v>
      </c>
      <c r="W25" s="169" t="s">
        <v>728</v>
      </c>
      <c r="X25" s="174" t="s">
        <v>1582</v>
      </c>
    </row>
    <row r="26" spans="1:25" ht="16">
      <c r="A26" s="461" t="str">
        <f t="shared" si="0"/>
        <v>新北市三峽區</v>
      </c>
      <c r="B26" s="169" t="s">
        <v>728</v>
      </c>
      <c r="C26" s="169" t="s">
        <v>1583</v>
      </c>
      <c r="D26" s="166">
        <v>37.5</v>
      </c>
      <c r="E26" s="164">
        <v>237</v>
      </c>
      <c r="F26" s="167">
        <v>0.7</v>
      </c>
      <c r="G26" s="173">
        <v>0.4</v>
      </c>
      <c r="H26" s="167">
        <v>0.8</v>
      </c>
      <c r="I26" s="167">
        <v>0.5</v>
      </c>
      <c r="O26" s="167">
        <v>0.7</v>
      </c>
      <c r="P26" s="173">
        <v>0.4</v>
      </c>
      <c r="Q26" s="167">
        <v>0.8</v>
      </c>
      <c r="R26" s="167">
        <v>0.5</v>
      </c>
      <c r="T26" s="162">
        <v>0</v>
      </c>
      <c r="U26" s="162" t="s">
        <v>1796</v>
      </c>
      <c r="V26" s="168">
        <v>0.8</v>
      </c>
      <c r="W26" s="169" t="s">
        <v>728</v>
      </c>
      <c r="X26" s="174" t="s">
        <v>1583</v>
      </c>
    </row>
    <row r="27" spans="1:25" ht="16">
      <c r="A27" s="461" t="str">
        <f t="shared" si="0"/>
        <v>新北市瑞芳區</v>
      </c>
      <c r="B27" s="169" t="s">
        <v>728</v>
      </c>
      <c r="C27" s="169" t="s">
        <v>1584</v>
      </c>
      <c r="D27" s="166">
        <v>42.5</v>
      </c>
      <c r="E27" s="164">
        <v>224</v>
      </c>
      <c r="F27" s="167">
        <v>0.6</v>
      </c>
      <c r="G27" s="167">
        <v>0.35</v>
      </c>
      <c r="H27" s="167">
        <v>0.9</v>
      </c>
      <c r="I27" s="167">
        <v>0.55000000000000004</v>
      </c>
      <c r="O27" s="167">
        <v>0.6</v>
      </c>
      <c r="P27" s="167">
        <v>0.35</v>
      </c>
      <c r="Q27" s="167">
        <v>0.9</v>
      </c>
      <c r="R27" s="167">
        <v>0.55000000000000004</v>
      </c>
      <c r="T27" s="162">
        <v>0</v>
      </c>
      <c r="U27" s="162" t="s">
        <v>1796</v>
      </c>
      <c r="V27" s="168">
        <v>0.8</v>
      </c>
      <c r="W27" s="169" t="s">
        <v>728</v>
      </c>
      <c r="X27" s="174" t="s">
        <v>1584</v>
      </c>
    </row>
    <row r="28" spans="1:25" ht="16">
      <c r="A28" s="461" t="str">
        <f t="shared" si="0"/>
        <v>新北市林口區</v>
      </c>
      <c r="B28" s="169" t="s">
        <v>728</v>
      </c>
      <c r="C28" s="169" t="s">
        <v>1585</v>
      </c>
      <c r="D28" s="166">
        <v>37.5</v>
      </c>
      <c r="E28" s="164">
        <v>244</v>
      </c>
      <c r="F28" s="167">
        <v>0.5</v>
      </c>
      <c r="G28" s="167">
        <v>0.3</v>
      </c>
      <c r="H28" s="167">
        <v>0.7</v>
      </c>
      <c r="I28" s="173">
        <v>0.45</v>
      </c>
      <c r="O28" s="167">
        <v>0.5</v>
      </c>
      <c r="P28" s="167">
        <v>0.3</v>
      </c>
      <c r="Q28" s="167">
        <v>0.7</v>
      </c>
      <c r="R28" s="173">
        <v>0.45</v>
      </c>
      <c r="T28" s="162">
        <v>0</v>
      </c>
      <c r="U28" s="175" t="s">
        <v>1797</v>
      </c>
      <c r="V28" s="175">
        <v>0.6</v>
      </c>
      <c r="W28" s="169" t="s">
        <v>728</v>
      </c>
      <c r="X28" s="174" t="s">
        <v>1585</v>
      </c>
    </row>
    <row r="29" spans="1:25" ht="16">
      <c r="A29" s="461" t="str">
        <f t="shared" si="0"/>
        <v>新北市深坑區</v>
      </c>
      <c r="B29" s="169" t="s">
        <v>728</v>
      </c>
      <c r="C29" s="169" t="s">
        <v>1586</v>
      </c>
      <c r="D29" s="166">
        <v>42.5</v>
      </c>
      <c r="E29" s="164">
        <v>222</v>
      </c>
      <c r="F29" s="167">
        <v>0.6</v>
      </c>
      <c r="G29" s="167">
        <v>0.35</v>
      </c>
      <c r="H29" s="167">
        <v>0.8</v>
      </c>
      <c r="I29" s="173">
        <v>0.5</v>
      </c>
      <c r="O29" s="167">
        <v>0.6</v>
      </c>
      <c r="P29" s="167">
        <v>0.35</v>
      </c>
      <c r="Q29" s="167">
        <v>0.8</v>
      </c>
      <c r="R29" s="173">
        <v>0.5</v>
      </c>
      <c r="T29" s="162">
        <v>0</v>
      </c>
      <c r="U29" s="162" t="s">
        <v>1796</v>
      </c>
      <c r="V29" s="168">
        <v>0.8</v>
      </c>
      <c r="W29" s="169" t="s">
        <v>728</v>
      </c>
      <c r="X29" s="174" t="s">
        <v>1586</v>
      </c>
    </row>
    <row r="30" spans="1:25" ht="16">
      <c r="A30" s="461" t="str">
        <f t="shared" si="0"/>
        <v>新北市石碇區</v>
      </c>
      <c r="B30" s="169" t="s">
        <v>728</v>
      </c>
      <c r="C30" s="169" t="s">
        <v>1587</v>
      </c>
      <c r="D30" s="166">
        <v>42.5</v>
      </c>
      <c r="E30" s="164">
        <v>223</v>
      </c>
      <c r="F30" s="167">
        <v>0.7</v>
      </c>
      <c r="G30" s="193">
        <v>0.4</v>
      </c>
      <c r="H30" s="167">
        <v>0.9</v>
      </c>
      <c r="I30" s="173">
        <v>0.55000000000000004</v>
      </c>
      <c r="O30" s="167">
        <v>0.7</v>
      </c>
      <c r="P30" s="167">
        <v>0.35</v>
      </c>
      <c r="Q30" s="167">
        <v>0.9</v>
      </c>
      <c r="R30" s="173">
        <v>0.55000000000000004</v>
      </c>
      <c r="T30" s="162">
        <v>0</v>
      </c>
      <c r="U30" s="162" t="s">
        <v>1796</v>
      </c>
      <c r="V30" s="168">
        <v>0.8</v>
      </c>
      <c r="W30" s="169" t="s">
        <v>728</v>
      </c>
      <c r="X30" s="174" t="s">
        <v>1587</v>
      </c>
    </row>
    <row r="31" spans="1:25" ht="16">
      <c r="A31" s="461" t="str">
        <f t="shared" si="0"/>
        <v>新北市坪林區</v>
      </c>
      <c r="B31" s="169" t="s">
        <v>728</v>
      </c>
      <c r="C31" s="169" t="s">
        <v>1588</v>
      </c>
      <c r="D31" s="166">
        <v>42.5</v>
      </c>
      <c r="E31" s="164">
        <v>232</v>
      </c>
      <c r="F31" s="167">
        <v>0.7</v>
      </c>
      <c r="G31" s="167">
        <v>0.4</v>
      </c>
      <c r="H31" s="167">
        <v>0.9</v>
      </c>
      <c r="I31" s="167">
        <v>0.55000000000000004</v>
      </c>
      <c r="O31" s="167">
        <v>0.7</v>
      </c>
      <c r="P31" s="167">
        <v>0.4</v>
      </c>
      <c r="Q31" s="167">
        <v>0.9</v>
      </c>
      <c r="R31" s="167">
        <v>0.55000000000000004</v>
      </c>
      <c r="T31" s="162">
        <v>0</v>
      </c>
      <c r="U31" s="162" t="s">
        <v>1796</v>
      </c>
      <c r="V31" s="168">
        <v>0.8</v>
      </c>
      <c r="W31" s="169" t="s">
        <v>728</v>
      </c>
      <c r="X31" s="174" t="s">
        <v>1588</v>
      </c>
    </row>
    <row r="32" spans="1:25" ht="16">
      <c r="A32" s="461" t="str">
        <f t="shared" si="0"/>
        <v>新北市三芝區</v>
      </c>
      <c r="B32" s="169" t="s">
        <v>728</v>
      </c>
      <c r="C32" s="169" t="s">
        <v>1589</v>
      </c>
      <c r="D32" s="166">
        <v>42.5</v>
      </c>
      <c r="E32" s="164">
        <v>252</v>
      </c>
      <c r="F32" s="167">
        <v>0.5</v>
      </c>
      <c r="G32" s="167">
        <v>0.3</v>
      </c>
      <c r="H32" s="167">
        <v>0.7</v>
      </c>
      <c r="I32" s="173">
        <v>0.45</v>
      </c>
      <c r="O32" s="167">
        <v>0.5</v>
      </c>
      <c r="P32" s="167">
        <v>0.3</v>
      </c>
      <c r="Q32" s="167">
        <v>0.7</v>
      </c>
      <c r="R32" s="173">
        <v>0.45</v>
      </c>
      <c r="T32" s="162">
        <v>0</v>
      </c>
      <c r="U32" s="162" t="s">
        <v>1796</v>
      </c>
      <c r="V32" s="168">
        <v>0.8</v>
      </c>
      <c r="W32" s="169" t="s">
        <v>728</v>
      </c>
      <c r="X32" s="174" t="s">
        <v>1589</v>
      </c>
    </row>
    <row r="33" spans="1:24" ht="16">
      <c r="A33" s="461" t="str">
        <f t="shared" si="0"/>
        <v>新北市石門區</v>
      </c>
      <c r="B33" s="169" t="s">
        <v>728</v>
      </c>
      <c r="C33" s="169" t="s">
        <v>1590</v>
      </c>
      <c r="D33" s="166">
        <v>42.5</v>
      </c>
      <c r="E33" s="164">
        <v>253</v>
      </c>
      <c r="F33" s="167">
        <v>0.5</v>
      </c>
      <c r="G33" s="167">
        <v>0.3</v>
      </c>
      <c r="H33" s="167">
        <v>0.7</v>
      </c>
      <c r="I33" s="173">
        <v>0.45</v>
      </c>
      <c r="O33" s="167">
        <v>0.5</v>
      </c>
      <c r="P33" s="167">
        <v>0.3</v>
      </c>
      <c r="Q33" s="167">
        <v>0.7</v>
      </c>
      <c r="R33" s="173">
        <v>0.45</v>
      </c>
      <c r="T33" s="162">
        <v>0</v>
      </c>
      <c r="U33" s="162" t="s">
        <v>1796</v>
      </c>
      <c r="V33" s="168">
        <v>0.8</v>
      </c>
      <c r="W33" s="169" t="s">
        <v>728</v>
      </c>
      <c r="X33" s="174" t="s">
        <v>1590</v>
      </c>
    </row>
    <row r="34" spans="1:24" ht="16">
      <c r="A34" s="461" t="str">
        <f t="shared" si="0"/>
        <v>新北市平溪區</v>
      </c>
      <c r="B34" s="169" t="s">
        <v>728</v>
      </c>
      <c r="C34" s="169" t="s">
        <v>1591</v>
      </c>
      <c r="D34" s="166">
        <v>42.5</v>
      </c>
      <c r="E34" s="164">
        <v>226</v>
      </c>
      <c r="F34" s="167">
        <v>0.6</v>
      </c>
      <c r="G34" s="167">
        <v>0.35</v>
      </c>
      <c r="H34" s="167">
        <v>0.9</v>
      </c>
      <c r="I34" s="173">
        <v>0.55000000000000004</v>
      </c>
      <c r="O34" s="167">
        <v>0.6</v>
      </c>
      <c r="P34" s="167">
        <v>0.35</v>
      </c>
      <c r="Q34" s="167">
        <v>0.9</v>
      </c>
      <c r="R34" s="173">
        <v>0.55000000000000004</v>
      </c>
      <c r="T34" s="162">
        <v>0</v>
      </c>
      <c r="U34" s="162" t="s">
        <v>1796</v>
      </c>
      <c r="V34" s="168">
        <v>0.8</v>
      </c>
      <c r="W34" s="169" t="s">
        <v>728</v>
      </c>
      <c r="X34" s="174" t="s">
        <v>1591</v>
      </c>
    </row>
    <row r="35" spans="1:24" ht="16">
      <c r="A35" s="461" t="str">
        <f t="shared" si="0"/>
        <v>新北市雙溪區</v>
      </c>
      <c r="B35" s="169" t="s">
        <v>728</v>
      </c>
      <c r="C35" s="169" t="s">
        <v>1592</v>
      </c>
      <c r="D35" s="166">
        <v>42.5</v>
      </c>
      <c r="E35" s="164">
        <v>227</v>
      </c>
      <c r="F35" s="167">
        <v>0.7</v>
      </c>
      <c r="G35" s="167">
        <v>0.4</v>
      </c>
      <c r="H35" s="167">
        <v>0.9</v>
      </c>
      <c r="I35" s="167">
        <v>0.55000000000000004</v>
      </c>
      <c r="O35" s="167">
        <v>0.7</v>
      </c>
      <c r="P35" s="167">
        <v>0.4</v>
      </c>
      <c r="Q35" s="167">
        <v>0.9</v>
      </c>
      <c r="R35" s="167">
        <v>0.55000000000000004</v>
      </c>
      <c r="T35" s="162">
        <v>0</v>
      </c>
      <c r="U35" s="162" t="s">
        <v>1796</v>
      </c>
      <c r="V35" s="168">
        <v>0.8</v>
      </c>
      <c r="W35" s="169" t="s">
        <v>728</v>
      </c>
      <c r="X35" s="174" t="s">
        <v>1592</v>
      </c>
    </row>
    <row r="36" spans="1:24" ht="16">
      <c r="A36" s="461" t="str">
        <f t="shared" si="0"/>
        <v>新北市貢寮區</v>
      </c>
      <c r="B36" s="169" t="s">
        <v>728</v>
      </c>
      <c r="C36" s="169" t="s">
        <v>1593</v>
      </c>
      <c r="D36" s="166">
        <v>42.5</v>
      </c>
      <c r="E36" s="164">
        <v>228</v>
      </c>
      <c r="F36" s="167">
        <v>0.7</v>
      </c>
      <c r="G36" s="167">
        <v>0.4</v>
      </c>
      <c r="H36" s="167">
        <v>0.9</v>
      </c>
      <c r="I36" s="167">
        <v>0.55000000000000004</v>
      </c>
      <c r="O36" s="167">
        <v>0.7</v>
      </c>
      <c r="P36" s="167">
        <v>0.4</v>
      </c>
      <c r="Q36" s="167">
        <v>0.9</v>
      </c>
      <c r="R36" s="167">
        <v>0.55000000000000004</v>
      </c>
      <c r="T36" s="162">
        <v>0</v>
      </c>
      <c r="U36" s="162" t="s">
        <v>1796</v>
      </c>
      <c r="V36" s="168">
        <v>0.8</v>
      </c>
      <c r="W36" s="169" t="s">
        <v>728</v>
      </c>
      <c r="X36" s="174" t="s">
        <v>1593</v>
      </c>
    </row>
    <row r="37" spans="1:24" ht="16">
      <c r="A37" s="461" t="str">
        <f t="shared" si="0"/>
        <v>新北市金山區</v>
      </c>
      <c r="B37" s="169" t="s">
        <v>728</v>
      </c>
      <c r="C37" s="169" t="s">
        <v>1594</v>
      </c>
      <c r="D37" s="166">
        <v>42.5</v>
      </c>
      <c r="E37" s="164">
        <v>208</v>
      </c>
      <c r="F37" s="167">
        <v>0.5</v>
      </c>
      <c r="G37" s="167">
        <v>0.3</v>
      </c>
      <c r="H37" s="167">
        <v>0.7</v>
      </c>
      <c r="I37" s="173">
        <v>0.45</v>
      </c>
      <c r="O37" s="167">
        <v>0.5</v>
      </c>
      <c r="P37" s="167">
        <v>0.3</v>
      </c>
      <c r="Q37" s="167">
        <v>0.7</v>
      </c>
      <c r="R37" s="173">
        <v>0.45</v>
      </c>
      <c r="T37" s="162">
        <v>0</v>
      </c>
      <c r="U37" s="162" t="s">
        <v>1796</v>
      </c>
      <c r="V37" s="168">
        <v>0.8</v>
      </c>
      <c r="W37" s="169" t="s">
        <v>728</v>
      </c>
      <c r="X37" s="174" t="s">
        <v>1594</v>
      </c>
    </row>
    <row r="38" spans="1:24" ht="16">
      <c r="A38" s="461" t="str">
        <f t="shared" si="0"/>
        <v>新北市萬里區</v>
      </c>
      <c r="B38" s="169" t="s">
        <v>728</v>
      </c>
      <c r="C38" s="169" t="s">
        <v>1595</v>
      </c>
      <c r="D38" s="166">
        <v>42.5</v>
      </c>
      <c r="E38" s="164">
        <v>207</v>
      </c>
      <c r="F38" s="167">
        <v>0.5</v>
      </c>
      <c r="G38" s="167">
        <v>0.3</v>
      </c>
      <c r="H38" s="167">
        <v>0.8</v>
      </c>
      <c r="I38" s="173">
        <v>0.5</v>
      </c>
      <c r="O38" s="167">
        <v>0.5</v>
      </c>
      <c r="P38" s="167">
        <v>0.3</v>
      </c>
      <c r="Q38" s="167">
        <v>0.8</v>
      </c>
      <c r="R38" s="173">
        <v>0.5</v>
      </c>
      <c r="T38" s="162">
        <v>0</v>
      </c>
      <c r="U38" s="162" t="s">
        <v>1796</v>
      </c>
      <c r="V38" s="168">
        <v>0.8</v>
      </c>
      <c r="W38" s="169" t="s">
        <v>728</v>
      </c>
      <c r="X38" s="174" t="s">
        <v>1595</v>
      </c>
    </row>
    <row r="39" spans="1:24" ht="16">
      <c r="A39" s="461" t="str">
        <f t="shared" si="0"/>
        <v>新北市烏來區</v>
      </c>
      <c r="B39" s="169" t="s">
        <v>728</v>
      </c>
      <c r="C39" s="169" t="s">
        <v>1596</v>
      </c>
      <c r="D39" s="166">
        <v>37.5</v>
      </c>
      <c r="E39" s="164">
        <v>233</v>
      </c>
      <c r="F39" s="167">
        <v>0.7</v>
      </c>
      <c r="G39" s="167">
        <v>0.4</v>
      </c>
      <c r="H39" s="167">
        <v>0.9</v>
      </c>
      <c r="I39" s="173">
        <v>0.55000000000000004</v>
      </c>
      <c r="O39" s="167">
        <v>0.7</v>
      </c>
      <c r="P39" s="167">
        <v>0.4</v>
      </c>
      <c r="Q39" s="167">
        <v>0.9</v>
      </c>
      <c r="R39" s="173">
        <v>0.55000000000000004</v>
      </c>
      <c r="T39" s="162">
        <v>0</v>
      </c>
      <c r="U39" s="162" t="s">
        <v>1796</v>
      </c>
      <c r="V39" s="168">
        <v>0.8</v>
      </c>
      <c r="W39" s="169" t="s">
        <v>728</v>
      </c>
      <c r="X39" s="174" t="s">
        <v>1596</v>
      </c>
    </row>
    <row r="40" spans="1:24" ht="16">
      <c r="A40" s="461" t="str">
        <f t="shared" si="0"/>
        <v>宜蘭縣宜蘭市</v>
      </c>
      <c r="B40" s="169" t="s">
        <v>51</v>
      </c>
      <c r="C40" s="169" t="s">
        <v>52</v>
      </c>
      <c r="D40" s="166">
        <v>37.5</v>
      </c>
      <c r="E40" s="164">
        <v>260</v>
      </c>
      <c r="F40" s="167">
        <v>0.8</v>
      </c>
      <c r="G40" s="167">
        <v>0.45</v>
      </c>
      <c r="H40" s="167">
        <v>0.9</v>
      </c>
      <c r="I40" s="167">
        <v>0.55000000000000004</v>
      </c>
      <c r="O40" s="167">
        <v>0.8</v>
      </c>
      <c r="P40" s="167">
        <v>0.45</v>
      </c>
      <c r="Q40" s="167">
        <v>0.9</v>
      </c>
      <c r="R40" s="167">
        <v>0.55000000000000004</v>
      </c>
      <c r="T40" s="162">
        <v>0</v>
      </c>
      <c r="U40" s="162" t="s">
        <v>1796</v>
      </c>
      <c r="V40" s="168">
        <v>0.8</v>
      </c>
      <c r="W40" s="162" t="s">
        <v>51</v>
      </c>
      <c r="X40" s="162" t="s">
        <v>52</v>
      </c>
    </row>
    <row r="41" spans="1:24" ht="16">
      <c r="A41" s="461" t="str">
        <f t="shared" si="0"/>
        <v>宜蘭縣頭城鎮</v>
      </c>
      <c r="B41" s="169" t="s">
        <v>51</v>
      </c>
      <c r="C41" s="169" t="s">
        <v>55</v>
      </c>
      <c r="D41" s="166">
        <v>42.5</v>
      </c>
      <c r="E41" s="164">
        <v>261</v>
      </c>
      <c r="F41" s="167">
        <v>0.8</v>
      </c>
      <c r="G41" s="167">
        <v>0.45</v>
      </c>
      <c r="H41" s="167">
        <v>0.9</v>
      </c>
      <c r="I41" s="167">
        <v>0.55000000000000004</v>
      </c>
      <c r="O41" s="167">
        <v>0.8</v>
      </c>
      <c r="P41" s="167">
        <v>0.45</v>
      </c>
      <c r="Q41" s="167">
        <v>0.9</v>
      </c>
      <c r="R41" s="167">
        <v>0.55000000000000004</v>
      </c>
      <c r="T41" s="162">
        <v>0</v>
      </c>
      <c r="U41" s="162" t="s">
        <v>1796</v>
      </c>
      <c r="V41" s="168">
        <v>0.8</v>
      </c>
      <c r="W41" s="162" t="s">
        <v>51</v>
      </c>
      <c r="X41" s="162" t="s">
        <v>55</v>
      </c>
    </row>
    <row r="42" spans="1:24" ht="16">
      <c r="A42" s="461" t="str">
        <f t="shared" si="0"/>
        <v>宜蘭縣礁溪鎮</v>
      </c>
      <c r="B42" s="169" t="s">
        <v>51</v>
      </c>
      <c r="C42" s="169" t="s">
        <v>56</v>
      </c>
      <c r="D42" s="166">
        <v>37.5</v>
      </c>
      <c r="E42" s="164">
        <v>262</v>
      </c>
      <c r="F42" s="167">
        <v>0.8</v>
      </c>
      <c r="G42" s="167">
        <v>0.45</v>
      </c>
      <c r="H42" s="167">
        <v>0.9</v>
      </c>
      <c r="I42" s="167">
        <v>0.55000000000000004</v>
      </c>
      <c r="O42" s="167">
        <v>0.8</v>
      </c>
      <c r="P42" s="167">
        <v>0.45</v>
      </c>
      <c r="Q42" s="167">
        <v>0.9</v>
      </c>
      <c r="R42" s="167">
        <v>0.55000000000000004</v>
      </c>
      <c r="T42" s="162">
        <v>0</v>
      </c>
      <c r="U42" s="162" t="s">
        <v>1796</v>
      </c>
      <c r="V42" s="168">
        <v>0.8</v>
      </c>
      <c r="W42" s="162" t="s">
        <v>51</v>
      </c>
      <c r="X42" s="162" t="s">
        <v>56</v>
      </c>
    </row>
    <row r="43" spans="1:24" ht="16">
      <c r="A43" s="461" t="str">
        <f t="shared" si="0"/>
        <v>宜蘭縣壯圍鄉</v>
      </c>
      <c r="B43" s="169" t="s">
        <v>51</v>
      </c>
      <c r="C43" s="169" t="s">
        <v>57</v>
      </c>
      <c r="D43" s="166">
        <v>42.5</v>
      </c>
      <c r="E43" s="164">
        <v>263</v>
      </c>
      <c r="F43" s="167">
        <v>0.8</v>
      </c>
      <c r="G43" s="167">
        <v>0.45</v>
      </c>
      <c r="H43" s="167">
        <v>0.9</v>
      </c>
      <c r="I43" s="167">
        <v>0.55000000000000004</v>
      </c>
      <c r="O43" s="167">
        <v>0.8</v>
      </c>
      <c r="P43" s="167">
        <v>0.45</v>
      </c>
      <c r="Q43" s="167">
        <v>0.9</v>
      </c>
      <c r="R43" s="167">
        <v>0.55000000000000004</v>
      </c>
      <c r="T43" s="162">
        <v>0</v>
      </c>
      <c r="U43" s="162" t="s">
        <v>1796</v>
      </c>
      <c r="V43" s="168">
        <v>0.8</v>
      </c>
      <c r="W43" s="162" t="s">
        <v>51</v>
      </c>
      <c r="X43" s="162" t="s">
        <v>57</v>
      </c>
    </row>
    <row r="44" spans="1:24" ht="16">
      <c r="A44" s="461" t="str">
        <f t="shared" si="0"/>
        <v>宜蘭縣員山鄉</v>
      </c>
      <c r="B44" s="169" t="s">
        <v>51</v>
      </c>
      <c r="C44" s="169" t="s">
        <v>58</v>
      </c>
      <c r="D44" s="166">
        <v>37.5</v>
      </c>
      <c r="E44" s="164">
        <v>264</v>
      </c>
      <c r="F44" s="167">
        <v>0.8</v>
      </c>
      <c r="G44" s="167">
        <v>0.45</v>
      </c>
      <c r="H44" s="167">
        <v>0.9</v>
      </c>
      <c r="I44" s="167">
        <v>0.55000000000000004</v>
      </c>
      <c r="O44" s="167">
        <v>0.8</v>
      </c>
      <c r="P44" s="167">
        <v>0.45</v>
      </c>
      <c r="Q44" s="167">
        <v>0.9</v>
      </c>
      <c r="R44" s="167">
        <v>0.55000000000000004</v>
      </c>
      <c r="T44" s="162">
        <v>0</v>
      </c>
      <c r="U44" s="162" t="s">
        <v>1796</v>
      </c>
      <c r="V44" s="168">
        <v>0.8</v>
      </c>
      <c r="W44" s="162" t="s">
        <v>51</v>
      </c>
      <c r="X44" s="162" t="s">
        <v>58</v>
      </c>
    </row>
    <row r="45" spans="1:24" ht="16">
      <c r="A45" s="461" t="str">
        <f t="shared" si="0"/>
        <v>宜蘭縣羅東鎮</v>
      </c>
      <c r="B45" s="169" t="s">
        <v>51</v>
      </c>
      <c r="C45" s="169" t="s">
        <v>53</v>
      </c>
      <c r="D45" s="166">
        <v>37.5</v>
      </c>
      <c r="E45" s="164">
        <v>265</v>
      </c>
      <c r="F45" s="167">
        <v>0.8</v>
      </c>
      <c r="G45" s="167">
        <v>0.45</v>
      </c>
      <c r="H45" s="167">
        <v>0.9</v>
      </c>
      <c r="I45" s="167">
        <v>0.55000000000000004</v>
      </c>
      <c r="O45" s="167">
        <v>0.8</v>
      </c>
      <c r="P45" s="167">
        <v>0.45</v>
      </c>
      <c r="Q45" s="167">
        <v>0.9</v>
      </c>
      <c r="R45" s="167">
        <v>0.55000000000000004</v>
      </c>
      <c r="T45" s="162">
        <v>0</v>
      </c>
      <c r="U45" s="162" t="s">
        <v>1796</v>
      </c>
      <c r="V45" s="168">
        <v>0.8</v>
      </c>
      <c r="W45" s="162" t="s">
        <v>51</v>
      </c>
      <c r="X45" s="162" t="s">
        <v>53</v>
      </c>
    </row>
    <row r="46" spans="1:24" ht="16">
      <c r="A46" s="461" t="str">
        <f t="shared" si="0"/>
        <v>宜蘭縣五結鄉</v>
      </c>
      <c r="B46" s="169" t="s">
        <v>51</v>
      </c>
      <c r="C46" s="169" t="s">
        <v>60</v>
      </c>
      <c r="D46" s="166">
        <v>42.5</v>
      </c>
      <c r="E46" s="164">
        <v>268</v>
      </c>
      <c r="F46" s="167">
        <v>0.8</v>
      </c>
      <c r="G46" s="167">
        <v>0.45</v>
      </c>
      <c r="H46" s="167">
        <v>0.9</v>
      </c>
      <c r="I46" s="167">
        <v>0.55000000000000004</v>
      </c>
      <c r="O46" s="167">
        <v>0.8</v>
      </c>
      <c r="P46" s="167">
        <v>0.45</v>
      </c>
      <c r="Q46" s="167">
        <v>0.9</v>
      </c>
      <c r="R46" s="167">
        <v>0.55000000000000004</v>
      </c>
      <c r="T46" s="162">
        <v>0</v>
      </c>
      <c r="U46" s="162" t="s">
        <v>1796</v>
      </c>
      <c r="V46" s="168">
        <v>0.8</v>
      </c>
      <c r="W46" s="162" t="s">
        <v>51</v>
      </c>
      <c r="X46" s="162" t="s">
        <v>60</v>
      </c>
    </row>
    <row r="47" spans="1:24" ht="16">
      <c r="A47" s="461" t="str">
        <f t="shared" si="0"/>
        <v>宜蘭縣冬山鄉</v>
      </c>
      <c r="B47" s="169" t="s">
        <v>51</v>
      </c>
      <c r="C47" s="169" t="s">
        <v>59</v>
      </c>
      <c r="D47" s="166">
        <v>42.5</v>
      </c>
      <c r="E47" s="164">
        <v>269</v>
      </c>
      <c r="F47" s="167">
        <v>0.8</v>
      </c>
      <c r="G47" s="167">
        <v>0.45</v>
      </c>
      <c r="H47" s="167">
        <v>0.9</v>
      </c>
      <c r="I47" s="167">
        <v>0.55000000000000004</v>
      </c>
      <c r="O47" s="167">
        <v>0.8</v>
      </c>
      <c r="P47" s="167">
        <v>0.45</v>
      </c>
      <c r="Q47" s="167">
        <v>0.9</v>
      </c>
      <c r="R47" s="167">
        <v>0.55000000000000004</v>
      </c>
      <c r="T47" s="162">
        <v>0</v>
      </c>
      <c r="U47" s="162" t="s">
        <v>1796</v>
      </c>
      <c r="V47" s="168">
        <v>0.8</v>
      </c>
      <c r="W47" s="162" t="s">
        <v>51</v>
      </c>
      <c r="X47" s="162" t="s">
        <v>59</v>
      </c>
    </row>
    <row r="48" spans="1:24" ht="16">
      <c r="A48" s="461" t="str">
        <f t="shared" si="0"/>
        <v>宜蘭縣蘇澳鎮</v>
      </c>
      <c r="B48" s="169" t="s">
        <v>51</v>
      </c>
      <c r="C48" s="169" t="s">
        <v>54</v>
      </c>
      <c r="D48" s="166">
        <v>42.5</v>
      </c>
      <c r="E48" s="164">
        <v>270</v>
      </c>
      <c r="F48" s="167">
        <v>0.8</v>
      </c>
      <c r="G48" s="167">
        <v>0.45</v>
      </c>
      <c r="H48" s="167">
        <v>1</v>
      </c>
      <c r="I48" s="167">
        <v>0.55000000000000004</v>
      </c>
      <c r="O48" s="167">
        <v>0.8</v>
      </c>
      <c r="P48" s="167">
        <v>0.45</v>
      </c>
      <c r="Q48" s="167">
        <v>1</v>
      </c>
      <c r="R48" s="167">
        <v>0.55000000000000004</v>
      </c>
      <c r="T48" s="162">
        <v>0</v>
      </c>
      <c r="U48" s="162" t="s">
        <v>1796</v>
      </c>
      <c r="V48" s="168">
        <v>0.8</v>
      </c>
      <c r="W48" s="162" t="s">
        <v>51</v>
      </c>
      <c r="X48" s="162" t="s">
        <v>54</v>
      </c>
    </row>
    <row r="49" spans="1:24" ht="16">
      <c r="A49" s="461" t="str">
        <f t="shared" si="0"/>
        <v>宜蘭縣三星鄉</v>
      </c>
      <c r="B49" s="169" t="s">
        <v>51</v>
      </c>
      <c r="C49" s="169" t="s">
        <v>61</v>
      </c>
      <c r="D49" s="166">
        <v>37.5</v>
      </c>
      <c r="E49" s="164">
        <v>266</v>
      </c>
      <c r="F49" s="167">
        <v>0.8</v>
      </c>
      <c r="G49" s="167">
        <v>0.45</v>
      </c>
      <c r="H49" s="167">
        <v>0.9</v>
      </c>
      <c r="I49" s="167">
        <v>0.55000000000000004</v>
      </c>
      <c r="O49" s="167">
        <v>0.8</v>
      </c>
      <c r="P49" s="167">
        <v>0.45</v>
      </c>
      <c r="Q49" s="167">
        <v>0.9</v>
      </c>
      <c r="R49" s="167">
        <v>0.55000000000000004</v>
      </c>
      <c r="T49" s="162">
        <v>0</v>
      </c>
      <c r="U49" s="162" t="s">
        <v>1796</v>
      </c>
      <c r="V49" s="168">
        <v>0.8</v>
      </c>
      <c r="W49" s="162" t="s">
        <v>51</v>
      </c>
      <c r="X49" s="162" t="s">
        <v>61</v>
      </c>
    </row>
    <row r="50" spans="1:24" ht="16">
      <c r="A50" s="461" t="str">
        <f t="shared" si="0"/>
        <v>宜蘭縣大同鄉</v>
      </c>
      <c r="B50" s="169" t="s">
        <v>51</v>
      </c>
      <c r="C50" s="169" t="s">
        <v>62</v>
      </c>
      <c r="D50" s="166">
        <v>37.5</v>
      </c>
      <c r="E50" s="164">
        <v>267</v>
      </c>
      <c r="F50" s="167">
        <v>0.8</v>
      </c>
      <c r="G50" s="167">
        <v>0.45</v>
      </c>
      <c r="H50" s="167">
        <v>0.9</v>
      </c>
      <c r="I50" s="167">
        <v>0.5</v>
      </c>
      <c r="O50" s="167">
        <v>0.8</v>
      </c>
      <c r="P50" s="167">
        <v>0.45</v>
      </c>
      <c r="Q50" s="167">
        <v>0.9</v>
      </c>
      <c r="R50" s="167">
        <v>0.5</v>
      </c>
      <c r="T50" s="162">
        <v>0</v>
      </c>
      <c r="U50" s="162" t="s">
        <v>1796</v>
      </c>
      <c r="V50" s="168">
        <v>0.8</v>
      </c>
      <c r="W50" s="162" t="s">
        <v>51</v>
      </c>
      <c r="X50" s="162" t="s">
        <v>62</v>
      </c>
    </row>
    <row r="51" spans="1:24" ht="16">
      <c r="A51" s="461" t="str">
        <f t="shared" si="0"/>
        <v>宜蘭縣南澳鄉</v>
      </c>
      <c r="B51" s="169" t="s">
        <v>51</v>
      </c>
      <c r="C51" s="169" t="s">
        <v>63</v>
      </c>
      <c r="D51" s="166">
        <v>42.5</v>
      </c>
      <c r="E51" s="164">
        <v>272</v>
      </c>
      <c r="F51" s="167">
        <v>0.8</v>
      </c>
      <c r="G51" s="167">
        <v>0.45</v>
      </c>
      <c r="H51" s="167">
        <v>1</v>
      </c>
      <c r="I51" s="167">
        <v>0.55000000000000004</v>
      </c>
      <c r="O51" s="167">
        <v>0.8</v>
      </c>
      <c r="P51" s="167">
        <v>0.45</v>
      </c>
      <c r="Q51" s="167">
        <v>1</v>
      </c>
      <c r="R51" s="167">
        <v>0.55000000000000004</v>
      </c>
      <c r="T51" s="162">
        <v>0</v>
      </c>
      <c r="U51" s="162" t="s">
        <v>1796</v>
      </c>
      <c r="V51" s="168">
        <v>0.8</v>
      </c>
      <c r="W51" s="162" t="s">
        <v>51</v>
      </c>
      <c r="X51" s="162" t="s">
        <v>63</v>
      </c>
    </row>
    <row r="52" spans="1:24" s="199" customFormat="1" ht="16">
      <c r="A52" s="462" t="str">
        <f t="shared" si="0"/>
        <v>宜蘭縣釣魚臺列嶼</v>
      </c>
      <c r="B52" s="198" t="s">
        <v>51</v>
      </c>
      <c r="C52" s="198" t="s">
        <v>1597</v>
      </c>
      <c r="D52" s="194">
        <v>42.5</v>
      </c>
      <c r="E52" s="195">
        <v>290</v>
      </c>
      <c r="F52" s="193">
        <v>0.8</v>
      </c>
      <c r="G52" s="193">
        <v>0.45</v>
      </c>
      <c r="H52" s="193">
        <v>1</v>
      </c>
      <c r="I52" s="193">
        <v>0.55000000000000004</v>
      </c>
      <c r="J52" s="180"/>
      <c r="K52" s="180"/>
      <c r="L52" s="180"/>
      <c r="M52" s="180"/>
      <c r="N52" s="180"/>
      <c r="O52" s="193">
        <v>0.8</v>
      </c>
      <c r="P52" s="193">
        <v>0.45</v>
      </c>
      <c r="Q52" s="193">
        <v>1</v>
      </c>
      <c r="R52" s="193">
        <v>0.55000000000000004</v>
      </c>
      <c r="S52" s="196"/>
      <c r="T52" s="162">
        <v>0</v>
      </c>
      <c r="U52" s="162" t="s">
        <v>1796</v>
      </c>
      <c r="V52" s="197">
        <v>0.8</v>
      </c>
      <c r="W52" s="196" t="s">
        <v>51</v>
      </c>
      <c r="X52" s="198" t="s">
        <v>1597</v>
      </c>
    </row>
    <row r="53" spans="1:24" ht="16">
      <c r="A53" s="461" t="str">
        <f t="shared" si="0"/>
        <v>新竹縣竹北市</v>
      </c>
      <c r="B53" s="169" t="s">
        <v>64</v>
      </c>
      <c r="C53" s="463" t="s">
        <v>65</v>
      </c>
      <c r="D53" s="166">
        <v>32.5</v>
      </c>
      <c r="E53" s="164">
        <v>302</v>
      </c>
      <c r="F53" s="193">
        <v>0.8</v>
      </c>
      <c r="G53" s="193">
        <v>0.45</v>
      </c>
      <c r="H53" s="193">
        <v>1</v>
      </c>
      <c r="I53" s="193">
        <v>0.55000000000000004</v>
      </c>
      <c r="J53" s="180" t="s">
        <v>1646</v>
      </c>
      <c r="O53" s="167">
        <v>0.7</v>
      </c>
      <c r="P53" s="167">
        <v>0.35</v>
      </c>
      <c r="Q53" s="167">
        <v>0.9</v>
      </c>
      <c r="R53" s="167">
        <v>0.5</v>
      </c>
      <c r="T53" s="162">
        <v>0</v>
      </c>
      <c r="U53" s="162" t="s">
        <v>1796</v>
      </c>
      <c r="V53" s="168">
        <v>0.8</v>
      </c>
      <c r="W53" s="162" t="s">
        <v>64</v>
      </c>
      <c r="X53" s="162" t="s">
        <v>65</v>
      </c>
    </row>
    <row r="54" spans="1:24" ht="16">
      <c r="A54" s="461" t="str">
        <f t="shared" si="0"/>
        <v>新竹縣竹東鎮</v>
      </c>
      <c r="B54" s="169" t="s">
        <v>64</v>
      </c>
      <c r="C54" s="169" t="s">
        <v>66</v>
      </c>
      <c r="D54" s="166">
        <v>32.5</v>
      </c>
      <c r="E54" s="164">
        <v>310</v>
      </c>
      <c r="F54" s="193">
        <v>0.8</v>
      </c>
      <c r="G54" s="193">
        <v>0.45</v>
      </c>
      <c r="H54" s="193">
        <v>1</v>
      </c>
      <c r="I54" s="193">
        <v>0.55000000000000004</v>
      </c>
      <c r="J54" s="180" t="s">
        <v>1646</v>
      </c>
      <c r="O54" s="167">
        <v>0.7</v>
      </c>
      <c r="P54" s="167">
        <v>0.4</v>
      </c>
      <c r="Q54" s="167">
        <v>0.9</v>
      </c>
      <c r="R54" s="167">
        <v>0.5</v>
      </c>
      <c r="T54" s="162">
        <v>0</v>
      </c>
      <c r="U54" s="162" t="s">
        <v>1796</v>
      </c>
      <c r="V54" s="168">
        <v>0.8</v>
      </c>
      <c r="W54" s="162" t="s">
        <v>64</v>
      </c>
      <c r="X54" s="162" t="s">
        <v>66</v>
      </c>
    </row>
    <row r="55" spans="1:24" ht="16">
      <c r="A55" s="461" t="str">
        <f t="shared" si="0"/>
        <v>新竹縣新埔鎮</v>
      </c>
      <c r="B55" s="169" t="s">
        <v>64</v>
      </c>
      <c r="C55" s="169" t="s">
        <v>67</v>
      </c>
      <c r="D55" s="166">
        <v>37.5</v>
      </c>
      <c r="E55" s="164">
        <v>305</v>
      </c>
      <c r="F55" s="193">
        <v>0.8</v>
      </c>
      <c r="G55" s="193">
        <v>0.45</v>
      </c>
      <c r="H55" s="193">
        <v>1</v>
      </c>
      <c r="I55" s="193">
        <v>0.55000000000000004</v>
      </c>
      <c r="J55" s="180" t="s">
        <v>1646</v>
      </c>
      <c r="O55" s="167">
        <v>0.7</v>
      </c>
      <c r="P55" s="167">
        <v>0.35</v>
      </c>
      <c r="Q55" s="167">
        <v>0.8</v>
      </c>
      <c r="R55" s="167">
        <v>0.5</v>
      </c>
      <c r="T55" s="162">
        <v>0</v>
      </c>
      <c r="U55" s="175" t="s">
        <v>1797</v>
      </c>
      <c r="V55" s="175">
        <v>0.6</v>
      </c>
      <c r="W55" s="162" t="s">
        <v>64</v>
      </c>
      <c r="X55" s="162" t="s">
        <v>67</v>
      </c>
    </row>
    <row r="56" spans="1:24" ht="16">
      <c r="A56" s="461" t="str">
        <f t="shared" si="0"/>
        <v>新竹縣關西鎮</v>
      </c>
      <c r="B56" s="169" t="s">
        <v>64</v>
      </c>
      <c r="C56" s="169" t="s">
        <v>68</v>
      </c>
      <c r="D56" s="166">
        <v>37.5</v>
      </c>
      <c r="E56" s="164">
        <v>306</v>
      </c>
      <c r="F56" s="193">
        <v>0.8</v>
      </c>
      <c r="G56" s="193">
        <v>0.45</v>
      </c>
      <c r="H56" s="193">
        <v>1</v>
      </c>
      <c r="I56" s="193">
        <v>0.55000000000000004</v>
      </c>
      <c r="J56" s="180" t="s">
        <v>1646</v>
      </c>
      <c r="O56" s="167">
        <v>0.7</v>
      </c>
      <c r="P56" s="167">
        <v>0.4</v>
      </c>
      <c r="Q56" s="167">
        <v>0.9</v>
      </c>
      <c r="R56" s="167">
        <v>0.5</v>
      </c>
      <c r="T56" s="162">
        <v>0</v>
      </c>
      <c r="U56" s="175" t="s">
        <v>1797</v>
      </c>
      <c r="V56" s="175">
        <v>0.6</v>
      </c>
      <c r="W56" s="162" t="s">
        <v>64</v>
      </c>
      <c r="X56" s="162" t="s">
        <v>68</v>
      </c>
    </row>
    <row r="57" spans="1:24" ht="16">
      <c r="A57" s="461" t="str">
        <f t="shared" si="0"/>
        <v>新竹縣湖口鄉</v>
      </c>
      <c r="B57" s="169" t="s">
        <v>64</v>
      </c>
      <c r="C57" s="169" t="s">
        <v>69</v>
      </c>
      <c r="D57" s="166">
        <v>37.5</v>
      </c>
      <c r="E57" s="164">
        <v>303</v>
      </c>
      <c r="F57" s="193">
        <v>0.7</v>
      </c>
      <c r="G57" s="193">
        <v>0.4</v>
      </c>
      <c r="H57" s="193">
        <v>0.9</v>
      </c>
      <c r="I57" s="167">
        <v>0.5</v>
      </c>
      <c r="O57" s="167">
        <v>0.6</v>
      </c>
      <c r="P57" s="167">
        <v>0.35</v>
      </c>
      <c r="Q57" s="167">
        <v>0.8</v>
      </c>
      <c r="R57" s="167">
        <v>0.5</v>
      </c>
      <c r="T57" s="162">
        <v>0</v>
      </c>
      <c r="U57" s="175" t="s">
        <v>1797</v>
      </c>
      <c r="V57" s="175">
        <v>0.6</v>
      </c>
      <c r="W57" s="162" t="s">
        <v>64</v>
      </c>
      <c r="X57" s="162" t="s">
        <v>69</v>
      </c>
    </row>
    <row r="58" spans="1:24" ht="16">
      <c r="A58" s="461" t="str">
        <f t="shared" si="0"/>
        <v>新竹縣新豐鄉</v>
      </c>
      <c r="B58" s="169" t="s">
        <v>64</v>
      </c>
      <c r="C58" s="169" t="s">
        <v>70</v>
      </c>
      <c r="D58" s="166">
        <v>37.5</v>
      </c>
      <c r="E58" s="164">
        <v>304</v>
      </c>
      <c r="F58" s="193">
        <v>0.7</v>
      </c>
      <c r="G58" s="193">
        <v>0.4</v>
      </c>
      <c r="H58" s="193">
        <v>0.9</v>
      </c>
      <c r="I58" s="193">
        <v>0.5</v>
      </c>
      <c r="O58" s="167">
        <v>0.6</v>
      </c>
      <c r="P58" s="167">
        <v>0.35</v>
      </c>
      <c r="Q58" s="167">
        <v>0.8</v>
      </c>
      <c r="R58" s="167">
        <v>0.45</v>
      </c>
      <c r="T58" s="162">
        <v>0</v>
      </c>
      <c r="U58" s="175" t="s">
        <v>1797</v>
      </c>
      <c r="V58" s="175">
        <v>0.6</v>
      </c>
      <c r="W58" s="162" t="s">
        <v>64</v>
      </c>
      <c r="X58" s="162" t="s">
        <v>70</v>
      </c>
    </row>
    <row r="59" spans="1:24" ht="16">
      <c r="A59" s="461" t="str">
        <f t="shared" si="0"/>
        <v>新竹縣芎林鄉</v>
      </c>
      <c r="B59" s="169" t="s">
        <v>64</v>
      </c>
      <c r="C59" s="169" t="s">
        <v>71</v>
      </c>
      <c r="D59" s="166">
        <v>32.5</v>
      </c>
      <c r="E59" s="164">
        <v>307</v>
      </c>
      <c r="F59" s="193">
        <v>0.8</v>
      </c>
      <c r="G59" s="193">
        <v>0.45</v>
      </c>
      <c r="H59" s="193">
        <v>1</v>
      </c>
      <c r="I59" s="193">
        <v>0.55000000000000004</v>
      </c>
      <c r="J59" s="180" t="s">
        <v>1646</v>
      </c>
      <c r="O59" s="167">
        <v>0.7</v>
      </c>
      <c r="P59" s="167">
        <v>0.35</v>
      </c>
      <c r="Q59" s="167">
        <v>0.9</v>
      </c>
      <c r="R59" s="167">
        <v>0.5</v>
      </c>
      <c r="T59" s="162">
        <v>0</v>
      </c>
      <c r="U59" s="162" t="s">
        <v>1796</v>
      </c>
      <c r="V59" s="168">
        <v>0.8</v>
      </c>
      <c r="W59" s="162" t="s">
        <v>64</v>
      </c>
      <c r="X59" s="162" t="s">
        <v>71</v>
      </c>
    </row>
    <row r="60" spans="1:24" ht="16">
      <c r="A60" s="461" t="str">
        <f t="shared" si="0"/>
        <v>新竹縣橫山鄉</v>
      </c>
      <c r="B60" s="169" t="s">
        <v>64</v>
      </c>
      <c r="C60" s="169" t="s">
        <v>72</v>
      </c>
      <c r="D60" s="166">
        <v>37.5</v>
      </c>
      <c r="E60" s="164">
        <v>312</v>
      </c>
      <c r="F60" s="193">
        <v>0.8</v>
      </c>
      <c r="G60" s="193">
        <v>0.45</v>
      </c>
      <c r="H60" s="193">
        <v>1</v>
      </c>
      <c r="I60" s="193">
        <v>0.55000000000000004</v>
      </c>
      <c r="J60" s="180" t="s">
        <v>1646</v>
      </c>
      <c r="O60" s="167">
        <v>0.7</v>
      </c>
      <c r="P60" s="167">
        <v>0.4</v>
      </c>
      <c r="Q60" s="167">
        <v>0.9</v>
      </c>
      <c r="R60" s="167">
        <v>0.5</v>
      </c>
      <c r="T60" s="162">
        <v>0</v>
      </c>
      <c r="U60" s="162" t="s">
        <v>1796</v>
      </c>
      <c r="V60" s="168">
        <v>0.8</v>
      </c>
      <c r="W60" s="162" t="s">
        <v>64</v>
      </c>
      <c r="X60" s="162" t="s">
        <v>72</v>
      </c>
    </row>
    <row r="61" spans="1:24" ht="16">
      <c r="A61" s="461" t="str">
        <f t="shared" si="0"/>
        <v>新竹縣北埔鄉</v>
      </c>
      <c r="B61" s="169" t="s">
        <v>64</v>
      </c>
      <c r="C61" s="169" t="s">
        <v>73</v>
      </c>
      <c r="D61" s="166">
        <v>32.5</v>
      </c>
      <c r="E61" s="164">
        <v>314</v>
      </c>
      <c r="F61" s="193">
        <v>0.8</v>
      </c>
      <c r="G61" s="193">
        <v>0.45</v>
      </c>
      <c r="H61" s="193">
        <v>1</v>
      </c>
      <c r="I61" s="167">
        <v>0.55000000000000004</v>
      </c>
      <c r="J61" s="180" t="s">
        <v>1646</v>
      </c>
      <c r="K61" s="161" t="s">
        <v>371</v>
      </c>
      <c r="O61" s="167">
        <v>0.7</v>
      </c>
      <c r="P61" s="167">
        <v>0.4</v>
      </c>
      <c r="Q61" s="167">
        <v>0.9</v>
      </c>
      <c r="R61" s="167">
        <v>0.55000000000000004</v>
      </c>
      <c r="S61" s="162" t="s">
        <v>74</v>
      </c>
      <c r="T61" s="162">
        <v>1</v>
      </c>
      <c r="U61" s="162" t="s">
        <v>1796</v>
      </c>
      <c r="V61" s="168">
        <v>0.8</v>
      </c>
      <c r="W61" s="162" t="s">
        <v>64</v>
      </c>
      <c r="X61" s="162" t="s">
        <v>73</v>
      </c>
    </row>
    <row r="62" spans="1:24" ht="16">
      <c r="A62" s="461" t="str">
        <f t="shared" si="0"/>
        <v>新竹縣寶山鄉</v>
      </c>
      <c r="B62" s="169" t="s">
        <v>64</v>
      </c>
      <c r="C62" s="169" t="s">
        <v>75</v>
      </c>
      <c r="D62" s="166">
        <v>32.5</v>
      </c>
      <c r="E62" s="164">
        <v>308</v>
      </c>
      <c r="F62" s="193">
        <v>0.8</v>
      </c>
      <c r="G62" s="193">
        <v>0.45</v>
      </c>
      <c r="H62" s="193">
        <v>1</v>
      </c>
      <c r="I62" s="193">
        <v>0.55000000000000004</v>
      </c>
      <c r="J62" s="180" t="s">
        <v>1646</v>
      </c>
      <c r="K62" s="161" t="s">
        <v>371</v>
      </c>
      <c r="O62" s="167">
        <v>0.7</v>
      </c>
      <c r="P62" s="167">
        <v>0.4</v>
      </c>
      <c r="Q62" s="167">
        <v>0.9</v>
      </c>
      <c r="R62" s="167">
        <v>0.5</v>
      </c>
      <c r="S62" s="162" t="s">
        <v>74</v>
      </c>
      <c r="T62" s="162">
        <v>1</v>
      </c>
      <c r="U62" s="162" t="s">
        <v>1796</v>
      </c>
      <c r="V62" s="168">
        <v>0.8</v>
      </c>
      <c r="W62" s="162" t="s">
        <v>64</v>
      </c>
      <c r="X62" s="162" t="s">
        <v>75</v>
      </c>
    </row>
    <row r="63" spans="1:24" ht="16">
      <c r="A63" s="461" t="str">
        <f t="shared" si="0"/>
        <v>新竹縣峨嵋鄉</v>
      </c>
      <c r="B63" s="169" t="s">
        <v>64</v>
      </c>
      <c r="C63" s="169" t="s">
        <v>76</v>
      </c>
      <c r="D63" s="166">
        <v>32.5</v>
      </c>
      <c r="E63" s="164">
        <v>315</v>
      </c>
      <c r="F63" s="167">
        <v>0.8</v>
      </c>
      <c r="G63" s="167">
        <v>0.45</v>
      </c>
      <c r="H63" s="167">
        <v>1</v>
      </c>
      <c r="I63" s="167">
        <v>0.55000000000000004</v>
      </c>
      <c r="J63" s="180" t="s">
        <v>1646</v>
      </c>
      <c r="K63" s="161" t="s">
        <v>371</v>
      </c>
      <c r="O63" s="167">
        <v>0.8</v>
      </c>
      <c r="P63" s="167">
        <v>0.45</v>
      </c>
      <c r="Q63" s="167">
        <v>1</v>
      </c>
      <c r="R63" s="167">
        <v>0.55000000000000004</v>
      </c>
      <c r="S63" s="162" t="s">
        <v>74</v>
      </c>
      <c r="T63" s="162">
        <v>1</v>
      </c>
      <c r="U63" s="162" t="s">
        <v>1796</v>
      </c>
      <c r="V63" s="168">
        <v>0.8</v>
      </c>
      <c r="W63" s="162" t="s">
        <v>64</v>
      </c>
      <c r="X63" s="162" t="s">
        <v>76</v>
      </c>
    </row>
    <row r="64" spans="1:24" ht="16">
      <c r="A64" s="461" t="str">
        <f t="shared" si="0"/>
        <v>新竹縣尖石鄉</v>
      </c>
      <c r="B64" s="169" t="s">
        <v>64</v>
      </c>
      <c r="C64" s="169" t="s">
        <v>77</v>
      </c>
      <c r="D64" s="166">
        <v>37.5</v>
      </c>
      <c r="E64" s="164">
        <v>313</v>
      </c>
      <c r="F64" s="167">
        <v>0.7</v>
      </c>
      <c r="G64" s="167">
        <v>0.4</v>
      </c>
      <c r="H64" s="167">
        <v>0.9</v>
      </c>
      <c r="I64" s="167">
        <v>0.5</v>
      </c>
      <c r="O64" s="167">
        <v>0.7</v>
      </c>
      <c r="P64" s="167">
        <v>0.4</v>
      </c>
      <c r="Q64" s="167">
        <v>0.9</v>
      </c>
      <c r="R64" s="167">
        <v>0.5</v>
      </c>
      <c r="T64" s="162">
        <v>0</v>
      </c>
      <c r="U64" s="162" t="s">
        <v>1796</v>
      </c>
      <c r="V64" s="168">
        <v>0.8</v>
      </c>
      <c r="W64" s="162" t="s">
        <v>64</v>
      </c>
      <c r="X64" s="162" t="s">
        <v>77</v>
      </c>
    </row>
    <row r="65" spans="1:24" ht="16">
      <c r="A65" s="461" t="str">
        <f t="shared" si="0"/>
        <v>新竹縣五峰鄉</v>
      </c>
      <c r="B65" s="169" t="s">
        <v>64</v>
      </c>
      <c r="C65" s="169" t="s">
        <v>78</v>
      </c>
      <c r="D65" s="166">
        <v>32.5</v>
      </c>
      <c r="E65" s="164">
        <v>311</v>
      </c>
      <c r="F65" s="167">
        <v>0.7</v>
      </c>
      <c r="G65" s="167">
        <v>0.4</v>
      </c>
      <c r="H65" s="167">
        <v>0.9</v>
      </c>
      <c r="I65" s="167">
        <v>0.5</v>
      </c>
      <c r="J65" s="161" t="s">
        <v>371</v>
      </c>
      <c r="O65" s="167">
        <v>0.7</v>
      </c>
      <c r="P65" s="167">
        <v>0.4</v>
      </c>
      <c r="Q65" s="167">
        <v>0.9</v>
      </c>
      <c r="R65" s="167">
        <v>0.5</v>
      </c>
      <c r="S65" s="162" t="s">
        <v>74</v>
      </c>
      <c r="T65" s="162">
        <v>1</v>
      </c>
      <c r="U65" s="162" t="s">
        <v>1796</v>
      </c>
      <c r="V65" s="168">
        <v>0.8</v>
      </c>
      <c r="W65" s="162" t="s">
        <v>64</v>
      </c>
      <c r="X65" s="162" t="s">
        <v>78</v>
      </c>
    </row>
    <row r="66" spans="1:24" ht="16">
      <c r="A66" s="461" t="str">
        <f t="shared" si="0"/>
        <v>新竹市東區</v>
      </c>
      <c r="B66" s="169" t="s">
        <v>1575</v>
      </c>
      <c r="C66" s="169" t="s">
        <v>1598</v>
      </c>
      <c r="D66" s="166">
        <v>32.5</v>
      </c>
      <c r="E66" s="164">
        <v>300</v>
      </c>
      <c r="F66" s="193">
        <v>0.8</v>
      </c>
      <c r="G66" s="193">
        <v>0.45</v>
      </c>
      <c r="H66" s="193">
        <v>1</v>
      </c>
      <c r="I66" s="193">
        <v>0.55000000000000004</v>
      </c>
      <c r="J66" s="180" t="s">
        <v>1646</v>
      </c>
      <c r="O66" s="167">
        <v>0.7</v>
      </c>
      <c r="P66" s="167">
        <v>0.4</v>
      </c>
      <c r="Q66" s="167">
        <v>0.9</v>
      </c>
      <c r="R66" s="167">
        <v>0.5</v>
      </c>
      <c r="T66" s="162">
        <v>0</v>
      </c>
      <c r="U66" s="162" t="s">
        <v>1796</v>
      </c>
      <c r="V66" s="168">
        <v>0.8</v>
      </c>
      <c r="W66" s="169" t="s">
        <v>1575</v>
      </c>
      <c r="X66" s="174" t="s">
        <v>1598</v>
      </c>
    </row>
    <row r="67" spans="1:24" ht="16">
      <c r="A67" s="461" t="str">
        <f t="shared" ref="A67:A130" si="1">B67&amp;C67</f>
        <v>新竹市北區</v>
      </c>
      <c r="B67" s="169" t="s">
        <v>1575</v>
      </c>
      <c r="C67" s="463" t="s">
        <v>1806</v>
      </c>
      <c r="D67" s="166">
        <v>32.5</v>
      </c>
      <c r="E67" s="164">
        <v>300</v>
      </c>
      <c r="F67" s="193">
        <v>0.8</v>
      </c>
      <c r="G67" s="193">
        <v>0.45</v>
      </c>
      <c r="H67" s="193">
        <v>1</v>
      </c>
      <c r="I67" s="193">
        <v>0.55000000000000004</v>
      </c>
      <c r="J67" s="180" t="s">
        <v>1646</v>
      </c>
      <c r="O67" s="167">
        <v>0.7</v>
      </c>
      <c r="P67" s="167">
        <v>0.35</v>
      </c>
      <c r="Q67" s="167">
        <v>0.9</v>
      </c>
      <c r="R67" s="167">
        <v>0.5</v>
      </c>
      <c r="T67" s="162">
        <v>0</v>
      </c>
      <c r="U67" s="162" t="s">
        <v>1796</v>
      </c>
      <c r="V67" s="168">
        <v>0.8</v>
      </c>
      <c r="W67" s="169" t="s">
        <v>1575</v>
      </c>
      <c r="X67" s="463" t="s">
        <v>1806</v>
      </c>
    </row>
    <row r="68" spans="1:24" ht="16">
      <c r="A68" s="461" t="str">
        <f t="shared" si="1"/>
        <v>新竹市香山區</v>
      </c>
      <c r="B68" s="169" t="s">
        <v>1575</v>
      </c>
      <c r="C68" s="169" t="s">
        <v>1599</v>
      </c>
      <c r="D68" s="166">
        <v>32.5</v>
      </c>
      <c r="E68" s="164">
        <v>300</v>
      </c>
      <c r="F68" s="193">
        <v>0.8</v>
      </c>
      <c r="G68" s="193">
        <v>0.45</v>
      </c>
      <c r="H68" s="193">
        <v>1</v>
      </c>
      <c r="I68" s="193">
        <v>0.55000000000000004</v>
      </c>
      <c r="J68" s="180" t="s">
        <v>1646</v>
      </c>
      <c r="O68" s="167">
        <v>0.7</v>
      </c>
      <c r="P68" s="167">
        <v>0.4</v>
      </c>
      <c r="Q68" s="167">
        <v>0.9</v>
      </c>
      <c r="R68" s="167">
        <v>0.5</v>
      </c>
      <c r="T68" s="162">
        <v>0</v>
      </c>
      <c r="U68" s="162" t="s">
        <v>1796</v>
      </c>
      <c r="V68" s="168">
        <v>0.8</v>
      </c>
      <c r="W68" s="169" t="s">
        <v>1575</v>
      </c>
      <c r="X68" s="174" t="s">
        <v>1599</v>
      </c>
    </row>
    <row r="69" spans="1:24" ht="16">
      <c r="A69" s="461" t="str">
        <f t="shared" si="1"/>
        <v>桃園市桃園區</v>
      </c>
      <c r="B69" s="464" t="s">
        <v>1576</v>
      </c>
      <c r="C69" s="169" t="s">
        <v>1606</v>
      </c>
      <c r="D69" s="166">
        <v>37.5</v>
      </c>
      <c r="E69" s="164">
        <v>330</v>
      </c>
      <c r="F69" s="167">
        <v>0.5</v>
      </c>
      <c r="G69" s="167">
        <v>0.3</v>
      </c>
      <c r="H69" s="167">
        <v>0.8</v>
      </c>
      <c r="I69" s="167">
        <v>0.4</v>
      </c>
      <c r="O69" s="167">
        <v>0.5</v>
      </c>
      <c r="P69" s="167">
        <v>0.3</v>
      </c>
      <c r="Q69" s="167">
        <v>0.8</v>
      </c>
      <c r="R69" s="167">
        <v>0.4</v>
      </c>
      <c r="T69" s="162">
        <v>0</v>
      </c>
      <c r="U69" s="175" t="s">
        <v>1797</v>
      </c>
      <c r="V69" s="175">
        <v>0.6</v>
      </c>
      <c r="W69" s="169" t="s">
        <v>1576</v>
      </c>
      <c r="X69" s="174" t="s">
        <v>1606</v>
      </c>
    </row>
    <row r="70" spans="1:24" ht="16">
      <c r="A70" s="461" t="str">
        <f t="shared" si="1"/>
        <v>桃園市中壢區</v>
      </c>
      <c r="B70" s="464" t="s">
        <v>1576</v>
      </c>
      <c r="C70" s="169" t="s">
        <v>1600</v>
      </c>
      <c r="D70" s="166">
        <v>37.5</v>
      </c>
      <c r="E70" s="164">
        <v>320</v>
      </c>
      <c r="F70" s="167">
        <v>0.6</v>
      </c>
      <c r="G70" s="167">
        <v>0.3</v>
      </c>
      <c r="H70" s="167">
        <v>0.8</v>
      </c>
      <c r="I70" s="167">
        <v>0.45</v>
      </c>
      <c r="O70" s="167">
        <v>0.6</v>
      </c>
      <c r="P70" s="167">
        <v>0.3</v>
      </c>
      <c r="Q70" s="167">
        <v>0.8</v>
      </c>
      <c r="R70" s="167">
        <v>0.45</v>
      </c>
      <c r="T70" s="162">
        <v>0</v>
      </c>
      <c r="U70" s="175" t="s">
        <v>1797</v>
      </c>
      <c r="V70" s="175">
        <v>0.6</v>
      </c>
      <c r="W70" s="169" t="s">
        <v>1576</v>
      </c>
      <c r="X70" s="174" t="s">
        <v>1600</v>
      </c>
    </row>
    <row r="71" spans="1:24" ht="16">
      <c r="A71" s="461" t="str">
        <f t="shared" si="1"/>
        <v>桃園市大溪區</v>
      </c>
      <c r="B71" s="464" t="s">
        <v>1576</v>
      </c>
      <c r="C71" s="169" t="s">
        <v>1609</v>
      </c>
      <c r="D71" s="166">
        <v>37.5</v>
      </c>
      <c r="E71" s="164">
        <v>335</v>
      </c>
      <c r="F71" s="167">
        <v>0.7</v>
      </c>
      <c r="G71" s="167">
        <v>0.35</v>
      </c>
      <c r="H71" s="193">
        <v>0.9</v>
      </c>
      <c r="I71" s="167">
        <v>0.5</v>
      </c>
      <c r="O71" s="167">
        <v>0.7</v>
      </c>
      <c r="P71" s="167">
        <v>0.35</v>
      </c>
      <c r="Q71" s="167">
        <v>0.8</v>
      </c>
      <c r="R71" s="167">
        <v>0.5</v>
      </c>
      <c r="T71" s="162">
        <v>0</v>
      </c>
      <c r="U71" s="175" t="s">
        <v>1797</v>
      </c>
      <c r="V71" s="175">
        <v>0.6</v>
      </c>
      <c r="W71" s="169" t="s">
        <v>1576</v>
      </c>
      <c r="X71" s="174" t="s">
        <v>1609</v>
      </c>
    </row>
    <row r="72" spans="1:24" ht="16">
      <c r="A72" s="461" t="str">
        <f t="shared" si="1"/>
        <v>桃園市楊梅區</v>
      </c>
      <c r="B72" s="464" t="s">
        <v>1576</v>
      </c>
      <c r="C72" s="169" t="s">
        <v>1603</v>
      </c>
      <c r="D72" s="166">
        <v>37.5</v>
      </c>
      <c r="E72" s="164">
        <v>326</v>
      </c>
      <c r="F72" s="193">
        <v>0.7</v>
      </c>
      <c r="G72" s="193">
        <v>0.4</v>
      </c>
      <c r="H72" s="193">
        <v>0.9</v>
      </c>
      <c r="I72" s="193">
        <v>0.5</v>
      </c>
      <c r="O72" s="167">
        <v>0.6</v>
      </c>
      <c r="P72" s="167">
        <v>0.35</v>
      </c>
      <c r="Q72" s="167">
        <v>0.8</v>
      </c>
      <c r="R72" s="167">
        <v>0.45</v>
      </c>
      <c r="T72" s="162">
        <v>0</v>
      </c>
      <c r="U72" s="175" t="s">
        <v>1797</v>
      </c>
      <c r="V72" s="175">
        <v>0.6</v>
      </c>
      <c r="W72" s="169" t="s">
        <v>1576</v>
      </c>
      <c r="X72" s="174" t="s">
        <v>1603</v>
      </c>
    </row>
    <row r="73" spans="1:24" ht="16">
      <c r="A73" s="461" t="str">
        <f t="shared" si="1"/>
        <v>桃園市蘆竹區</v>
      </c>
      <c r="B73" s="464" t="s">
        <v>1576</v>
      </c>
      <c r="C73" s="169" t="s">
        <v>1612</v>
      </c>
      <c r="D73" s="166">
        <v>37.5</v>
      </c>
      <c r="E73" s="164">
        <v>338</v>
      </c>
      <c r="F73" s="167">
        <v>0.5</v>
      </c>
      <c r="G73" s="167">
        <v>0.3</v>
      </c>
      <c r="H73" s="167">
        <v>0.7</v>
      </c>
      <c r="I73" s="167">
        <v>0.4</v>
      </c>
      <c r="O73" s="167">
        <v>0.5</v>
      </c>
      <c r="P73" s="167">
        <v>0.3</v>
      </c>
      <c r="Q73" s="167">
        <v>0.7</v>
      </c>
      <c r="R73" s="167">
        <v>0.4</v>
      </c>
      <c r="T73" s="162">
        <v>0</v>
      </c>
      <c r="U73" s="175" t="s">
        <v>1797</v>
      </c>
      <c r="V73" s="175">
        <v>0.6</v>
      </c>
      <c r="W73" s="169" t="s">
        <v>1576</v>
      </c>
      <c r="X73" s="174" t="s">
        <v>1612</v>
      </c>
    </row>
    <row r="74" spans="1:24" ht="16">
      <c r="A74" s="461" t="str">
        <f t="shared" si="1"/>
        <v>桃園市大園區</v>
      </c>
      <c r="B74" s="464" t="s">
        <v>1576</v>
      </c>
      <c r="C74" s="169" t="s">
        <v>1611</v>
      </c>
      <c r="D74" s="166">
        <v>37.5</v>
      </c>
      <c r="E74" s="164">
        <v>337</v>
      </c>
      <c r="F74" s="167">
        <v>0.5</v>
      </c>
      <c r="G74" s="167">
        <v>0.3</v>
      </c>
      <c r="H74" s="167">
        <v>0.7</v>
      </c>
      <c r="I74" s="167">
        <v>0.4</v>
      </c>
      <c r="O74" s="167">
        <v>0.5</v>
      </c>
      <c r="P74" s="167">
        <v>0.3</v>
      </c>
      <c r="Q74" s="167">
        <v>0.7</v>
      </c>
      <c r="R74" s="167">
        <v>0.4</v>
      </c>
      <c r="T74" s="162">
        <v>0</v>
      </c>
      <c r="U74" s="175" t="s">
        <v>1797</v>
      </c>
      <c r="V74" s="175">
        <v>0.6</v>
      </c>
      <c r="W74" s="169" t="s">
        <v>1576</v>
      </c>
      <c r="X74" s="174" t="s">
        <v>1611</v>
      </c>
    </row>
    <row r="75" spans="1:24" ht="16">
      <c r="A75" s="461" t="str">
        <f t="shared" si="1"/>
        <v>桃園市龜山區</v>
      </c>
      <c r="B75" s="464" t="s">
        <v>1576</v>
      </c>
      <c r="C75" s="169" t="s">
        <v>1607</v>
      </c>
      <c r="D75" s="166">
        <v>37.5</v>
      </c>
      <c r="E75" s="164">
        <v>333</v>
      </c>
      <c r="F75" s="167">
        <v>0.5</v>
      </c>
      <c r="G75" s="167">
        <v>0.3</v>
      </c>
      <c r="H75" s="167">
        <v>0.7</v>
      </c>
      <c r="I75" s="167">
        <v>0.4</v>
      </c>
      <c r="O75" s="167">
        <v>0.5</v>
      </c>
      <c r="P75" s="167">
        <v>0.3</v>
      </c>
      <c r="Q75" s="167">
        <v>0.7</v>
      </c>
      <c r="R75" s="167">
        <v>0.4</v>
      </c>
      <c r="T75" s="162">
        <v>0</v>
      </c>
      <c r="U75" s="175" t="s">
        <v>1797</v>
      </c>
      <c r="V75" s="175">
        <v>0.6</v>
      </c>
      <c r="W75" s="169" t="s">
        <v>1576</v>
      </c>
      <c r="X75" s="174" t="s">
        <v>1607</v>
      </c>
    </row>
    <row r="76" spans="1:24" ht="16">
      <c r="A76" s="461" t="str">
        <f t="shared" si="1"/>
        <v>桃園市八德區</v>
      </c>
      <c r="B76" s="464" t="s">
        <v>1576</v>
      </c>
      <c r="C76" s="169" t="s">
        <v>1608</v>
      </c>
      <c r="D76" s="166">
        <v>37.5</v>
      </c>
      <c r="E76" s="164">
        <v>334</v>
      </c>
      <c r="F76" s="167">
        <v>0.6</v>
      </c>
      <c r="G76" s="167">
        <v>0.3</v>
      </c>
      <c r="H76" s="167">
        <v>0.8</v>
      </c>
      <c r="I76" s="167">
        <v>0.45</v>
      </c>
      <c r="O76" s="167">
        <v>0.6</v>
      </c>
      <c r="P76" s="167">
        <v>0.3</v>
      </c>
      <c r="Q76" s="167">
        <v>0.8</v>
      </c>
      <c r="R76" s="167">
        <v>0.45</v>
      </c>
      <c r="T76" s="162">
        <v>0</v>
      </c>
      <c r="U76" s="175" t="s">
        <v>1797</v>
      </c>
      <c r="V76" s="175">
        <v>0.6</v>
      </c>
      <c r="W76" s="169" t="s">
        <v>1576</v>
      </c>
      <c r="X76" s="174" t="s">
        <v>1608</v>
      </c>
    </row>
    <row r="77" spans="1:24" ht="16">
      <c r="A77" s="461" t="str">
        <f t="shared" si="1"/>
        <v>桃園市龍潭區</v>
      </c>
      <c r="B77" s="464" t="s">
        <v>1576</v>
      </c>
      <c r="C77" s="464" t="s">
        <v>1602</v>
      </c>
      <c r="D77" s="166">
        <v>37.5</v>
      </c>
      <c r="E77" s="164">
        <v>325</v>
      </c>
      <c r="F77" s="167">
        <v>0.7</v>
      </c>
      <c r="G77" s="193">
        <v>0.4</v>
      </c>
      <c r="H77" s="193">
        <v>0.9</v>
      </c>
      <c r="I77" s="167">
        <v>0.5</v>
      </c>
      <c r="J77" s="180" t="s">
        <v>1646</v>
      </c>
      <c r="O77" s="167">
        <v>0.7</v>
      </c>
      <c r="P77" s="167">
        <v>0.35</v>
      </c>
      <c r="Q77" s="167">
        <v>0.8</v>
      </c>
      <c r="R77" s="167">
        <v>0.5</v>
      </c>
      <c r="T77" s="162">
        <v>0</v>
      </c>
      <c r="U77" s="175" t="s">
        <v>1797</v>
      </c>
      <c r="V77" s="175">
        <v>0.6</v>
      </c>
      <c r="W77" s="169" t="s">
        <v>1576</v>
      </c>
      <c r="X77" s="174" t="s">
        <v>1602</v>
      </c>
    </row>
    <row r="78" spans="1:24" ht="16">
      <c r="A78" s="461" t="str">
        <f t="shared" si="1"/>
        <v>桃園市平鎮區</v>
      </c>
      <c r="B78" s="464" t="s">
        <v>1576</v>
      </c>
      <c r="C78" s="169" t="s">
        <v>1601</v>
      </c>
      <c r="D78" s="166">
        <v>37.5</v>
      </c>
      <c r="E78" s="164">
        <v>324</v>
      </c>
      <c r="F78" s="167">
        <v>0.6</v>
      </c>
      <c r="G78" s="167">
        <v>0.35</v>
      </c>
      <c r="H78" s="167">
        <v>0.8</v>
      </c>
      <c r="I78" s="167">
        <v>0.45</v>
      </c>
      <c r="O78" s="167">
        <v>0.6</v>
      </c>
      <c r="P78" s="167">
        <v>0.35</v>
      </c>
      <c r="Q78" s="167">
        <v>0.8</v>
      </c>
      <c r="R78" s="167">
        <v>0.45</v>
      </c>
      <c r="T78" s="162">
        <v>0</v>
      </c>
      <c r="U78" s="175" t="s">
        <v>1797</v>
      </c>
      <c r="V78" s="175">
        <v>0.6</v>
      </c>
      <c r="W78" s="169" t="s">
        <v>1576</v>
      </c>
      <c r="X78" s="174" t="s">
        <v>1601</v>
      </c>
    </row>
    <row r="79" spans="1:24" ht="16">
      <c r="A79" s="461" t="str">
        <f t="shared" si="1"/>
        <v>桃園市新屋區</v>
      </c>
      <c r="B79" s="464" t="s">
        <v>1576</v>
      </c>
      <c r="C79" s="169" t="s">
        <v>1604</v>
      </c>
      <c r="D79" s="166">
        <v>37.5</v>
      </c>
      <c r="E79" s="164">
        <v>327</v>
      </c>
      <c r="F79" s="167">
        <v>0.6</v>
      </c>
      <c r="G79" s="193">
        <v>0.35</v>
      </c>
      <c r="H79" s="167">
        <v>0.8</v>
      </c>
      <c r="I79" s="167">
        <v>0.45</v>
      </c>
      <c r="O79" s="167">
        <v>0.6</v>
      </c>
      <c r="P79" s="167">
        <v>0.3</v>
      </c>
      <c r="Q79" s="167">
        <v>0.8</v>
      </c>
      <c r="R79" s="167">
        <v>0.45</v>
      </c>
      <c r="T79" s="162">
        <v>0</v>
      </c>
      <c r="U79" s="175" t="s">
        <v>1797</v>
      </c>
      <c r="V79" s="175">
        <v>0.6</v>
      </c>
      <c r="W79" s="169" t="s">
        <v>1576</v>
      </c>
      <c r="X79" s="174" t="s">
        <v>1604</v>
      </c>
    </row>
    <row r="80" spans="1:24" ht="16">
      <c r="A80" s="461" t="str">
        <f t="shared" si="1"/>
        <v>桃園市觀音區</v>
      </c>
      <c r="B80" s="464" t="s">
        <v>1576</v>
      </c>
      <c r="C80" s="169" t="s">
        <v>1605</v>
      </c>
      <c r="D80" s="166">
        <v>37.5</v>
      </c>
      <c r="E80" s="164">
        <v>328</v>
      </c>
      <c r="F80" s="167">
        <v>0.5</v>
      </c>
      <c r="G80" s="167">
        <v>0.3</v>
      </c>
      <c r="H80" s="167">
        <v>0.7</v>
      </c>
      <c r="I80" s="167">
        <v>0.4</v>
      </c>
      <c r="O80" s="167">
        <v>0.5</v>
      </c>
      <c r="P80" s="167">
        <v>0.3</v>
      </c>
      <c r="Q80" s="167">
        <v>0.7</v>
      </c>
      <c r="R80" s="167">
        <v>0.4</v>
      </c>
      <c r="T80" s="162">
        <v>0</v>
      </c>
      <c r="U80" s="175" t="s">
        <v>1797</v>
      </c>
      <c r="V80" s="175">
        <v>0.6</v>
      </c>
      <c r="W80" s="169" t="s">
        <v>1576</v>
      </c>
      <c r="X80" s="174" t="s">
        <v>1605</v>
      </c>
    </row>
    <row r="81" spans="1:24" ht="16">
      <c r="A81" s="461" t="str">
        <f t="shared" si="1"/>
        <v>桃園市復興區</v>
      </c>
      <c r="B81" s="464" t="s">
        <v>1576</v>
      </c>
      <c r="C81" s="169" t="s">
        <v>1610</v>
      </c>
      <c r="D81" s="166">
        <v>37.5</v>
      </c>
      <c r="E81" s="164">
        <v>336</v>
      </c>
      <c r="F81" s="167">
        <v>0.7</v>
      </c>
      <c r="G81" s="167">
        <v>0.4</v>
      </c>
      <c r="H81" s="167">
        <v>0.9</v>
      </c>
      <c r="I81" s="167">
        <v>0.5</v>
      </c>
      <c r="O81" s="167">
        <v>0.7</v>
      </c>
      <c r="P81" s="167">
        <v>0.4</v>
      </c>
      <c r="Q81" s="167">
        <v>0.9</v>
      </c>
      <c r="R81" s="167">
        <v>0.5</v>
      </c>
      <c r="T81" s="162">
        <v>0</v>
      </c>
      <c r="U81" s="162" t="s">
        <v>1796</v>
      </c>
      <c r="V81" s="168">
        <v>0.8</v>
      </c>
      <c r="W81" s="169" t="s">
        <v>1576</v>
      </c>
      <c r="X81" s="174" t="s">
        <v>1610</v>
      </c>
    </row>
    <row r="82" spans="1:24">
      <c r="A82" s="461" t="str">
        <f t="shared" si="1"/>
        <v>苗栗縣苗栗市</v>
      </c>
      <c r="B82" s="465" t="s">
        <v>1807</v>
      </c>
      <c r="C82" s="466" t="s">
        <v>1808</v>
      </c>
      <c r="D82" s="166">
        <v>32.5</v>
      </c>
      <c r="E82" s="164">
        <v>360</v>
      </c>
      <c r="F82" s="167">
        <v>0.7</v>
      </c>
      <c r="G82" s="167">
        <v>0.4</v>
      </c>
      <c r="H82" s="167">
        <v>0.9</v>
      </c>
      <c r="I82" s="167">
        <v>0.5</v>
      </c>
      <c r="J82" s="180" t="s">
        <v>371</v>
      </c>
      <c r="O82" s="167">
        <v>0.7</v>
      </c>
      <c r="P82" s="167">
        <v>0.4</v>
      </c>
      <c r="Q82" s="167">
        <v>0.9</v>
      </c>
      <c r="R82" s="167">
        <v>0.5</v>
      </c>
      <c r="S82" s="162" t="s">
        <v>74</v>
      </c>
      <c r="T82" s="162">
        <v>1</v>
      </c>
      <c r="U82" s="176" t="s">
        <v>1799</v>
      </c>
      <c r="V82" s="176">
        <v>1</v>
      </c>
      <c r="W82" s="162" t="s">
        <v>79</v>
      </c>
      <c r="X82" s="162" t="s">
        <v>80</v>
      </c>
    </row>
    <row r="83" spans="1:24" ht="31">
      <c r="A83" s="461" t="str">
        <f t="shared" si="1"/>
        <v>苗栗縣苑裡鎮</v>
      </c>
      <c r="B83" s="465" t="s">
        <v>1807</v>
      </c>
      <c r="C83" s="169" t="s">
        <v>81</v>
      </c>
      <c r="D83" s="166">
        <v>32.5</v>
      </c>
      <c r="E83" s="164">
        <v>358</v>
      </c>
      <c r="F83" s="193">
        <v>0.8</v>
      </c>
      <c r="G83" s="193">
        <v>0.45</v>
      </c>
      <c r="H83" s="193">
        <v>1</v>
      </c>
      <c r="I83" s="193">
        <v>0.55000000000000004</v>
      </c>
      <c r="J83" s="180" t="s">
        <v>360</v>
      </c>
      <c r="K83" s="180" t="s">
        <v>1306</v>
      </c>
      <c r="L83" s="180" t="s">
        <v>1639</v>
      </c>
      <c r="M83" s="467" t="s">
        <v>1809</v>
      </c>
      <c r="O83" s="167">
        <v>0.7</v>
      </c>
      <c r="P83" s="167">
        <v>0.4</v>
      </c>
      <c r="Q83" s="167">
        <v>0.9</v>
      </c>
      <c r="R83" s="167">
        <v>0.5</v>
      </c>
      <c r="S83" s="162" t="s">
        <v>359</v>
      </c>
      <c r="T83" s="162">
        <v>2</v>
      </c>
      <c r="U83" s="162" t="s">
        <v>1796</v>
      </c>
      <c r="V83" s="168">
        <v>0.8</v>
      </c>
      <c r="W83" s="162" t="s">
        <v>79</v>
      </c>
      <c r="X83" s="162" t="s">
        <v>81</v>
      </c>
    </row>
    <row r="84" spans="1:24" ht="31">
      <c r="A84" s="461" t="str">
        <f t="shared" si="1"/>
        <v>苗栗縣通霄鎮</v>
      </c>
      <c r="B84" s="465" t="s">
        <v>1807</v>
      </c>
      <c r="C84" s="169" t="s">
        <v>1613</v>
      </c>
      <c r="D84" s="166">
        <v>32.5</v>
      </c>
      <c r="E84" s="164">
        <v>357</v>
      </c>
      <c r="F84" s="167">
        <v>0.7</v>
      </c>
      <c r="G84" s="167">
        <v>0.4</v>
      </c>
      <c r="H84" s="167">
        <v>0.9</v>
      </c>
      <c r="I84" s="167">
        <v>0.5</v>
      </c>
      <c r="J84" s="180" t="s">
        <v>360</v>
      </c>
      <c r="K84" s="180" t="s">
        <v>1306</v>
      </c>
      <c r="L84" s="180" t="s">
        <v>1639</v>
      </c>
      <c r="O84" s="167">
        <v>0.7</v>
      </c>
      <c r="P84" s="167">
        <v>0.4</v>
      </c>
      <c r="Q84" s="167">
        <v>0.9</v>
      </c>
      <c r="R84" s="167">
        <v>0.5</v>
      </c>
      <c r="S84" s="162" t="s">
        <v>360</v>
      </c>
      <c r="T84" s="162">
        <v>3</v>
      </c>
      <c r="U84" s="162" t="s">
        <v>1796</v>
      </c>
      <c r="V84" s="168">
        <v>0.8</v>
      </c>
      <c r="W84" s="162" t="s">
        <v>79</v>
      </c>
      <c r="X84" s="162" t="s">
        <v>83</v>
      </c>
    </row>
    <row r="85" spans="1:24" ht="16">
      <c r="A85" s="461" t="str">
        <f t="shared" si="1"/>
        <v>苗栗縣竹南鎮</v>
      </c>
      <c r="B85" s="465" t="s">
        <v>1807</v>
      </c>
      <c r="C85" s="169" t="s">
        <v>84</v>
      </c>
      <c r="D85" s="166">
        <v>32.5</v>
      </c>
      <c r="E85" s="164">
        <v>350</v>
      </c>
      <c r="F85" s="193">
        <v>0.8</v>
      </c>
      <c r="G85" s="193">
        <v>0.45</v>
      </c>
      <c r="H85" s="193">
        <v>1</v>
      </c>
      <c r="I85" s="193">
        <v>0.55000000000000004</v>
      </c>
      <c r="J85" s="180" t="s">
        <v>1646</v>
      </c>
      <c r="O85" s="167">
        <v>0.7</v>
      </c>
      <c r="P85" s="167">
        <v>0.4</v>
      </c>
      <c r="Q85" s="167">
        <v>0.9</v>
      </c>
      <c r="R85" s="167">
        <v>0.5</v>
      </c>
      <c r="T85" s="162">
        <v>0</v>
      </c>
      <c r="U85" s="162" t="s">
        <v>1796</v>
      </c>
      <c r="V85" s="168">
        <v>0.8</v>
      </c>
      <c r="W85" s="162" t="s">
        <v>79</v>
      </c>
      <c r="X85" s="162" t="s">
        <v>84</v>
      </c>
    </row>
    <row r="86" spans="1:24">
      <c r="A86" s="461" t="str">
        <f t="shared" si="1"/>
        <v>苗栗縣頭份市</v>
      </c>
      <c r="B86" s="465" t="s">
        <v>1807</v>
      </c>
      <c r="C86" s="466" t="s">
        <v>1504</v>
      </c>
      <c r="D86" s="166">
        <v>32.5</v>
      </c>
      <c r="E86" s="164">
        <v>351</v>
      </c>
      <c r="F86" s="193">
        <v>0.8</v>
      </c>
      <c r="G86" s="193">
        <v>0.45</v>
      </c>
      <c r="H86" s="193">
        <v>1</v>
      </c>
      <c r="I86" s="193">
        <v>0.55000000000000004</v>
      </c>
      <c r="J86" s="180" t="s">
        <v>1647</v>
      </c>
      <c r="K86" s="180" t="s">
        <v>1645</v>
      </c>
      <c r="O86" s="167">
        <v>0.7</v>
      </c>
      <c r="P86" s="167">
        <v>0.4</v>
      </c>
      <c r="Q86" s="167">
        <v>0.9</v>
      </c>
      <c r="R86" s="167">
        <v>0.5</v>
      </c>
      <c r="S86" s="162" t="s">
        <v>74</v>
      </c>
      <c r="T86" s="162">
        <v>1</v>
      </c>
      <c r="U86" s="162" t="s">
        <v>1796</v>
      </c>
      <c r="V86" s="168">
        <v>0.8</v>
      </c>
      <c r="W86" s="162" t="s">
        <v>79</v>
      </c>
      <c r="X86" s="162" t="s">
        <v>85</v>
      </c>
    </row>
    <row r="87" spans="1:24" ht="16">
      <c r="A87" s="461" t="str">
        <f t="shared" si="1"/>
        <v>苗栗縣後龍鎮</v>
      </c>
      <c r="B87" s="465" t="s">
        <v>1807</v>
      </c>
      <c r="C87" s="169" t="s">
        <v>86</v>
      </c>
      <c r="D87" s="166">
        <v>32.5</v>
      </c>
      <c r="E87" s="164">
        <v>356</v>
      </c>
      <c r="F87" s="167">
        <v>0.7</v>
      </c>
      <c r="G87" s="167">
        <v>0.4</v>
      </c>
      <c r="H87" s="167">
        <v>0.9</v>
      </c>
      <c r="I87" s="167">
        <v>0.5</v>
      </c>
      <c r="O87" s="167">
        <v>0.7</v>
      </c>
      <c r="P87" s="167">
        <v>0.4</v>
      </c>
      <c r="Q87" s="167">
        <v>0.9</v>
      </c>
      <c r="R87" s="167">
        <v>0.5</v>
      </c>
      <c r="T87" s="162">
        <v>0</v>
      </c>
      <c r="U87" s="162" t="s">
        <v>1796</v>
      </c>
      <c r="V87" s="168">
        <v>0.8</v>
      </c>
      <c r="W87" s="162" t="s">
        <v>79</v>
      </c>
      <c r="X87" s="162" t="s">
        <v>86</v>
      </c>
    </row>
    <row r="88" spans="1:24" ht="16">
      <c r="A88" s="461" t="str">
        <f t="shared" si="1"/>
        <v>苗栗縣卓蘭鎮</v>
      </c>
      <c r="B88" s="465" t="s">
        <v>1807</v>
      </c>
      <c r="C88" s="464" t="s">
        <v>87</v>
      </c>
      <c r="D88" s="166">
        <v>32.5</v>
      </c>
      <c r="E88" s="164">
        <v>369</v>
      </c>
      <c r="F88" s="167">
        <v>0.8</v>
      </c>
      <c r="G88" s="167">
        <v>0.45</v>
      </c>
      <c r="H88" s="167">
        <v>1</v>
      </c>
      <c r="I88" s="167">
        <v>0.55000000000000004</v>
      </c>
      <c r="J88" s="180" t="s">
        <v>372</v>
      </c>
      <c r="K88" s="180" t="s">
        <v>1306</v>
      </c>
      <c r="L88" s="467" t="s">
        <v>1809</v>
      </c>
      <c r="M88" s="469" t="s">
        <v>1826</v>
      </c>
      <c r="O88" s="167">
        <v>0.8</v>
      </c>
      <c r="P88" s="167">
        <v>0.45</v>
      </c>
      <c r="Q88" s="167">
        <v>1</v>
      </c>
      <c r="R88" s="167">
        <v>0.55000000000000004</v>
      </c>
      <c r="S88" s="162" t="s">
        <v>362</v>
      </c>
      <c r="T88" s="162">
        <v>2</v>
      </c>
      <c r="U88" s="176" t="s">
        <v>1799</v>
      </c>
      <c r="V88" s="176">
        <v>1</v>
      </c>
      <c r="W88" s="162" t="s">
        <v>79</v>
      </c>
      <c r="X88" s="162" t="s">
        <v>87</v>
      </c>
    </row>
    <row r="89" spans="1:24" ht="16">
      <c r="A89" s="461" t="str">
        <f t="shared" si="1"/>
        <v>苗栗縣大湖鄉</v>
      </c>
      <c r="B89" s="465" t="s">
        <v>1807</v>
      </c>
      <c r="C89" s="169" t="s">
        <v>88</v>
      </c>
      <c r="D89" s="166">
        <v>32.5</v>
      </c>
      <c r="E89" s="164">
        <v>364</v>
      </c>
      <c r="F89" s="167">
        <v>0.8</v>
      </c>
      <c r="G89" s="167">
        <v>0.45</v>
      </c>
      <c r="H89" s="167">
        <v>1</v>
      </c>
      <c r="I89" s="167">
        <v>0.55000000000000004</v>
      </c>
      <c r="J89" s="180" t="s">
        <v>371</v>
      </c>
      <c r="K89" s="180" t="s">
        <v>1307</v>
      </c>
      <c r="L89" s="180" t="s">
        <v>1306</v>
      </c>
      <c r="M89" s="467" t="s">
        <v>1809</v>
      </c>
      <c r="N89" s="469" t="s">
        <v>1826</v>
      </c>
      <c r="O89" s="167">
        <v>0.8</v>
      </c>
      <c r="P89" s="167">
        <v>0.45</v>
      </c>
      <c r="Q89" s="167">
        <v>1</v>
      </c>
      <c r="R89" s="167">
        <v>0.55000000000000004</v>
      </c>
      <c r="S89" s="162" t="s">
        <v>361</v>
      </c>
      <c r="T89" s="162">
        <v>4</v>
      </c>
      <c r="U89" s="176" t="s">
        <v>1799</v>
      </c>
      <c r="V89" s="176">
        <v>1</v>
      </c>
      <c r="W89" s="162" t="s">
        <v>79</v>
      </c>
      <c r="X89" s="162" t="s">
        <v>88</v>
      </c>
    </row>
    <row r="90" spans="1:24">
      <c r="A90" s="461" t="str">
        <f t="shared" si="1"/>
        <v>苗栗縣公館鄉</v>
      </c>
      <c r="B90" s="465" t="s">
        <v>1807</v>
      </c>
      <c r="C90" s="466" t="s">
        <v>1810</v>
      </c>
      <c r="D90" s="166">
        <v>32.5</v>
      </c>
      <c r="E90" s="164">
        <v>363</v>
      </c>
      <c r="F90" s="167">
        <v>0.8</v>
      </c>
      <c r="G90" s="167">
        <v>0.45</v>
      </c>
      <c r="H90" s="167">
        <v>1</v>
      </c>
      <c r="I90" s="167">
        <v>0.55000000000000004</v>
      </c>
      <c r="J90" s="180" t="s">
        <v>371</v>
      </c>
      <c r="K90" s="180" t="s">
        <v>1811</v>
      </c>
      <c r="O90" s="167">
        <v>0.8</v>
      </c>
      <c r="P90" s="167">
        <v>0.45</v>
      </c>
      <c r="Q90" s="167">
        <v>1</v>
      </c>
      <c r="R90" s="167">
        <v>0.55000000000000004</v>
      </c>
      <c r="S90" s="162" t="s">
        <v>74</v>
      </c>
      <c r="T90" s="162">
        <v>1</v>
      </c>
      <c r="U90" s="176" t="s">
        <v>1799</v>
      </c>
      <c r="V90" s="176">
        <v>1</v>
      </c>
      <c r="W90" s="162" t="s">
        <v>79</v>
      </c>
      <c r="X90" s="162" t="s">
        <v>89</v>
      </c>
    </row>
    <row r="91" spans="1:24" ht="16">
      <c r="A91" s="461" t="str">
        <f t="shared" si="1"/>
        <v>苗栗縣銅鑼鄉</v>
      </c>
      <c r="B91" s="465" t="s">
        <v>1807</v>
      </c>
      <c r="C91" s="169" t="s">
        <v>90</v>
      </c>
      <c r="D91" s="166">
        <v>32.5</v>
      </c>
      <c r="E91" s="164">
        <v>366</v>
      </c>
      <c r="F91" s="167">
        <v>0.8</v>
      </c>
      <c r="G91" s="167">
        <v>0.45</v>
      </c>
      <c r="H91" s="167">
        <v>1</v>
      </c>
      <c r="I91" s="167">
        <v>0.55000000000000004</v>
      </c>
      <c r="J91" s="180" t="s">
        <v>1648</v>
      </c>
      <c r="K91" s="180" t="s">
        <v>1307</v>
      </c>
      <c r="L91" s="180" t="s">
        <v>1306</v>
      </c>
      <c r="M91" s="467" t="s">
        <v>1809</v>
      </c>
      <c r="O91" s="167">
        <v>0.8</v>
      </c>
      <c r="P91" s="167">
        <v>0.45</v>
      </c>
      <c r="Q91" s="167">
        <v>1</v>
      </c>
      <c r="R91" s="167">
        <v>0.55000000000000004</v>
      </c>
      <c r="S91" s="162" t="s">
        <v>1641</v>
      </c>
      <c r="T91" s="162">
        <v>3</v>
      </c>
      <c r="U91" s="176" t="s">
        <v>1799</v>
      </c>
      <c r="V91" s="176">
        <v>1</v>
      </c>
      <c r="W91" s="162" t="s">
        <v>79</v>
      </c>
      <c r="X91" s="162" t="s">
        <v>90</v>
      </c>
    </row>
    <row r="92" spans="1:24" ht="16">
      <c r="A92" s="461" t="str">
        <f t="shared" si="1"/>
        <v>苗栗縣南庄鄉</v>
      </c>
      <c r="B92" s="465" t="s">
        <v>1807</v>
      </c>
      <c r="C92" s="169" t="s">
        <v>91</v>
      </c>
      <c r="D92" s="166">
        <v>32.5</v>
      </c>
      <c r="E92" s="164">
        <v>353</v>
      </c>
      <c r="F92" s="167">
        <v>0.8</v>
      </c>
      <c r="G92" s="167">
        <v>0.45</v>
      </c>
      <c r="H92" s="167">
        <v>1</v>
      </c>
      <c r="I92" s="167">
        <v>0.55000000000000004</v>
      </c>
      <c r="J92" s="161" t="s">
        <v>371</v>
      </c>
      <c r="O92" s="167">
        <v>0.8</v>
      </c>
      <c r="P92" s="167">
        <v>0.45</v>
      </c>
      <c r="Q92" s="167">
        <v>1</v>
      </c>
      <c r="R92" s="167">
        <v>0.55000000000000004</v>
      </c>
      <c r="S92" s="162" t="s">
        <v>74</v>
      </c>
      <c r="T92" s="162">
        <v>1</v>
      </c>
      <c r="U92" s="162" t="s">
        <v>1796</v>
      </c>
      <c r="V92" s="168">
        <v>0.8</v>
      </c>
      <c r="W92" s="162" t="s">
        <v>79</v>
      </c>
      <c r="X92" s="162" t="s">
        <v>91</v>
      </c>
    </row>
    <row r="93" spans="1:24" ht="16">
      <c r="A93" s="461" t="str">
        <f t="shared" si="1"/>
        <v>苗栗縣頭屋鄉</v>
      </c>
      <c r="B93" s="465" t="s">
        <v>1807</v>
      </c>
      <c r="C93" s="169" t="s">
        <v>92</v>
      </c>
      <c r="D93" s="166">
        <v>32.5</v>
      </c>
      <c r="E93" s="164">
        <v>362</v>
      </c>
      <c r="F93" s="167">
        <v>0.8</v>
      </c>
      <c r="G93" s="167">
        <v>0.45</v>
      </c>
      <c r="H93" s="167">
        <v>1</v>
      </c>
      <c r="I93" s="167">
        <v>0.55000000000000004</v>
      </c>
      <c r="J93" s="161" t="s">
        <v>371</v>
      </c>
      <c r="O93" s="167">
        <v>0.8</v>
      </c>
      <c r="P93" s="167">
        <v>0.45</v>
      </c>
      <c r="Q93" s="167">
        <v>1</v>
      </c>
      <c r="R93" s="167">
        <v>0.55000000000000004</v>
      </c>
      <c r="S93" s="162" t="s">
        <v>74</v>
      </c>
      <c r="T93" s="162">
        <v>1</v>
      </c>
      <c r="U93" s="176" t="s">
        <v>1799</v>
      </c>
      <c r="V93" s="176">
        <v>1</v>
      </c>
      <c r="W93" s="162" t="s">
        <v>79</v>
      </c>
      <c r="X93" s="162" t="s">
        <v>92</v>
      </c>
    </row>
    <row r="94" spans="1:24" ht="31">
      <c r="A94" s="461" t="str">
        <f t="shared" si="1"/>
        <v>苗栗縣三義鄉</v>
      </c>
      <c r="B94" s="465" t="s">
        <v>1807</v>
      </c>
      <c r="C94" s="169" t="s">
        <v>93</v>
      </c>
      <c r="D94" s="166">
        <v>32.5</v>
      </c>
      <c r="E94" s="164">
        <v>367</v>
      </c>
      <c r="F94" s="167">
        <v>0.8</v>
      </c>
      <c r="G94" s="167">
        <v>0.45</v>
      </c>
      <c r="H94" s="167">
        <v>1</v>
      </c>
      <c r="I94" s="167">
        <v>0.55000000000000004</v>
      </c>
      <c r="J94" s="180" t="s">
        <v>1641</v>
      </c>
      <c r="K94" s="180" t="s">
        <v>1811</v>
      </c>
      <c r="L94" s="180" t="s">
        <v>1639</v>
      </c>
      <c r="M94" s="467" t="s">
        <v>1809</v>
      </c>
      <c r="O94" s="167">
        <v>0.8</v>
      </c>
      <c r="P94" s="167">
        <v>0.45</v>
      </c>
      <c r="Q94" s="167">
        <v>1</v>
      </c>
      <c r="R94" s="167">
        <v>0.55000000000000004</v>
      </c>
      <c r="S94" s="162" t="s">
        <v>359</v>
      </c>
      <c r="T94" s="162">
        <v>2</v>
      </c>
      <c r="U94" s="176" t="s">
        <v>1799</v>
      </c>
      <c r="V94" s="176">
        <v>1</v>
      </c>
      <c r="W94" s="162" t="s">
        <v>79</v>
      </c>
      <c r="X94" s="162" t="s">
        <v>93</v>
      </c>
    </row>
    <row r="95" spans="1:24" ht="16">
      <c r="A95" s="461" t="str">
        <f t="shared" si="1"/>
        <v>苗栗縣西湖鄉</v>
      </c>
      <c r="B95" s="465" t="s">
        <v>1807</v>
      </c>
      <c r="C95" s="169" t="s">
        <v>94</v>
      </c>
      <c r="D95" s="166">
        <v>32.5</v>
      </c>
      <c r="E95" s="164">
        <v>368</v>
      </c>
      <c r="F95" s="167">
        <v>0.7</v>
      </c>
      <c r="G95" s="167">
        <v>0.4</v>
      </c>
      <c r="H95" s="167">
        <v>0.9</v>
      </c>
      <c r="I95" s="167">
        <v>0.5</v>
      </c>
      <c r="O95" s="167">
        <v>0.7</v>
      </c>
      <c r="P95" s="167">
        <v>0.4</v>
      </c>
      <c r="Q95" s="167">
        <v>0.9</v>
      </c>
      <c r="R95" s="167">
        <v>0.5</v>
      </c>
      <c r="T95" s="162">
        <v>0</v>
      </c>
      <c r="U95" s="162" t="s">
        <v>1796</v>
      </c>
      <c r="V95" s="168">
        <v>0.8</v>
      </c>
      <c r="W95" s="162" t="s">
        <v>79</v>
      </c>
      <c r="X95" s="162" t="s">
        <v>94</v>
      </c>
    </row>
    <row r="96" spans="1:24" ht="16">
      <c r="A96" s="461" t="str">
        <f t="shared" si="1"/>
        <v>苗栗縣造橋鄉</v>
      </c>
      <c r="B96" s="465" t="s">
        <v>1807</v>
      </c>
      <c r="C96" s="169" t="s">
        <v>95</v>
      </c>
      <c r="D96" s="166">
        <v>32.5</v>
      </c>
      <c r="E96" s="164">
        <v>361</v>
      </c>
      <c r="F96" s="167">
        <v>0.8</v>
      </c>
      <c r="G96" s="167">
        <v>0.45</v>
      </c>
      <c r="H96" s="167">
        <v>1</v>
      </c>
      <c r="I96" s="167">
        <v>0.55000000000000004</v>
      </c>
      <c r="J96" s="161" t="s">
        <v>371</v>
      </c>
      <c r="O96" s="167">
        <v>0.8</v>
      </c>
      <c r="P96" s="167">
        <v>0.45</v>
      </c>
      <c r="Q96" s="167">
        <v>1</v>
      </c>
      <c r="R96" s="167">
        <v>0.55000000000000004</v>
      </c>
      <c r="S96" s="162" t="s">
        <v>74</v>
      </c>
      <c r="T96" s="162">
        <v>1</v>
      </c>
      <c r="U96" s="162" t="s">
        <v>1796</v>
      </c>
      <c r="V96" s="168">
        <v>0.8</v>
      </c>
      <c r="W96" s="162" t="s">
        <v>79</v>
      </c>
      <c r="X96" s="162" t="s">
        <v>95</v>
      </c>
    </row>
    <row r="97" spans="1:24" ht="16">
      <c r="A97" s="461" t="str">
        <f t="shared" si="1"/>
        <v>苗栗縣三灣鄉</v>
      </c>
      <c r="B97" s="465" t="s">
        <v>1807</v>
      </c>
      <c r="C97" s="169" t="s">
        <v>96</v>
      </c>
      <c r="D97" s="166">
        <v>32.5</v>
      </c>
      <c r="E97" s="164">
        <v>352</v>
      </c>
      <c r="F97" s="167">
        <v>0.8</v>
      </c>
      <c r="G97" s="167">
        <v>0.45</v>
      </c>
      <c r="H97" s="167">
        <v>1</v>
      </c>
      <c r="I97" s="167">
        <v>0.55000000000000004</v>
      </c>
      <c r="J97" s="180" t="s">
        <v>1647</v>
      </c>
      <c r="K97" s="180" t="s">
        <v>1645</v>
      </c>
      <c r="O97" s="167">
        <v>0.8</v>
      </c>
      <c r="P97" s="167">
        <v>0.45</v>
      </c>
      <c r="Q97" s="167">
        <v>1</v>
      </c>
      <c r="R97" s="167">
        <v>0.55000000000000004</v>
      </c>
      <c r="S97" s="162" t="s">
        <v>74</v>
      </c>
      <c r="T97" s="162">
        <v>1</v>
      </c>
      <c r="U97" s="176" t="s">
        <v>1799</v>
      </c>
      <c r="V97" s="176">
        <v>1</v>
      </c>
      <c r="W97" s="162" t="s">
        <v>79</v>
      </c>
      <c r="X97" s="162" t="s">
        <v>96</v>
      </c>
    </row>
    <row r="98" spans="1:24" ht="16">
      <c r="A98" s="461" t="str">
        <f t="shared" si="1"/>
        <v>苗栗縣獅潭鄉</v>
      </c>
      <c r="B98" s="465" t="s">
        <v>1807</v>
      </c>
      <c r="C98" s="169" t="s">
        <v>97</v>
      </c>
      <c r="D98" s="166">
        <v>32.5</v>
      </c>
      <c r="E98" s="164">
        <v>354</v>
      </c>
      <c r="F98" s="167">
        <v>0.8</v>
      </c>
      <c r="G98" s="167">
        <v>0.45</v>
      </c>
      <c r="H98" s="167">
        <v>1</v>
      </c>
      <c r="I98" s="167">
        <v>0.55000000000000004</v>
      </c>
      <c r="J98" s="161" t="s">
        <v>371</v>
      </c>
      <c r="O98" s="167">
        <v>0.8</v>
      </c>
      <c r="P98" s="167">
        <v>0.45</v>
      </c>
      <c r="Q98" s="167">
        <v>1</v>
      </c>
      <c r="R98" s="167">
        <v>0.55000000000000004</v>
      </c>
      <c r="S98" s="162" t="s">
        <v>74</v>
      </c>
      <c r="T98" s="162">
        <v>1</v>
      </c>
      <c r="U98" s="176" t="s">
        <v>1799</v>
      </c>
      <c r="V98" s="176">
        <v>1</v>
      </c>
      <c r="W98" s="162" t="s">
        <v>79</v>
      </c>
      <c r="X98" s="162" t="s">
        <v>97</v>
      </c>
    </row>
    <row r="99" spans="1:24" ht="16">
      <c r="A99" s="461" t="str">
        <f t="shared" si="1"/>
        <v>苗栗縣泰安鄉</v>
      </c>
      <c r="B99" s="465" t="s">
        <v>1807</v>
      </c>
      <c r="C99" s="169" t="s">
        <v>98</v>
      </c>
      <c r="D99" s="166">
        <v>32.5</v>
      </c>
      <c r="E99" s="164">
        <v>365</v>
      </c>
      <c r="F99" s="167">
        <v>0.7</v>
      </c>
      <c r="G99" s="167">
        <v>0.4</v>
      </c>
      <c r="H99" s="167">
        <v>0.9</v>
      </c>
      <c r="I99" s="167">
        <v>0.5</v>
      </c>
      <c r="J99" s="180" t="s">
        <v>371</v>
      </c>
      <c r="K99" s="467" t="s">
        <v>1809</v>
      </c>
      <c r="L99" s="469" t="s">
        <v>1826</v>
      </c>
      <c r="O99" s="167">
        <v>0.7</v>
      </c>
      <c r="P99" s="167">
        <v>0.4</v>
      </c>
      <c r="Q99" s="167">
        <v>0.9</v>
      </c>
      <c r="R99" s="167">
        <v>0.5</v>
      </c>
      <c r="S99" s="162" t="s">
        <v>363</v>
      </c>
      <c r="T99" s="162">
        <v>5</v>
      </c>
      <c r="U99" s="162" t="s">
        <v>1796</v>
      </c>
      <c r="V99" s="168">
        <v>0.8</v>
      </c>
      <c r="W99" s="162" t="s">
        <v>79</v>
      </c>
      <c r="X99" s="162" t="s">
        <v>98</v>
      </c>
    </row>
    <row r="100" spans="1:24" ht="31">
      <c r="A100" s="160" t="str">
        <f t="shared" si="1"/>
        <v>臺中市豐原區</v>
      </c>
      <c r="B100" s="169" t="s">
        <v>1577</v>
      </c>
      <c r="C100" s="169" t="s">
        <v>100</v>
      </c>
      <c r="D100" s="166">
        <v>32.5</v>
      </c>
      <c r="E100" s="164">
        <v>420</v>
      </c>
      <c r="F100" s="167">
        <v>0.8</v>
      </c>
      <c r="G100" s="167">
        <v>0.45</v>
      </c>
      <c r="H100" s="167">
        <v>1</v>
      </c>
      <c r="I100" s="167">
        <v>0.55000000000000004</v>
      </c>
      <c r="J100" s="180" t="s">
        <v>1307</v>
      </c>
      <c r="K100" s="180" t="s">
        <v>1811</v>
      </c>
      <c r="L100" s="180" t="s">
        <v>1565</v>
      </c>
      <c r="M100" s="467" t="s">
        <v>1809</v>
      </c>
      <c r="N100" s="469" t="s">
        <v>1826</v>
      </c>
      <c r="O100" s="167">
        <v>0.8</v>
      </c>
      <c r="P100" s="167">
        <v>0.45</v>
      </c>
      <c r="Q100" s="167">
        <v>1</v>
      </c>
      <c r="R100" s="167">
        <v>0.55000000000000004</v>
      </c>
      <c r="S100" s="162" t="s">
        <v>362</v>
      </c>
      <c r="T100" s="162">
        <v>2</v>
      </c>
      <c r="U100" s="176" t="s">
        <v>1799</v>
      </c>
      <c r="V100" s="176">
        <v>1</v>
      </c>
      <c r="W100" s="162" t="s">
        <v>99</v>
      </c>
      <c r="X100" s="162" t="s">
        <v>100</v>
      </c>
    </row>
    <row r="101" spans="1:24" ht="16">
      <c r="A101" s="160" t="str">
        <f t="shared" si="1"/>
        <v>臺中市東勢區</v>
      </c>
      <c r="B101" s="169" t="s">
        <v>1577</v>
      </c>
      <c r="C101" s="169" t="s">
        <v>101</v>
      </c>
      <c r="D101" s="166">
        <v>32.5</v>
      </c>
      <c r="E101" s="164">
        <v>423</v>
      </c>
      <c r="F101" s="167">
        <v>0.8</v>
      </c>
      <c r="G101" s="167">
        <v>0.45</v>
      </c>
      <c r="H101" s="167">
        <v>1</v>
      </c>
      <c r="I101" s="167">
        <v>0.55000000000000004</v>
      </c>
      <c r="J101" s="180" t="s">
        <v>1307</v>
      </c>
      <c r="K101" s="180" t="s">
        <v>1306</v>
      </c>
      <c r="L101" s="467" t="s">
        <v>1809</v>
      </c>
      <c r="M101" s="469" t="s">
        <v>1826</v>
      </c>
      <c r="O101" s="167">
        <v>0.8</v>
      </c>
      <c r="P101" s="167">
        <v>0.45</v>
      </c>
      <c r="Q101" s="167">
        <v>1</v>
      </c>
      <c r="R101" s="167">
        <v>0.55000000000000004</v>
      </c>
      <c r="S101" s="162" t="s">
        <v>362</v>
      </c>
      <c r="T101" s="162">
        <v>2</v>
      </c>
      <c r="U101" s="176" t="s">
        <v>1799</v>
      </c>
      <c r="V101" s="176">
        <v>1</v>
      </c>
      <c r="W101" s="162" t="s">
        <v>99</v>
      </c>
      <c r="X101" s="162" t="s">
        <v>101</v>
      </c>
    </row>
    <row r="102" spans="1:24" ht="31">
      <c r="A102" s="160" t="str">
        <f t="shared" si="1"/>
        <v>臺中市大甲區</v>
      </c>
      <c r="B102" s="169" t="s">
        <v>1577</v>
      </c>
      <c r="C102" s="169" t="s">
        <v>102</v>
      </c>
      <c r="D102" s="166">
        <v>32.5</v>
      </c>
      <c r="E102" s="164">
        <v>437</v>
      </c>
      <c r="F102" s="193">
        <v>0.8</v>
      </c>
      <c r="G102" s="193">
        <v>0.45</v>
      </c>
      <c r="H102" s="193">
        <v>1</v>
      </c>
      <c r="I102" s="193">
        <v>0.55000000000000004</v>
      </c>
      <c r="J102" s="180" t="s">
        <v>1307</v>
      </c>
      <c r="K102" s="180" t="s">
        <v>1306</v>
      </c>
      <c r="L102" s="180" t="s">
        <v>1565</v>
      </c>
      <c r="O102" s="167">
        <v>0.7</v>
      </c>
      <c r="P102" s="167">
        <v>0.4</v>
      </c>
      <c r="Q102" s="167">
        <v>0.9</v>
      </c>
      <c r="R102" s="167">
        <v>0.5</v>
      </c>
      <c r="S102" s="162" t="s">
        <v>362</v>
      </c>
      <c r="T102" s="162">
        <v>2</v>
      </c>
      <c r="U102" s="162" t="s">
        <v>1796</v>
      </c>
      <c r="V102" s="168">
        <v>0.8</v>
      </c>
      <c r="W102" s="162" t="s">
        <v>99</v>
      </c>
      <c r="X102" s="162" t="s">
        <v>102</v>
      </c>
    </row>
    <row r="103" spans="1:24" ht="46.5">
      <c r="A103" s="160" t="str">
        <f t="shared" si="1"/>
        <v>臺中市清水區</v>
      </c>
      <c r="B103" s="169" t="s">
        <v>1577</v>
      </c>
      <c r="C103" s="169" t="s">
        <v>103</v>
      </c>
      <c r="D103" s="166">
        <v>32.5</v>
      </c>
      <c r="E103" s="164">
        <v>436</v>
      </c>
      <c r="F103" s="167">
        <v>0.8</v>
      </c>
      <c r="G103" s="167">
        <v>0.45</v>
      </c>
      <c r="H103" s="167">
        <v>1</v>
      </c>
      <c r="I103" s="167">
        <v>0.55000000000000004</v>
      </c>
      <c r="J103" s="180" t="s">
        <v>1307</v>
      </c>
      <c r="K103" s="180" t="s">
        <v>1565</v>
      </c>
      <c r="L103" s="467" t="s">
        <v>1809</v>
      </c>
      <c r="O103" s="167">
        <v>0.8</v>
      </c>
      <c r="P103" s="167">
        <v>0.45</v>
      </c>
      <c r="Q103" s="167">
        <v>1</v>
      </c>
      <c r="R103" s="167">
        <v>0.55000000000000004</v>
      </c>
      <c r="S103" s="162" t="s">
        <v>362</v>
      </c>
      <c r="T103" s="162">
        <v>2</v>
      </c>
      <c r="U103" s="176" t="s">
        <v>1799</v>
      </c>
      <c r="V103" s="176">
        <v>1</v>
      </c>
      <c r="W103" s="162" t="s">
        <v>99</v>
      </c>
      <c r="X103" s="162" t="s">
        <v>103</v>
      </c>
    </row>
    <row r="104" spans="1:24" ht="46.5">
      <c r="A104" s="160" t="str">
        <f t="shared" si="1"/>
        <v>臺中市沙鹿區</v>
      </c>
      <c r="B104" s="169" t="s">
        <v>1577</v>
      </c>
      <c r="C104" s="169" t="s">
        <v>104</v>
      </c>
      <c r="D104" s="166">
        <v>32.5</v>
      </c>
      <c r="E104" s="164">
        <v>433</v>
      </c>
      <c r="F104" s="167">
        <v>0.8</v>
      </c>
      <c r="G104" s="167">
        <v>0.45</v>
      </c>
      <c r="H104" s="167">
        <v>1</v>
      </c>
      <c r="I104" s="167">
        <v>0.55000000000000004</v>
      </c>
      <c r="J104" s="180" t="s">
        <v>1307</v>
      </c>
      <c r="K104" s="180" t="s">
        <v>1565</v>
      </c>
      <c r="L104" s="467" t="s">
        <v>1809</v>
      </c>
      <c r="O104" s="167">
        <v>0.8</v>
      </c>
      <c r="P104" s="167">
        <v>0.45</v>
      </c>
      <c r="Q104" s="167">
        <v>1</v>
      </c>
      <c r="R104" s="167">
        <v>0.55000000000000004</v>
      </c>
      <c r="S104" s="162" t="s">
        <v>362</v>
      </c>
      <c r="T104" s="162">
        <v>2</v>
      </c>
      <c r="U104" s="176" t="s">
        <v>1799</v>
      </c>
      <c r="V104" s="176">
        <v>1</v>
      </c>
      <c r="W104" s="162" t="s">
        <v>99</v>
      </c>
      <c r="X104" s="162" t="s">
        <v>104</v>
      </c>
    </row>
    <row r="105" spans="1:24" ht="46.5">
      <c r="A105" s="160" t="str">
        <f t="shared" si="1"/>
        <v>臺中市梧棲區</v>
      </c>
      <c r="B105" s="169" t="s">
        <v>1577</v>
      </c>
      <c r="C105" s="169" t="s">
        <v>105</v>
      </c>
      <c r="D105" s="166">
        <v>32.5</v>
      </c>
      <c r="E105" s="164">
        <v>435</v>
      </c>
      <c r="F105" s="193">
        <v>0.8</v>
      </c>
      <c r="G105" s="193">
        <v>0.45</v>
      </c>
      <c r="H105" s="193">
        <v>1</v>
      </c>
      <c r="I105" s="193">
        <v>0.55000000000000004</v>
      </c>
      <c r="J105" s="180" t="s">
        <v>1307</v>
      </c>
      <c r="K105" s="180" t="s">
        <v>1565</v>
      </c>
      <c r="O105" s="167">
        <v>0.7</v>
      </c>
      <c r="P105" s="167">
        <v>0.4</v>
      </c>
      <c r="Q105" s="167">
        <v>0.9</v>
      </c>
      <c r="R105" s="167">
        <v>0.5</v>
      </c>
      <c r="S105" s="162" t="s">
        <v>362</v>
      </c>
      <c r="T105" s="162">
        <v>2</v>
      </c>
      <c r="U105" s="176" t="s">
        <v>1799</v>
      </c>
      <c r="V105" s="176">
        <v>1</v>
      </c>
      <c r="W105" s="162" t="s">
        <v>99</v>
      </c>
      <c r="X105" s="162" t="s">
        <v>105</v>
      </c>
    </row>
    <row r="106" spans="1:24" ht="32.15" customHeight="1">
      <c r="A106" s="160" t="str">
        <f t="shared" si="1"/>
        <v>臺中市后里區</v>
      </c>
      <c r="B106" s="169" t="s">
        <v>1577</v>
      </c>
      <c r="C106" s="463" t="s">
        <v>106</v>
      </c>
      <c r="D106" s="166">
        <v>32.5</v>
      </c>
      <c r="E106" s="164">
        <v>421</v>
      </c>
      <c r="F106" s="167">
        <v>0.8</v>
      </c>
      <c r="G106" s="167">
        <v>0.45</v>
      </c>
      <c r="H106" s="167">
        <v>1</v>
      </c>
      <c r="I106" s="167">
        <v>0.55000000000000004</v>
      </c>
      <c r="J106" s="180" t="s">
        <v>1307</v>
      </c>
      <c r="K106" s="180" t="s">
        <v>1306</v>
      </c>
      <c r="L106" s="180" t="s">
        <v>1565</v>
      </c>
      <c r="M106" s="467" t="s">
        <v>1809</v>
      </c>
      <c r="O106" s="167">
        <v>0.8</v>
      </c>
      <c r="P106" s="167">
        <v>0.45</v>
      </c>
      <c r="Q106" s="167">
        <v>1</v>
      </c>
      <c r="R106" s="167">
        <v>0.55000000000000004</v>
      </c>
      <c r="S106" s="162" t="s">
        <v>362</v>
      </c>
      <c r="T106" s="162">
        <v>2</v>
      </c>
      <c r="U106" s="176" t="s">
        <v>1799</v>
      </c>
      <c r="V106" s="176">
        <v>1</v>
      </c>
      <c r="W106" s="162" t="s">
        <v>99</v>
      </c>
      <c r="X106" s="162" t="s">
        <v>106</v>
      </c>
    </row>
    <row r="107" spans="1:24" ht="31">
      <c r="A107" s="160" t="str">
        <f t="shared" si="1"/>
        <v>臺中市神岡區</v>
      </c>
      <c r="B107" s="169" t="s">
        <v>1577</v>
      </c>
      <c r="C107" s="169" t="s">
        <v>1644</v>
      </c>
      <c r="D107" s="166">
        <v>32.5</v>
      </c>
      <c r="E107" s="164">
        <v>429</v>
      </c>
      <c r="F107" s="167">
        <v>0.8</v>
      </c>
      <c r="G107" s="167">
        <v>0.45</v>
      </c>
      <c r="H107" s="167">
        <v>1</v>
      </c>
      <c r="I107" s="167">
        <v>0.55000000000000004</v>
      </c>
      <c r="J107" s="180" t="s">
        <v>1641</v>
      </c>
      <c r="K107" s="180" t="s">
        <v>1642</v>
      </c>
      <c r="L107" s="180" t="s">
        <v>1565</v>
      </c>
      <c r="M107" s="467" t="s">
        <v>1809</v>
      </c>
      <c r="N107" s="180"/>
      <c r="O107" s="167">
        <v>0.8</v>
      </c>
      <c r="P107" s="167">
        <v>0.45</v>
      </c>
      <c r="Q107" s="167">
        <v>1</v>
      </c>
      <c r="R107" s="167">
        <v>0.55000000000000004</v>
      </c>
      <c r="S107" s="162" t="s">
        <v>362</v>
      </c>
      <c r="T107" s="162">
        <v>2</v>
      </c>
      <c r="U107" s="176" t="s">
        <v>1799</v>
      </c>
      <c r="V107" s="176">
        <v>1</v>
      </c>
      <c r="W107" s="162" t="s">
        <v>99</v>
      </c>
      <c r="X107" s="162" t="s">
        <v>107</v>
      </c>
    </row>
    <row r="108" spans="1:24" ht="31">
      <c r="A108" s="160" t="str">
        <f t="shared" si="1"/>
        <v>臺中市潭子區</v>
      </c>
      <c r="B108" s="169" t="s">
        <v>1577</v>
      </c>
      <c r="C108" s="169" t="s">
        <v>108</v>
      </c>
      <c r="D108" s="166">
        <v>32.5</v>
      </c>
      <c r="E108" s="164">
        <v>427</v>
      </c>
      <c r="F108" s="167">
        <v>0.8</v>
      </c>
      <c r="G108" s="167">
        <v>0.45</v>
      </c>
      <c r="H108" s="167">
        <v>1</v>
      </c>
      <c r="I108" s="167">
        <v>0.55000000000000004</v>
      </c>
      <c r="J108" s="180" t="s">
        <v>1307</v>
      </c>
      <c r="K108" s="180" t="s">
        <v>1306</v>
      </c>
      <c r="L108" s="180" t="s">
        <v>1565</v>
      </c>
      <c r="M108" s="467" t="s">
        <v>1809</v>
      </c>
      <c r="N108" s="469" t="s">
        <v>1826</v>
      </c>
      <c r="O108" s="167">
        <v>0.8</v>
      </c>
      <c r="P108" s="167">
        <v>0.45</v>
      </c>
      <c r="Q108" s="167">
        <v>1</v>
      </c>
      <c r="R108" s="167">
        <v>0.55000000000000004</v>
      </c>
      <c r="S108" s="162" t="s">
        <v>362</v>
      </c>
      <c r="T108" s="162">
        <v>2</v>
      </c>
      <c r="U108" s="162" t="s">
        <v>1796</v>
      </c>
      <c r="V108" s="168">
        <v>0.8</v>
      </c>
      <c r="W108" s="162" t="s">
        <v>99</v>
      </c>
      <c r="X108" s="162" t="s">
        <v>108</v>
      </c>
    </row>
    <row r="109" spans="1:24" ht="31">
      <c r="A109" s="160" t="str">
        <f t="shared" si="1"/>
        <v>臺中市大雅區</v>
      </c>
      <c r="B109" s="169" t="s">
        <v>1577</v>
      </c>
      <c r="C109" s="169" t="s">
        <v>109</v>
      </c>
      <c r="D109" s="166">
        <v>32.5</v>
      </c>
      <c r="E109" s="164">
        <v>428</v>
      </c>
      <c r="F109" s="167">
        <v>0.8</v>
      </c>
      <c r="G109" s="167">
        <v>0.45</v>
      </c>
      <c r="H109" s="167">
        <v>1</v>
      </c>
      <c r="I109" s="167">
        <v>0.55000000000000004</v>
      </c>
      <c r="J109" s="180" t="s">
        <v>1307</v>
      </c>
      <c r="K109" s="180" t="s">
        <v>1306</v>
      </c>
      <c r="L109" s="180" t="s">
        <v>1565</v>
      </c>
      <c r="M109" s="467" t="s">
        <v>1809</v>
      </c>
      <c r="O109" s="167">
        <v>0.8</v>
      </c>
      <c r="P109" s="167">
        <v>0.45</v>
      </c>
      <c r="Q109" s="167">
        <v>1</v>
      </c>
      <c r="R109" s="167">
        <v>0.55000000000000004</v>
      </c>
      <c r="S109" s="162" t="s">
        <v>362</v>
      </c>
      <c r="T109" s="162">
        <v>2</v>
      </c>
      <c r="U109" s="162" t="s">
        <v>1796</v>
      </c>
      <c r="V109" s="168">
        <v>0.8</v>
      </c>
      <c r="W109" s="162" t="s">
        <v>99</v>
      </c>
      <c r="X109" s="162" t="s">
        <v>109</v>
      </c>
    </row>
    <row r="110" spans="1:24" ht="16">
      <c r="A110" s="160" t="str">
        <f t="shared" si="1"/>
        <v>臺中市新社區</v>
      </c>
      <c r="B110" s="169" t="s">
        <v>1577</v>
      </c>
      <c r="C110" s="169" t="s">
        <v>110</v>
      </c>
      <c r="D110" s="166">
        <v>32.5</v>
      </c>
      <c r="E110" s="164">
        <v>426</v>
      </c>
      <c r="F110" s="167">
        <v>0.8</v>
      </c>
      <c r="G110" s="167">
        <v>0.45</v>
      </c>
      <c r="H110" s="167">
        <v>1</v>
      </c>
      <c r="I110" s="167">
        <v>0.55000000000000004</v>
      </c>
      <c r="J110" s="180" t="s">
        <v>1307</v>
      </c>
      <c r="K110" s="180" t="s">
        <v>1306</v>
      </c>
      <c r="L110" s="467" t="s">
        <v>1809</v>
      </c>
      <c r="M110" s="469" t="s">
        <v>1826</v>
      </c>
      <c r="O110" s="167">
        <v>0.8</v>
      </c>
      <c r="P110" s="167">
        <v>0.45</v>
      </c>
      <c r="Q110" s="167">
        <v>1</v>
      </c>
      <c r="R110" s="167">
        <v>0.55000000000000004</v>
      </c>
      <c r="S110" s="162" t="s">
        <v>362</v>
      </c>
      <c r="T110" s="162">
        <v>2</v>
      </c>
      <c r="U110" s="162" t="s">
        <v>1796</v>
      </c>
      <c r="V110" s="168">
        <v>0.8</v>
      </c>
      <c r="W110" s="162" t="s">
        <v>99</v>
      </c>
      <c r="X110" s="162" t="s">
        <v>110</v>
      </c>
    </row>
    <row r="111" spans="1:24" ht="16">
      <c r="A111" s="160" t="str">
        <f t="shared" si="1"/>
        <v>臺中市石岡區</v>
      </c>
      <c r="B111" s="169" t="s">
        <v>1577</v>
      </c>
      <c r="C111" s="169" t="s">
        <v>111</v>
      </c>
      <c r="D111" s="166">
        <v>32.5</v>
      </c>
      <c r="E111" s="164">
        <v>422</v>
      </c>
      <c r="F111" s="167">
        <v>0.8</v>
      </c>
      <c r="G111" s="167">
        <v>0.45</v>
      </c>
      <c r="H111" s="167">
        <v>1</v>
      </c>
      <c r="I111" s="167">
        <v>0.55000000000000004</v>
      </c>
      <c r="J111" s="180" t="s">
        <v>1307</v>
      </c>
      <c r="K111" s="180" t="s">
        <v>1306</v>
      </c>
      <c r="L111" s="467" t="s">
        <v>1809</v>
      </c>
      <c r="M111" s="469" t="s">
        <v>1826</v>
      </c>
      <c r="O111" s="167">
        <v>0.8</v>
      </c>
      <c r="P111" s="167">
        <v>0.45</v>
      </c>
      <c r="Q111" s="167">
        <v>1</v>
      </c>
      <c r="R111" s="167">
        <v>0.55000000000000004</v>
      </c>
      <c r="S111" s="162" t="s">
        <v>362</v>
      </c>
      <c r="T111" s="162">
        <v>2</v>
      </c>
      <c r="U111" s="176" t="s">
        <v>1799</v>
      </c>
      <c r="V111" s="176">
        <v>1</v>
      </c>
      <c r="W111" s="162" t="s">
        <v>99</v>
      </c>
      <c r="X111" s="162" t="s">
        <v>111</v>
      </c>
    </row>
    <row r="112" spans="1:24" ht="31">
      <c r="A112" s="160" t="str">
        <f t="shared" si="1"/>
        <v>臺中市外埔區</v>
      </c>
      <c r="B112" s="169" t="s">
        <v>1577</v>
      </c>
      <c r="C112" s="169" t="s">
        <v>112</v>
      </c>
      <c r="D112" s="166">
        <v>32.5</v>
      </c>
      <c r="E112" s="164">
        <v>438</v>
      </c>
      <c r="F112" s="193">
        <v>0.8</v>
      </c>
      <c r="G112" s="193">
        <v>0.45</v>
      </c>
      <c r="H112" s="193">
        <v>1</v>
      </c>
      <c r="I112" s="193">
        <v>0.55000000000000004</v>
      </c>
      <c r="J112" s="180" t="s">
        <v>1307</v>
      </c>
      <c r="K112" s="180" t="s">
        <v>1306</v>
      </c>
      <c r="L112" s="180" t="s">
        <v>1565</v>
      </c>
      <c r="M112" s="467" t="s">
        <v>1809</v>
      </c>
      <c r="O112" s="167">
        <v>0.7</v>
      </c>
      <c r="P112" s="167">
        <v>0.4</v>
      </c>
      <c r="Q112" s="167">
        <v>0.9</v>
      </c>
      <c r="R112" s="167">
        <v>0.5</v>
      </c>
      <c r="S112" s="162" t="s">
        <v>362</v>
      </c>
      <c r="T112" s="162">
        <v>2</v>
      </c>
      <c r="U112" s="162" t="s">
        <v>1796</v>
      </c>
      <c r="V112" s="168">
        <v>0.8</v>
      </c>
      <c r="W112" s="162" t="s">
        <v>99</v>
      </c>
      <c r="X112" s="162" t="s">
        <v>112</v>
      </c>
    </row>
    <row r="113" spans="1:24" ht="46.5">
      <c r="A113" s="160" t="str">
        <f t="shared" si="1"/>
        <v>臺中市大安區</v>
      </c>
      <c r="B113" s="169" t="s">
        <v>1577</v>
      </c>
      <c r="C113" s="169" t="s">
        <v>113</v>
      </c>
      <c r="D113" s="166">
        <v>32.5</v>
      </c>
      <c r="E113" s="164">
        <v>439</v>
      </c>
      <c r="F113" s="193">
        <v>0.8</v>
      </c>
      <c r="G113" s="193">
        <v>0.45</v>
      </c>
      <c r="H113" s="193">
        <v>1</v>
      </c>
      <c r="I113" s="193">
        <v>0.55000000000000004</v>
      </c>
      <c r="J113" s="180" t="s">
        <v>1307</v>
      </c>
      <c r="K113" s="180" t="s">
        <v>1565</v>
      </c>
      <c r="O113" s="167">
        <v>0.7</v>
      </c>
      <c r="P113" s="167">
        <v>0.4</v>
      </c>
      <c r="Q113" s="167">
        <v>0.9</v>
      </c>
      <c r="R113" s="167">
        <v>0.5</v>
      </c>
      <c r="S113" s="162" t="s">
        <v>362</v>
      </c>
      <c r="T113" s="162">
        <v>2</v>
      </c>
      <c r="U113" s="162" t="s">
        <v>1796</v>
      </c>
      <c r="V113" s="168">
        <v>0.8</v>
      </c>
      <c r="W113" s="162" t="s">
        <v>99</v>
      </c>
      <c r="X113" s="162" t="s">
        <v>113</v>
      </c>
    </row>
    <row r="114" spans="1:24" ht="31">
      <c r="A114" s="160" t="str">
        <f t="shared" si="1"/>
        <v>臺中市烏日區</v>
      </c>
      <c r="B114" s="169" t="s">
        <v>1577</v>
      </c>
      <c r="C114" s="169" t="s">
        <v>114</v>
      </c>
      <c r="D114" s="166">
        <v>27.5</v>
      </c>
      <c r="E114" s="164">
        <v>414</v>
      </c>
      <c r="F114" s="193">
        <v>0.8</v>
      </c>
      <c r="G114" s="193">
        <v>0.45</v>
      </c>
      <c r="H114" s="193">
        <v>1</v>
      </c>
      <c r="I114" s="193">
        <v>0.55000000000000004</v>
      </c>
      <c r="J114" s="180" t="s">
        <v>1565</v>
      </c>
      <c r="K114" s="467" t="s">
        <v>1809</v>
      </c>
      <c r="O114" s="167">
        <v>0.7</v>
      </c>
      <c r="P114" s="167">
        <v>0.4</v>
      </c>
      <c r="Q114" s="167">
        <v>0.9</v>
      </c>
      <c r="R114" s="167">
        <v>0.5</v>
      </c>
      <c r="S114" s="162" t="s">
        <v>82</v>
      </c>
      <c r="T114" s="162">
        <v>6</v>
      </c>
      <c r="U114" s="162" t="s">
        <v>1796</v>
      </c>
      <c r="V114" s="168">
        <v>0.8</v>
      </c>
      <c r="W114" s="162" t="s">
        <v>99</v>
      </c>
      <c r="X114" s="162" t="s">
        <v>114</v>
      </c>
    </row>
    <row r="115" spans="1:24" ht="31">
      <c r="A115" s="160" t="str">
        <f t="shared" si="1"/>
        <v>臺中市大肚區</v>
      </c>
      <c r="B115" s="169" t="s">
        <v>1577</v>
      </c>
      <c r="C115" s="169" t="s">
        <v>115</v>
      </c>
      <c r="D115" s="166">
        <v>32.5</v>
      </c>
      <c r="E115" s="164">
        <v>432</v>
      </c>
      <c r="F115" s="193">
        <v>0.8</v>
      </c>
      <c r="G115" s="193">
        <v>0.45</v>
      </c>
      <c r="H115" s="193">
        <v>1</v>
      </c>
      <c r="I115" s="193">
        <v>0.55000000000000004</v>
      </c>
      <c r="J115" s="180" t="s">
        <v>1565</v>
      </c>
      <c r="O115" s="167">
        <v>0.7</v>
      </c>
      <c r="P115" s="167">
        <v>0.4</v>
      </c>
      <c r="Q115" s="167">
        <v>0.9</v>
      </c>
      <c r="R115" s="167">
        <v>0.5</v>
      </c>
      <c r="T115" s="162">
        <v>0</v>
      </c>
      <c r="U115" s="162" t="s">
        <v>1796</v>
      </c>
      <c r="V115" s="168">
        <v>0.8</v>
      </c>
      <c r="W115" s="162" t="s">
        <v>99</v>
      </c>
      <c r="X115" s="162" t="s">
        <v>115</v>
      </c>
    </row>
    <row r="116" spans="1:24" ht="46.5">
      <c r="A116" s="160" t="str">
        <f t="shared" si="1"/>
        <v>臺中市龍井區</v>
      </c>
      <c r="B116" s="169" t="s">
        <v>1577</v>
      </c>
      <c r="C116" s="169" t="s">
        <v>1812</v>
      </c>
      <c r="D116" s="166">
        <v>32.5</v>
      </c>
      <c r="E116" s="164">
        <v>434</v>
      </c>
      <c r="F116" s="193">
        <v>0.8</v>
      </c>
      <c r="G116" s="193">
        <v>0.45</v>
      </c>
      <c r="H116" s="193">
        <v>1</v>
      </c>
      <c r="I116" s="193">
        <v>0.55000000000000004</v>
      </c>
      <c r="J116" s="180" t="s">
        <v>1307</v>
      </c>
      <c r="K116" s="180" t="s">
        <v>1565</v>
      </c>
      <c r="O116" s="167">
        <v>0.7</v>
      </c>
      <c r="P116" s="167">
        <v>0.4</v>
      </c>
      <c r="Q116" s="167">
        <v>0.9</v>
      </c>
      <c r="R116" s="167">
        <v>0.5</v>
      </c>
      <c r="S116" s="162" t="s">
        <v>362</v>
      </c>
      <c r="T116" s="162">
        <v>2</v>
      </c>
      <c r="U116" s="162" t="s">
        <v>1796</v>
      </c>
      <c r="V116" s="168">
        <v>0.8</v>
      </c>
      <c r="W116" s="162" t="s">
        <v>99</v>
      </c>
      <c r="X116" s="162" t="s">
        <v>116</v>
      </c>
    </row>
    <row r="117" spans="1:24" ht="31">
      <c r="A117" s="160" t="str">
        <f t="shared" si="1"/>
        <v>臺中市霧峰區</v>
      </c>
      <c r="B117" s="169" t="s">
        <v>1577</v>
      </c>
      <c r="C117" s="169" t="s">
        <v>117</v>
      </c>
      <c r="D117" s="166">
        <v>27.5</v>
      </c>
      <c r="E117" s="164">
        <v>413</v>
      </c>
      <c r="F117" s="167">
        <v>0.8</v>
      </c>
      <c r="G117" s="167">
        <v>0.45</v>
      </c>
      <c r="H117" s="167">
        <v>1</v>
      </c>
      <c r="I117" s="167">
        <v>0.55000000000000004</v>
      </c>
      <c r="J117" s="180" t="s">
        <v>1565</v>
      </c>
      <c r="K117" s="467" t="s">
        <v>1809</v>
      </c>
      <c r="L117" s="469" t="s">
        <v>1826</v>
      </c>
      <c r="O117" s="167">
        <v>0.8</v>
      </c>
      <c r="P117" s="167">
        <v>0.45</v>
      </c>
      <c r="Q117" s="167">
        <v>1</v>
      </c>
      <c r="R117" s="167">
        <v>0.55000000000000004</v>
      </c>
      <c r="S117" s="162" t="s">
        <v>82</v>
      </c>
      <c r="T117" s="162">
        <v>6</v>
      </c>
      <c r="U117" s="162" t="s">
        <v>1796</v>
      </c>
      <c r="V117" s="168">
        <v>0.8</v>
      </c>
      <c r="W117" s="162" t="s">
        <v>99</v>
      </c>
      <c r="X117" s="162" t="s">
        <v>117</v>
      </c>
    </row>
    <row r="118" spans="1:24" ht="16">
      <c r="A118" s="160" t="str">
        <f t="shared" si="1"/>
        <v>臺中市太平區</v>
      </c>
      <c r="B118" s="169" t="s">
        <v>1577</v>
      </c>
      <c r="C118" s="169" t="s">
        <v>118</v>
      </c>
      <c r="D118" s="166">
        <v>32.5</v>
      </c>
      <c r="E118" s="164">
        <v>411</v>
      </c>
      <c r="F118" s="167">
        <v>0.8</v>
      </c>
      <c r="G118" s="167">
        <v>0.45</v>
      </c>
      <c r="H118" s="167">
        <v>1</v>
      </c>
      <c r="I118" s="167">
        <v>0.55000000000000004</v>
      </c>
      <c r="J118" s="180" t="s">
        <v>1306</v>
      </c>
      <c r="K118" s="467" t="s">
        <v>1809</v>
      </c>
      <c r="L118" s="469" t="s">
        <v>1826</v>
      </c>
      <c r="O118" s="167">
        <v>0.8</v>
      </c>
      <c r="P118" s="167">
        <v>0.45</v>
      </c>
      <c r="Q118" s="167">
        <v>1</v>
      </c>
      <c r="R118" s="167">
        <v>0.55000000000000004</v>
      </c>
      <c r="S118" s="162" t="s">
        <v>82</v>
      </c>
      <c r="T118" s="162">
        <v>6</v>
      </c>
      <c r="U118" s="162" t="s">
        <v>1796</v>
      </c>
      <c r="V118" s="168">
        <v>0.8</v>
      </c>
      <c r="W118" s="162" t="s">
        <v>99</v>
      </c>
      <c r="X118" s="162" t="s">
        <v>118</v>
      </c>
    </row>
    <row r="119" spans="1:24" ht="31">
      <c r="A119" s="160" t="str">
        <f t="shared" si="1"/>
        <v>臺中市大里區</v>
      </c>
      <c r="B119" s="169" t="s">
        <v>1577</v>
      </c>
      <c r="C119" s="463" t="s">
        <v>119</v>
      </c>
      <c r="D119" s="166">
        <v>27.5</v>
      </c>
      <c r="E119" s="164">
        <v>412</v>
      </c>
      <c r="F119" s="167">
        <v>0.8</v>
      </c>
      <c r="G119" s="167">
        <v>0.45</v>
      </c>
      <c r="H119" s="167">
        <v>1</v>
      </c>
      <c r="I119" s="167">
        <v>0.55000000000000004</v>
      </c>
      <c r="J119" s="180" t="s">
        <v>1565</v>
      </c>
      <c r="K119" s="467" t="s">
        <v>1809</v>
      </c>
      <c r="L119" s="469" t="s">
        <v>1826</v>
      </c>
      <c r="O119" s="167">
        <v>0.8</v>
      </c>
      <c r="P119" s="167">
        <v>0.45</v>
      </c>
      <c r="Q119" s="167">
        <v>1</v>
      </c>
      <c r="R119" s="167">
        <v>0.55000000000000004</v>
      </c>
      <c r="S119" s="162" t="s">
        <v>82</v>
      </c>
      <c r="T119" s="162">
        <v>6</v>
      </c>
      <c r="U119" s="162" t="s">
        <v>1796</v>
      </c>
      <c r="V119" s="168">
        <v>0.8</v>
      </c>
      <c r="W119" s="162" t="s">
        <v>99</v>
      </c>
      <c r="X119" s="162" t="s">
        <v>119</v>
      </c>
    </row>
    <row r="120" spans="1:24" ht="16">
      <c r="A120" s="160" t="str">
        <f t="shared" si="1"/>
        <v>臺中市和平區</v>
      </c>
      <c r="B120" s="169" t="s">
        <v>1577</v>
      </c>
      <c r="C120" s="169" t="s">
        <v>120</v>
      </c>
      <c r="D120" s="166">
        <v>37.5</v>
      </c>
      <c r="E120" s="164">
        <v>424</v>
      </c>
      <c r="F120" s="167">
        <v>0.7</v>
      </c>
      <c r="G120" s="167">
        <v>0.4</v>
      </c>
      <c r="H120" s="167">
        <v>0.9</v>
      </c>
      <c r="I120" s="167">
        <v>0.5</v>
      </c>
      <c r="J120" s="180" t="s">
        <v>1628</v>
      </c>
      <c r="K120" s="469" t="s">
        <v>1826</v>
      </c>
      <c r="O120" s="167">
        <v>0.7</v>
      </c>
      <c r="P120" s="167">
        <v>0.4</v>
      </c>
      <c r="Q120" s="167">
        <v>0.9</v>
      </c>
      <c r="R120" s="167">
        <v>0.5</v>
      </c>
      <c r="S120" s="162" t="s">
        <v>82</v>
      </c>
      <c r="T120" s="162">
        <v>6</v>
      </c>
      <c r="U120" s="162" t="s">
        <v>1796</v>
      </c>
      <c r="V120" s="168">
        <v>0.8</v>
      </c>
      <c r="W120" s="162" t="s">
        <v>99</v>
      </c>
      <c r="X120" s="162" t="s">
        <v>120</v>
      </c>
    </row>
    <row r="121" spans="1:24" ht="46.5">
      <c r="A121" s="160" t="str">
        <f t="shared" si="1"/>
        <v>臺中市中區</v>
      </c>
      <c r="B121" s="169" t="s">
        <v>1577</v>
      </c>
      <c r="C121" s="169" t="s">
        <v>121</v>
      </c>
      <c r="D121" s="166">
        <v>32.5</v>
      </c>
      <c r="E121" s="164">
        <v>400</v>
      </c>
      <c r="F121" s="167">
        <v>0.8</v>
      </c>
      <c r="G121" s="167">
        <v>0.45</v>
      </c>
      <c r="H121" s="193">
        <v>1</v>
      </c>
      <c r="I121" s="193">
        <v>0.55000000000000004</v>
      </c>
      <c r="J121" s="180" t="s">
        <v>1306</v>
      </c>
      <c r="K121" s="180" t="s">
        <v>1565</v>
      </c>
      <c r="L121" s="467" t="s">
        <v>1809</v>
      </c>
      <c r="M121" s="469" t="s">
        <v>1826</v>
      </c>
      <c r="O121" s="167">
        <v>0.8</v>
      </c>
      <c r="P121" s="167">
        <v>0.45</v>
      </c>
      <c r="Q121" s="167">
        <v>0.9</v>
      </c>
      <c r="R121" s="167">
        <v>0.5</v>
      </c>
      <c r="S121" s="162" t="s">
        <v>82</v>
      </c>
      <c r="T121" s="162">
        <v>6</v>
      </c>
      <c r="U121" s="162" t="s">
        <v>1796</v>
      </c>
      <c r="V121" s="168">
        <v>0.8</v>
      </c>
      <c r="W121" s="162" t="s">
        <v>99</v>
      </c>
      <c r="X121" s="162" t="s">
        <v>121</v>
      </c>
    </row>
    <row r="122" spans="1:24" ht="16">
      <c r="A122" s="160" t="str">
        <f t="shared" si="1"/>
        <v>臺中市東區</v>
      </c>
      <c r="B122" s="169" t="s">
        <v>1577</v>
      </c>
      <c r="C122" s="169" t="s">
        <v>1598</v>
      </c>
      <c r="D122" s="166">
        <v>32.5</v>
      </c>
      <c r="E122" s="164">
        <v>401</v>
      </c>
      <c r="F122" s="167">
        <v>0.8</v>
      </c>
      <c r="G122" s="167">
        <v>0.45</v>
      </c>
      <c r="H122" s="167">
        <v>1</v>
      </c>
      <c r="I122" s="167">
        <v>0.55000000000000004</v>
      </c>
      <c r="J122" s="180" t="s">
        <v>1306</v>
      </c>
      <c r="K122" s="467" t="s">
        <v>1809</v>
      </c>
      <c r="L122" s="469" t="s">
        <v>1826</v>
      </c>
      <c r="O122" s="167">
        <v>0.8</v>
      </c>
      <c r="P122" s="167">
        <v>0.45</v>
      </c>
      <c r="Q122" s="167">
        <v>1</v>
      </c>
      <c r="R122" s="167">
        <v>0.55000000000000004</v>
      </c>
      <c r="S122" s="162" t="s">
        <v>82</v>
      </c>
      <c r="T122" s="162">
        <v>6</v>
      </c>
      <c r="U122" s="162" t="s">
        <v>1796</v>
      </c>
      <c r="V122" s="168">
        <v>0.8</v>
      </c>
      <c r="W122" s="162" t="s">
        <v>99</v>
      </c>
      <c r="X122" s="174" t="s">
        <v>1598</v>
      </c>
    </row>
    <row r="123" spans="1:24" ht="31">
      <c r="A123" s="160" t="str">
        <f t="shared" si="1"/>
        <v>臺中市南區</v>
      </c>
      <c r="B123" s="169" t="s">
        <v>1577</v>
      </c>
      <c r="C123" s="169" t="s">
        <v>1614</v>
      </c>
      <c r="D123" s="166">
        <v>32.5</v>
      </c>
      <c r="E123" s="164">
        <v>402</v>
      </c>
      <c r="F123" s="193">
        <v>0.8</v>
      </c>
      <c r="G123" s="167">
        <v>0.45</v>
      </c>
      <c r="H123" s="167">
        <v>1</v>
      </c>
      <c r="I123" s="193">
        <v>0.55000000000000004</v>
      </c>
      <c r="J123" s="180" t="s">
        <v>1565</v>
      </c>
      <c r="K123" s="467" t="s">
        <v>1809</v>
      </c>
      <c r="L123" s="469" t="s">
        <v>1826</v>
      </c>
      <c r="O123" s="167">
        <v>0.7</v>
      </c>
      <c r="P123" s="167">
        <v>0.45</v>
      </c>
      <c r="Q123" s="167">
        <v>1</v>
      </c>
      <c r="R123" s="167">
        <v>0.5</v>
      </c>
      <c r="S123" s="162" t="s">
        <v>82</v>
      </c>
      <c r="T123" s="162">
        <v>6</v>
      </c>
      <c r="U123" s="162" t="s">
        <v>1796</v>
      </c>
      <c r="V123" s="168">
        <v>0.8</v>
      </c>
      <c r="W123" s="162" t="s">
        <v>99</v>
      </c>
      <c r="X123" s="174" t="s">
        <v>1614</v>
      </c>
    </row>
    <row r="124" spans="1:24" ht="46.5">
      <c r="A124" s="160" t="str">
        <f t="shared" si="1"/>
        <v>臺中市西區</v>
      </c>
      <c r="B124" s="169" t="s">
        <v>1577</v>
      </c>
      <c r="C124" s="169" t="s">
        <v>1615</v>
      </c>
      <c r="D124" s="166">
        <v>32.5</v>
      </c>
      <c r="E124" s="164">
        <v>403</v>
      </c>
      <c r="F124" s="167">
        <v>0.8</v>
      </c>
      <c r="G124" s="167">
        <v>0.45</v>
      </c>
      <c r="H124" s="167">
        <v>1</v>
      </c>
      <c r="I124" s="193">
        <v>0.55000000000000004</v>
      </c>
      <c r="J124" s="180" t="s">
        <v>1306</v>
      </c>
      <c r="K124" s="180" t="s">
        <v>1565</v>
      </c>
      <c r="L124" s="467" t="s">
        <v>1809</v>
      </c>
      <c r="M124" s="469" t="s">
        <v>1826</v>
      </c>
      <c r="O124" s="167">
        <v>0.8</v>
      </c>
      <c r="P124" s="167">
        <v>0.45</v>
      </c>
      <c r="Q124" s="167">
        <v>1</v>
      </c>
      <c r="R124" s="167">
        <v>0.5</v>
      </c>
      <c r="S124" s="162" t="s">
        <v>82</v>
      </c>
      <c r="T124" s="162">
        <v>6</v>
      </c>
      <c r="U124" s="162" t="s">
        <v>1796</v>
      </c>
      <c r="V124" s="168">
        <v>0.8</v>
      </c>
      <c r="W124" s="162" t="s">
        <v>99</v>
      </c>
      <c r="X124" s="174" t="s">
        <v>1615</v>
      </c>
    </row>
    <row r="125" spans="1:24" ht="46.5">
      <c r="A125" s="160" t="str">
        <f t="shared" si="1"/>
        <v>臺中市北區</v>
      </c>
      <c r="B125" s="169" t="s">
        <v>1577</v>
      </c>
      <c r="C125" s="463" t="s">
        <v>1806</v>
      </c>
      <c r="D125" s="166">
        <v>32.5</v>
      </c>
      <c r="E125" s="164">
        <v>404</v>
      </c>
      <c r="F125" s="167">
        <v>0.8</v>
      </c>
      <c r="G125" s="167">
        <v>0.45</v>
      </c>
      <c r="H125" s="167">
        <v>1</v>
      </c>
      <c r="I125" s="193">
        <v>0.55000000000000004</v>
      </c>
      <c r="J125" s="180" t="s">
        <v>1306</v>
      </c>
      <c r="K125" s="180" t="s">
        <v>1565</v>
      </c>
      <c r="L125" s="467" t="s">
        <v>1809</v>
      </c>
      <c r="M125" s="469" t="s">
        <v>1826</v>
      </c>
      <c r="O125" s="167">
        <v>0.8</v>
      </c>
      <c r="P125" s="167">
        <v>0.45</v>
      </c>
      <c r="Q125" s="167">
        <v>1</v>
      </c>
      <c r="R125" s="167">
        <v>0.5</v>
      </c>
      <c r="S125" s="162" t="s">
        <v>82</v>
      </c>
      <c r="T125" s="162">
        <v>6</v>
      </c>
      <c r="U125" s="162" t="s">
        <v>1796</v>
      </c>
      <c r="V125" s="168">
        <v>0.8</v>
      </c>
      <c r="W125" s="162" t="s">
        <v>99</v>
      </c>
      <c r="X125" s="463" t="s">
        <v>1806</v>
      </c>
    </row>
    <row r="126" spans="1:24" ht="31">
      <c r="A126" s="160" t="str">
        <f t="shared" si="1"/>
        <v>臺中市西屯區</v>
      </c>
      <c r="B126" s="169" t="s">
        <v>1577</v>
      </c>
      <c r="C126" s="169" t="s">
        <v>122</v>
      </c>
      <c r="D126" s="166">
        <v>32.5</v>
      </c>
      <c r="E126" s="164">
        <v>407</v>
      </c>
      <c r="F126" s="193">
        <v>0.8</v>
      </c>
      <c r="G126" s="193">
        <v>0.45</v>
      </c>
      <c r="H126" s="193">
        <v>1</v>
      </c>
      <c r="I126" s="193">
        <v>0.55000000000000004</v>
      </c>
      <c r="J126" s="468" t="s">
        <v>1307</v>
      </c>
      <c r="K126" s="468" t="s">
        <v>1306</v>
      </c>
      <c r="L126" s="468" t="s">
        <v>1565</v>
      </c>
      <c r="M126" s="468" t="s">
        <v>1809</v>
      </c>
      <c r="O126" s="167">
        <v>0.7</v>
      </c>
      <c r="P126" s="167">
        <v>0.4</v>
      </c>
      <c r="Q126" s="167">
        <v>0.9</v>
      </c>
      <c r="R126" s="167">
        <v>0.5</v>
      </c>
      <c r="S126" s="162" t="s">
        <v>362</v>
      </c>
      <c r="T126" s="162">
        <v>2</v>
      </c>
      <c r="U126" s="162" t="s">
        <v>1796</v>
      </c>
      <c r="V126" s="168">
        <v>0.8</v>
      </c>
      <c r="W126" s="162" t="s">
        <v>99</v>
      </c>
      <c r="X126" s="162" t="s">
        <v>122</v>
      </c>
    </row>
    <row r="127" spans="1:24" ht="31">
      <c r="A127" s="160" t="str">
        <f t="shared" si="1"/>
        <v>臺中市南屯區</v>
      </c>
      <c r="B127" s="169" t="s">
        <v>1577</v>
      </c>
      <c r="C127" s="169" t="s">
        <v>123</v>
      </c>
      <c r="D127" s="166">
        <v>32.5</v>
      </c>
      <c r="E127" s="164">
        <v>408</v>
      </c>
      <c r="F127" s="193">
        <v>0.8</v>
      </c>
      <c r="G127" s="193">
        <v>0.45</v>
      </c>
      <c r="H127" s="193">
        <v>1</v>
      </c>
      <c r="I127" s="193">
        <v>0.55000000000000004</v>
      </c>
      <c r="J127" s="180" t="s">
        <v>1565</v>
      </c>
      <c r="K127" s="467" t="s">
        <v>1809</v>
      </c>
      <c r="O127" s="167">
        <v>0.7</v>
      </c>
      <c r="P127" s="167">
        <v>0.4</v>
      </c>
      <c r="Q127" s="167">
        <v>0.9</v>
      </c>
      <c r="R127" s="167">
        <v>0.5</v>
      </c>
      <c r="S127" s="162" t="s">
        <v>82</v>
      </c>
      <c r="T127" s="162">
        <v>6</v>
      </c>
      <c r="U127" s="162" t="s">
        <v>1796</v>
      </c>
      <c r="V127" s="168">
        <v>0.8</v>
      </c>
      <c r="W127" s="162" t="s">
        <v>99</v>
      </c>
      <c r="X127" s="162" t="s">
        <v>123</v>
      </c>
    </row>
    <row r="128" spans="1:24" ht="31">
      <c r="A128" s="160" t="str">
        <f t="shared" si="1"/>
        <v>臺中市北屯區</v>
      </c>
      <c r="B128" s="169" t="s">
        <v>1577</v>
      </c>
      <c r="C128" s="169" t="s">
        <v>1432</v>
      </c>
      <c r="D128" s="166">
        <v>32.5</v>
      </c>
      <c r="E128" s="164">
        <v>406</v>
      </c>
      <c r="F128" s="167">
        <v>0.8</v>
      </c>
      <c r="G128" s="167">
        <v>0.45</v>
      </c>
      <c r="H128" s="167">
        <v>1</v>
      </c>
      <c r="I128" s="167">
        <v>0.55000000000000004</v>
      </c>
      <c r="J128" s="180" t="s">
        <v>1307</v>
      </c>
      <c r="K128" s="467" t="s">
        <v>1811</v>
      </c>
      <c r="L128" s="180" t="s">
        <v>1565</v>
      </c>
      <c r="M128" s="468" t="s">
        <v>1809</v>
      </c>
      <c r="N128" s="469" t="s">
        <v>1826</v>
      </c>
      <c r="O128" s="167">
        <v>0.8</v>
      </c>
      <c r="P128" s="167">
        <v>0.45</v>
      </c>
      <c r="Q128" s="167">
        <v>1</v>
      </c>
      <c r="R128" s="167">
        <v>0.55000000000000004</v>
      </c>
      <c r="S128" s="162" t="s">
        <v>362</v>
      </c>
      <c r="T128" s="162">
        <v>2</v>
      </c>
      <c r="U128" s="162" t="s">
        <v>1796</v>
      </c>
      <c r="V128" s="168">
        <v>0.8</v>
      </c>
      <c r="W128" s="162" t="s">
        <v>99</v>
      </c>
      <c r="X128" s="162" t="s">
        <v>124</v>
      </c>
    </row>
    <row r="129" spans="1:24" ht="31">
      <c r="A129" s="160" t="str">
        <f t="shared" si="1"/>
        <v>彰化縣彰化市</v>
      </c>
      <c r="B129" s="169" t="s">
        <v>125</v>
      </c>
      <c r="C129" s="169" t="s">
        <v>126</v>
      </c>
      <c r="D129" s="166">
        <v>27.5</v>
      </c>
      <c r="E129" s="164">
        <v>500</v>
      </c>
      <c r="F129" s="178">
        <v>0.8</v>
      </c>
      <c r="G129" s="178">
        <v>0.45</v>
      </c>
      <c r="H129" s="178">
        <v>1</v>
      </c>
      <c r="I129" s="178">
        <v>0.55000000000000004</v>
      </c>
      <c r="J129" s="180" t="s">
        <v>1639</v>
      </c>
      <c r="K129" s="467" t="s">
        <v>1809</v>
      </c>
      <c r="O129" s="167">
        <v>0.7</v>
      </c>
      <c r="P129" s="167">
        <v>0.4</v>
      </c>
      <c r="Q129" s="167">
        <v>0.9</v>
      </c>
      <c r="R129" s="167">
        <v>0.5</v>
      </c>
      <c r="S129" s="162" t="s">
        <v>82</v>
      </c>
      <c r="T129" s="162">
        <v>6</v>
      </c>
      <c r="U129" s="162" t="s">
        <v>1796</v>
      </c>
      <c r="V129" s="168">
        <v>0.8</v>
      </c>
      <c r="W129" s="162" t="s">
        <v>125</v>
      </c>
      <c r="X129" s="162" t="s">
        <v>126</v>
      </c>
    </row>
    <row r="130" spans="1:24" ht="31">
      <c r="A130" s="160" t="str">
        <f t="shared" si="1"/>
        <v>彰化縣鹿港鎮</v>
      </c>
      <c r="B130" s="169" t="s">
        <v>125</v>
      </c>
      <c r="C130" s="169" t="s">
        <v>127</v>
      </c>
      <c r="D130" s="166">
        <v>27.5</v>
      </c>
      <c r="E130" s="164">
        <v>505</v>
      </c>
      <c r="F130" s="167">
        <v>0.7</v>
      </c>
      <c r="G130" s="167">
        <v>0.4</v>
      </c>
      <c r="H130" s="167">
        <v>0.9</v>
      </c>
      <c r="I130" s="167">
        <v>0.5</v>
      </c>
      <c r="J130" s="180" t="s">
        <v>1639</v>
      </c>
      <c r="O130" s="167">
        <v>0.7</v>
      </c>
      <c r="P130" s="167">
        <v>0.4</v>
      </c>
      <c r="Q130" s="167">
        <v>0.9</v>
      </c>
      <c r="R130" s="167">
        <v>0.5</v>
      </c>
      <c r="T130" s="162">
        <v>0</v>
      </c>
      <c r="U130" s="162" t="s">
        <v>1796</v>
      </c>
      <c r="V130" s="168">
        <v>0.8</v>
      </c>
      <c r="W130" s="162" t="s">
        <v>125</v>
      </c>
      <c r="X130" s="162" t="s">
        <v>127</v>
      </c>
    </row>
    <row r="131" spans="1:24" ht="31">
      <c r="A131" s="160" t="str">
        <f t="shared" ref="A131:A194" si="2">B131&amp;C131</f>
        <v>彰化縣和美鎮</v>
      </c>
      <c r="B131" s="169" t="s">
        <v>125</v>
      </c>
      <c r="C131" s="169" t="s">
        <v>128</v>
      </c>
      <c r="D131" s="166">
        <v>32.5</v>
      </c>
      <c r="E131" s="164">
        <v>508</v>
      </c>
      <c r="F131" s="178">
        <v>0.8</v>
      </c>
      <c r="G131" s="178">
        <v>0.45</v>
      </c>
      <c r="H131" s="178">
        <v>1</v>
      </c>
      <c r="I131" s="178">
        <v>0.55000000000000004</v>
      </c>
      <c r="J131" s="180" t="s">
        <v>1639</v>
      </c>
      <c r="O131" s="167">
        <v>0.7</v>
      </c>
      <c r="P131" s="167">
        <v>0.4</v>
      </c>
      <c r="Q131" s="167">
        <v>0.9</v>
      </c>
      <c r="R131" s="167">
        <v>0.5</v>
      </c>
      <c r="T131" s="162">
        <v>0</v>
      </c>
      <c r="U131" s="162" t="s">
        <v>1796</v>
      </c>
      <c r="V131" s="168">
        <v>0.8</v>
      </c>
      <c r="W131" s="162" t="s">
        <v>125</v>
      </c>
      <c r="X131" s="162" t="s">
        <v>128</v>
      </c>
    </row>
    <row r="132" spans="1:24" ht="31">
      <c r="A132" s="160" t="str">
        <f t="shared" si="2"/>
        <v>彰化縣線西鄉</v>
      </c>
      <c r="B132" s="169" t="s">
        <v>125</v>
      </c>
      <c r="C132" s="169" t="s">
        <v>129</v>
      </c>
      <c r="D132" s="166">
        <v>32.5</v>
      </c>
      <c r="E132" s="164">
        <v>507</v>
      </c>
      <c r="F132" s="178">
        <v>0.8</v>
      </c>
      <c r="G132" s="178">
        <v>0.45</v>
      </c>
      <c r="H132" s="178">
        <v>1</v>
      </c>
      <c r="I132" s="178">
        <v>0.55000000000000004</v>
      </c>
      <c r="J132" s="180" t="s">
        <v>1639</v>
      </c>
      <c r="O132" s="167">
        <v>0.7</v>
      </c>
      <c r="P132" s="167">
        <v>0.4</v>
      </c>
      <c r="Q132" s="167">
        <v>0.9</v>
      </c>
      <c r="R132" s="167">
        <v>0.5</v>
      </c>
      <c r="T132" s="162">
        <v>0</v>
      </c>
      <c r="U132" s="162" t="s">
        <v>1796</v>
      </c>
      <c r="V132" s="168">
        <v>0.8</v>
      </c>
      <c r="W132" s="162" t="s">
        <v>125</v>
      </c>
      <c r="X132" s="162" t="s">
        <v>129</v>
      </c>
    </row>
    <row r="133" spans="1:24" ht="31">
      <c r="A133" s="160" t="str">
        <f t="shared" si="2"/>
        <v>彰化縣伸港鄉</v>
      </c>
      <c r="B133" s="169" t="s">
        <v>125</v>
      </c>
      <c r="C133" s="169" t="s">
        <v>130</v>
      </c>
      <c r="D133" s="166">
        <v>32.5</v>
      </c>
      <c r="E133" s="164">
        <v>509</v>
      </c>
      <c r="F133" s="178">
        <v>0.8</v>
      </c>
      <c r="G133" s="178">
        <v>0.45</v>
      </c>
      <c r="H133" s="178">
        <v>1</v>
      </c>
      <c r="I133" s="178">
        <v>0.55000000000000004</v>
      </c>
      <c r="J133" s="180" t="s">
        <v>1639</v>
      </c>
      <c r="O133" s="167">
        <v>0.7</v>
      </c>
      <c r="P133" s="167">
        <v>0.4</v>
      </c>
      <c r="Q133" s="167">
        <v>0.9</v>
      </c>
      <c r="R133" s="167">
        <v>0.5</v>
      </c>
      <c r="T133" s="162">
        <v>0</v>
      </c>
      <c r="U133" s="162" t="s">
        <v>1796</v>
      </c>
      <c r="V133" s="168">
        <v>0.8</v>
      </c>
      <c r="W133" s="162" t="s">
        <v>125</v>
      </c>
      <c r="X133" s="162" t="s">
        <v>130</v>
      </c>
    </row>
    <row r="134" spans="1:24" ht="31">
      <c r="A134" s="160" t="str">
        <f t="shared" si="2"/>
        <v>彰化縣福興鄉</v>
      </c>
      <c r="B134" s="169" t="s">
        <v>125</v>
      </c>
      <c r="C134" s="169" t="s">
        <v>131</v>
      </c>
      <c r="D134" s="166">
        <v>27.5</v>
      </c>
      <c r="E134" s="164">
        <v>506</v>
      </c>
      <c r="F134" s="167">
        <v>0.7</v>
      </c>
      <c r="G134" s="167">
        <v>0.4</v>
      </c>
      <c r="H134" s="167">
        <v>0.9</v>
      </c>
      <c r="I134" s="167">
        <v>0.5</v>
      </c>
      <c r="J134" s="180" t="s">
        <v>1639</v>
      </c>
      <c r="O134" s="167">
        <v>0.7</v>
      </c>
      <c r="P134" s="167">
        <v>0.4</v>
      </c>
      <c r="Q134" s="167">
        <v>0.9</v>
      </c>
      <c r="R134" s="167">
        <v>0.5</v>
      </c>
      <c r="T134" s="162">
        <v>0</v>
      </c>
      <c r="U134" s="162" t="s">
        <v>1796</v>
      </c>
      <c r="V134" s="168">
        <v>0.8</v>
      </c>
      <c r="W134" s="162" t="s">
        <v>125</v>
      </c>
      <c r="X134" s="162" t="s">
        <v>131</v>
      </c>
    </row>
    <row r="135" spans="1:24" ht="31">
      <c r="A135" s="160" t="str">
        <f t="shared" si="2"/>
        <v>彰化縣秀水鄉</v>
      </c>
      <c r="B135" s="169" t="s">
        <v>125</v>
      </c>
      <c r="C135" s="169" t="s">
        <v>132</v>
      </c>
      <c r="D135" s="166">
        <v>27.5</v>
      </c>
      <c r="E135" s="164">
        <v>504</v>
      </c>
      <c r="F135" s="178">
        <v>0.8</v>
      </c>
      <c r="G135" s="178">
        <v>0.45</v>
      </c>
      <c r="H135" s="178">
        <v>1</v>
      </c>
      <c r="I135" s="178">
        <v>0.55000000000000004</v>
      </c>
      <c r="J135" s="180" t="s">
        <v>1639</v>
      </c>
      <c r="O135" s="167">
        <v>0.7</v>
      </c>
      <c r="P135" s="167">
        <v>0.4</v>
      </c>
      <c r="Q135" s="167">
        <v>0.9</v>
      </c>
      <c r="R135" s="167">
        <v>0.5</v>
      </c>
      <c r="T135" s="162">
        <v>0</v>
      </c>
      <c r="U135" s="162" t="s">
        <v>1796</v>
      </c>
      <c r="V135" s="168">
        <v>0.8</v>
      </c>
      <c r="W135" s="162" t="s">
        <v>125</v>
      </c>
      <c r="X135" s="162" t="s">
        <v>132</v>
      </c>
    </row>
    <row r="136" spans="1:24" ht="31">
      <c r="A136" s="160" t="str">
        <f t="shared" si="2"/>
        <v>彰化縣花壇鄉</v>
      </c>
      <c r="B136" s="169" t="s">
        <v>125</v>
      </c>
      <c r="C136" s="169" t="s">
        <v>133</v>
      </c>
      <c r="D136" s="166">
        <v>27.5</v>
      </c>
      <c r="E136" s="164">
        <v>503</v>
      </c>
      <c r="F136" s="178">
        <v>0.8</v>
      </c>
      <c r="G136" s="178">
        <v>0.45</v>
      </c>
      <c r="H136" s="178">
        <v>1</v>
      </c>
      <c r="I136" s="178">
        <v>0.55000000000000004</v>
      </c>
      <c r="J136" s="180" t="s">
        <v>1639</v>
      </c>
      <c r="K136" s="467" t="s">
        <v>1809</v>
      </c>
      <c r="O136" s="167">
        <v>0.7</v>
      </c>
      <c r="P136" s="167">
        <v>0.4</v>
      </c>
      <c r="Q136" s="167">
        <v>0.9</v>
      </c>
      <c r="R136" s="167">
        <v>0.5</v>
      </c>
      <c r="S136" s="162" t="s">
        <v>82</v>
      </c>
      <c r="T136" s="162">
        <v>6</v>
      </c>
      <c r="U136" s="162" t="s">
        <v>1796</v>
      </c>
      <c r="V136" s="168">
        <v>0.8</v>
      </c>
      <c r="W136" s="162" t="s">
        <v>125</v>
      </c>
      <c r="X136" s="162" t="s">
        <v>133</v>
      </c>
    </row>
    <row r="137" spans="1:24" ht="31">
      <c r="A137" s="160" t="str">
        <f t="shared" si="2"/>
        <v>彰化縣芬園鄉</v>
      </c>
      <c r="B137" s="169" t="s">
        <v>125</v>
      </c>
      <c r="C137" s="169" t="s">
        <v>134</v>
      </c>
      <c r="D137" s="166">
        <v>27.5</v>
      </c>
      <c r="E137" s="164">
        <v>502</v>
      </c>
      <c r="F137" s="178">
        <v>0.8</v>
      </c>
      <c r="G137" s="178">
        <v>0.45</v>
      </c>
      <c r="H137" s="178">
        <v>1</v>
      </c>
      <c r="I137" s="178">
        <v>0.55000000000000004</v>
      </c>
      <c r="J137" s="180" t="s">
        <v>1639</v>
      </c>
      <c r="K137" s="467" t="s">
        <v>1809</v>
      </c>
      <c r="O137" s="167">
        <v>0.7</v>
      </c>
      <c r="P137" s="167">
        <v>0.4</v>
      </c>
      <c r="Q137" s="167">
        <v>0.9</v>
      </c>
      <c r="R137" s="167">
        <v>0.5</v>
      </c>
      <c r="S137" s="162" t="s">
        <v>82</v>
      </c>
      <c r="T137" s="162">
        <v>6</v>
      </c>
      <c r="U137" s="162" t="s">
        <v>1796</v>
      </c>
      <c r="V137" s="168">
        <v>0.8</v>
      </c>
      <c r="W137" s="162" t="s">
        <v>125</v>
      </c>
      <c r="X137" s="162" t="s">
        <v>134</v>
      </c>
    </row>
    <row r="138" spans="1:24" ht="31">
      <c r="A138" s="160" t="str">
        <f t="shared" si="2"/>
        <v>彰化縣員林市</v>
      </c>
      <c r="B138" s="169" t="s">
        <v>125</v>
      </c>
      <c r="C138" s="470" t="s">
        <v>1732</v>
      </c>
      <c r="D138" s="166">
        <v>27.5</v>
      </c>
      <c r="E138" s="164">
        <v>510</v>
      </c>
      <c r="F138" s="178">
        <v>0.8</v>
      </c>
      <c r="G138" s="178">
        <v>0.45</v>
      </c>
      <c r="H138" s="178">
        <v>1</v>
      </c>
      <c r="I138" s="178">
        <v>0.55000000000000004</v>
      </c>
      <c r="J138" s="180" t="s">
        <v>1639</v>
      </c>
      <c r="K138" s="467" t="s">
        <v>1809</v>
      </c>
      <c r="O138" s="167">
        <v>0.7</v>
      </c>
      <c r="P138" s="167">
        <v>0.4</v>
      </c>
      <c r="Q138" s="167">
        <v>0.9</v>
      </c>
      <c r="R138" s="167">
        <v>0.5</v>
      </c>
      <c r="S138" s="162" t="s">
        <v>82</v>
      </c>
      <c r="T138" s="162">
        <v>6</v>
      </c>
      <c r="U138" s="162" t="s">
        <v>1796</v>
      </c>
      <c r="V138" s="168">
        <v>0.8</v>
      </c>
      <c r="W138" s="162" t="s">
        <v>125</v>
      </c>
      <c r="X138" s="312" t="s">
        <v>1732</v>
      </c>
    </row>
    <row r="139" spans="1:24" ht="31">
      <c r="A139" s="160" t="str">
        <f t="shared" si="2"/>
        <v>彰化縣溪湖鎮</v>
      </c>
      <c r="B139" s="169" t="s">
        <v>125</v>
      </c>
      <c r="C139" s="169" t="s">
        <v>135</v>
      </c>
      <c r="D139" s="166">
        <v>27.5</v>
      </c>
      <c r="E139" s="164">
        <v>514</v>
      </c>
      <c r="F139" s="167">
        <v>0.7</v>
      </c>
      <c r="G139" s="167">
        <v>0.4</v>
      </c>
      <c r="H139" s="167">
        <v>0.9</v>
      </c>
      <c r="I139" s="167">
        <v>0.5</v>
      </c>
      <c r="J139" s="180" t="s">
        <v>1639</v>
      </c>
      <c r="O139" s="167">
        <v>0.7</v>
      </c>
      <c r="P139" s="167">
        <v>0.4</v>
      </c>
      <c r="Q139" s="167">
        <v>0.9</v>
      </c>
      <c r="R139" s="167">
        <v>0.5</v>
      </c>
      <c r="T139" s="162">
        <v>0</v>
      </c>
      <c r="U139" s="162" t="s">
        <v>1796</v>
      </c>
      <c r="V139" s="168">
        <v>0.8</v>
      </c>
      <c r="W139" s="162" t="s">
        <v>125</v>
      </c>
      <c r="X139" s="162" t="s">
        <v>135</v>
      </c>
    </row>
    <row r="140" spans="1:24" ht="31">
      <c r="A140" s="160" t="str">
        <f t="shared" si="2"/>
        <v>彰化縣田中鎮</v>
      </c>
      <c r="B140" s="169" t="s">
        <v>125</v>
      </c>
      <c r="C140" s="169" t="s">
        <v>136</v>
      </c>
      <c r="D140" s="166">
        <v>27.5</v>
      </c>
      <c r="E140" s="164">
        <v>520</v>
      </c>
      <c r="F140" s="178">
        <v>0.8</v>
      </c>
      <c r="G140" s="178">
        <v>0.45</v>
      </c>
      <c r="H140" s="178">
        <v>1</v>
      </c>
      <c r="I140" s="178">
        <v>0.55000000000000004</v>
      </c>
      <c r="J140" s="180" t="s">
        <v>1639</v>
      </c>
      <c r="K140" s="467" t="s">
        <v>1809</v>
      </c>
      <c r="O140" s="167">
        <v>0.7</v>
      </c>
      <c r="P140" s="167">
        <v>0.4</v>
      </c>
      <c r="Q140" s="167">
        <v>0.9</v>
      </c>
      <c r="R140" s="167">
        <v>0.5</v>
      </c>
      <c r="S140" s="162" t="s">
        <v>82</v>
      </c>
      <c r="T140" s="162">
        <v>6</v>
      </c>
      <c r="U140" s="162" t="s">
        <v>1796</v>
      </c>
      <c r="V140" s="168">
        <v>0.8</v>
      </c>
      <c r="W140" s="162" t="s">
        <v>125</v>
      </c>
      <c r="X140" s="162" t="s">
        <v>136</v>
      </c>
    </row>
    <row r="141" spans="1:24" ht="31">
      <c r="A141" s="160" t="str">
        <f t="shared" si="2"/>
        <v>彰化縣大村鄉</v>
      </c>
      <c r="B141" s="169" t="s">
        <v>125</v>
      </c>
      <c r="C141" s="169" t="s">
        <v>137</v>
      </c>
      <c r="D141" s="166">
        <v>27.5</v>
      </c>
      <c r="E141" s="164">
        <v>515</v>
      </c>
      <c r="F141" s="178">
        <v>0.8</v>
      </c>
      <c r="G141" s="178">
        <v>0.45</v>
      </c>
      <c r="H141" s="178">
        <v>1</v>
      </c>
      <c r="I141" s="178">
        <v>0.55000000000000004</v>
      </c>
      <c r="J141" s="180" t="s">
        <v>1639</v>
      </c>
      <c r="K141" s="467" t="s">
        <v>1809</v>
      </c>
      <c r="O141" s="167">
        <v>0.7</v>
      </c>
      <c r="P141" s="167">
        <v>0.4</v>
      </c>
      <c r="Q141" s="167">
        <v>0.9</v>
      </c>
      <c r="R141" s="167">
        <v>0.5</v>
      </c>
      <c r="S141" s="162" t="s">
        <v>82</v>
      </c>
      <c r="T141" s="162">
        <v>6</v>
      </c>
      <c r="U141" s="162" t="s">
        <v>1796</v>
      </c>
      <c r="V141" s="168">
        <v>0.8</v>
      </c>
      <c r="W141" s="162" t="s">
        <v>125</v>
      </c>
      <c r="X141" s="162" t="s">
        <v>137</v>
      </c>
    </row>
    <row r="142" spans="1:24" ht="31">
      <c r="A142" s="160" t="str">
        <f t="shared" si="2"/>
        <v>彰化縣埔鹽鄉</v>
      </c>
      <c r="B142" s="169" t="s">
        <v>125</v>
      </c>
      <c r="C142" s="169" t="s">
        <v>138</v>
      </c>
      <c r="D142" s="166">
        <v>27.5</v>
      </c>
      <c r="E142" s="164">
        <v>516</v>
      </c>
      <c r="F142" s="167">
        <v>0.7</v>
      </c>
      <c r="G142" s="167">
        <v>0.4</v>
      </c>
      <c r="H142" s="167">
        <v>0.9</v>
      </c>
      <c r="I142" s="167">
        <v>0.5</v>
      </c>
      <c r="J142" s="180" t="s">
        <v>1639</v>
      </c>
      <c r="O142" s="167">
        <v>0.7</v>
      </c>
      <c r="P142" s="167">
        <v>0.4</v>
      </c>
      <c r="Q142" s="167">
        <v>0.9</v>
      </c>
      <c r="R142" s="167">
        <v>0.5</v>
      </c>
      <c r="T142" s="162">
        <v>0</v>
      </c>
      <c r="U142" s="162" t="s">
        <v>1796</v>
      </c>
      <c r="V142" s="168">
        <v>0.8</v>
      </c>
      <c r="W142" s="162" t="s">
        <v>125</v>
      </c>
      <c r="X142" s="162" t="s">
        <v>138</v>
      </c>
    </row>
    <row r="143" spans="1:24" ht="31">
      <c r="A143" s="160" t="str">
        <f t="shared" si="2"/>
        <v>彰化縣埔心鄉</v>
      </c>
      <c r="B143" s="169" t="s">
        <v>125</v>
      </c>
      <c r="C143" s="169" t="s">
        <v>139</v>
      </c>
      <c r="D143" s="166">
        <v>27.5</v>
      </c>
      <c r="E143" s="164">
        <v>513</v>
      </c>
      <c r="F143" s="178">
        <v>0.8</v>
      </c>
      <c r="G143" s="178">
        <v>0.45</v>
      </c>
      <c r="H143" s="178">
        <v>1</v>
      </c>
      <c r="I143" s="178">
        <v>0.55000000000000004</v>
      </c>
      <c r="J143" s="180" t="s">
        <v>1639</v>
      </c>
      <c r="K143" s="180"/>
      <c r="O143" s="167">
        <v>0.7</v>
      </c>
      <c r="P143" s="167">
        <v>0.4</v>
      </c>
      <c r="Q143" s="167">
        <v>0.9</v>
      </c>
      <c r="R143" s="167">
        <v>0.5</v>
      </c>
      <c r="T143" s="162">
        <v>0</v>
      </c>
      <c r="U143" s="162" t="s">
        <v>1796</v>
      </c>
      <c r="V143" s="168">
        <v>0.8</v>
      </c>
      <c r="W143" s="162" t="s">
        <v>125</v>
      </c>
      <c r="X143" s="162" t="s">
        <v>139</v>
      </c>
    </row>
    <row r="144" spans="1:24" ht="31">
      <c r="A144" s="160" t="str">
        <f t="shared" si="2"/>
        <v>彰化縣永靖鄉</v>
      </c>
      <c r="B144" s="169" t="s">
        <v>125</v>
      </c>
      <c r="C144" s="169" t="s">
        <v>140</v>
      </c>
      <c r="D144" s="166">
        <v>27.5</v>
      </c>
      <c r="E144" s="164">
        <v>512</v>
      </c>
      <c r="F144" s="178">
        <v>0.8</v>
      </c>
      <c r="G144" s="178">
        <v>0.45</v>
      </c>
      <c r="H144" s="178">
        <v>1</v>
      </c>
      <c r="I144" s="178">
        <v>0.55000000000000004</v>
      </c>
      <c r="J144" s="180" t="s">
        <v>1639</v>
      </c>
      <c r="O144" s="167">
        <v>0.7</v>
      </c>
      <c r="P144" s="167">
        <v>0.4</v>
      </c>
      <c r="Q144" s="167">
        <v>0.9</v>
      </c>
      <c r="R144" s="167">
        <v>0.5</v>
      </c>
      <c r="T144" s="162">
        <v>0</v>
      </c>
      <c r="U144" s="162" t="s">
        <v>1796</v>
      </c>
      <c r="V144" s="168">
        <v>0.8</v>
      </c>
      <c r="W144" s="162" t="s">
        <v>125</v>
      </c>
      <c r="X144" s="162" t="s">
        <v>140</v>
      </c>
    </row>
    <row r="145" spans="1:24" ht="31">
      <c r="A145" s="160" t="str">
        <f t="shared" si="2"/>
        <v>彰化縣社頭鄉</v>
      </c>
      <c r="B145" s="169" t="s">
        <v>125</v>
      </c>
      <c r="C145" s="169" t="s">
        <v>141</v>
      </c>
      <c r="D145" s="166">
        <v>27.5</v>
      </c>
      <c r="E145" s="164">
        <v>511</v>
      </c>
      <c r="F145" s="178">
        <v>0.8</v>
      </c>
      <c r="G145" s="178">
        <v>0.45</v>
      </c>
      <c r="H145" s="178">
        <v>1</v>
      </c>
      <c r="I145" s="178">
        <v>0.55000000000000004</v>
      </c>
      <c r="J145" s="180" t="s">
        <v>1639</v>
      </c>
      <c r="K145" s="467" t="s">
        <v>1809</v>
      </c>
      <c r="O145" s="167">
        <v>0.7</v>
      </c>
      <c r="P145" s="167">
        <v>0.4</v>
      </c>
      <c r="Q145" s="167">
        <v>0.9</v>
      </c>
      <c r="R145" s="167">
        <v>0.5</v>
      </c>
      <c r="S145" s="162" t="s">
        <v>82</v>
      </c>
      <c r="T145" s="162">
        <v>6</v>
      </c>
      <c r="U145" s="162" t="s">
        <v>1796</v>
      </c>
      <c r="V145" s="168">
        <v>0.8</v>
      </c>
      <c r="W145" s="162" t="s">
        <v>125</v>
      </c>
      <c r="X145" s="162" t="s">
        <v>141</v>
      </c>
    </row>
    <row r="146" spans="1:24" ht="31">
      <c r="A146" s="160" t="str">
        <f t="shared" si="2"/>
        <v>彰化縣二水鄉</v>
      </c>
      <c r="B146" s="169" t="s">
        <v>125</v>
      </c>
      <c r="C146" s="169" t="s">
        <v>142</v>
      </c>
      <c r="D146" s="166">
        <v>27.5</v>
      </c>
      <c r="E146" s="164">
        <v>530</v>
      </c>
      <c r="F146" s="167">
        <v>0.8</v>
      </c>
      <c r="G146" s="167">
        <v>0.45</v>
      </c>
      <c r="H146" s="167">
        <v>1</v>
      </c>
      <c r="I146" s="167">
        <v>0.55000000000000004</v>
      </c>
      <c r="J146" s="180" t="s">
        <v>1639</v>
      </c>
      <c r="K146" s="467" t="s">
        <v>1809</v>
      </c>
      <c r="O146" s="167">
        <v>0.8</v>
      </c>
      <c r="P146" s="167">
        <v>0.45</v>
      </c>
      <c r="Q146" s="167">
        <v>1</v>
      </c>
      <c r="R146" s="167">
        <v>0.55000000000000004</v>
      </c>
      <c r="S146" s="162" t="s">
        <v>82</v>
      </c>
      <c r="T146" s="162">
        <v>6</v>
      </c>
      <c r="U146" s="162" t="s">
        <v>1796</v>
      </c>
      <c r="V146" s="168">
        <v>0.8</v>
      </c>
      <c r="W146" s="162" t="s">
        <v>125</v>
      </c>
      <c r="X146" s="162" t="s">
        <v>142</v>
      </c>
    </row>
    <row r="147" spans="1:24" ht="31">
      <c r="A147" s="160" t="str">
        <f t="shared" si="2"/>
        <v>彰化縣北斗鎮</v>
      </c>
      <c r="B147" s="169" t="s">
        <v>125</v>
      </c>
      <c r="C147" s="169" t="s">
        <v>143</v>
      </c>
      <c r="D147" s="166">
        <v>27.5</v>
      </c>
      <c r="E147" s="164">
        <v>521</v>
      </c>
      <c r="F147" s="178">
        <v>0.8</v>
      </c>
      <c r="G147" s="178">
        <v>0.45</v>
      </c>
      <c r="H147" s="178">
        <v>1</v>
      </c>
      <c r="I147" s="178">
        <v>0.55000000000000004</v>
      </c>
      <c r="J147" s="180" t="s">
        <v>1639</v>
      </c>
      <c r="O147" s="167">
        <v>0.7</v>
      </c>
      <c r="P147" s="167">
        <v>0.4</v>
      </c>
      <c r="Q147" s="167">
        <v>0.9</v>
      </c>
      <c r="R147" s="167">
        <v>0.5</v>
      </c>
      <c r="T147" s="162">
        <v>0</v>
      </c>
      <c r="U147" s="162" t="s">
        <v>1796</v>
      </c>
      <c r="V147" s="168">
        <v>0.8</v>
      </c>
      <c r="W147" s="162" t="s">
        <v>125</v>
      </c>
      <c r="X147" s="162" t="s">
        <v>143</v>
      </c>
    </row>
    <row r="148" spans="1:24" ht="16">
      <c r="A148" s="160" t="str">
        <f t="shared" si="2"/>
        <v>彰化縣二林鎮</v>
      </c>
      <c r="B148" s="169" t="s">
        <v>125</v>
      </c>
      <c r="C148" s="169" t="s">
        <v>144</v>
      </c>
      <c r="D148" s="166">
        <v>27.5</v>
      </c>
      <c r="E148" s="164">
        <v>526</v>
      </c>
      <c r="F148" s="167">
        <v>0.7</v>
      </c>
      <c r="G148" s="167">
        <v>0.4</v>
      </c>
      <c r="H148" s="167">
        <v>0.9</v>
      </c>
      <c r="I148" s="167">
        <v>0.5</v>
      </c>
      <c r="O148" s="167">
        <v>0.7</v>
      </c>
      <c r="P148" s="167">
        <v>0.4</v>
      </c>
      <c r="Q148" s="167">
        <v>0.9</v>
      </c>
      <c r="R148" s="167">
        <v>0.5</v>
      </c>
      <c r="T148" s="162">
        <v>0</v>
      </c>
      <c r="U148" s="162" t="s">
        <v>1796</v>
      </c>
      <c r="V148" s="168">
        <v>0.8</v>
      </c>
      <c r="W148" s="162" t="s">
        <v>125</v>
      </c>
      <c r="X148" s="162" t="s">
        <v>144</v>
      </c>
    </row>
    <row r="149" spans="1:24" ht="31">
      <c r="A149" s="160" t="str">
        <f t="shared" si="2"/>
        <v>彰化縣田尾鄉</v>
      </c>
      <c r="B149" s="169" t="s">
        <v>125</v>
      </c>
      <c r="C149" s="169" t="s">
        <v>145</v>
      </c>
      <c r="D149" s="166">
        <v>27.5</v>
      </c>
      <c r="E149" s="164">
        <v>522</v>
      </c>
      <c r="F149" s="178">
        <v>0.8</v>
      </c>
      <c r="G149" s="178">
        <v>0.45</v>
      </c>
      <c r="H149" s="178">
        <v>1</v>
      </c>
      <c r="I149" s="178">
        <v>0.55000000000000004</v>
      </c>
      <c r="J149" s="180" t="s">
        <v>1639</v>
      </c>
      <c r="O149" s="167">
        <v>0.7</v>
      </c>
      <c r="P149" s="167">
        <v>0.4</v>
      </c>
      <c r="Q149" s="167">
        <v>0.9</v>
      </c>
      <c r="R149" s="167">
        <v>0.5</v>
      </c>
      <c r="T149" s="162">
        <v>0</v>
      </c>
      <c r="U149" s="162" t="s">
        <v>1796</v>
      </c>
      <c r="V149" s="168">
        <v>0.8</v>
      </c>
      <c r="W149" s="162" t="s">
        <v>125</v>
      </c>
      <c r="X149" s="162" t="s">
        <v>145</v>
      </c>
    </row>
    <row r="150" spans="1:24" ht="31">
      <c r="A150" s="160" t="str">
        <f t="shared" si="2"/>
        <v>彰化縣埤頭鄉</v>
      </c>
      <c r="B150" s="169" t="s">
        <v>125</v>
      </c>
      <c r="C150" s="169" t="s">
        <v>146</v>
      </c>
      <c r="D150" s="166">
        <v>27.5</v>
      </c>
      <c r="E150" s="164">
        <v>523</v>
      </c>
      <c r="F150" s="167">
        <v>0.7</v>
      </c>
      <c r="G150" s="167">
        <v>0.4</v>
      </c>
      <c r="H150" s="167">
        <v>0.9</v>
      </c>
      <c r="I150" s="167">
        <v>0.5</v>
      </c>
      <c r="J150" s="180" t="s">
        <v>1639</v>
      </c>
      <c r="O150" s="167">
        <v>0.7</v>
      </c>
      <c r="P150" s="167">
        <v>0.4</v>
      </c>
      <c r="Q150" s="167">
        <v>0.9</v>
      </c>
      <c r="R150" s="167">
        <v>0.5</v>
      </c>
      <c r="T150" s="162">
        <v>0</v>
      </c>
      <c r="U150" s="162" t="s">
        <v>1796</v>
      </c>
      <c r="V150" s="168">
        <v>0.8</v>
      </c>
      <c r="W150" s="162" t="s">
        <v>125</v>
      </c>
      <c r="X150" s="162" t="s">
        <v>146</v>
      </c>
    </row>
    <row r="151" spans="1:24" ht="16">
      <c r="A151" s="160" t="str">
        <f t="shared" si="2"/>
        <v>彰化縣芳苑鄉</v>
      </c>
      <c r="B151" s="169" t="s">
        <v>125</v>
      </c>
      <c r="C151" s="169" t="s">
        <v>147</v>
      </c>
      <c r="D151" s="166">
        <v>27.5</v>
      </c>
      <c r="E151" s="164">
        <v>528</v>
      </c>
      <c r="F151" s="167">
        <v>0.7</v>
      </c>
      <c r="G151" s="167">
        <v>0.4</v>
      </c>
      <c r="H151" s="167">
        <v>0.9</v>
      </c>
      <c r="I151" s="167">
        <v>0.5</v>
      </c>
      <c r="O151" s="167">
        <v>0.7</v>
      </c>
      <c r="P151" s="167">
        <v>0.4</v>
      </c>
      <c r="Q151" s="167">
        <v>0.9</v>
      </c>
      <c r="R151" s="167">
        <v>0.5</v>
      </c>
      <c r="T151" s="162">
        <v>0</v>
      </c>
      <c r="U151" s="162" t="s">
        <v>1796</v>
      </c>
      <c r="V151" s="168">
        <v>0.8</v>
      </c>
      <c r="W151" s="162" t="s">
        <v>125</v>
      </c>
      <c r="X151" s="162" t="s">
        <v>147</v>
      </c>
    </row>
    <row r="152" spans="1:24" ht="16">
      <c r="A152" s="160" t="str">
        <f t="shared" si="2"/>
        <v>彰化縣大城鄉</v>
      </c>
      <c r="B152" s="169" t="s">
        <v>125</v>
      </c>
      <c r="C152" s="169" t="s">
        <v>148</v>
      </c>
      <c r="D152" s="166">
        <v>27.5</v>
      </c>
      <c r="E152" s="164">
        <v>527</v>
      </c>
      <c r="F152" s="167">
        <v>0.7</v>
      </c>
      <c r="G152" s="167">
        <v>0.4</v>
      </c>
      <c r="H152" s="167">
        <v>0.9</v>
      </c>
      <c r="I152" s="167">
        <v>0.5</v>
      </c>
      <c r="O152" s="167">
        <v>0.7</v>
      </c>
      <c r="P152" s="167">
        <v>0.4</v>
      </c>
      <c r="Q152" s="167">
        <v>0.9</v>
      </c>
      <c r="R152" s="167">
        <v>0.5</v>
      </c>
      <c r="T152" s="162">
        <v>0</v>
      </c>
      <c r="U152" s="162" t="s">
        <v>1796</v>
      </c>
      <c r="V152" s="168">
        <v>0.8</v>
      </c>
      <c r="W152" s="162" t="s">
        <v>125</v>
      </c>
      <c r="X152" s="162" t="s">
        <v>148</v>
      </c>
    </row>
    <row r="153" spans="1:24" ht="16">
      <c r="A153" s="160" t="str">
        <f t="shared" si="2"/>
        <v>彰化縣竹塘鄉</v>
      </c>
      <c r="B153" s="169" t="s">
        <v>125</v>
      </c>
      <c r="C153" s="169" t="s">
        <v>149</v>
      </c>
      <c r="D153" s="166">
        <v>27.5</v>
      </c>
      <c r="E153" s="164">
        <v>525</v>
      </c>
      <c r="F153" s="167">
        <v>0.7</v>
      </c>
      <c r="G153" s="167">
        <v>0.4</v>
      </c>
      <c r="H153" s="167">
        <v>0.9</v>
      </c>
      <c r="I153" s="167">
        <v>0.5</v>
      </c>
      <c r="O153" s="167">
        <v>0.7</v>
      </c>
      <c r="P153" s="167">
        <v>0.4</v>
      </c>
      <c r="Q153" s="167">
        <v>0.9</v>
      </c>
      <c r="R153" s="167">
        <v>0.5</v>
      </c>
      <c r="T153" s="162">
        <v>0</v>
      </c>
      <c r="U153" s="162" t="s">
        <v>1796</v>
      </c>
      <c r="V153" s="168">
        <v>0.8</v>
      </c>
      <c r="W153" s="162" t="s">
        <v>125</v>
      </c>
      <c r="X153" s="162" t="s">
        <v>149</v>
      </c>
    </row>
    <row r="154" spans="1:24" ht="31">
      <c r="A154" s="160" t="str">
        <f t="shared" si="2"/>
        <v>彰化縣溪州鄉</v>
      </c>
      <c r="B154" s="169" t="s">
        <v>125</v>
      </c>
      <c r="C154" s="169" t="s">
        <v>150</v>
      </c>
      <c r="D154" s="166">
        <v>27.5</v>
      </c>
      <c r="E154" s="164">
        <v>524</v>
      </c>
      <c r="F154" s="178">
        <v>0.8</v>
      </c>
      <c r="G154" s="178">
        <v>0.45</v>
      </c>
      <c r="H154" s="178">
        <v>1</v>
      </c>
      <c r="I154" s="178">
        <v>0.55000000000000004</v>
      </c>
      <c r="J154" s="180" t="s">
        <v>1639</v>
      </c>
      <c r="O154" s="167">
        <v>0.7</v>
      </c>
      <c r="P154" s="167">
        <v>0.4</v>
      </c>
      <c r="Q154" s="167">
        <v>0.9</v>
      </c>
      <c r="R154" s="167">
        <v>0.5</v>
      </c>
      <c r="T154" s="162">
        <v>0</v>
      </c>
      <c r="U154" s="162" t="s">
        <v>1796</v>
      </c>
      <c r="V154" s="168">
        <v>0.8</v>
      </c>
      <c r="W154" s="162" t="s">
        <v>125</v>
      </c>
      <c r="X154" s="162" t="s">
        <v>150</v>
      </c>
    </row>
    <row r="155" spans="1:24" ht="31">
      <c r="A155" s="160" t="str">
        <f t="shared" si="2"/>
        <v>南投縣南投市</v>
      </c>
      <c r="B155" s="169" t="s">
        <v>151</v>
      </c>
      <c r="C155" s="169" t="s">
        <v>152</v>
      </c>
      <c r="D155" s="166">
        <v>27.5</v>
      </c>
      <c r="E155" s="164">
        <v>540</v>
      </c>
      <c r="F155" s="173">
        <v>0.8</v>
      </c>
      <c r="G155" s="173">
        <v>0.45</v>
      </c>
      <c r="H155" s="173">
        <v>1</v>
      </c>
      <c r="I155" s="173">
        <v>0.55000000000000004</v>
      </c>
      <c r="J155" s="180" t="s">
        <v>1565</v>
      </c>
      <c r="K155" s="467" t="s">
        <v>1809</v>
      </c>
      <c r="L155" s="469" t="s">
        <v>1826</v>
      </c>
      <c r="O155" s="167">
        <v>0.8</v>
      </c>
      <c r="P155" s="167">
        <v>0.45</v>
      </c>
      <c r="Q155" s="167">
        <v>1</v>
      </c>
      <c r="R155" s="167">
        <v>0.55000000000000004</v>
      </c>
      <c r="S155" s="162" t="s">
        <v>82</v>
      </c>
      <c r="T155" s="162">
        <v>6</v>
      </c>
      <c r="U155" s="162" t="s">
        <v>1796</v>
      </c>
      <c r="V155" s="168">
        <v>0.8</v>
      </c>
      <c r="W155" s="162" t="s">
        <v>151</v>
      </c>
      <c r="X155" s="162" t="s">
        <v>152</v>
      </c>
    </row>
    <row r="156" spans="1:24" ht="16">
      <c r="A156" s="160" t="str">
        <f t="shared" si="2"/>
        <v>南投縣埔里鎮</v>
      </c>
      <c r="B156" s="169" t="s">
        <v>151</v>
      </c>
      <c r="C156" s="471" t="s">
        <v>1813</v>
      </c>
      <c r="D156" s="166">
        <v>27.5</v>
      </c>
      <c r="E156" s="164">
        <v>545</v>
      </c>
      <c r="F156" s="173">
        <v>0.7</v>
      </c>
      <c r="G156" s="173">
        <v>0.4</v>
      </c>
      <c r="H156" s="173">
        <v>0.9</v>
      </c>
      <c r="I156" s="173">
        <v>0.5</v>
      </c>
      <c r="J156" s="469" t="s">
        <v>1826</v>
      </c>
      <c r="O156" s="167">
        <v>0.7</v>
      </c>
      <c r="P156" s="167">
        <v>0.4</v>
      </c>
      <c r="Q156" s="167">
        <v>0.9</v>
      </c>
      <c r="R156" s="167">
        <v>0.5</v>
      </c>
      <c r="T156" s="162">
        <v>0</v>
      </c>
      <c r="U156" s="162" t="s">
        <v>1796</v>
      </c>
      <c r="V156" s="168">
        <v>0.8</v>
      </c>
      <c r="W156" s="162" t="s">
        <v>151</v>
      </c>
      <c r="X156" s="162" t="s">
        <v>153</v>
      </c>
    </row>
    <row r="157" spans="1:24" ht="31">
      <c r="A157" s="160" t="str">
        <f t="shared" si="2"/>
        <v>南投縣草屯鎮</v>
      </c>
      <c r="B157" s="169" t="s">
        <v>151</v>
      </c>
      <c r="C157" s="169" t="s">
        <v>154</v>
      </c>
      <c r="D157" s="166">
        <v>27.5</v>
      </c>
      <c r="E157" s="164">
        <v>542</v>
      </c>
      <c r="F157" s="173">
        <v>0.8</v>
      </c>
      <c r="G157" s="173">
        <v>0.45</v>
      </c>
      <c r="H157" s="173">
        <v>1</v>
      </c>
      <c r="I157" s="173">
        <v>0.55000000000000004</v>
      </c>
      <c r="J157" s="180" t="s">
        <v>1565</v>
      </c>
      <c r="K157" s="467" t="s">
        <v>1809</v>
      </c>
      <c r="L157" s="469" t="s">
        <v>1826</v>
      </c>
      <c r="O157" s="167">
        <v>0.8</v>
      </c>
      <c r="P157" s="167">
        <v>0.45</v>
      </c>
      <c r="Q157" s="167">
        <v>1</v>
      </c>
      <c r="R157" s="167">
        <v>0.55000000000000004</v>
      </c>
      <c r="S157" s="162" t="s">
        <v>82</v>
      </c>
      <c r="T157" s="162">
        <v>6</v>
      </c>
      <c r="U157" s="162" t="s">
        <v>1796</v>
      </c>
      <c r="V157" s="168">
        <v>0.8</v>
      </c>
      <c r="W157" s="162" t="s">
        <v>151</v>
      </c>
      <c r="X157" s="162" t="s">
        <v>154</v>
      </c>
    </row>
    <row r="158" spans="1:24" ht="31">
      <c r="A158" s="160" t="str">
        <f t="shared" si="2"/>
        <v>南投縣竹山鎮</v>
      </c>
      <c r="B158" s="169" t="s">
        <v>151</v>
      </c>
      <c r="C158" s="169" t="s">
        <v>155</v>
      </c>
      <c r="D158" s="166">
        <v>22.5</v>
      </c>
      <c r="E158" s="164">
        <v>557</v>
      </c>
      <c r="F158" s="173">
        <v>0.8</v>
      </c>
      <c r="G158" s="173">
        <v>0.45</v>
      </c>
      <c r="H158" s="173">
        <v>1</v>
      </c>
      <c r="I158" s="173">
        <v>0.55000000000000004</v>
      </c>
      <c r="J158" s="180" t="s">
        <v>1565</v>
      </c>
      <c r="K158" s="467" t="s">
        <v>1809</v>
      </c>
      <c r="L158" s="469" t="s">
        <v>1826</v>
      </c>
      <c r="M158" s="161" t="s">
        <v>1567</v>
      </c>
      <c r="O158" s="167">
        <v>0.8</v>
      </c>
      <c r="P158" s="167">
        <v>0.45</v>
      </c>
      <c r="Q158" s="167">
        <v>1</v>
      </c>
      <c r="R158" s="167">
        <v>0.55000000000000004</v>
      </c>
      <c r="S158" s="162" t="s">
        <v>364</v>
      </c>
      <c r="T158" s="162">
        <v>7</v>
      </c>
      <c r="U158" s="162" t="s">
        <v>1796</v>
      </c>
      <c r="V158" s="168">
        <v>0.8</v>
      </c>
      <c r="W158" s="162" t="s">
        <v>151</v>
      </c>
      <c r="X158" s="162" t="s">
        <v>155</v>
      </c>
    </row>
    <row r="159" spans="1:24" ht="16">
      <c r="A159" s="160" t="str">
        <f t="shared" si="2"/>
        <v>南投縣集集鎮</v>
      </c>
      <c r="B159" s="169" t="s">
        <v>151</v>
      </c>
      <c r="C159" s="169" t="s">
        <v>157</v>
      </c>
      <c r="D159" s="166">
        <v>22.5</v>
      </c>
      <c r="E159" s="164">
        <v>552</v>
      </c>
      <c r="F159" s="178">
        <v>0.8</v>
      </c>
      <c r="G159" s="178">
        <v>0.45</v>
      </c>
      <c r="H159" s="178">
        <v>1</v>
      </c>
      <c r="I159" s="178">
        <v>0.55000000000000004</v>
      </c>
      <c r="J159" s="467" t="s">
        <v>1809</v>
      </c>
      <c r="K159" s="469" t="s">
        <v>1826</v>
      </c>
      <c r="L159" s="180"/>
      <c r="O159" s="167">
        <v>0.8</v>
      </c>
      <c r="P159" s="167">
        <v>0.45</v>
      </c>
      <c r="Q159" s="167">
        <v>1</v>
      </c>
      <c r="R159" s="167">
        <v>0.5</v>
      </c>
      <c r="S159" s="162" t="s">
        <v>82</v>
      </c>
      <c r="T159" s="162">
        <v>6</v>
      </c>
      <c r="U159" s="162" t="s">
        <v>1796</v>
      </c>
      <c r="V159" s="168">
        <v>0.8</v>
      </c>
      <c r="W159" s="162" t="s">
        <v>151</v>
      </c>
      <c r="X159" s="162" t="s">
        <v>157</v>
      </c>
    </row>
    <row r="160" spans="1:24" ht="31">
      <c r="A160" s="160" t="str">
        <f t="shared" si="2"/>
        <v>南投縣名間鄉</v>
      </c>
      <c r="B160" s="169" t="s">
        <v>151</v>
      </c>
      <c r="C160" s="169" t="s">
        <v>158</v>
      </c>
      <c r="D160" s="166">
        <v>27.5</v>
      </c>
      <c r="E160" s="164">
        <v>551</v>
      </c>
      <c r="F160" s="178">
        <v>0.8</v>
      </c>
      <c r="G160" s="178">
        <v>0.45</v>
      </c>
      <c r="H160" s="178">
        <v>1</v>
      </c>
      <c r="I160" s="178">
        <v>0.55000000000000004</v>
      </c>
      <c r="J160" s="180" t="s">
        <v>1565</v>
      </c>
      <c r="K160" s="467" t="s">
        <v>1809</v>
      </c>
      <c r="L160" s="469" t="s">
        <v>1826</v>
      </c>
      <c r="O160" s="167">
        <v>0.8</v>
      </c>
      <c r="P160" s="167">
        <v>0.45</v>
      </c>
      <c r="Q160" s="167">
        <v>1</v>
      </c>
      <c r="R160" s="167">
        <v>0.55000000000000004</v>
      </c>
      <c r="S160" s="162" t="s">
        <v>82</v>
      </c>
      <c r="T160" s="162">
        <v>6</v>
      </c>
      <c r="U160" s="162" t="s">
        <v>1796</v>
      </c>
      <c r="V160" s="168">
        <v>0.8</v>
      </c>
      <c r="W160" s="162" t="s">
        <v>151</v>
      </c>
      <c r="X160" s="162" t="s">
        <v>158</v>
      </c>
    </row>
    <row r="161" spans="1:24" ht="31">
      <c r="A161" s="160" t="str">
        <f t="shared" si="2"/>
        <v>南投縣鹿谷鄉</v>
      </c>
      <c r="B161" s="169" t="s">
        <v>151</v>
      </c>
      <c r="C161" s="463" t="s">
        <v>159</v>
      </c>
      <c r="D161" s="166">
        <v>22.5</v>
      </c>
      <c r="E161" s="164">
        <v>558</v>
      </c>
      <c r="F161" s="178">
        <v>0.8</v>
      </c>
      <c r="G161" s="178">
        <v>0.45</v>
      </c>
      <c r="H161" s="178">
        <v>1</v>
      </c>
      <c r="I161" s="178">
        <v>0.55000000000000004</v>
      </c>
      <c r="J161" s="467" t="s">
        <v>1809</v>
      </c>
      <c r="K161" s="469" t="s">
        <v>1826</v>
      </c>
      <c r="L161" s="161" t="s">
        <v>1567</v>
      </c>
      <c r="O161" s="167">
        <v>0.8</v>
      </c>
      <c r="P161" s="167">
        <v>0.45</v>
      </c>
      <c r="Q161" s="167">
        <v>1</v>
      </c>
      <c r="R161" s="167">
        <v>0.5</v>
      </c>
      <c r="S161" s="162" t="s">
        <v>156</v>
      </c>
      <c r="T161" s="162">
        <v>8</v>
      </c>
      <c r="U161" s="162" t="s">
        <v>1796</v>
      </c>
      <c r="V161" s="168">
        <v>0.8</v>
      </c>
      <c r="W161" s="162" t="s">
        <v>151</v>
      </c>
      <c r="X161" s="162" t="s">
        <v>159</v>
      </c>
    </row>
    <row r="162" spans="1:24" ht="31">
      <c r="A162" s="160" t="str">
        <f t="shared" si="2"/>
        <v>南投縣中寮鄉</v>
      </c>
      <c r="B162" s="169" t="s">
        <v>151</v>
      </c>
      <c r="C162" s="463" t="s">
        <v>160</v>
      </c>
      <c r="D162" s="166">
        <v>27.5</v>
      </c>
      <c r="E162" s="164">
        <v>541</v>
      </c>
      <c r="F162" s="178">
        <v>0.8</v>
      </c>
      <c r="G162" s="178">
        <v>0.45</v>
      </c>
      <c r="H162" s="178">
        <v>1</v>
      </c>
      <c r="I162" s="178">
        <v>0.55000000000000004</v>
      </c>
      <c r="J162" s="180" t="s">
        <v>1565</v>
      </c>
      <c r="K162" s="467" t="s">
        <v>1809</v>
      </c>
      <c r="L162" s="469" t="s">
        <v>1826</v>
      </c>
      <c r="O162" s="167">
        <v>0.8</v>
      </c>
      <c r="P162" s="167">
        <v>0.45</v>
      </c>
      <c r="Q162" s="167">
        <v>1</v>
      </c>
      <c r="R162" s="167">
        <v>0.55000000000000004</v>
      </c>
      <c r="S162" s="162" t="s">
        <v>82</v>
      </c>
      <c r="T162" s="162">
        <v>6</v>
      </c>
      <c r="U162" s="162" t="s">
        <v>1796</v>
      </c>
      <c r="V162" s="168">
        <v>0.8</v>
      </c>
      <c r="W162" s="162" t="s">
        <v>151</v>
      </c>
      <c r="X162" s="162" t="s">
        <v>160</v>
      </c>
    </row>
    <row r="163" spans="1:24" ht="16">
      <c r="A163" s="160" t="str">
        <f t="shared" si="2"/>
        <v>南投縣魚池鄉</v>
      </c>
      <c r="B163" s="169" t="s">
        <v>151</v>
      </c>
      <c r="C163" s="169" t="s">
        <v>161</v>
      </c>
      <c r="D163" s="166">
        <v>27.5</v>
      </c>
      <c r="E163" s="164">
        <v>555</v>
      </c>
      <c r="F163" s="173">
        <v>0.7</v>
      </c>
      <c r="G163" s="173">
        <v>0.4</v>
      </c>
      <c r="H163" s="173">
        <v>0.9</v>
      </c>
      <c r="I163" s="173">
        <v>0.5</v>
      </c>
      <c r="J163" s="469" t="s">
        <v>1826</v>
      </c>
      <c r="O163" s="167">
        <v>0.7</v>
      </c>
      <c r="P163" s="167">
        <v>0.4</v>
      </c>
      <c r="Q163" s="167">
        <v>0.9</v>
      </c>
      <c r="R163" s="167">
        <v>0.5</v>
      </c>
      <c r="T163" s="162">
        <v>0</v>
      </c>
      <c r="U163" s="162" t="s">
        <v>1796</v>
      </c>
      <c r="V163" s="168">
        <v>0.8</v>
      </c>
      <c r="W163" s="162" t="s">
        <v>151</v>
      </c>
      <c r="X163" s="162" t="s">
        <v>161</v>
      </c>
    </row>
    <row r="164" spans="1:24" ht="16">
      <c r="A164" s="160" t="str">
        <f t="shared" si="2"/>
        <v>南投縣國姓鄉</v>
      </c>
      <c r="B164" s="169" t="s">
        <v>151</v>
      </c>
      <c r="C164" s="169" t="s">
        <v>162</v>
      </c>
      <c r="D164" s="166">
        <v>27.5</v>
      </c>
      <c r="E164" s="164">
        <v>544</v>
      </c>
      <c r="F164" s="178">
        <v>0.8</v>
      </c>
      <c r="G164" s="178">
        <v>0.45</v>
      </c>
      <c r="H164" s="178">
        <v>1</v>
      </c>
      <c r="I164" s="178">
        <v>0.55000000000000004</v>
      </c>
      <c r="J164" s="467" t="s">
        <v>1809</v>
      </c>
      <c r="K164" s="469" t="s">
        <v>1826</v>
      </c>
      <c r="O164" s="167">
        <v>0.7</v>
      </c>
      <c r="P164" s="167">
        <v>0.4</v>
      </c>
      <c r="Q164" s="167">
        <v>0.9</v>
      </c>
      <c r="R164" s="167">
        <v>0.5</v>
      </c>
      <c r="S164" s="162" t="s">
        <v>82</v>
      </c>
      <c r="T164" s="162">
        <v>6</v>
      </c>
      <c r="U164" s="162" t="s">
        <v>1796</v>
      </c>
      <c r="V164" s="168">
        <v>0.8</v>
      </c>
      <c r="W164" s="162" t="s">
        <v>151</v>
      </c>
      <c r="X164" s="162" t="s">
        <v>162</v>
      </c>
    </row>
    <row r="165" spans="1:24" ht="16">
      <c r="A165" s="160" t="str">
        <f t="shared" si="2"/>
        <v>南投縣水里鄉</v>
      </c>
      <c r="B165" s="169" t="s">
        <v>151</v>
      </c>
      <c r="C165" s="471" t="s">
        <v>1814</v>
      </c>
      <c r="D165" s="166">
        <v>22.5</v>
      </c>
      <c r="E165" s="164">
        <v>553</v>
      </c>
      <c r="F165" s="178">
        <v>0.8</v>
      </c>
      <c r="G165" s="178">
        <v>0.45</v>
      </c>
      <c r="H165" s="178">
        <v>1</v>
      </c>
      <c r="I165" s="178">
        <v>0.55000000000000004</v>
      </c>
      <c r="J165" s="467" t="s">
        <v>1809</v>
      </c>
      <c r="K165" s="469" t="s">
        <v>1826</v>
      </c>
      <c r="O165" s="167">
        <v>0.7</v>
      </c>
      <c r="P165" s="167">
        <v>0.4</v>
      </c>
      <c r="Q165" s="167">
        <v>0.9</v>
      </c>
      <c r="R165" s="167">
        <v>0.5</v>
      </c>
      <c r="S165" s="162" t="s">
        <v>82</v>
      </c>
      <c r="T165" s="162">
        <v>6</v>
      </c>
      <c r="U165" s="162" t="s">
        <v>1796</v>
      </c>
      <c r="V165" s="168">
        <v>0.8</v>
      </c>
      <c r="W165" s="162" t="s">
        <v>151</v>
      </c>
      <c r="X165" s="162" t="s">
        <v>163</v>
      </c>
    </row>
    <row r="166" spans="1:24" ht="16">
      <c r="A166" s="160" t="str">
        <f t="shared" si="2"/>
        <v>南投縣信義鄉</v>
      </c>
      <c r="B166" s="169" t="s">
        <v>151</v>
      </c>
      <c r="C166" s="169" t="s">
        <v>164</v>
      </c>
      <c r="D166" s="166">
        <v>37.5</v>
      </c>
      <c r="E166" s="164">
        <v>556</v>
      </c>
      <c r="F166" s="173">
        <v>0.7</v>
      </c>
      <c r="G166" s="173">
        <v>0.4</v>
      </c>
      <c r="H166" s="173">
        <v>0.9</v>
      </c>
      <c r="I166" s="173">
        <v>0.5</v>
      </c>
      <c r="J166" s="469" t="s">
        <v>1826</v>
      </c>
      <c r="O166" s="167">
        <v>0.7</v>
      </c>
      <c r="P166" s="167">
        <v>0.4</v>
      </c>
      <c r="Q166" s="167">
        <v>0.9</v>
      </c>
      <c r="R166" s="167">
        <v>0.5</v>
      </c>
      <c r="T166" s="162">
        <v>0</v>
      </c>
      <c r="U166" s="162" t="s">
        <v>1796</v>
      </c>
      <c r="V166" s="168">
        <v>0.8</v>
      </c>
      <c r="W166" s="162" t="s">
        <v>151</v>
      </c>
      <c r="X166" s="162" t="s">
        <v>164</v>
      </c>
    </row>
    <row r="167" spans="1:24" ht="16">
      <c r="A167" s="160" t="str">
        <f t="shared" si="2"/>
        <v>南投縣仁愛鄉</v>
      </c>
      <c r="B167" s="169" t="s">
        <v>151</v>
      </c>
      <c r="C167" s="169" t="s">
        <v>165</v>
      </c>
      <c r="D167" s="166">
        <v>32.5</v>
      </c>
      <c r="E167" s="164">
        <v>546</v>
      </c>
      <c r="F167" s="173">
        <v>0.7</v>
      </c>
      <c r="G167" s="173">
        <v>0.4</v>
      </c>
      <c r="H167" s="173">
        <v>0.9</v>
      </c>
      <c r="I167" s="173">
        <v>0.5</v>
      </c>
      <c r="O167" s="167">
        <v>0.7</v>
      </c>
      <c r="P167" s="167">
        <v>0.4</v>
      </c>
      <c r="Q167" s="167">
        <v>0.9</v>
      </c>
      <c r="R167" s="167">
        <v>0.5</v>
      </c>
      <c r="T167" s="162">
        <v>0</v>
      </c>
      <c r="U167" s="162" t="s">
        <v>1796</v>
      </c>
      <c r="V167" s="168">
        <v>0.8</v>
      </c>
      <c r="W167" s="162" t="s">
        <v>151</v>
      </c>
      <c r="X167" s="162" t="s">
        <v>165</v>
      </c>
    </row>
    <row r="168" spans="1:24" ht="31">
      <c r="A168" s="160" t="str">
        <f t="shared" si="2"/>
        <v>雲林縣斗六市</v>
      </c>
      <c r="B168" s="464" t="s">
        <v>166</v>
      </c>
      <c r="C168" s="466" t="s">
        <v>1815</v>
      </c>
      <c r="D168" s="166">
        <v>27.5</v>
      </c>
      <c r="E168" s="164">
        <v>640</v>
      </c>
      <c r="F168" s="173">
        <v>0.8</v>
      </c>
      <c r="G168" s="173">
        <v>0.45</v>
      </c>
      <c r="H168" s="173">
        <v>1</v>
      </c>
      <c r="I168" s="173">
        <v>0.55000000000000004</v>
      </c>
      <c r="J168" s="180" t="s">
        <v>1565</v>
      </c>
      <c r="K168" s="467" t="s">
        <v>1809</v>
      </c>
      <c r="L168" s="161" t="s">
        <v>1490</v>
      </c>
      <c r="M168" s="161" t="s">
        <v>1567</v>
      </c>
      <c r="O168" s="167">
        <v>0.8</v>
      </c>
      <c r="P168" s="167">
        <v>0.45</v>
      </c>
      <c r="Q168" s="167">
        <v>1</v>
      </c>
      <c r="R168" s="167">
        <v>0.55000000000000004</v>
      </c>
      <c r="S168" s="162" t="s">
        <v>367</v>
      </c>
      <c r="T168" s="162">
        <v>7</v>
      </c>
      <c r="U168" s="176" t="s">
        <v>1799</v>
      </c>
      <c r="V168" s="176">
        <v>1</v>
      </c>
      <c r="W168" s="162" t="s">
        <v>166</v>
      </c>
      <c r="X168" s="162" t="s">
        <v>167</v>
      </c>
    </row>
    <row r="169" spans="1:24" ht="16">
      <c r="A169" s="160" t="str">
        <f t="shared" si="2"/>
        <v>雲林縣斗南鎮</v>
      </c>
      <c r="B169" s="464" t="s">
        <v>166</v>
      </c>
      <c r="C169" s="464" t="s">
        <v>168</v>
      </c>
      <c r="D169" s="166">
        <v>27.5</v>
      </c>
      <c r="E169" s="164">
        <v>630</v>
      </c>
      <c r="F169" s="173">
        <v>0.7</v>
      </c>
      <c r="G169" s="173">
        <v>0.4</v>
      </c>
      <c r="H169" s="173">
        <v>0.9</v>
      </c>
      <c r="I169" s="173">
        <v>0.5</v>
      </c>
      <c r="J169" s="161" t="s">
        <v>169</v>
      </c>
      <c r="O169" s="167">
        <v>0.7</v>
      </c>
      <c r="P169" s="167">
        <v>0.4</v>
      </c>
      <c r="Q169" s="167">
        <v>0.9</v>
      </c>
      <c r="R169" s="167">
        <v>0.5</v>
      </c>
      <c r="S169" s="162" t="s">
        <v>169</v>
      </c>
      <c r="T169" s="162">
        <v>9</v>
      </c>
      <c r="U169" s="176" t="s">
        <v>1799</v>
      </c>
      <c r="V169" s="176">
        <v>1</v>
      </c>
      <c r="W169" s="162" t="s">
        <v>166</v>
      </c>
      <c r="X169" s="162" t="s">
        <v>168</v>
      </c>
    </row>
    <row r="170" spans="1:24" ht="16">
      <c r="A170" s="160" t="str">
        <f t="shared" si="2"/>
        <v>雲林縣虎尾鎮</v>
      </c>
      <c r="B170" s="464" t="s">
        <v>166</v>
      </c>
      <c r="C170" s="169" t="s">
        <v>170</v>
      </c>
      <c r="D170" s="166">
        <v>27.5</v>
      </c>
      <c r="E170" s="164">
        <v>632</v>
      </c>
      <c r="F170" s="173">
        <v>0.7</v>
      </c>
      <c r="G170" s="173">
        <v>0.4</v>
      </c>
      <c r="H170" s="173">
        <v>0.9</v>
      </c>
      <c r="I170" s="173">
        <v>0.5</v>
      </c>
      <c r="O170" s="167">
        <v>0.7</v>
      </c>
      <c r="P170" s="167">
        <v>0.4</v>
      </c>
      <c r="Q170" s="167">
        <v>0.9</v>
      </c>
      <c r="R170" s="167">
        <v>0.5</v>
      </c>
      <c r="T170" s="162">
        <v>0</v>
      </c>
      <c r="U170" s="162" t="s">
        <v>1796</v>
      </c>
      <c r="V170" s="168">
        <v>0.8</v>
      </c>
      <c r="W170" s="162" t="s">
        <v>166</v>
      </c>
      <c r="X170" s="162" t="s">
        <v>170</v>
      </c>
    </row>
    <row r="171" spans="1:24" ht="31">
      <c r="A171" s="160" t="str">
        <f t="shared" si="2"/>
        <v>雲林縣西螺鎮</v>
      </c>
      <c r="B171" s="464" t="s">
        <v>166</v>
      </c>
      <c r="C171" s="464" t="s">
        <v>171</v>
      </c>
      <c r="D171" s="166">
        <v>27.5</v>
      </c>
      <c r="E171" s="164">
        <v>648</v>
      </c>
      <c r="F171" s="173">
        <v>0.7</v>
      </c>
      <c r="G171" s="173">
        <v>0.4</v>
      </c>
      <c r="H171" s="173">
        <v>0.9</v>
      </c>
      <c r="I171" s="173">
        <v>0.5</v>
      </c>
      <c r="J171" s="180" t="s">
        <v>1565</v>
      </c>
      <c r="O171" s="167">
        <v>0.7</v>
      </c>
      <c r="P171" s="167">
        <v>0.4</v>
      </c>
      <c r="Q171" s="167">
        <v>0.9</v>
      </c>
      <c r="R171" s="167">
        <v>0.5</v>
      </c>
      <c r="T171" s="162">
        <v>0</v>
      </c>
      <c r="U171" s="162" t="s">
        <v>1796</v>
      </c>
      <c r="V171" s="168">
        <v>0.8</v>
      </c>
      <c r="W171" s="162" t="s">
        <v>166</v>
      </c>
      <c r="X171" s="162" t="s">
        <v>171</v>
      </c>
    </row>
    <row r="172" spans="1:24" ht="16">
      <c r="A172" s="160" t="str">
        <f t="shared" si="2"/>
        <v>雲林縣土庫鎮</v>
      </c>
      <c r="B172" s="464" t="s">
        <v>166</v>
      </c>
      <c r="C172" s="169" t="s">
        <v>172</v>
      </c>
      <c r="D172" s="166">
        <v>27.5</v>
      </c>
      <c r="E172" s="164">
        <v>633</v>
      </c>
      <c r="F172" s="173">
        <v>0.7</v>
      </c>
      <c r="G172" s="173">
        <v>0.4</v>
      </c>
      <c r="H172" s="173">
        <v>0.9</v>
      </c>
      <c r="I172" s="173">
        <v>0.5</v>
      </c>
      <c r="O172" s="167">
        <v>0.7</v>
      </c>
      <c r="P172" s="167">
        <v>0.4</v>
      </c>
      <c r="Q172" s="167">
        <v>0.9</v>
      </c>
      <c r="R172" s="167">
        <v>0.5</v>
      </c>
      <c r="T172" s="162">
        <v>0</v>
      </c>
      <c r="U172" s="162" t="s">
        <v>1796</v>
      </c>
      <c r="V172" s="168">
        <v>0.8</v>
      </c>
      <c r="W172" s="162" t="s">
        <v>166</v>
      </c>
      <c r="X172" s="162" t="s">
        <v>172</v>
      </c>
    </row>
    <row r="173" spans="1:24" ht="16">
      <c r="A173" s="160" t="str">
        <f t="shared" si="2"/>
        <v>雲林縣北港鎮</v>
      </c>
      <c r="B173" s="464" t="s">
        <v>166</v>
      </c>
      <c r="C173" s="169" t="s">
        <v>173</v>
      </c>
      <c r="D173" s="166">
        <v>27.5</v>
      </c>
      <c r="E173" s="164">
        <v>651</v>
      </c>
      <c r="F173" s="173">
        <v>0.7</v>
      </c>
      <c r="G173" s="173">
        <v>0.4</v>
      </c>
      <c r="H173" s="173">
        <v>0.9</v>
      </c>
      <c r="I173" s="173">
        <v>0.5</v>
      </c>
      <c r="O173" s="167">
        <v>0.7</v>
      </c>
      <c r="P173" s="167">
        <v>0.4</v>
      </c>
      <c r="Q173" s="167">
        <v>0.9</v>
      </c>
      <c r="R173" s="167">
        <v>0.5</v>
      </c>
      <c r="T173" s="162">
        <v>0</v>
      </c>
      <c r="U173" s="162" t="s">
        <v>1796</v>
      </c>
      <c r="V173" s="168">
        <v>0.8</v>
      </c>
      <c r="W173" s="162" t="s">
        <v>166</v>
      </c>
      <c r="X173" s="162" t="s">
        <v>173</v>
      </c>
    </row>
    <row r="174" spans="1:24" ht="31">
      <c r="A174" s="160" t="str">
        <f t="shared" si="2"/>
        <v>雲林縣古坑鄉</v>
      </c>
      <c r="B174" s="464" t="s">
        <v>166</v>
      </c>
      <c r="C174" s="464" t="s">
        <v>174</v>
      </c>
      <c r="D174" s="166">
        <v>27.5</v>
      </c>
      <c r="E174" s="164">
        <v>646</v>
      </c>
      <c r="F174" s="173">
        <v>0.8</v>
      </c>
      <c r="G174" s="173">
        <v>0.45</v>
      </c>
      <c r="H174" s="173">
        <v>1</v>
      </c>
      <c r="I174" s="173">
        <v>0.55000000000000004</v>
      </c>
      <c r="J174" s="180" t="s">
        <v>1628</v>
      </c>
      <c r="K174" s="180" t="s">
        <v>1629</v>
      </c>
      <c r="L174" s="180" t="s">
        <v>1566</v>
      </c>
      <c r="O174" s="167">
        <v>0.8</v>
      </c>
      <c r="P174" s="167">
        <v>0.45</v>
      </c>
      <c r="Q174" s="167">
        <v>1</v>
      </c>
      <c r="R174" s="167">
        <v>0.55000000000000004</v>
      </c>
      <c r="S174" s="162" t="s">
        <v>368</v>
      </c>
      <c r="T174" s="162">
        <v>10</v>
      </c>
      <c r="U174" s="176" t="s">
        <v>1799</v>
      </c>
      <c r="V174" s="176">
        <v>1</v>
      </c>
      <c r="W174" s="162" t="s">
        <v>166</v>
      </c>
      <c r="X174" s="162" t="s">
        <v>174</v>
      </c>
    </row>
    <row r="175" spans="1:24" ht="16">
      <c r="A175" s="160" t="str">
        <f t="shared" si="2"/>
        <v>雲林縣大埤鄉</v>
      </c>
      <c r="B175" s="464" t="s">
        <v>166</v>
      </c>
      <c r="C175" s="464" t="s">
        <v>175</v>
      </c>
      <c r="D175" s="166">
        <v>27.5</v>
      </c>
      <c r="E175" s="164">
        <v>631</v>
      </c>
      <c r="F175" s="173">
        <v>0.7</v>
      </c>
      <c r="G175" s="173">
        <v>0.4</v>
      </c>
      <c r="H175" s="173">
        <v>0.9</v>
      </c>
      <c r="I175" s="173">
        <v>0.5</v>
      </c>
      <c r="J175" s="161" t="s">
        <v>169</v>
      </c>
      <c r="O175" s="167">
        <v>0.7</v>
      </c>
      <c r="P175" s="167">
        <v>0.4</v>
      </c>
      <c r="Q175" s="167">
        <v>0.9</v>
      </c>
      <c r="R175" s="167">
        <v>0.5</v>
      </c>
      <c r="S175" s="162" t="s">
        <v>169</v>
      </c>
      <c r="T175" s="162">
        <v>9</v>
      </c>
      <c r="U175" s="162" t="s">
        <v>1796</v>
      </c>
      <c r="V175" s="168">
        <v>0.8</v>
      </c>
      <c r="W175" s="162" t="s">
        <v>166</v>
      </c>
      <c r="X175" s="162" t="s">
        <v>175</v>
      </c>
    </row>
    <row r="176" spans="1:24" ht="31">
      <c r="A176" s="160" t="str">
        <f t="shared" si="2"/>
        <v>雲林縣莿桐鄉</v>
      </c>
      <c r="B176" s="464" t="s">
        <v>166</v>
      </c>
      <c r="C176" s="169" t="s">
        <v>176</v>
      </c>
      <c r="D176" s="166">
        <v>27.5</v>
      </c>
      <c r="E176" s="164">
        <v>647</v>
      </c>
      <c r="F176" s="173">
        <v>0.8</v>
      </c>
      <c r="G176" s="173">
        <v>0.45</v>
      </c>
      <c r="H176" s="173">
        <v>1</v>
      </c>
      <c r="I176" s="173">
        <v>0.55000000000000004</v>
      </c>
      <c r="J176" s="180" t="s">
        <v>1565</v>
      </c>
      <c r="O176" s="167">
        <v>0.7</v>
      </c>
      <c r="P176" s="167">
        <v>0.4</v>
      </c>
      <c r="Q176" s="167">
        <v>0.9</v>
      </c>
      <c r="R176" s="167">
        <v>0.5</v>
      </c>
      <c r="T176" s="162">
        <v>0</v>
      </c>
      <c r="U176" s="162" t="s">
        <v>1796</v>
      </c>
      <c r="V176" s="168">
        <v>0.8</v>
      </c>
      <c r="W176" s="162" t="s">
        <v>166</v>
      </c>
      <c r="X176" s="162" t="s">
        <v>176</v>
      </c>
    </row>
    <row r="177" spans="1:24" ht="31">
      <c r="A177" s="160" t="str">
        <f t="shared" si="2"/>
        <v>雲林縣林內鄉</v>
      </c>
      <c r="B177" s="464" t="s">
        <v>166</v>
      </c>
      <c r="C177" s="466" t="s">
        <v>1816</v>
      </c>
      <c r="D177" s="166">
        <v>27.5</v>
      </c>
      <c r="E177" s="164">
        <v>643</v>
      </c>
      <c r="F177" s="173">
        <v>0.8</v>
      </c>
      <c r="G177" s="173">
        <v>0.45</v>
      </c>
      <c r="H177" s="173">
        <v>1</v>
      </c>
      <c r="I177" s="173">
        <v>0.55000000000000004</v>
      </c>
      <c r="J177" s="180" t="s">
        <v>1565</v>
      </c>
      <c r="K177" s="467" t="s">
        <v>1809</v>
      </c>
      <c r="L177" s="180" t="s">
        <v>1567</v>
      </c>
      <c r="O177" s="167">
        <v>0.8</v>
      </c>
      <c r="P177" s="167">
        <v>0.45</v>
      </c>
      <c r="Q177" s="167">
        <v>1</v>
      </c>
      <c r="R177" s="167">
        <v>0.55000000000000004</v>
      </c>
      <c r="S177" s="162" t="s">
        <v>367</v>
      </c>
      <c r="T177" s="162">
        <v>7</v>
      </c>
      <c r="U177" s="162" t="s">
        <v>1796</v>
      </c>
      <c r="V177" s="168">
        <v>0.8</v>
      </c>
      <c r="W177" s="162" t="s">
        <v>166</v>
      </c>
      <c r="X177" s="162" t="s">
        <v>177</v>
      </c>
    </row>
    <row r="178" spans="1:24" ht="16">
      <c r="A178" s="160" t="str">
        <f t="shared" si="2"/>
        <v>雲林縣二崙鄉</v>
      </c>
      <c r="B178" s="464" t="s">
        <v>166</v>
      </c>
      <c r="C178" s="169" t="s">
        <v>178</v>
      </c>
      <c r="D178" s="166">
        <v>27.5</v>
      </c>
      <c r="E178" s="164">
        <v>649</v>
      </c>
      <c r="F178" s="173">
        <v>0.7</v>
      </c>
      <c r="G178" s="173">
        <v>0.4</v>
      </c>
      <c r="H178" s="173">
        <v>0.9</v>
      </c>
      <c r="I178" s="173">
        <v>0.5</v>
      </c>
      <c r="O178" s="167">
        <v>0.7</v>
      </c>
      <c r="P178" s="167">
        <v>0.4</v>
      </c>
      <c r="Q178" s="167">
        <v>0.9</v>
      </c>
      <c r="R178" s="167">
        <v>0.5</v>
      </c>
      <c r="T178" s="162">
        <v>0</v>
      </c>
      <c r="U178" s="162" t="s">
        <v>1796</v>
      </c>
      <c r="V178" s="168">
        <v>0.8</v>
      </c>
      <c r="W178" s="162" t="s">
        <v>166</v>
      </c>
      <c r="X178" s="162" t="s">
        <v>178</v>
      </c>
    </row>
    <row r="179" spans="1:24" ht="16">
      <c r="A179" s="160" t="str">
        <f t="shared" si="2"/>
        <v>雲林縣崙背鄉</v>
      </c>
      <c r="B179" s="464" t="s">
        <v>166</v>
      </c>
      <c r="C179" s="169" t="s">
        <v>179</v>
      </c>
      <c r="D179" s="166">
        <v>27.5</v>
      </c>
      <c r="E179" s="164">
        <v>637</v>
      </c>
      <c r="F179" s="173">
        <v>0.7</v>
      </c>
      <c r="G179" s="173">
        <v>0.4</v>
      </c>
      <c r="H179" s="173">
        <v>0.9</v>
      </c>
      <c r="I179" s="173">
        <v>0.5</v>
      </c>
      <c r="O179" s="167">
        <v>0.7</v>
      </c>
      <c r="P179" s="167">
        <v>0.4</v>
      </c>
      <c r="Q179" s="167">
        <v>0.9</v>
      </c>
      <c r="R179" s="167">
        <v>0.5</v>
      </c>
      <c r="T179" s="162">
        <v>0</v>
      </c>
      <c r="U179" s="162" t="s">
        <v>1796</v>
      </c>
      <c r="V179" s="168">
        <v>0.8</v>
      </c>
      <c r="W179" s="162" t="s">
        <v>166</v>
      </c>
      <c r="X179" s="162" t="s">
        <v>179</v>
      </c>
    </row>
    <row r="180" spans="1:24" ht="16">
      <c r="A180" s="160" t="str">
        <f t="shared" si="2"/>
        <v>雲林縣麥寮鄉</v>
      </c>
      <c r="B180" s="464" t="s">
        <v>166</v>
      </c>
      <c r="C180" s="169" t="s">
        <v>180</v>
      </c>
      <c r="D180" s="166">
        <v>27.5</v>
      </c>
      <c r="E180" s="164">
        <v>638</v>
      </c>
      <c r="F180" s="173">
        <v>0.7</v>
      </c>
      <c r="G180" s="173">
        <v>0.4</v>
      </c>
      <c r="H180" s="173">
        <v>0.9</v>
      </c>
      <c r="I180" s="173">
        <v>0.5</v>
      </c>
      <c r="O180" s="167">
        <v>0.7</v>
      </c>
      <c r="P180" s="167">
        <v>0.4</v>
      </c>
      <c r="Q180" s="167">
        <v>0.9</v>
      </c>
      <c r="R180" s="167">
        <v>0.5</v>
      </c>
      <c r="T180" s="162">
        <v>0</v>
      </c>
      <c r="U180" s="162" t="s">
        <v>1796</v>
      </c>
      <c r="V180" s="168">
        <v>0.8</v>
      </c>
      <c r="W180" s="162" t="s">
        <v>166</v>
      </c>
      <c r="X180" s="162" t="s">
        <v>180</v>
      </c>
    </row>
    <row r="181" spans="1:24" ht="16">
      <c r="A181" s="160" t="str">
        <f t="shared" si="2"/>
        <v>雲林縣東勢鄉</v>
      </c>
      <c r="B181" s="464" t="s">
        <v>166</v>
      </c>
      <c r="C181" s="169" t="s">
        <v>181</v>
      </c>
      <c r="D181" s="166">
        <v>27.5</v>
      </c>
      <c r="E181" s="164">
        <v>635</v>
      </c>
      <c r="F181" s="173">
        <v>0.7</v>
      </c>
      <c r="G181" s="173">
        <v>0.4</v>
      </c>
      <c r="H181" s="173">
        <v>0.9</v>
      </c>
      <c r="I181" s="173">
        <v>0.5</v>
      </c>
      <c r="O181" s="167">
        <v>0.7</v>
      </c>
      <c r="P181" s="167">
        <v>0.4</v>
      </c>
      <c r="Q181" s="167">
        <v>0.9</v>
      </c>
      <c r="R181" s="167">
        <v>0.5</v>
      </c>
      <c r="T181" s="162">
        <v>0</v>
      </c>
      <c r="U181" s="162" t="s">
        <v>1796</v>
      </c>
      <c r="V181" s="168">
        <v>0.8</v>
      </c>
      <c r="W181" s="162" t="s">
        <v>166</v>
      </c>
      <c r="X181" s="162" t="s">
        <v>181</v>
      </c>
    </row>
    <row r="182" spans="1:24" ht="16">
      <c r="A182" s="160" t="str">
        <f t="shared" si="2"/>
        <v>雲林縣褒忠鄉</v>
      </c>
      <c r="B182" s="464" t="s">
        <v>166</v>
      </c>
      <c r="C182" s="169" t="s">
        <v>182</v>
      </c>
      <c r="D182" s="166">
        <v>27.5</v>
      </c>
      <c r="E182" s="164">
        <v>634</v>
      </c>
      <c r="F182" s="173">
        <v>0.7</v>
      </c>
      <c r="G182" s="173">
        <v>0.4</v>
      </c>
      <c r="H182" s="173">
        <v>0.9</v>
      </c>
      <c r="I182" s="173">
        <v>0.5</v>
      </c>
      <c r="O182" s="167">
        <v>0.7</v>
      </c>
      <c r="P182" s="167">
        <v>0.4</v>
      </c>
      <c r="Q182" s="167">
        <v>0.9</v>
      </c>
      <c r="R182" s="167">
        <v>0.5</v>
      </c>
      <c r="T182" s="162">
        <v>0</v>
      </c>
      <c r="U182" s="162" t="s">
        <v>1796</v>
      </c>
      <c r="V182" s="168">
        <v>0.8</v>
      </c>
      <c r="W182" s="162" t="s">
        <v>166</v>
      </c>
      <c r="X182" s="162" t="s">
        <v>182</v>
      </c>
    </row>
    <row r="183" spans="1:24" ht="16">
      <c r="A183" s="160" t="str">
        <f t="shared" si="2"/>
        <v>雲林縣臺西鄉</v>
      </c>
      <c r="B183" s="464" t="s">
        <v>166</v>
      </c>
      <c r="C183" s="169" t="s">
        <v>1616</v>
      </c>
      <c r="D183" s="166">
        <v>27.5</v>
      </c>
      <c r="E183" s="164">
        <v>636</v>
      </c>
      <c r="F183" s="173">
        <v>0.7</v>
      </c>
      <c r="G183" s="173">
        <v>0.4</v>
      </c>
      <c r="H183" s="173">
        <v>0.9</v>
      </c>
      <c r="I183" s="173">
        <v>0.5</v>
      </c>
      <c r="O183" s="167">
        <v>0.7</v>
      </c>
      <c r="P183" s="167">
        <v>0.4</v>
      </c>
      <c r="Q183" s="167">
        <v>0.9</v>
      </c>
      <c r="R183" s="167">
        <v>0.5</v>
      </c>
      <c r="T183" s="162">
        <v>0</v>
      </c>
      <c r="U183" s="162" t="s">
        <v>1796</v>
      </c>
      <c r="V183" s="168">
        <v>0.8</v>
      </c>
      <c r="W183" s="162" t="s">
        <v>166</v>
      </c>
      <c r="X183" s="162" t="s">
        <v>183</v>
      </c>
    </row>
    <row r="184" spans="1:24" ht="16">
      <c r="A184" s="160" t="str">
        <f t="shared" si="2"/>
        <v>雲林縣元長鄉</v>
      </c>
      <c r="B184" s="464" t="s">
        <v>166</v>
      </c>
      <c r="C184" s="169" t="s">
        <v>184</v>
      </c>
      <c r="D184" s="166">
        <v>27.5</v>
      </c>
      <c r="E184" s="164">
        <v>655</v>
      </c>
      <c r="F184" s="173">
        <v>0.7</v>
      </c>
      <c r="G184" s="173">
        <v>0.4</v>
      </c>
      <c r="H184" s="173">
        <v>0.9</v>
      </c>
      <c r="I184" s="173">
        <v>0.5</v>
      </c>
      <c r="O184" s="167">
        <v>0.7</v>
      </c>
      <c r="P184" s="167">
        <v>0.4</v>
      </c>
      <c r="Q184" s="167">
        <v>0.9</v>
      </c>
      <c r="R184" s="167">
        <v>0.5</v>
      </c>
      <c r="T184" s="162">
        <v>0</v>
      </c>
      <c r="U184" s="162" t="s">
        <v>1796</v>
      </c>
      <c r="V184" s="168">
        <v>0.8</v>
      </c>
      <c r="W184" s="162" t="s">
        <v>166</v>
      </c>
      <c r="X184" s="162" t="s">
        <v>184</v>
      </c>
    </row>
    <row r="185" spans="1:24" ht="16">
      <c r="A185" s="160" t="str">
        <f t="shared" si="2"/>
        <v>雲林縣四湖鄉</v>
      </c>
      <c r="B185" s="464" t="s">
        <v>166</v>
      </c>
      <c r="C185" s="169" t="s">
        <v>185</v>
      </c>
      <c r="D185" s="166">
        <v>32.5</v>
      </c>
      <c r="E185" s="164">
        <v>654</v>
      </c>
      <c r="F185" s="173">
        <v>0.7</v>
      </c>
      <c r="G185" s="173">
        <v>0.4</v>
      </c>
      <c r="H185" s="173">
        <v>0.9</v>
      </c>
      <c r="I185" s="173">
        <v>0.5</v>
      </c>
      <c r="O185" s="167">
        <v>0.7</v>
      </c>
      <c r="P185" s="167">
        <v>0.4</v>
      </c>
      <c r="Q185" s="167">
        <v>0.9</v>
      </c>
      <c r="R185" s="167">
        <v>0.5</v>
      </c>
      <c r="T185" s="162">
        <v>0</v>
      </c>
      <c r="U185" s="162" t="s">
        <v>1796</v>
      </c>
      <c r="V185" s="168">
        <v>0.8</v>
      </c>
      <c r="W185" s="162" t="s">
        <v>166</v>
      </c>
      <c r="X185" s="162" t="s">
        <v>185</v>
      </c>
    </row>
    <row r="186" spans="1:24" ht="16">
      <c r="A186" s="160" t="str">
        <f t="shared" si="2"/>
        <v>雲林縣口湖鄉</v>
      </c>
      <c r="B186" s="464" t="s">
        <v>166</v>
      </c>
      <c r="C186" s="169" t="s">
        <v>186</v>
      </c>
      <c r="D186" s="166">
        <v>32.5</v>
      </c>
      <c r="E186" s="164">
        <v>653</v>
      </c>
      <c r="F186" s="173">
        <v>0.7</v>
      </c>
      <c r="G186" s="173">
        <v>0.4</v>
      </c>
      <c r="H186" s="173">
        <v>0.9</v>
      </c>
      <c r="I186" s="173">
        <v>0.5</v>
      </c>
      <c r="O186" s="167">
        <v>0.7</v>
      </c>
      <c r="P186" s="167">
        <v>0.4</v>
      </c>
      <c r="Q186" s="167">
        <v>0.9</v>
      </c>
      <c r="R186" s="167">
        <v>0.5</v>
      </c>
      <c r="T186" s="162">
        <v>0</v>
      </c>
      <c r="U186" s="162" t="s">
        <v>1796</v>
      </c>
      <c r="V186" s="168">
        <v>0.8</v>
      </c>
      <c r="W186" s="162" t="s">
        <v>166</v>
      </c>
      <c r="X186" s="162" t="s">
        <v>186</v>
      </c>
    </row>
    <row r="187" spans="1:24" ht="16">
      <c r="A187" s="160" t="str">
        <f t="shared" si="2"/>
        <v>雲林縣水林鄉</v>
      </c>
      <c r="B187" s="464" t="s">
        <v>166</v>
      </c>
      <c r="C187" s="169" t="s">
        <v>187</v>
      </c>
      <c r="D187" s="166">
        <v>32.5</v>
      </c>
      <c r="E187" s="164">
        <v>652</v>
      </c>
      <c r="F187" s="173">
        <v>0.7</v>
      </c>
      <c r="G187" s="173">
        <v>0.4</v>
      </c>
      <c r="H187" s="173">
        <v>0.9</v>
      </c>
      <c r="I187" s="173">
        <v>0.5</v>
      </c>
      <c r="O187" s="167">
        <v>0.7</v>
      </c>
      <c r="P187" s="167">
        <v>0.4</v>
      </c>
      <c r="Q187" s="167">
        <v>0.9</v>
      </c>
      <c r="R187" s="167">
        <v>0.5</v>
      </c>
      <c r="T187" s="162">
        <v>0</v>
      </c>
      <c r="U187" s="162" t="s">
        <v>1796</v>
      </c>
      <c r="V187" s="168">
        <v>0.8</v>
      </c>
      <c r="W187" s="162" t="s">
        <v>166</v>
      </c>
      <c r="X187" s="162" t="s">
        <v>187</v>
      </c>
    </row>
    <row r="188" spans="1:24" ht="16">
      <c r="A188" s="160" t="str">
        <f t="shared" si="2"/>
        <v>嘉義市東區</v>
      </c>
      <c r="B188" s="169" t="s">
        <v>207</v>
      </c>
      <c r="C188" s="169" t="s">
        <v>1598</v>
      </c>
      <c r="D188" s="166">
        <v>27.5</v>
      </c>
      <c r="E188" s="164">
        <v>600</v>
      </c>
      <c r="F188" s="167">
        <v>0.8</v>
      </c>
      <c r="G188" s="167">
        <v>0.45</v>
      </c>
      <c r="H188" s="167">
        <v>1</v>
      </c>
      <c r="I188" s="167">
        <v>0.55000000000000004</v>
      </c>
      <c r="J188" s="161" t="s">
        <v>169</v>
      </c>
      <c r="O188" s="167">
        <v>0.8</v>
      </c>
      <c r="P188" s="167">
        <v>0.45</v>
      </c>
      <c r="Q188" s="167">
        <v>1</v>
      </c>
      <c r="R188" s="167">
        <v>0.55000000000000004</v>
      </c>
      <c r="S188" s="162" t="s">
        <v>169</v>
      </c>
      <c r="T188" s="162">
        <v>9</v>
      </c>
      <c r="U188" s="176" t="s">
        <v>1799</v>
      </c>
      <c r="V188" s="176">
        <v>1</v>
      </c>
      <c r="W188" s="162" t="s">
        <v>207</v>
      </c>
      <c r="X188" s="174" t="s">
        <v>1598</v>
      </c>
    </row>
    <row r="189" spans="1:24" ht="16">
      <c r="A189" s="160" t="str">
        <f t="shared" si="2"/>
        <v>嘉義市西區</v>
      </c>
      <c r="B189" s="169" t="s">
        <v>207</v>
      </c>
      <c r="C189" s="169" t="s">
        <v>1615</v>
      </c>
      <c r="D189" s="166">
        <v>27.5</v>
      </c>
      <c r="E189" s="164">
        <v>600</v>
      </c>
      <c r="F189" s="178">
        <v>0.8</v>
      </c>
      <c r="G189" s="178">
        <v>0.45</v>
      </c>
      <c r="H189" s="178">
        <v>1</v>
      </c>
      <c r="I189" s="178">
        <v>0.55000000000000004</v>
      </c>
      <c r="J189" s="161" t="s">
        <v>169</v>
      </c>
      <c r="O189" s="167">
        <v>0.7</v>
      </c>
      <c r="P189" s="167">
        <v>0.4</v>
      </c>
      <c r="Q189" s="167">
        <v>0.9</v>
      </c>
      <c r="R189" s="167">
        <v>0.5</v>
      </c>
      <c r="S189" s="162" t="s">
        <v>169</v>
      </c>
      <c r="T189" s="162">
        <v>9</v>
      </c>
      <c r="U189" s="176" t="s">
        <v>1799</v>
      </c>
      <c r="V189" s="176">
        <v>1</v>
      </c>
      <c r="W189" s="162" t="s">
        <v>207</v>
      </c>
      <c r="X189" s="174" t="s">
        <v>1615</v>
      </c>
    </row>
    <row r="190" spans="1:24" ht="16">
      <c r="A190" s="160" t="str">
        <f t="shared" si="2"/>
        <v>嘉義縣太保市</v>
      </c>
      <c r="B190" s="169" t="s">
        <v>188</v>
      </c>
      <c r="C190" s="169" t="s">
        <v>189</v>
      </c>
      <c r="D190" s="166">
        <v>32.5</v>
      </c>
      <c r="E190" s="164">
        <v>612</v>
      </c>
      <c r="F190" s="167">
        <v>0.7</v>
      </c>
      <c r="G190" s="167">
        <v>0.4</v>
      </c>
      <c r="H190" s="167">
        <v>0.9</v>
      </c>
      <c r="I190" s="167">
        <v>0.5</v>
      </c>
      <c r="J190" s="161" t="s">
        <v>169</v>
      </c>
      <c r="O190" s="167">
        <v>0.7</v>
      </c>
      <c r="P190" s="167">
        <v>0.4</v>
      </c>
      <c r="Q190" s="167">
        <v>0.9</v>
      </c>
      <c r="R190" s="167">
        <v>0.5</v>
      </c>
      <c r="S190" s="162" t="s">
        <v>169</v>
      </c>
      <c r="T190" s="162">
        <v>9</v>
      </c>
      <c r="U190" s="162" t="s">
        <v>1796</v>
      </c>
      <c r="V190" s="168">
        <v>0.8</v>
      </c>
      <c r="W190" s="162" t="s">
        <v>188</v>
      </c>
      <c r="X190" s="162" t="s">
        <v>189</v>
      </c>
    </row>
    <row r="191" spans="1:24" ht="16">
      <c r="A191" s="160" t="str">
        <f t="shared" si="2"/>
        <v>嘉義縣朴子市</v>
      </c>
      <c r="B191" s="169" t="s">
        <v>188</v>
      </c>
      <c r="C191" s="169" t="s">
        <v>190</v>
      </c>
      <c r="D191" s="166">
        <v>32.5</v>
      </c>
      <c r="E191" s="164">
        <v>613</v>
      </c>
      <c r="F191" s="167">
        <v>0.7</v>
      </c>
      <c r="G191" s="167">
        <v>0.4</v>
      </c>
      <c r="H191" s="167">
        <v>0.9</v>
      </c>
      <c r="I191" s="167">
        <v>0.5</v>
      </c>
      <c r="O191" s="167">
        <v>0.7</v>
      </c>
      <c r="P191" s="167">
        <v>0.4</v>
      </c>
      <c r="Q191" s="167">
        <v>0.9</v>
      </c>
      <c r="R191" s="167">
        <v>0.5</v>
      </c>
      <c r="T191" s="162">
        <v>0</v>
      </c>
      <c r="U191" s="162" t="s">
        <v>1796</v>
      </c>
      <c r="V191" s="168">
        <v>0.8</v>
      </c>
      <c r="W191" s="162" t="s">
        <v>188</v>
      </c>
      <c r="X191" s="162" t="s">
        <v>190</v>
      </c>
    </row>
    <row r="192" spans="1:24" ht="16">
      <c r="A192" s="160" t="str">
        <f t="shared" si="2"/>
        <v>嘉義縣布袋鎮</v>
      </c>
      <c r="B192" s="169" t="s">
        <v>188</v>
      </c>
      <c r="C192" s="169" t="s">
        <v>191</v>
      </c>
      <c r="D192" s="166">
        <v>32.5</v>
      </c>
      <c r="E192" s="164">
        <v>625</v>
      </c>
      <c r="F192" s="167">
        <v>0.7</v>
      </c>
      <c r="G192" s="167">
        <v>0.4</v>
      </c>
      <c r="H192" s="167">
        <v>0.9</v>
      </c>
      <c r="I192" s="167">
        <v>0.5</v>
      </c>
      <c r="O192" s="167">
        <v>0.7</v>
      </c>
      <c r="P192" s="167">
        <v>0.4</v>
      </c>
      <c r="Q192" s="167">
        <v>0.9</v>
      </c>
      <c r="R192" s="167">
        <v>0.5</v>
      </c>
      <c r="T192" s="162">
        <v>0</v>
      </c>
      <c r="U192" s="162" t="s">
        <v>1796</v>
      </c>
      <c r="V192" s="168">
        <v>0.8</v>
      </c>
      <c r="W192" s="162" t="s">
        <v>188</v>
      </c>
      <c r="X192" s="162" t="s">
        <v>191</v>
      </c>
    </row>
    <row r="193" spans="1:24" ht="31">
      <c r="A193" s="160" t="str">
        <f t="shared" si="2"/>
        <v>嘉義縣大林鎮</v>
      </c>
      <c r="B193" s="169" t="s">
        <v>188</v>
      </c>
      <c r="C193" s="169" t="s">
        <v>192</v>
      </c>
      <c r="D193" s="166">
        <v>27.5</v>
      </c>
      <c r="E193" s="164">
        <v>622</v>
      </c>
      <c r="F193" s="167">
        <v>0.8</v>
      </c>
      <c r="G193" s="167">
        <v>0.45</v>
      </c>
      <c r="H193" s="167">
        <v>1</v>
      </c>
      <c r="I193" s="167">
        <v>0.55000000000000004</v>
      </c>
      <c r="J193" s="467" t="s">
        <v>1809</v>
      </c>
      <c r="K193" s="161" t="s">
        <v>169</v>
      </c>
      <c r="L193" s="180" t="s">
        <v>1567</v>
      </c>
      <c r="O193" s="167">
        <v>0.8</v>
      </c>
      <c r="P193" s="167">
        <v>0.45</v>
      </c>
      <c r="Q193" s="167">
        <v>1</v>
      </c>
      <c r="R193" s="167">
        <v>0.55000000000000004</v>
      </c>
      <c r="S193" s="162" t="s">
        <v>366</v>
      </c>
      <c r="T193" s="162">
        <v>11</v>
      </c>
      <c r="U193" s="176" t="s">
        <v>1799</v>
      </c>
      <c r="V193" s="176">
        <v>1</v>
      </c>
      <c r="W193" s="162" t="s">
        <v>188</v>
      </c>
      <c r="X193" s="162" t="s">
        <v>192</v>
      </c>
    </row>
    <row r="194" spans="1:24" ht="31">
      <c r="A194" s="160" t="str">
        <f t="shared" si="2"/>
        <v>嘉義縣民雄鄉</v>
      </c>
      <c r="B194" s="169" t="s">
        <v>188</v>
      </c>
      <c r="C194" s="169" t="s">
        <v>193</v>
      </c>
      <c r="D194" s="166">
        <v>27.5</v>
      </c>
      <c r="E194" s="164">
        <v>621</v>
      </c>
      <c r="F194" s="167">
        <v>0.8</v>
      </c>
      <c r="G194" s="167">
        <v>0.45</v>
      </c>
      <c r="H194" s="167">
        <v>1</v>
      </c>
      <c r="I194" s="167">
        <v>0.55000000000000004</v>
      </c>
      <c r="J194" s="161" t="s">
        <v>169</v>
      </c>
      <c r="K194" s="180" t="s">
        <v>1567</v>
      </c>
      <c r="O194" s="167">
        <v>0.8</v>
      </c>
      <c r="P194" s="167">
        <v>0.45</v>
      </c>
      <c r="Q194" s="167">
        <v>1</v>
      </c>
      <c r="R194" s="167">
        <v>0.55000000000000004</v>
      </c>
      <c r="S194" s="162" t="s">
        <v>169</v>
      </c>
      <c r="T194" s="162">
        <v>9</v>
      </c>
      <c r="U194" s="176" t="s">
        <v>1799</v>
      </c>
      <c r="V194" s="176">
        <v>1</v>
      </c>
      <c r="W194" s="162" t="s">
        <v>188</v>
      </c>
      <c r="X194" s="162" t="s">
        <v>193</v>
      </c>
    </row>
    <row r="195" spans="1:24" ht="16">
      <c r="A195" s="160" t="str">
        <f t="shared" ref="A195:A258" si="3">B195&amp;C195</f>
        <v>嘉義縣溪口鄉</v>
      </c>
      <c r="B195" s="169" t="s">
        <v>188</v>
      </c>
      <c r="C195" s="169" t="s">
        <v>194</v>
      </c>
      <c r="D195" s="166">
        <v>27.5</v>
      </c>
      <c r="E195" s="164">
        <v>623</v>
      </c>
      <c r="F195" s="167">
        <v>0.8</v>
      </c>
      <c r="G195" s="167">
        <v>0.45</v>
      </c>
      <c r="H195" s="167">
        <v>1</v>
      </c>
      <c r="I195" s="167">
        <v>0.55000000000000004</v>
      </c>
      <c r="J195" s="161" t="s">
        <v>169</v>
      </c>
      <c r="O195" s="167">
        <v>0.8</v>
      </c>
      <c r="P195" s="167">
        <v>0.45</v>
      </c>
      <c r="Q195" s="167">
        <v>1</v>
      </c>
      <c r="R195" s="167">
        <v>0.55000000000000004</v>
      </c>
      <c r="S195" s="162" t="s">
        <v>169</v>
      </c>
      <c r="T195" s="162">
        <v>9</v>
      </c>
      <c r="U195" s="162" t="s">
        <v>1796</v>
      </c>
      <c r="V195" s="168">
        <v>0.8</v>
      </c>
      <c r="W195" s="162" t="s">
        <v>188</v>
      </c>
      <c r="X195" s="162" t="s">
        <v>194</v>
      </c>
    </row>
    <row r="196" spans="1:24" ht="16">
      <c r="A196" s="160" t="str">
        <f t="shared" si="3"/>
        <v>嘉義縣新港鄉</v>
      </c>
      <c r="B196" s="169" t="s">
        <v>188</v>
      </c>
      <c r="C196" s="169" t="s">
        <v>195</v>
      </c>
      <c r="D196" s="166">
        <v>27.5</v>
      </c>
      <c r="E196" s="164">
        <v>616</v>
      </c>
      <c r="F196" s="167">
        <v>0.7</v>
      </c>
      <c r="G196" s="167">
        <v>0.4</v>
      </c>
      <c r="H196" s="167">
        <v>0.9</v>
      </c>
      <c r="I196" s="167">
        <v>0.5</v>
      </c>
      <c r="J196" s="161" t="s">
        <v>169</v>
      </c>
      <c r="O196" s="167">
        <v>0.7</v>
      </c>
      <c r="P196" s="167">
        <v>0.4</v>
      </c>
      <c r="Q196" s="167">
        <v>0.9</v>
      </c>
      <c r="R196" s="167">
        <v>0.5</v>
      </c>
      <c r="S196" s="162" t="s">
        <v>169</v>
      </c>
      <c r="T196" s="162">
        <v>9</v>
      </c>
      <c r="U196" s="162" t="s">
        <v>1796</v>
      </c>
      <c r="V196" s="168">
        <v>0.8</v>
      </c>
      <c r="W196" s="162" t="s">
        <v>188</v>
      </c>
      <c r="X196" s="162" t="s">
        <v>195</v>
      </c>
    </row>
    <row r="197" spans="1:24" ht="16">
      <c r="A197" s="160" t="str">
        <f t="shared" si="3"/>
        <v>嘉義縣六腳鄉</v>
      </c>
      <c r="B197" s="169" t="s">
        <v>188</v>
      </c>
      <c r="C197" s="169" t="s">
        <v>196</v>
      </c>
      <c r="D197" s="166">
        <v>32.5</v>
      </c>
      <c r="E197" s="164">
        <v>615</v>
      </c>
      <c r="F197" s="167">
        <v>0.7</v>
      </c>
      <c r="G197" s="167">
        <v>0.4</v>
      </c>
      <c r="H197" s="167">
        <v>0.9</v>
      </c>
      <c r="I197" s="167">
        <v>0.5</v>
      </c>
      <c r="O197" s="167">
        <v>0.7</v>
      </c>
      <c r="P197" s="167">
        <v>0.4</v>
      </c>
      <c r="Q197" s="167">
        <v>0.9</v>
      </c>
      <c r="R197" s="167">
        <v>0.5</v>
      </c>
      <c r="T197" s="162">
        <v>0</v>
      </c>
      <c r="U197" s="162" t="s">
        <v>1796</v>
      </c>
      <c r="V197" s="168">
        <v>0.8</v>
      </c>
      <c r="W197" s="162" t="s">
        <v>188</v>
      </c>
      <c r="X197" s="162" t="s">
        <v>196</v>
      </c>
    </row>
    <row r="198" spans="1:24" ht="16">
      <c r="A198" s="160" t="str">
        <f t="shared" si="3"/>
        <v>嘉義縣東石鄉</v>
      </c>
      <c r="B198" s="169" t="s">
        <v>188</v>
      </c>
      <c r="C198" s="169" t="s">
        <v>197</v>
      </c>
      <c r="D198" s="166">
        <v>32.5</v>
      </c>
      <c r="E198" s="164">
        <v>614</v>
      </c>
      <c r="F198" s="167">
        <v>0.7</v>
      </c>
      <c r="G198" s="167">
        <v>0.4</v>
      </c>
      <c r="H198" s="167">
        <v>0.9</v>
      </c>
      <c r="I198" s="167">
        <v>0.5</v>
      </c>
      <c r="O198" s="167">
        <v>0.7</v>
      </c>
      <c r="P198" s="167">
        <v>0.4</v>
      </c>
      <c r="Q198" s="167">
        <v>0.9</v>
      </c>
      <c r="R198" s="167">
        <v>0.5</v>
      </c>
      <c r="T198" s="162">
        <v>0</v>
      </c>
      <c r="U198" s="162" t="s">
        <v>1796</v>
      </c>
      <c r="V198" s="168">
        <v>0.8</v>
      </c>
      <c r="W198" s="162" t="s">
        <v>188</v>
      </c>
      <c r="X198" s="162" t="s">
        <v>197</v>
      </c>
    </row>
    <row r="199" spans="1:24" ht="16">
      <c r="A199" s="160" t="str">
        <f t="shared" si="3"/>
        <v>嘉義縣義竹鄉</v>
      </c>
      <c r="B199" s="169" t="s">
        <v>188</v>
      </c>
      <c r="C199" s="169" t="s">
        <v>198</v>
      </c>
      <c r="D199" s="166">
        <v>32.5</v>
      </c>
      <c r="E199" s="164">
        <v>624</v>
      </c>
      <c r="F199" s="167">
        <v>0.7</v>
      </c>
      <c r="G199" s="167">
        <v>0.4</v>
      </c>
      <c r="H199" s="167">
        <v>0.9</v>
      </c>
      <c r="I199" s="167">
        <v>0.5</v>
      </c>
      <c r="O199" s="167">
        <v>0.7</v>
      </c>
      <c r="P199" s="167">
        <v>0.4</v>
      </c>
      <c r="Q199" s="167">
        <v>0.9</v>
      </c>
      <c r="R199" s="167">
        <v>0.5</v>
      </c>
      <c r="T199" s="162">
        <v>0</v>
      </c>
      <c r="U199" s="162" t="s">
        <v>1796</v>
      </c>
      <c r="V199" s="168">
        <v>0.8</v>
      </c>
      <c r="W199" s="162" t="s">
        <v>188</v>
      </c>
      <c r="X199" s="162" t="s">
        <v>198</v>
      </c>
    </row>
    <row r="200" spans="1:24" ht="16">
      <c r="A200" s="160" t="str">
        <f t="shared" si="3"/>
        <v>嘉義縣鹿草鄉</v>
      </c>
      <c r="B200" s="169" t="s">
        <v>188</v>
      </c>
      <c r="C200" s="169" t="s">
        <v>199</v>
      </c>
      <c r="D200" s="166">
        <v>32.5</v>
      </c>
      <c r="E200" s="164">
        <v>611</v>
      </c>
      <c r="F200" s="167">
        <v>0.7</v>
      </c>
      <c r="G200" s="167">
        <v>0.4</v>
      </c>
      <c r="H200" s="167">
        <v>0.9</v>
      </c>
      <c r="I200" s="167">
        <v>0.5</v>
      </c>
      <c r="O200" s="167">
        <v>0.7</v>
      </c>
      <c r="P200" s="167">
        <v>0.4</v>
      </c>
      <c r="Q200" s="167">
        <v>0.9</v>
      </c>
      <c r="R200" s="167">
        <v>0.5</v>
      </c>
      <c r="T200" s="162">
        <v>0</v>
      </c>
      <c r="U200" s="162" t="s">
        <v>1796</v>
      </c>
      <c r="V200" s="168">
        <v>0.8</v>
      </c>
      <c r="W200" s="162" t="s">
        <v>188</v>
      </c>
      <c r="X200" s="162" t="s">
        <v>199</v>
      </c>
    </row>
    <row r="201" spans="1:24" ht="16">
      <c r="A201" s="160" t="str">
        <f t="shared" si="3"/>
        <v>嘉義縣水上鄉</v>
      </c>
      <c r="B201" s="169" t="s">
        <v>188</v>
      </c>
      <c r="C201" s="169" t="s">
        <v>200</v>
      </c>
      <c r="D201" s="166">
        <v>27.5</v>
      </c>
      <c r="E201" s="164">
        <v>608</v>
      </c>
      <c r="F201" s="167">
        <v>0.7</v>
      </c>
      <c r="G201" s="167">
        <v>0.4</v>
      </c>
      <c r="H201" s="167">
        <v>0.9</v>
      </c>
      <c r="I201" s="167">
        <v>0.5</v>
      </c>
      <c r="J201" s="180" t="s">
        <v>1567</v>
      </c>
      <c r="O201" s="167">
        <v>0.7</v>
      </c>
      <c r="P201" s="167">
        <v>0.4</v>
      </c>
      <c r="Q201" s="167">
        <v>0.9</v>
      </c>
      <c r="R201" s="167">
        <v>0.5</v>
      </c>
      <c r="S201" s="162" t="s">
        <v>156</v>
      </c>
      <c r="T201" s="162">
        <v>8</v>
      </c>
      <c r="U201" s="176" t="s">
        <v>1799</v>
      </c>
      <c r="V201" s="176">
        <v>1</v>
      </c>
      <c r="W201" s="162" t="s">
        <v>188</v>
      </c>
      <c r="X201" s="162" t="s">
        <v>200</v>
      </c>
    </row>
    <row r="202" spans="1:24" ht="16">
      <c r="A202" s="160" t="str">
        <f t="shared" si="3"/>
        <v>嘉義縣中埔鄉</v>
      </c>
      <c r="B202" s="169" t="s">
        <v>188</v>
      </c>
      <c r="C202" s="169" t="s">
        <v>201</v>
      </c>
      <c r="D202" s="166">
        <v>27.5</v>
      </c>
      <c r="E202" s="164">
        <v>606</v>
      </c>
      <c r="F202" s="167">
        <v>0.8</v>
      </c>
      <c r="G202" s="167">
        <v>0.45</v>
      </c>
      <c r="H202" s="167">
        <v>1</v>
      </c>
      <c r="I202" s="167">
        <v>0.55000000000000004</v>
      </c>
      <c r="J202" s="180" t="s">
        <v>1567</v>
      </c>
      <c r="O202" s="167">
        <v>0.8</v>
      </c>
      <c r="P202" s="167">
        <v>0.45</v>
      </c>
      <c r="Q202" s="167">
        <v>1</v>
      </c>
      <c r="R202" s="167">
        <v>0.55000000000000004</v>
      </c>
      <c r="S202" s="162" t="s">
        <v>156</v>
      </c>
      <c r="T202" s="162">
        <v>8</v>
      </c>
      <c r="U202" s="176" t="s">
        <v>1799</v>
      </c>
      <c r="V202" s="176">
        <v>1</v>
      </c>
      <c r="W202" s="162" t="s">
        <v>188</v>
      </c>
      <c r="X202" s="162" t="s">
        <v>201</v>
      </c>
    </row>
    <row r="203" spans="1:24" ht="31">
      <c r="A203" s="160" t="str">
        <f t="shared" si="3"/>
        <v>嘉義縣竹崎鄉</v>
      </c>
      <c r="B203" s="169" t="s">
        <v>188</v>
      </c>
      <c r="C203" s="169" t="s">
        <v>202</v>
      </c>
      <c r="D203" s="166">
        <v>27.5</v>
      </c>
      <c r="E203" s="164">
        <v>604</v>
      </c>
      <c r="F203" s="167">
        <v>0.8</v>
      </c>
      <c r="G203" s="167">
        <v>0.45</v>
      </c>
      <c r="H203" s="167">
        <v>1</v>
      </c>
      <c r="I203" s="167">
        <v>0.55000000000000004</v>
      </c>
      <c r="J203" s="180" t="s">
        <v>1630</v>
      </c>
      <c r="K203" s="161" t="s">
        <v>169</v>
      </c>
      <c r="L203" s="180" t="s">
        <v>1567</v>
      </c>
      <c r="O203" s="167">
        <v>0.8</v>
      </c>
      <c r="P203" s="167">
        <v>0.45</v>
      </c>
      <c r="Q203" s="167">
        <v>1</v>
      </c>
      <c r="R203" s="167">
        <v>0.55000000000000004</v>
      </c>
      <c r="S203" s="162" t="s">
        <v>365</v>
      </c>
      <c r="T203" s="162">
        <v>11</v>
      </c>
      <c r="U203" s="176" t="s">
        <v>1799</v>
      </c>
      <c r="V203" s="176">
        <v>1</v>
      </c>
      <c r="W203" s="162" t="s">
        <v>188</v>
      </c>
      <c r="X203" s="162" t="s">
        <v>202</v>
      </c>
    </row>
    <row r="204" spans="1:24" ht="31">
      <c r="A204" s="160" t="str">
        <f t="shared" si="3"/>
        <v>嘉義縣梅山鄉</v>
      </c>
      <c r="B204" s="169" t="s">
        <v>188</v>
      </c>
      <c r="C204" s="169" t="s">
        <v>203</v>
      </c>
      <c r="D204" s="166">
        <v>27.5</v>
      </c>
      <c r="E204" s="164">
        <v>603</v>
      </c>
      <c r="F204" s="167">
        <v>0.8</v>
      </c>
      <c r="G204" s="167">
        <v>0.45</v>
      </c>
      <c r="H204" s="167">
        <v>1</v>
      </c>
      <c r="I204" s="167">
        <v>0.55000000000000004</v>
      </c>
      <c r="J204" s="180" t="s">
        <v>1630</v>
      </c>
      <c r="K204" s="161" t="s">
        <v>169</v>
      </c>
      <c r="L204" s="180" t="s">
        <v>1567</v>
      </c>
      <c r="O204" s="167">
        <v>0.8</v>
      </c>
      <c r="P204" s="167">
        <v>0.45</v>
      </c>
      <c r="Q204" s="167">
        <v>1</v>
      </c>
      <c r="R204" s="167">
        <v>0.55000000000000004</v>
      </c>
      <c r="S204" s="162" t="s">
        <v>365</v>
      </c>
      <c r="T204" s="162">
        <v>11</v>
      </c>
      <c r="U204" s="176" t="s">
        <v>1799</v>
      </c>
      <c r="V204" s="176">
        <v>1</v>
      </c>
      <c r="W204" s="162" t="s">
        <v>188</v>
      </c>
      <c r="X204" s="162" t="s">
        <v>203</v>
      </c>
    </row>
    <row r="205" spans="1:24" ht="16">
      <c r="A205" s="160" t="str">
        <f t="shared" si="3"/>
        <v>嘉義縣番路鄉</v>
      </c>
      <c r="B205" s="169" t="s">
        <v>188</v>
      </c>
      <c r="C205" s="169" t="s">
        <v>204</v>
      </c>
      <c r="D205" s="166">
        <v>27.5</v>
      </c>
      <c r="E205" s="164">
        <v>602</v>
      </c>
      <c r="F205" s="167">
        <v>0.8</v>
      </c>
      <c r="G205" s="167">
        <v>0.45</v>
      </c>
      <c r="H205" s="167">
        <v>1</v>
      </c>
      <c r="I205" s="167">
        <v>0.55000000000000004</v>
      </c>
      <c r="J205" s="180" t="s">
        <v>1567</v>
      </c>
      <c r="O205" s="167">
        <v>0.8</v>
      </c>
      <c r="P205" s="167">
        <v>0.45</v>
      </c>
      <c r="Q205" s="167">
        <v>1</v>
      </c>
      <c r="R205" s="167">
        <v>0.55000000000000004</v>
      </c>
      <c r="S205" s="162" t="s">
        <v>156</v>
      </c>
      <c r="T205" s="162">
        <v>8</v>
      </c>
      <c r="U205" s="176" t="s">
        <v>1799</v>
      </c>
      <c r="V205" s="176">
        <v>1</v>
      </c>
      <c r="W205" s="162" t="s">
        <v>188</v>
      </c>
      <c r="X205" s="162" t="s">
        <v>204</v>
      </c>
    </row>
    <row r="206" spans="1:24" ht="16">
      <c r="A206" s="160" t="str">
        <f t="shared" si="3"/>
        <v>嘉義縣大埔鄉</v>
      </c>
      <c r="B206" s="169" t="s">
        <v>188</v>
      </c>
      <c r="C206" s="169" t="s">
        <v>205</v>
      </c>
      <c r="D206" s="166">
        <v>27.5</v>
      </c>
      <c r="E206" s="164">
        <v>607</v>
      </c>
      <c r="F206" s="167">
        <v>0.8</v>
      </c>
      <c r="G206" s="167">
        <v>0.45</v>
      </c>
      <c r="H206" s="167">
        <v>1</v>
      </c>
      <c r="I206" s="167">
        <v>0.55000000000000004</v>
      </c>
      <c r="J206" s="180" t="s">
        <v>1567</v>
      </c>
      <c r="O206" s="167">
        <v>0.8</v>
      </c>
      <c r="P206" s="167">
        <v>0.45</v>
      </c>
      <c r="Q206" s="167">
        <v>1</v>
      </c>
      <c r="R206" s="167">
        <v>0.55000000000000004</v>
      </c>
      <c r="S206" s="162" t="s">
        <v>156</v>
      </c>
      <c r="T206" s="162">
        <v>8</v>
      </c>
      <c r="U206" s="176" t="s">
        <v>1799</v>
      </c>
      <c r="V206" s="176">
        <v>1</v>
      </c>
      <c r="W206" s="162" t="s">
        <v>188</v>
      </c>
      <c r="X206" s="162" t="s">
        <v>205</v>
      </c>
    </row>
    <row r="207" spans="1:24" ht="16">
      <c r="A207" s="160" t="str">
        <f t="shared" si="3"/>
        <v>嘉義縣阿里山鄉</v>
      </c>
      <c r="B207" s="169" t="s">
        <v>188</v>
      </c>
      <c r="C207" s="169" t="s">
        <v>206</v>
      </c>
      <c r="D207" s="166">
        <v>27.5</v>
      </c>
      <c r="E207" s="164">
        <v>605</v>
      </c>
      <c r="F207" s="167">
        <v>0.7</v>
      </c>
      <c r="G207" s="167">
        <v>0.4</v>
      </c>
      <c r="H207" s="167">
        <v>0.9</v>
      </c>
      <c r="I207" s="167">
        <v>0.5</v>
      </c>
      <c r="J207" s="180" t="s">
        <v>1567</v>
      </c>
      <c r="O207" s="167">
        <v>0.7</v>
      </c>
      <c r="P207" s="167">
        <v>0.4</v>
      </c>
      <c r="Q207" s="167">
        <v>0.9</v>
      </c>
      <c r="R207" s="167">
        <v>0.5</v>
      </c>
      <c r="S207" s="162" t="s">
        <v>156</v>
      </c>
      <c r="T207" s="162">
        <v>8</v>
      </c>
      <c r="U207" s="162" t="s">
        <v>1796</v>
      </c>
      <c r="V207" s="168">
        <v>0.8</v>
      </c>
      <c r="W207" s="162" t="s">
        <v>188</v>
      </c>
      <c r="X207" s="162" t="s">
        <v>206</v>
      </c>
    </row>
    <row r="208" spans="1:24" ht="16">
      <c r="A208" s="160" t="str">
        <f t="shared" si="3"/>
        <v>臺南市新營區</v>
      </c>
      <c r="B208" s="169" t="s">
        <v>1579</v>
      </c>
      <c r="C208" s="169" t="s">
        <v>209</v>
      </c>
      <c r="D208" s="166">
        <v>32.5</v>
      </c>
      <c r="E208" s="164">
        <v>730</v>
      </c>
      <c r="F208" s="167">
        <v>0.7</v>
      </c>
      <c r="G208" s="167">
        <v>0.4</v>
      </c>
      <c r="H208" s="167">
        <v>0.9</v>
      </c>
      <c r="I208" s="167">
        <v>0.5</v>
      </c>
      <c r="O208" s="167">
        <v>0.7</v>
      </c>
      <c r="P208" s="167">
        <v>0.4</v>
      </c>
      <c r="Q208" s="167">
        <v>0.9</v>
      </c>
      <c r="R208" s="167">
        <v>0.5</v>
      </c>
      <c r="T208" s="162">
        <v>0</v>
      </c>
      <c r="U208" s="176" t="s">
        <v>1799</v>
      </c>
      <c r="V208" s="176">
        <v>1</v>
      </c>
      <c r="W208" s="162" t="s">
        <v>208</v>
      </c>
      <c r="X208" s="162" t="s">
        <v>209</v>
      </c>
    </row>
    <row r="209" spans="1:24" ht="16">
      <c r="A209" s="160" t="str">
        <f t="shared" si="3"/>
        <v>臺南市鹽水區</v>
      </c>
      <c r="B209" s="169" t="s">
        <v>1579</v>
      </c>
      <c r="C209" s="169" t="s">
        <v>210</v>
      </c>
      <c r="D209" s="166">
        <v>32.5</v>
      </c>
      <c r="E209" s="164">
        <v>737</v>
      </c>
      <c r="F209" s="167">
        <v>0.7</v>
      </c>
      <c r="G209" s="167">
        <v>0.4</v>
      </c>
      <c r="H209" s="167">
        <v>0.9</v>
      </c>
      <c r="I209" s="167">
        <v>0.5</v>
      </c>
      <c r="O209" s="167">
        <v>0.7</v>
      </c>
      <c r="P209" s="167">
        <v>0.4</v>
      </c>
      <c r="Q209" s="167">
        <v>0.9</v>
      </c>
      <c r="R209" s="167">
        <v>0.5</v>
      </c>
      <c r="T209" s="162">
        <v>0</v>
      </c>
      <c r="U209" s="176" t="s">
        <v>1799</v>
      </c>
      <c r="V209" s="176">
        <v>1</v>
      </c>
      <c r="W209" s="162" t="s">
        <v>208</v>
      </c>
      <c r="X209" s="162" t="s">
        <v>210</v>
      </c>
    </row>
    <row r="210" spans="1:24" ht="16">
      <c r="A210" s="160" t="str">
        <f t="shared" si="3"/>
        <v>臺南市白河區</v>
      </c>
      <c r="B210" s="169" t="s">
        <v>1579</v>
      </c>
      <c r="C210" s="198" t="s">
        <v>211</v>
      </c>
      <c r="D210" s="166">
        <v>27.5</v>
      </c>
      <c r="E210" s="164">
        <v>732</v>
      </c>
      <c r="F210" s="167">
        <v>0.8</v>
      </c>
      <c r="G210" s="167">
        <v>0.45</v>
      </c>
      <c r="H210" s="167">
        <v>1</v>
      </c>
      <c r="I210" s="167">
        <v>0.55000000000000004</v>
      </c>
      <c r="J210" s="177" t="s">
        <v>1567</v>
      </c>
      <c r="K210" s="472" t="s">
        <v>1302</v>
      </c>
      <c r="L210" s="177"/>
      <c r="M210" s="177"/>
      <c r="N210" s="177"/>
      <c r="O210" s="167">
        <v>0.8</v>
      </c>
      <c r="P210" s="167">
        <v>0.45</v>
      </c>
      <c r="Q210" s="167">
        <v>1</v>
      </c>
      <c r="R210" s="167">
        <v>0.55000000000000004</v>
      </c>
      <c r="S210" s="162" t="s">
        <v>156</v>
      </c>
      <c r="T210" s="162">
        <v>8</v>
      </c>
      <c r="U210" s="176" t="s">
        <v>1799</v>
      </c>
      <c r="V210" s="176">
        <v>1</v>
      </c>
      <c r="W210" s="162" t="s">
        <v>208</v>
      </c>
      <c r="X210" s="162" t="s">
        <v>211</v>
      </c>
    </row>
    <row r="211" spans="1:24" ht="16">
      <c r="A211" s="160" t="str">
        <f t="shared" si="3"/>
        <v>臺南市柳營區</v>
      </c>
      <c r="B211" s="169" t="s">
        <v>1579</v>
      </c>
      <c r="C211" s="198" t="s">
        <v>212</v>
      </c>
      <c r="D211" s="166">
        <v>32.5</v>
      </c>
      <c r="E211" s="164">
        <v>736</v>
      </c>
      <c r="F211" s="178">
        <v>0.8</v>
      </c>
      <c r="G211" s="178">
        <v>0.45</v>
      </c>
      <c r="H211" s="178">
        <v>1</v>
      </c>
      <c r="I211" s="178">
        <v>0.55000000000000004</v>
      </c>
      <c r="J211" s="472" t="s">
        <v>1302</v>
      </c>
      <c r="K211" s="179"/>
      <c r="L211" s="179"/>
      <c r="M211" s="179"/>
      <c r="N211" s="179"/>
      <c r="O211" s="167">
        <v>0.7</v>
      </c>
      <c r="P211" s="167">
        <v>0.4</v>
      </c>
      <c r="Q211" s="167">
        <v>0.9</v>
      </c>
      <c r="R211" s="167">
        <v>0.5</v>
      </c>
      <c r="T211" s="162">
        <v>0</v>
      </c>
      <c r="U211" s="176" t="s">
        <v>1799</v>
      </c>
      <c r="V211" s="176">
        <v>1</v>
      </c>
      <c r="W211" s="162" t="s">
        <v>208</v>
      </c>
      <c r="X211" s="162" t="s">
        <v>212</v>
      </c>
    </row>
    <row r="212" spans="1:24" ht="16">
      <c r="A212" s="160" t="str">
        <f t="shared" si="3"/>
        <v>臺南市後壁區</v>
      </c>
      <c r="B212" s="169" t="s">
        <v>1579</v>
      </c>
      <c r="C212" s="169" t="s">
        <v>213</v>
      </c>
      <c r="D212" s="166">
        <v>32.5</v>
      </c>
      <c r="E212" s="164">
        <v>731</v>
      </c>
      <c r="F212" s="167">
        <v>0.7</v>
      </c>
      <c r="G212" s="167">
        <v>0.4</v>
      </c>
      <c r="H212" s="167">
        <v>0.9</v>
      </c>
      <c r="I212" s="167">
        <v>0.5</v>
      </c>
      <c r="O212" s="167">
        <v>0.7</v>
      </c>
      <c r="P212" s="167">
        <v>0.4</v>
      </c>
      <c r="Q212" s="167">
        <v>0.9</v>
      </c>
      <c r="R212" s="167">
        <v>0.5</v>
      </c>
      <c r="T212" s="162">
        <v>0</v>
      </c>
      <c r="U212" s="176" t="s">
        <v>1799</v>
      </c>
      <c r="V212" s="176">
        <v>1</v>
      </c>
      <c r="W212" s="162" t="s">
        <v>208</v>
      </c>
      <c r="X212" s="162" t="s">
        <v>213</v>
      </c>
    </row>
    <row r="213" spans="1:24" ht="16">
      <c r="A213" s="160" t="str">
        <f t="shared" si="3"/>
        <v>臺南市東山區</v>
      </c>
      <c r="B213" s="169" t="s">
        <v>1579</v>
      </c>
      <c r="C213" s="198" t="s">
        <v>214</v>
      </c>
      <c r="D213" s="166">
        <v>32.5</v>
      </c>
      <c r="E213" s="164">
        <v>733</v>
      </c>
      <c r="F213" s="178">
        <v>0.8</v>
      </c>
      <c r="G213" s="178">
        <v>0.45</v>
      </c>
      <c r="H213" s="178">
        <v>1</v>
      </c>
      <c r="I213" s="178">
        <v>0.55000000000000004</v>
      </c>
      <c r="J213" s="179" t="s">
        <v>1567</v>
      </c>
      <c r="K213" s="472" t="s">
        <v>1302</v>
      </c>
      <c r="L213" s="179"/>
      <c r="M213" s="179"/>
      <c r="N213" s="179"/>
      <c r="O213" s="167">
        <v>0.7</v>
      </c>
      <c r="P213" s="167">
        <v>0.4</v>
      </c>
      <c r="Q213" s="167">
        <v>0.9</v>
      </c>
      <c r="R213" s="167">
        <v>0.5</v>
      </c>
      <c r="S213" s="162" t="s">
        <v>156</v>
      </c>
      <c r="T213" s="162">
        <v>8</v>
      </c>
      <c r="U213" s="176" t="s">
        <v>1799</v>
      </c>
      <c r="V213" s="176">
        <v>1</v>
      </c>
      <c r="W213" s="162" t="s">
        <v>208</v>
      </c>
      <c r="X213" s="162" t="s">
        <v>214</v>
      </c>
    </row>
    <row r="214" spans="1:24" ht="16">
      <c r="A214" s="160" t="str">
        <f t="shared" si="3"/>
        <v>臺南市麻豆區</v>
      </c>
      <c r="B214" s="169" t="s">
        <v>1579</v>
      </c>
      <c r="C214" s="169" t="s">
        <v>215</v>
      </c>
      <c r="D214" s="166">
        <v>32.5</v>
      </c>
      <c r="E214" s="164">
        <v>721</v>
      </c>
      <c r="F214" s="167">
        <v>0.7</v>
      </c>
      <c r="G214" s="167">
        <v>0.4</v>
      </c>
      <c r="H214" s="167">
        <v>0.9</v>
      </c>
      <c r="I214" s="167">
        <v>0.5</v>
      </c>
      <c r="O214" s="167">
        <v>0.7</v>
      </c>
      <c r="P214" s="167">
        <v>0.4</v>
      </c>
      <c r="Q214" s="167">
        <v>0.9</v>
      </c>
      <c r="R214" s="167">
        <v>0.5</v>
      </c>
      <c r="T214" s="162">
        <v>0</v>
      </c>
      <c r="U214" s="162" t="s">
        <v>1796</v>
      </c>
      <c r="V214" s="168">
        <v>0.8</v>
      </c>
      <c r="W214" s="162" t="s">
        <v>208</v>
      </c>
      <c r="X214" s="162" t="s">
        <v>215</v>
      </c>
    </row>
    <row r="215" spans="1:24" ht="16">
      <c r="A215" s="160" t="str">
        <f t="shared" si="3"/>
        <v>臺南市下營區</v>
      </c>
      <c r="B215" s="169" t="s">
        <v>1579</v>
      </c>
      <c r="C215" s="169" t="s">
        <v>216</v>
      </c>
      <c r="D215" s="166">
        <v>32.5</v>
      </c>
      <c r="E215" s="164">
        <v>735</v>
      </c>
      <c r="F215" s="167">
        <v>0.7</v>
      </c>
      <c r="G215" s="167">
        <v>0.4</v>
      </c>
      <c r="H215" s="167">
        <v>0.9</v>
      </c>
      <c r="I215" s="167">
        <v>0.5</v>
      </c>
      <c r="O215" s="167">
        <v>0.7</v>
      </c>
      <c r="P215" s="167">
        <v>0.4</v>
      </c>
      <c r="Q215" s="167">
        <v>0.9</v>
      </c>
      <c r="R215" s="167">
        <v>0.5</v>
      </c>
      <c r="T215" s="162">
        <v>0</v>
      </c>
      <c r="U215" s="176" t="s">
        <v>1799</v>
      </c>
      <c r="V215" s="176">
        <v>1</v>
      </c>
      <c r="W215" s="162" t="s">
        <v>208</v>
      </c>
      <c r="X215" s="162" t="s">
        <v>216</v>
      </c>
    </row>
    <row r="216" spans="1:24" ht="16">
      <c r="A216" s="160" t="str">
        <f t="shared" si="3"/>
        <v>臺南市六甲區</v>
      </c>
      <c r="B216" s="169" t="s">
        <v>1579</v>
      </c>
      <c r="C216" s="472" t="s">
        <v>1817</v>
      </c>
      <c r="D216" s="166">
        <v>32.5</v>
      </c>
      <c r="E216" s="164">
        <v>734</v>
      </c>
      <c r="F216" s="178">
        <v>0.8</v>
      </c>
      <c r="G216" s="178">
        <v>0.45</v>
      </c>
      <c r="H216" s="178">
        <v>1</v>
      </c>
      <c r="I216" s="178">
        <v>0.55000000000000004</v>
      </c>
      <c r="J216" s="472" t="s">
        <v>1302</v>
      </c>
      <c r="K216" s="179"/>
      <c r="L216" s="179"/>
      <c r="M216" s="179"/>
      <c r="N216" s="179"/>
      <c r="O216" s="167">
        <v>0.7</v>
      </c>
      <c r="P216" s="167">
        <v>0.4</v>
      </c>
      <c r="Q216" s="167">
        <v>0.9</v>
      </c>
      <c r="R216" s="167">
        <v>0.5</v>
      </c>
      <c r="T216" s="162">
        <v>0</v>
      </c>
      <c r="U216" s="176" t="s">
        <v>1799</v>
      </c>
      <c r="V216" s="176">
        <v>1</v>
      </c>
      <c r="W216" s="162" t="s">
        <v>208</v>
      </c>
      <c r="X216" s="162" t="s">
        <v>217</v>
      </c>
    </row>
    <row r="217" spans="1:24" ht="16">
      <c r="A217" s="160" t="str">
        <f t="shared" si="3"/>
        <v>臺南市官田區</v>
      </c>
      <c r="B217" s="169" t="s">
        <v>1579</v>
      </c>
      <c r="C217" s="198" t="s">
        <v>218</v>
      </c>
      <c r="D217" s="166">
        <v>32.5</v>
      </c>
      <c r="E217" s="164">
        <v>720</v>
      </c>
      <c r="F217" s="178">
        <v>0.8</v>
      </c>
      <c r="G217" s="178">
        <v>0.45</v>
      </c>
      <c r="H217" s="178">
        <v>1</v>
      </c>
      <c r="I217" s="178">
        <v>0.55000000000000004</v>
      </c>
      <c r="J217" s="472" t="s">
        <v>1302</v>
      </c>
      <c r="K217" s="179"/>
      <c r="L217" s="179"/>
      <c r="M217" s="179"/>
      <c r="N217" s="179"/>
      <c r="O217" s="167">
        <v>0.7</v>
      </c>
      <c r="P217" s="167">
        <v>0.4</v>
      </c>
      <c r="Q217" s="167">
        <v>0.9</v>
      </c>
      <c r="R217" s="167">
        <v>0.5</v>
      </c>
      <c r="T217" s="162">
        <v>0</v>
      </c>
      <c r="U217" s="176" t="s">
        <v>1799</v>
      </c>
      <c r="V217" s="176">
        <v>1</v>
      </c>
      <c r="W217" s="162" t="s">
        <v>208</v>
      </c>
      <c r="X217" s="162" t="s">
        <v>218</v>
      </c>
    </row>
    <row r="218" spans="1:24" ht="16">
      <c r="A218" s="160" t="str">
        <f t="shared" si="3"/>
        <v>臺南市大內區</v>
      </c>
      <c r="B218" s="169" t="s">
        <v>1579</v>
      </c>
      <c r="C218" s="169" t="s">
        <v>219</v>
      </c>
      <c r="D218" s="166">
        <v>32.5</v>
      </c>
      <c r="E218" s="164">
        <v>742</v>
      </c>
      <c r="F218" s="167">
        <v>0.7</v>
      </c>
      <c r="G218" s="167">
        <v>0.4</v>
      </c>
      <c r="H218" s="167">
        <v>0.9</v>
      </c>
      <c r="I218" s="167">
        <v>0.5</v>
      </c>
      <c r="J218" s="161" t="s">
        <v>220</v>
      </c>
      <c r="O218" s="167">
        <v>0.7</v>
      </c>
      <c r="P218" s="167">
        <v>0.4</v>
      </c>
      <c r="Q218" s="167">
        <v>0.9</v>
      </c>
      <c r="R218" s="167">
        <v>0.5</v>
      </c>
      <c r="S218" s="162" t="s">
        <v>220</v>
      </c>
      <c r="T218" s="162">
        <v>12</v>
      </c>
      <c r="U218" s="176" t="s">
        <v>1799</v>
      </c>
      <c r="V218" s="176">
        <v>1</v>
      </c>
      <c r="W218" s="162" t="s">
        <v>208</v>
      </c>
      <c r="X218" s="162" t="s">
        <v>219</v>
      </c>
    </row>
    <row r="219" spans="1:24" ht="16">
      <c r="A219" s="160" t="str">
        <f t="shared" si="3"/>
        <v>臺南市佳里區</v>
      </c>
      <c r="B219" s="169" t="s">
        <v>1579</v>
      </c>
      <c r="C219" s="169" t="s">
        <v>221</v>
      </c>
      <c r="D219" s="166">
        <v>32.5</v>
      </c>
      <c r="E219" s="164">
        <v>722</v>
      </c>
      <c r="F219" s="167">
        <v>0.7</v>
      </c>
      <c r="G219" s="167">
        <v>0.4</v>
      </c>
      <c r="H219" s="167">
        <v>0.9</v>
      </c>
      <c r="I219" s="167">
        <v>0.5</v>
      </c>
      <c r="O219" s="167">
        <v>0.7</v>
      </c>
      <c r="P219" s="167">
        <v>0.4</v>
      </c>
      <c r="Q219" s="167">
        <v>0.9</v>
      </c>
      <c r="R219" s="167">
        <v>0.5</v>
      </c>
      <c r="T219" s="162">
        <v>0</v>
      </c>
      <c r="U219" s="162" t="s">
        <v>1796</v>
      </c>
      <c r="V219" s="168">
        <v>0.8</v>
      </c>
      <c r="W219" s="162" t="s">
        <v>208</v>
      </c>
      <c r="X219" s="162" t="s">
        <v>221</v>
      </c>
    </row>
    <row r="220" spans="1:24" ht="16">
      <c r="A220" s="160" t="str">
        <f t="shared" si="3"/>
        <v>臺南市學甲區</v>
      </c>
      <c r="B220" s="169" t="s">
        <v>1579</v>
      </c>
      <c r="C220" s="169" t="s">
        <v>222</v>
      </c>
      <c r="D220" s="166">
        <v>32.5</v>
      </c>
      <c r="E220" s="164">
        <v>726</v>
      </c>
      <c r="F220" s="167">
        <v>0.7</v>
      </c>
      <c r="G220" s="167">
        <v>0.4</v>
      </c>
      <c r="H220" s="167">
        <v>0.9</v>
      </c>
      <c r="I220" s="167">
        <v>0.5</v>
      </c>
      <c r="O220" s="167">
        <v>0.7</v>
      </c>
      <c r="P220" s="167">
        <v>0.4</v>
      </c>
      <c r="Q220" s="167">
        <v>0.9</v>
      </c>
      <c r="R220" s="167">
        <v>0.5</v>
      </c>
      <c r="T220" s="162">
        <v>0</v>
      </c>
      <c r="U220" s="162" t="s">
        <v>1796</v>
      </c>
      <c r="V220" s="168">
        <v>0.8</v>
      </c>
      <c r="W220" s="162" t="s">
        <v>208</v>
      </c>
      <c r="X220" s="162" t="s">
        <v>222</v>
      </c>
    </row>
    <row r="221" spans="1:24" ht="16">
      <c r="A221" s="160" t="str">
        <f t="shared" si="3"/>
        <v>臺南市西港區</v>
      </c>
      <c r="B221" s="169" t="s">
        <v>1579</v>
      </c>
      <c r="C221" s="169" t="s">
        <v>223</v>
      </c>
      <c r="D221" s="166">
        <v>32.5</v>
      </c>
      <c r="E221" s="164">
        <v>723</v>
      </c>
      <c r="F221" s="167">
        <v>0.7</v>
      </c>
      <c r="G221" s="167">
        <v>0.4</v>
      </c>
      <c r="H221" s="167">
        <v>0.9</v>
      </c>
      <c r="I221" s="167">
        <v>0.5</v>
      </c>
      <c r="O221" s="167">
        <v>0.7</v>
      </c>
      <c r="P221" s="167">
        <v>0.4</v>
      </c>
      <c r="Q221" s="167">
        <v>0.9</v>
      </c>
      <c r="R221" s="167">
        <v>0.5</v>
      </c>
      <c r="T221" s="162">
        <v>0</v>
      </c>
      <c r="U221" s="162" t="s">
        <v>1796</v>
      </c>
      <c r="V221" s="168">
        <v>0.8</v>
      </c>
      <c r="W221" s="162" t="s">
        <v>208</v>
      </c>
      <c r="X221" s="162" t="s">
        <v>223</v>
      </c>
    </row>
    <row r="222" spans="1:24" ht="16">
      <c r="A222" s="160" t="str">
        <f t="shared" si="3"/>
        <v>臺南市七股區</v>
      </c>
      <c r="B222" s="169" t="s">
        <v>1579</v>
      </c>
      <c r="C222" s="169" t="s">
        <v>224</v>
      </c>
      <c r="D222" s="166">
        <v>37.5</v>
      </c>
      <c r="E222" s="164">
        <v>724</v>
      </c>
      <c r="F222" s="167">
        <v>0.7</v>
      </c>
      <c r="G222" s="167">
        <v>0.4</v>
      </c>
      <c r="H222" s="167">
        <v>0.9</v>
      </c>
      <c r="I222" s="167">
        <v>0.5</v>
      </c>
      <c r="O222" s="167">
        <v>0.7</v>
      </c>
      <c r="P222" s="167">
        <v>0.4</v>
      </c>
      <c r="Q222" s="167">
        <v>0.9</v>
      </c>
      <c r="R222" s="167">
        <v>0.5</v>
      </c>
      <c r="T222" s="162">
        <v>0</v>
      </c>
      <c r="U222" s="162" t="s">
        <v>1796</v>
      </c>
      <c r="V222" s="168">
        <v>0.8</v>
      </c>
      <c r="W222" s="162" t="s">
        <v>208</v>
      </c>
      <c r="X222" s="162" t="s">
        <v>224</v>
      </c>
    </row>
    <row r="223" spans="1:24" ht="16">
      <c r="A223" s="160" t="str">
        <f t="shared" si="3"/>
        <v>臺南市將軍區</v>
      </c>
      <c r="B223" s="169" t="s">
        <v>1579</v>
      </c>
      <c r="C223" s="169" t="s">
        <v>225</v>
      </c>
      <c r="D223" s="166">
        <v>32.5</v>
      </c>
      <c r="E223" s="164">
        <v>725</v>
      </c>
      <c r="F223" s="167">
        <v>0.7</v>
      </c>
      <c r="G223" s="167">
        <v>0.4</v>
      </c>
      <c r="H223" s="167">
        <v>0.9</v>
      </c>
      <c r="I223" s="167">
        <v>0.5</v>
      </c>
      <c r="O223" s="167">
        <v>0.7</v>
      </c>
      <c r="P223" s="167">
        <v>0.4</v>
      </c>
      <c r="Q223" s="167">
        <v>0.9</v>
      </c>
      <c r="R223" s="167">
        <v>0.5</v>
      </c>
      <c r="T223" s="162">
        <v>0</v>
      </c>
      <c r="U223" s="162" t="s">
        <v>1796</v>
      </c>
      <c r="V223" s="168">
        <v>0.8</v>
      </c>
      <c r="W223" s="162" t="s">
        <v>208</v>
      </c>
      <c r="X223" s="162" t="s">
        <v>225</v>
      </c>
    </row>
    <row r="224" spans="1:24" ht="16">
      <c r="A224" s="160" t="str">
        <f t="shared" si="3"/>
        <v>臺南市北門區</v>
      </c>
      <c r="B224" s="169" t="s">
        <v>1579</v>
      </c>
      <c r="C224" s="463" t="s">
        <v>226</v>
      </c>
      <c r="D224" s="166">
        <v>32.5</v>
      </c>
      <c r="E224" s="164">
        <v>727</v>
      </c>
      <c r="F224" s="167">
        <v>0.7</v>
      </c>
      <c r="G224" s="167">
        <v>0.4</v>
      </c>
      <c r="H224" s="167">
        <v>0.9</v>
      </c>
      <c r="I224" s="167">
        <v>0.5</v>
      </c>
      <c r="O224" s="167">
        <v>0.7</v>
      </c>
      <c r="P224" s="167">
        <v>0.4</v>
      </c>
      <c r="Q224" s="167">
        <v>0.9</v>
      </c>
      <c r="R224" s="167">
        <v>0.5</v>
      </c>
      <c r="T224" s="162">
        <v>0</v>
      </c>
      <c r="U224" s="162" t="s">
        <v>1796</v>
      </c>
      <c r="V224" s="168">
        <v>0.8</v>
      </c>
      <c r="W224" s="162" t="s">
        <v>208</v>
      </c>
      <c r="X224" s="162" t="s">
        <v>226</v>
      </c>
    </row>
    <row r="225" spans="1:24" ht="16">
      <c r="A225" s="160" t="str">
        <f t="shared" si="3"/>
        <v>臺南市新化區</v>
      </c>
      <c r="B225" s="169" t="s">
        <v>1579</v>
      </c>
      <c r="C225" s="198" t="s">
        <v>227</v>
      </c>
      <c r="D225" s="166">
        <v>32.5</v>
      </c>
      <c r="E225" s="164">
        <v>712</v>
      </c>
      <c r="F225" s="167">
        <v>0.8</v>
      </c>
      <c r="G225" s="178">
        <v>0.45</v>
      </c>
      <c r="H225" s="167">
        <v>1</v>
      </c>
      <c r="I225" s="167">
        <v>0.55000000000000004</v>
      </c>
      <c r="J225" s="161" t="s">
        <v>220</v>
      </c>
      <c r="O225" s="167">
        <v>0.8</v>
      </c>
      <c r="P225" s="167">
        <v>0.4</v>
      </c>
      <c r="Q225" s="167">
        <v>1</v>
      </c>
      <c r="R225" s="167">
        <v>0.55000000000000004</v>
      </c>
      <c r="S225" s="162" t="s">
        <v>220</v>
      </c>
      <c r="T225" s="162">
        <v>12</v>
      </c>
      <c r="U225" s="162" t="s">
        <v>1796</v>
      </c>
      <c r="V225" s="168">
        <v>0.8</v>
      </c>
      <c r="W225" s="162" t="s">
        <v>208</v>
      </c>
      <c r="X225" s="162" t="s">
        <v>227</v>
      </c>
    </row>
    <row r="226" spans="1:24" ht="16">
      <c r="A226" s="160" t="str">
        <f t="shared" si="3"/>
        <v>臺南市善化區</v>
      </c>
      <c r="B226" s="169" t="s">
        <v>1579</v>
      </c>
      <c r="C226" s="169" t="s">
        <v>228</v>
      </c>
      <c r="D226" s="166">
        <v>32.5</v>
      </c>
      <c r="E226" s="164">
        <v>741</v>
      </c>
      <c r="F226" s="167">
        <v>0.7</v>
      </c>
      <c r="G226" s="167">
        <v>0.4</v>
      </c>
      <c r="H226" s="167">
        <v>0.9</v>
      </c>
      <c r="I226" s="167">
        <v>0.5</v>
      </c>
      <c r="J226" s="161" t="s">
        <v>220</v>
      </c>
      <c r="O226" s="167">
        <v>0.7</v>
      </c>
      <c r="P226" s="167">
        <v>0.4</v>
      </c>
      <c r="Q226" s="167">
        <v>0.9</v>
      </c>
      <c r="R226" s="167">
        <v>0.5</v>
      </c>
      <c r="S226" s="162" t="s">
        <v>220</v>
      </c>
      <c r="T226" s="162">
        <v>12</v>
      </c>
      <c r="U226" s="162" t="s">
        <v>1796</v>
      </c>
      <c r="V226" s="168">
        <v>0.8</v>
      </c>
      <c r="W226" s="162" t="s">
        <v>208</v>
      </c>
      <c r="X226" s="162" t="s">
        <v>228</v>
      </c>
    </row>
    <row r="227" spans="1:24" ht="16">
      <c r="A227" s="160" t="str">
        <f t="shared" si="3"/>
        <v>臺南市新市區</v>
      </c>
      <c r="B227" s="169" t="s">
        <v>1579</v>
      </c>
      <c r="C227" s="198" t="s">
        <v>229</v>
      </c>
      <c r="D227" s="166">
        <v>32.5</v>
      </c>
      <c r="E227" s="164">
        <v>744</v>
      </c>
      <c r="F227" s="167">
        <v>0.8</v>
      </c>
      <c r="G227" s="178">
        <v>0.45</v>
      </c>
      <c r="H227" s="167">
        <v>1</v>
      </c>
      <c r="I227" s="167">
        <v>0.55000000000000004</v>
      </c>
      <c r="J227" s="161" t="s">
        <v>220</v>
      </c>
      <c r="O227" s="167">
        <v>0.8</v>
      </c>
      <c r="P227" s="167">
        <v>0.4</v>
      </c>
      <c r="Q227" s="167">
        <v>1</v>
      </c>
      <c r="R227" s="167">
        <v>0.55000000000000004</v>
      </c>
      <c r="S227" s="162" t="s">
        <v>220</v>
      </c>
      <c r="T227" s="162">
        <v>12</v>
      </c>
      <c r="U227" s="162" t="s">
        <v>1796</v>
      </c>
      <c r="V227" s="168">
        <v>0.8</v>
      </c>
      <c r="W227" s="162" t="s">
        <v>208</v>
      </c>
      <c r="X227" s="162" t="s">
        <v>229</v>
      </c>
    </row>
    <row r="228" spans="1:24" ht="16">
      <c r="A228" s="160" t="str">
        <f t="shared" si="3"/>
        <v>臺南市安定區</v>
      </c>
      <c r="B228" s="169" t="s">
        <v>1579</v>
      </c>
      <c r="C228" s="198" t="s">
        <v>230</v>
      </c>
      <c r="D228" s="166">
        <v>32.5</v>
      </c>
      <c r="E228" s="164">
        <v>745</v>
      </c>
      <c r="F228" s="167">
        <v>0.7</v>
      </c>
      <c r="G228" s="167">
        <v>0.4</v>
      </c>
      <c r="H228" s="167">
        <v>0.9</v>
      </c>
      <c r="I228" s="167">
        <v>0.5</v>
      </c>
      <c r="O228" s="167">
        <v>0.7</v>
      </c>
      <c r="P228" s="167">
        <v>0.4</v>
      </c>
      <c r="Q228" s="167">
        <v>0.9</v>
      </c>
      <c r="R228" s="167">
        <v>0.5</v>
      </c>
      <c r="S228" s="162" t="s">
        <v>220</v>
      </c>
      <c r="T228" s="162">
        <v>12</v>
      </c>
      <c r="U228" s="162" t="s">
        <v>1796</v>
      </c>
      <c r="V228" s="168">
        <v>0.8</v>
      </c>
      <c r="W228" s="162" t="s">
        <v>208</v>
      </c>
      <c r="X228" s="162" t="s">
        <v>230</v>
      </c>
    </row>
    <row r="229" spans="1:24" ht="16">
      <c r="A229" s="160" t="str">
        <f t="shared" si="3"/>
        <v>臺南市山上區</v>
      </c>
      <c r="B229" s="169" t="s">
        <v>1579</v>
      </c>
      <c r="C229" s="198" t="s">
        <v>231</v>
      </c>
      <c r="D229" s="166">
        <v>32.5</v>
      </c>
      <c r="E229" s="164">
        <v>743</v>
      </c>
      <c r="F229" s="167">
        <v>0.8</v>
      </c>
      <c r="G229" s="178">
        <v>0.45</v>
      </c>
      <c r="H229" s="167">
        <v>1</v>
      </c>
      <c r="I229" s="167">
        <v>0.55000000000000004</v>
      </c>
      <c r="J229" s="161" t="s">
        <v>220</v>
      </c>
      <c r="O229" s="167">
        <v>0.8</v>
      </c>
      <c r="P229" s="167">
        <v>0.4</v>
      </c>
      <c r="Q229" s="167">
        <v>1</v>
      </c>
      <c r="R229" s="167">
        <v>0.55000000000000004</v>
      </c>
      <c r="S229" s="162" t="s">
        <v>220</v>
      </c>
      <c r="T229" s="162">
        <v>12</v>
      </c>
      <c r="U229" s="162" t="s">
        <v>1796</v>
      </c>
      <c r="V229" s="168">
        <v>0.8</v>
      </c>
      <c r="W229" s="162" t="s">
        <v>208</v>
      </c>
      <c r="X229" s="162" t="s">
        <v>231</v>
      </c>
    </row>
    <row r="230" spans="1:24" ht="16">
      <c r="A230" s="160" t="str">
        <f t="shared" si="3"/>
        <v>臺南市玉井區</v>
      </c>
      <c r="B230" s="169" t="s">
        <v>1579</v>
      </c>
      <c r="C230" s="198" t="s">
        <v>232</v>
      </c>
      <c r="D230" s="166">
        <v>32.5</v>
      </c>
      <c r="E230" s="164">
        <v>714</v>
      </c>
      <c r="F230" s="167">
        <v>0.7</v>
      </c>
      <c r="G230" s="167">
        <v>0.4</v>
      </c>
      <c r="H230" s="167">
        <v>0.9</v>
      </c>
      <c r="I230" s="167">
        <v>0.5</v>
      </c>
      <c r="O230" s="167">
        <v>0.7</v>
      </c>
      <c r="P230" s="167">
        <v>0.4</v>
      </c>
      <c r="Q230" s="167">
        <v>0.9</v>
      </c>
      <c r="R230" s="167">
        <v>0.5</v>
      </c>
      <c r="S230" s="162" t="s">
        <v>220</v>
      </c>
      <c r="T230" s="162">
        <v>12</v>
      </c>
      <c r="U230" s="176" t="s">
        <v>1799</v>
      </c>
      <c r="V230" s="176">
        <v>1</v>
      </c>
      <c r="W230" s="162" t="s">
        <v>208</v>
      </c>
      <c r="X230" s="162" t="s">
        <v>232</v>
      </c>
    </row>
    <row r="231" spans="1:24" ht="16">
      <c r="A231" s="160" t="str">
        <f t="shared" si="3"/>
        <v>臺南市楠西區</v>
      </c>
      <c r="B231" s="169" t="s">
        <v>1579</v>
      </c>
      <c r="C231" s="169" t="s">
        <v>233</v>
      </c>
      <c r="D231" s="166">
        <v>32.5</v>
      </c>
      <c r="E231" s="164">
        <v>715</v>
      </c>
      <c r="F231" s="167">
        <v>0.7</v>
      </c>
      <c r="G231" s="167">
        <v>0.4</v>
      </c>
      <c r="H231" s="167">
        <v>0.9</v>
      </c>
      <c r="I231" s="167">
        <v>0.5</v>
      </c>
      <c r="O231" s="167">
        <v>0.7</v>
      </c>
      <c r="P231" s="167">
        <v>0.4</v>
      </c>
      <c r="Q231" s="167">
        <v>0.9</v>
      </c>
      <c r="R231" s="167">
        <v>0.5</v>
      </c>
      <c r="T231" s="162">
        <v>0</v>
      </c>
      <c r="U231" s="176" t="s">
        <v>1799</v>
      </c>
      <c r="V231" s="176">
        <v>1</v>
      </c>
      <c r="W231" s="162" t="s">
        <v>208</v>
      </c>
      <c r="X231" s="162" t="s">
        <v>233</v>
      </c>
    </row>
    <row r="232" spans="1:24" ht="16">
      <c r="A232" s="160" t="str">
        <f t="shared" si="3"/>
        <v>臺南市南化區</v>
      </c>
      <c r="B232" s="169" t="s">
        <v>1579</v>
      </c>
      <c r="C232" s="169" t="s">
        <v>234</v>
      </c>
      <c r="D232" s="166">
        <v>32.5</v>
      </c>
      <c r="E232" s="164">
        <v>716</v>
      </c>
      <c r="F232" s="167">
        <v>0.7</v>
      </c>
      <c r="G232" s="167">
        <v>0.4</v>
      </c>
      <c r="H232" s="167">
        <v>0.9</v>
      </c>
      <c r="I232" s="167">
        <v>0.5</v>
      </c>
      <c r="O232" s="167">
        <v>0.7</v>
      </c>
      <c r="P232" s="167">
        <v>0.4</v>
      </c>
      <c r="Q232" s="167">
        <v>0.9</v>
      </c>
      <c r="R232" s="167">
        <v>0.5</v>
      </c>
      <c r="T232" s="162">
        <v>0</v>
      </c>
      <c r="U232" s="162" t="s">
        <v>1796</v>
      </c>
      <c r="V232" s="168">
        <v>0.8</v>
      </c>
      <c r="W232" s="162" t="s">
        <v>208</v>
      </c>
      <c r="X232" s="162" t="s">
        <v>234</v>
      </c>
    </row>
    <row r="233" spans="1:24" ht="16">
      <c r="A233" s="160" t="str">
        <f t="shared" si="3"/>
        <v>臺南市左鎮區</v>
      </c>
      <c r="B233" s="169" t="s">
        <v>1579</v>
      </c>
      <c r="C233" s="198" t="s">
        <v>235</v>
      </c>
      <c r="D233" s="166">
        <v>32.5</v>
      </c>
      <c r="E233" s="164">
        <v>713</v>
      </c>
      <c r="F233" s="167">
        <v>0.8</v>
      </c>
      <c r="G233" s="178">
        <v>0.45</v>
      </c>
      <c r="H233" s="167">
        <v>1</v>
      </c>
      <c r="I233" s="167">
        <v>0.55000000000000004</v>
      </c>
      <c r="J233" s="161" t="s">
        <v>220</v>
      </c>
      <c r="O233" s="167">
        <v>0.8</v>
      </c>
      <c r="P233" s="167">
        <v>0.4</v>
      </c>
      <c r="Q233" s="167">
        <v>1</v>
      </c>
      <c r="R233" s="167">
        <v>0.55000000000000004</v>
      </c>
      <c r="S233" s="162" t="s">
        <v>220</v>
      </c>
      <c r="T233" s="162">
        <v>12</v>
      </c>
      <c r="U233" s="162" t="s">
        <v>1796</v>
      </c>
      <c r="V233" s="168">
        <v>0.8</v>
      </c>
      <c r="W233" s="162" t="s">
        <v>208</v>
      </c>
      <c r="X233" s="162" t="s">
        <v>235</v>
      </c>
    </row>
    <row r="234" spans="1:24" ht="16">
      <c r="A234" s="160" t="str">
        <f t="shared" si="3"/>
        <v>臺南市仁德區</v>
      </c>
      <c r="B234" s="169" t="s">
        <v>1579</v>
      </c>
      <c r="C234" s="169" t="s">
        <v>236</v>
      </c>
      <c r="D234" s="166">
        <v>32.5</v>
      </c>
      <c r="E234" s="164">
        <v>717</v>
      </c>
      <c r="F234" s="167">
        <v>0.7</v>
      </c>
      <c r="G234" s="167">
        <v>0.4</v>
      </c>
      <c r="H234" s="167">
        <v>0.9</v>
      </c>
      <c r="I234" s="167">
        <v>0.5</v>
      </c>
      <c r="O234" s="167">
        <v>0.7</v>
      </c>
      <c r="P234" s="167">
        <v>0.4</v>
      </c>
      <c r="Q234" s="167">
        <v>0.9</v>
      </c>
      <c r="R234" s="167">
        <v>0.5</v>
      </c>
      <c r="T234" s="162">
        <v>0</v>
      </c>
      <c r="U234" s="162" t="s">
        <v>1796</v>
      </c>
      <c r="V234" s="168">
        <v>0.8</v>
      </c>
      <c r="W234" s="162" t="s">
        <v>208</v>
      </c>
      <c r="X234" s="162" t="s">
        <v>236</v>
      </c>
    </row>
    <row r="235" spans="1:24" ht="16">
      <c r="A235" s="160" t="str">
        <f t="shared" si="3"/>
        <v>臺南市歸仁區</v>
      </c>
      <c r="B235" s="169" t="s">
        <v>1579</v>
      </c>
      <c r="C235" s="169" t="s">
        <v>237</v>
      </c>
      <c r="D235" s="166">
        <v>32.5</v>
      </c>
      <c r="E235" s="164">
        <v>711</v>
      </c>
      <c r="F235" s="167">
        <v>0.7</v>
      </c>
      <c r="G235" s="167">
        <v>0.4</v>
      </c>
      <c r="H235" s="167">
        <v>0.9</v>
      </c>
      <c r="I235" s="167">
        <v>0.5</v>
      </c>
      <c r="J235" s="161" t="s">
        <v>220</v>
      </c>
      <c r="O235" s="167">
        <v>0.7</v>
      </c>
      <c r="P235" s="167">
        <v>0.4</v>
      </c>
      <c r="Q235" s="167">
        <v>0.9</v>
      </c>
      <c r="R235" s="167">
        <v>0.5</v>
      </c>
      <c r="S235" s="162" t="s">
        <v>220</v>
      </c>
      <c r="T235" s="162">
        <v>12</v>
      </c>
      <c r="U235" s="162" t="s">
        <v>1796</v>
      </c>
      <c r="V235" s="168">
        <v>0.8</v>
      </c>
      <c r="W235" s="162" t="s">
        <v>208</v>
      </c>
      <c r="X235" s="162" t="s">
        <v>237</v>
      </c>
    </row>
    <row r="236" spans="1:24" ht="16">
      <c r="A236" s="160" t="str">
        <f t="shared" si="3"/>
        <v>臺南市關廟區</v>
      </c>
      <c r="B236" s="169" t="s">
        <v>1579</v>
      </c>
      <c r="C236" s="169" t="s">
        <v>238</v>
      </c>
      <c r="D236" s="166">
        <v>32.5</v>
      </c>
      <c r="E236" s="164">
        <v>718</v>
      </c>
      <c r="F236" s="167">
        <v>0.7</v>
      </c>
      <c r="G236" s="167">
        <v>0.4</v>
      </c>
      <c r="H236" s="167">
        <v>0.9</v>
      </c>
      <c r="I236" s="167">
        <v>0.5</v>
      </c>
      <c r="J236" s="161" t="s">
        <v>220</v>
      </c>
      <c r="O236" s="167">
        <v>0.7</v>
      </c>
      <c r="P236" s="167">
        <v>0.4</v>
      </c>
      <c r="Q236" s="167">
        <v>0.9</v>
      </c>
      <c r="R236" s="167">
        <v>0.5</v>
      </c>
      <c r="S236" s="162" t="s">
        <v>220</v>
      </c>
      <c r="T236" s="162">
        <v>12</v>
      </c>
      <c r="U236" s="162" t="s">
        <v>1796</v>
      </c>
      <c r="V236" s="168">
        <v>0.8</v>
      </c>
      <c r="W236" s="162" t="s">
        <v>208</v>
      </c>
      <c r="X236" s="162" t="s">
        <v>238</v>
      </c>
    </row>
    <row r="237" spans="1:24" ht="16">
      <c r="A237" s="160" t="str">
        <f t="shared" si="3"/>
        <v>臺南市龍崎區</v>
      </c>
      <c r="B237" s="169" t="s">
        <v>1579</v>
      </c>
      <c r="C237" s="169" t="s">
        <v>239</v>
      </c>
      <c r="D237" s="166">
        <v>32.5</v>
      </c>
      <c r="E237" s="164">
        <v>719</v>
      </c>
      <c r="F237" s="167">
        <v>0.7</v>
      </c>
      <c r="G237" s="167">
        <v>0.4</v>
      </c>
      <c r="H237" s="167">
        <v>0.9</v>
      </c>
      <c r="I237" s="167">
        <v>0.5</v>
      </c>
      <c r="O237" s="167">
        <v>0.7</v>
      </c>
      <c r="P237" s="167">
        <v>0.4</v>
      </c>
      <c r="Q237" s="167">
        <v>0.9</v>
      </c>
      <c r="R237" s="167">
        <v>0.5</v>
      </c>
      <c r="S237" s="162" t="s">
        <v>220</v>
      </c>
      <c r="T237" s="162">
        <v>12</v>
      </c>
      <c r="U237" s="162" t="s">
        <v>1796</v>
      </c>
      <c r="V237" s="168">
        <v>0.8</v>
      </c>
      <c r="W237" s="162" t="s">
        <v>208</v>
      </c>
      <c r="X237" s="162" t="s">
        <v>239</v>
      </c>
    </row>
    <row r="238" spans="1:24" ht="16">
      <c r="A238" s="160" t="str">
        <f t="shared" si="3"/>
        <v>臺南市永康區</v>
      </c>
      <c r="B238" s="169" t="s">
        <v>1579</v>
      </c>
      <c r="C238" s="198" t="s">
        <v>240</v>
      </c>
      <c r="D238" s="166">
        <v>32.5</v>
      </c>
      <c r="E238" s="164">
        <v>710</v>
      </c>
      <c r="F238" s="167">
        <v>0.8</v>
      </c>
      <c r="G238" s="178">
        <v>0.45</v>
      </c>
      <c r="H238" s="167">
        <v>1</v>
      </c>
      <c r="I238" s="167">
        <v>0.55000000000000004</v>
      </c>
      <c r="J238" s="161" t="s">
        <v>220</v>
      </c>
      <c r="O238" s="167">
        <v>0.8</v>
      </c>
      <c r="P238" s="167">
        <v>0.4</v>
      </c>
      <c r="Q238" s="167">
        <v>1</v>
      </c>
      <c r="R238" s="167">
        <v>0.55000000000000004</v>
      </c>
      <c r="S238" s="162" t="s">
        <v>220</v>
      </c>
      <c r="T238" s="162">
        <v>12</v>
      </c>
      <c r="U238" s="162" t="s">
        <v>1796</v>
      </c>
      <c r="V238" s="168">
        <v>0.8</v>
      </c>
      <c r="W238" s="162" t="s">
        <v>208</v>
      </c>
      <c r="X238" s="162" t="s">
        <v>240</v>
      </c>
    </row>
    <row r="239" spans="1:24" ht="16">
      <c r="A239" s="160" t="str">
        <f t="shared" si="3"/>
        <v>臺南市東區</v>
      </c>
      <c r="B239" s="169" t="s">
        <v>1579</v>
      </c>
      <c r="C239" s="169" t="s">
        <v>1598</v>
      </c>
      <c r="D239" s="166">
        <v>37.5</v>
      </c>
      <c r="E239" s="164">
        <v>701</v>
      </c>
      <c r="F239" s="167">
        <v>0.7</v>
      </c>
      <c r="G239" s="167">
        <v>0.4</v>
      </c>
      <c r="H239" s="167">
        <v>0.9</v>
      </c>
      <c r="I239" s="167">
        <v>0.5</v>
      </c>
      <c r="O239" s="167">
        <v>0.7</v>
      </c>
      <c r="P239" s="167">
        <v>0.4</v>
      </c>
      <c r="Q239" s="167">
        <v>0.9</v>
      </c>
      <c r="R239" s="167">
        <v>0.5</v>
      </c>
      <c r="T239" s="162">
        <v>0</v>
      </c>
      <c r="U239" s="162" t="s">
        <v>1796</v>
      </c>
      <c r="V239" s="168">
        <v>0.8</v>
      </c>
      <c r="W239" s="162" t="s">
        <v>208</v>
      </c>
      <c r="X239" s="174" t="s">
        <v>1598</v>
      </c>
    </row>
    <row r="240" spans="1:24" ht="16">
      <c r="A240" s="160" t="str">
        <f t="shared" si="3"/>
        <v>臺南市南區</v>
      </c>
      <c r="B240" s="169" t="s">
        <v>1579</v>
      </c>
      <c r="C240" s="169" t="s">
        <v>1614</v>
      </c>
      <c r="D240" s="166">
        <v>37.5</v>
      </c>
      <c r="E240" s="164">
        <v>702</v>
      </c>
      <c r="F240" s="167">
        <v>0.7</v>
      </c>
      <c r="G240" s="167">
        <v>0.4</v>
      </c>
      <c r="H240" s="167">
        <v>0.9</v>
      </c>
      <c r="I240" s="167">
        <v>0.5</v>
      </c>
      <c r="O240" s="167">
        <v>0.7</v>
      </c>
      <c r="P240" s="167">
        <v>0.4</v>
      </c>
      <c r="Q240" s="167">
        <v>0.9</v>
      </c>
      <c r="R240" s="167">
        <v>0.5</v>
      </c>
      <c r="T240" s="162">
        <v>0</v>
      </c>
      <c r="U240" s="162" t="s">
        <v>1796</v>
      </c>
      <c r="V240" s="168">
        <v>0.8</v>
      </c>
      <c r="W240" s="162" t="s">
        <v>208</v>
      </c>
      <c r="X240" s="174" t="s">
        <v>1614</v>
      </c>
    </row>
    <row r="241" spans="1:24" ht="16">
      <c r="A241" s="160" t="str">
        <f t="shared" si="3"/>
        <v>臺南市中西區</v>
      </c>
      <c r="B241" s="169" t="s">
        <v>1579</v>
      </c>
      <c r="C241" s="169" t="s">
        <v>241</v>
      </c>
      <c r="D241" s="166">
        <v>37.5</v>
      </c>
      <c r="E241" s="164">
        <v>700</v>
      </c>
      <c r="F241" s="167">
        <v>0.7</v>
      </c>
      <c r="G241" s="167">
        <v>0.4</v>
      </c>
      <c r="H241" s="167">
        <v>0.9</v>
      </c>
      <c r="I241" s="167">
        <v>0.5</v>
      </c>
      <c r="O241" s="167">
        <v>0.7</v>
      </c>
      <c r="P241" s="167">
        <v>0.4</v>
      </c>
      <c r="Q241" s="167">
        <v>0.9</v>
      </c>
      <c r="R241" s="167">
        <v>0.5</v>
      </c>
      <c r="T241" s="162">
        <v>0</v>
      </c>
      <c r="U241" s="162" t="s">
        <v>1796</v>
      </c>
      <c r="V241" s="168">
        <v>0.8</v>
      </c>
      <c r="W241" s="162" t="s">
        <v>208</v>
      </c>
      <c r="X241" s="162" t="s">
        <v>241</v>
      </c>
    </row>
    <row r="242" spans="1:24" ht="16">
      <c r="A242" s="160" t="str">
        <f t="shared" si="3"/>
        <v>臺南市北區</v>
      </c>
      <c r="B242" s="169" t="s">
        <v>1579</v>
      </c>
      <c r="C242" s="463" t="s">
        <v>1806</v>
      </c>
      <c r="D242" s="166">
        <v>37.5</v>
      </c>
      <c r="E242" s="164">
        <v>704</v>
      </c>
      <c r="F242" s="167">
        <v>0.7</v>
      </c>
      <c r="G242" s="167">
        <v>0.4</v>
      </c>
      <c r="H242" s="167">
        <v>0.9</v>
      </c>
      <c r="I242" s="167">
        <v>0.5</v>
      </c>
      <c r="O242" s="167">
        <v>0.7</v>
      </c>
      <c r="P242" s="167">
        <v>0.4</v>
      </c>
      <c r="Q242" s="167">
        <v>0.9</v>
      </c>
      <c r="R242" s="167">
        <v>0.5</v>
      </c>
      <c r="T242" s="162">
        <v>0</v>
      </c>
      <c r="U242" s="162" t="s">
        <v>1796</v>
      </c>
      <c r="V242" s="168">
        <v>0.8</v>
      </c>
      <c r="W242" s="162" t="s">
        <v>208</v>
      </c>
      <c r="X242" s="463" t="s">
        <v>1806</v>
      </c>
    </row>
    <row r="243" spans="1:24" ht="16">
      <c r="A243" s="160" t="str">
        <f t="shared" si="3"/>
        <v>臺南市安南區</v>
      </c>
      <c r="B243" s="169" t="s">
        <v>1579</v>
      </c>
      <c r="C243" s="198" t="s">
        <v>242</v>
      </c>
      <c r="D243" s="166">
        <v>37.5</v>
      </c>
      <c r="E243" s="164">
        <v>709</v>
      </c>
      <c r="F243" s="167">
        <v>0.7</v>
      </c>
      <c r="G243" s="167">
        <v>0.4</v>
      </c>
      <c r="H243" s="167">
        <v>0.9</v>
      </c>
      <c r="I243" s="178">
        <v>0.5</v>
      </c>
      <c r="O243" s="167">
        <v>0.7</v>
      </c>
      <c r="P243" s="167">
        <v>0.4</v>
      </c>
      <c r="Q243" s="167">
        <v>0.9</v>
      </c>
      <c r="R243" s="167">
        <v>0.55000000000000004</v>
      </c>
      <c r="S243" s="162" t="s">
        <v>220</v>
      </c>
      <c r="T243" s="162">
        <v>12</v>
      </c>
      <c r="U243" s="162" t="s">
        <v>1796</v>
      </c>
      <c r="V243" s="168">
        <v>0.8</v>
      </c>
      <c r="W243" s="162" t="s">
        <v>208</v>
      </c>
      <c r="X243" s="162" t="s">
        <v>242</v>
      </c>
    </row>
    <row r="244" spans="1:24" ht="16">
      <c r="A244" s="160" t="str">
        <f t="shared" si="3"/>
        <v>臺南市安平區</v>
      </c>
      <c r="B244" s="169" t="s">
        <v>1579</v>
      </c>
      <c r="C244" s="169" t="s">
        <v>243</v>
      </c>
      <c r="D244" s="166">
        <v>37.5</v>
      </c>
      <c r="E244" s="164">
        <v>708</v>
      </c>
      <c r="F244" s="167">
        <v>0.7</v>
      </c>
      <c r="G244" s="167">
        <v>0.4</v>
      </c>
      <c r="H244" s="167">
        <v>0.9</v>
      </c>
      <c r="I244" s="167">
        <v>0.5</v>
      </c>
      <c r="O244" s="167">
        <v>0.7</v>
      </c>
      <c r="P244" s="167">
        <v>0.4</v>
      </c>
      <c r="Q244" s="167">
        <v>0.9</v>
      </c>
      <c r="R244" s="167">
        <v>0.5</v>
      </c>
      <c r="T244" s="162">
        <v>0</v>
      </c>
      <c r="U244" s="162" t="s">
        <v>1796</v>
      </c>
      <c r="V244" s="168">
        <v>0.8</v>
      </c>
      <c r="W244" s="162" t="s">
        <v>208</v>
      </c>
      <c r="X244" s="162" t="s">
        <v>243</v>
      </c>
    </row>
    <row r="245" spans="1:24" ht="16">
      <c r="A245" s="473" t="str">
        <f t="shared" si="3"/>
        <v>高雄市鳳山區</v>
      </c>
      <c r="B245" s="474" t="s">
        <v>244</v>
      </c>
      <c r="C245" s="474" t="s">
        <v>245</v>
      </c>
      <c r="D245" s="328">
        <v>37.5</v>
      </c>
      <c r="E245" s="329">
        <v>830</v>
      </c>
      <c r="F245" s="327">
        <v>0.6</v>
      </c>
      <c r="G245" s="327">
        <v>0.35</v>
      </c>
      <c r="H245" s="330">
        <v>0.8</v>
      </c>
      <c r="I245" s="327">
        <v>0.5</v>
      </c>
      <c r="O245" s="167">
        <v>0.5</v>
      </c>
      <c r="P245" s="167">
        <v>0.35</v>
      </c>
      <c r="Q245" s="167">
        <v>0.7</v>
      </c>
      <c r="R245" s="167">
        <v>0.5</v>
      </c>
      <c r="T245" s="162">
        <v>0</v>
      </c>
      <c r="U245" s="175" t="s">
        <v>1797</v>
      </c>
      <c r="V245" s="175">
        <v>0.6</v>
      </c>
      <c r="W245" s="162" t="s">
        <v>244</v>
      </c>
      <c r="X245" s="162" t="s">
        <v>245</v>
      </c>
    </row>
    <row r="246" spans="1:24" ht="16">
      <c r="A246" s="160" t="str">
        <f t="shared" si="3"/>
        <v>高雄市林園區</v>
      </c>
      <c r="B246" s="169" t="s">
        <v>244</v>
      </c>
      <c r="C246" s="169" t="s">
        <v>246</v>
      </c>
      <c r="D246" s="166">
        <v>37.5</v>
      </c>
      <c r="E246" s="164">
        <v>832</v>
      </c>
      <c r="F246" s="173">
        <v>0.5</v>
      </c>
      <c r="G246" s="173">
        <v>0.3</v>
      </c>
      <c r="H246" s="173">
        <v>0.7</v>
      </c>
      <c r="I246" s="173">
        <v>0.45</v>
      </c>
      <c r="O246" s="167">
        <v>0.5</v>
      </c>
      <c r="P246" s="167">
        <v>0.3</v>
      </c>
      <c r="Q246" s="167">
        <v>0.7</v>
      </c>
      <c r="R246" s="167">
        <v>0.45</v>
      </c>
      <c r="T246" s="162">
        <v>0</v>
      </c>
      <c r="U246" s="175" t="s">
        <v>1797</v>
      </c>
      <c r="V246" s="175">
        <v>0.6</v>
      </c>
      <c r="W246" s="162" t="s">
        <v>244</v>
      </c>
      <c r="X246" s="162" t="s">
        <v>246</v>
      </c>
    </row>
    <row r="247" spans="1:24" ht="16">
      <c r="A247" s="473" t="str">
        <f t="shared" si="3"/>
        <v>高雄市大寮區</v>
      </c>
      <c r="B247" s="474" t="s">
        <v>244</v>
      </c>
      <c r="C247" s="474" t="s">
        <v>247</v>
      </c>
      <c r="D247" s="328">
        <v>37.5</v>
      </c>
      <c r="E247" s="329">
        <v>831</v>
      </c>
      <c r="F247" s="331">
        <v>0.6</v>
      </c>
      <c r="G247" s="331">
        <v>0.35</v>
      </c>
      <c r="H247" s="330">
        <v>0.8</v>
      </c>
      <c r="I247" s="331">
        <v>0.45</v>
      </c>
      <c r="O247" s="167">
        <v>0.5</v>
      </c>
      <c r="P247" s="167">
        <v>0.35</v>
      </c>
      <c r="Q247" s="167">
        <v>0.7</v>
      </c>
      <c r="R247" s="167">
        <v>0.45</v>
      </c>
      <c r="T247" s="162">
        <v>0</v>
      </c>
      <c r="U247" s="175" t="s">
        <v>1797</v>
      </c>
      <c r="V247" s="175">
        <v>0.6</v>
      </c>
      <c r="W247" s="162" t="s">
        <v>244</v>
      </c>
      <c r="X247" s="162" t="s">
        <v>247</v>
      </c>
    </row>
    <row r="248" spans="1:24" ht="16">
      <c r="A248" s="160" t="str">
        <f t="shared" si="3"/>
        <v>高雄市大樹區</v>
      </c>
      <c r="B248" s="169" t="s">
        <v>244</v>
      </c>
      <c r="C248" s="169" t="s">
        <v>248</v>
      </c>
      <c r="D248" s="166">
        <v>37.5</v>
      </c>
      <c r="E248" s="164">
        <v>840</v>
      </c>
      <c r="F248" s="178">
        <v>0.7</v>
      </c>
      <c r="G248" s="178">
        <v>0.4</v>
      </c>
      <c r="H248" s="178">
        <v>0.9</v>
      </c>
      <c r="I248" s="178">
        <v>0.5</v>
      </c>
      <c r="J248" s="182" t="s">
        <v>1351</v>
      </c>
      <c r="O248" s="167">
        <v>0.6</v>
      </c>
      <c r="P248" s="167">
        <v>0.35</v>
      </c>
      <c r="Q248" s="167">
        <v>0.8</v>
      </c>
      <c r="R248" s="167">
        <v>0.5</v>
      </c>
      <c r="T248" s="162">
        <v>0</v>
      </c>
      <c r="U248" s="175" t="s">
        <v>1797</v>
      </c>
      <c r="V248" s="175">
        <v>0.6</v>
      </c>
      <c r="W248" s="162" t="s">
        <v>244</v>
      </c>
      <c r="X248" s="162" t="s">
        <v>248</v>
      </c>
    </row>
    <row r="249" spans="1:24" ht="16">
      <c r="A249" s="160" t="str">
        <f t="shared" si="3"/>
        <v>高雄市大社區</v>
      </c>
      <c r="B249" s="169" t="s">
        <v>244</v>
      </c>
      <c r="C249" s="169" t="s">
        <v>249</v>
      </c>
      <c r="D249" s="166">
        <v>37.5</v>
      </c>
      <c r="E249" s="164">
        <v>815</v>
      </c>
      <c r="F249" s="178">
        <v>0.8</v>
      </c>
      <c r="G249" s="178">
        <v>0.45</v>
      </c>
      <c r="H249" s="178">
        <v>1</v>
      </c>
      <c r="I249" s="178">
        <v>0.55000000000000004</v>
      </c>
      <c r="J249" s="182" t="s">
        <v>1351</v>
      </c>
      <c r="O249" s="167">
        <v>0.6</v>
      </c>
      <c r="P249" s="167">
        <v>0.35</v>
      </c>
      <c r="Q249" s="167">
        <v>0.8</v>
      </c>
      <c r="R249" s="167">
        <v>0.5</v>
      </c>
      <c r="T249" s="162">
        <v>0</v>
      </c>
      <c r="U249" s="175" t="s">
        <v>1797</v>
      </c>
      <c r="V249" s="175">
        <v>0.6</v>
      </c>
      <c r="W249" s="162" t="s">
        <v>244</v>
      </c>
      <c r="X249" s="162" t="s">
        <v>249</v>
      </c>
    </row>
    <row r="250" spans="1:24" ht="16">
      <c r="A250" s="160" t="str">
        <f t="shared" si="3"/>
        <v>高雄市仁武區</v>
      </c>
      <c r="B250" s="169" t="s">
        <v>244</v>
      </c>
      <c r="C250" s="169" t="s">
        <v>250</v>
      </c>
      <c r="D250" s="166">
        <v>37.5</v>
      </c>
      <c r="E250" s="164">
        <v>814</v>
      </c>
      <c r="F250" s="178">
        <v>0.8</v>
      </c>
      <c r="G250" s="178">
        <v>0.45</v>
      </c>
      <c r="H250" s="178">
        <v>1</v>
      </c>
      <c r="I250" s="178">
        <v>0.55000000000000004</v>
      </c>
      <c r="J250" s="182" t="s">
        <v>1351</v>
      </c>
      <c r="O250" s="167">
        <v>0.6</v>
      </c>
      <c r="P250" s="167">
        <v>0.35</v>
      </c>
      <c r="Q250" s="167">
        <v>0.8</v>
      </c>
      <c r="R250" s="167">
        <v>0.5</v>
      </c>
      <c r="T250" s="162">
        <v>0</v>
      </c>
      <c r="U250" s="175" t="s">
        <v>1797</v>
      </c>
      <c r="V250" s="175">
        <v>0.6</v>
      </c>
      <c r="W250" s="162" t="s">
        <v>244</v>
      </c>
      <c r="X250" s="162" t="s">
        <v>250</v>
      </c>
    </row>
    <row r="251" spans="1:24" ht="16">
      <c r="A251" s="160" t="str">
        <f t="shared" si="3"/>
        <v>高雄市鳥松區</v>
      </c>
      <c r="B251" s="169" t="s">
        <v>244</v>
      </c>
      <c r="C251" s="169" t="s">
        <v>251</v>
      </c>
      <c r="D251" s="166">
        <v>37.5</v>
      </c>
      <c r="E251" s="164">
        <v>833</v>
      </c>
      <c r="F251" s="178">
        <v>0.7</v>
      </c>
      <c r="G251" s="178">
        <v>0.4</v>
      </c>
      <c r="H251" s="178">
        <v>0.9</v>
      </c>
      <c r="I251" s="178">
        <v>0.5</v>
      </c>
      <c r="J251" s="182" t="s">
        <v>1351</v>
      </c>
      <c r="O251" s="167">
        <v>0.6</v>
      </c>
      <c r="P251" s="167">
        <v>0.35</v>
      </c>
      <c r="Q251" s="167">
        <v>0.8</v>
      </c>
      <c r="R251" s="167">
        <v>0.5</v>
      </c>
      <c r="T251" s="162">
        <v>0</v>
      </c>
      <c r="U251" s="175" t="s">
        <v>1797</v>
      </c>
      <c r="V251" s="175">
        <v>0.6</v>
      </c>
      <c r="W251" s="162" t="s">
        <v>244</v>
      </c>
      <c r="X251" s="162" t="s">
        <v>251</v>
      </c>
    </row>
    <row r="252" spans="1:24" ht="16">
      <c r="A252" s="160" t="str">
        <f t="shared" si="3"/>
        <v>高雄市岡山區</v>
      </c>
      <c r="B252" s="169" t="s">
        <v>244</v>
      </c>
      <c r="C252" s="169" t="s">
        <v>252</v>
      </c>
      <c r="D252" s="166">
        <v>37.5</v>
      </c>
      <c r="E252" s="164">
        <v>820</v>
      </c>
      <c r="F252" s="178">
        <v>0.7</v>
      </c>
      <c r="G252" s="178">
        <v>0.4</v>
      </c>
      <c r="H252" s="178">
        <v>0.9</v>
      </c>
      <c r="I252" s="178">
        <v>0.5</v>
      </c>
      <c r="J252" s="182" t="s">
        <v>1351</v>
      </c>
      <c r="O252" s="167">
        <v>0.7</v>
      </c>
      <c r="P252" s="167">
        <v>0.35</v>
      </c>
      <c r="Q252" s="167">
        <v>0.9</v>
      </c>
      <c r="R252" s="167">
        <v>0.5</v>
      </c>
      <c r="T252" s="162">
        <v>0</v>
      </c>
      <c r="U252" s="175" t="s">
        <v>1797</v>
      </c>
      <c r="V252" s="175">
        <v>0.6</v>
      </c>
      <c r="W252" s="162" t="s">
        <v>244</v>
      </c>
      <c r="X252" s="162" t="s">
        <v>252</v>
      </c>
    </row>
    <row r="253" spans="1:24" ht="16">
      <c r="A253" s="160" t="str">
        <f t="shared" si="3"/>
        <v>高雄市橋頭區</v>
      </c>
      <c r="B253" s="169" t="s">
        <v>244</v>
      </c>
      <c r="C253" s="169" t="s">
        <v>253</v>
      </c>
      <c r="D253" s="166">
        <v>37.5</v>
      </c>
      <c r="E253" s="164">
        <v>825</v>
      </c>
      <c r="F253" s="178">
        <v>0.8</v>
      </c>
      <c r="G253" s="178">
        <v>0.45</v>
      </c>
      <c r="H253" s="178">
        <v>1</v>
      </c>
      <c r="I253" s="178">
        <v>0.55000000000000004</v>
      </c>
      <c r="J253" s="182" t="s">
        <v>1351</v>
      </c>
      <c r="O253" s="167">
        <v>0.7</v>
      </c>
      <c r="P253" s="167">
        <v>0.35</v>
      </c>
      <c r="Q253" s="167">
        <v>0.9</v>
      </c>
      <c r="R253" s="167">
        <v>0.5</v>
      </c>
      <c r="T253" s="162">
        <v>0</v>
      </c>
      <c r="U253" s="175" t="s">
        <v>1797</v>
      </c>
      <c r="V253" s="175">
        <v>0.6</v>
      </c>
      <c r="W253" s="162" t="s">
        <v>244</v>
      </c>
      <c r="X253" s="162" t="s">
        <v>253</v>
      </c>
    </row>
    <row r="254" spans="1:24" ht="16">
      <c r="A254" s="160" t="str">
        <f t="shared" si="3"/>
        <v>高雄市燕巢區</v>
      </c>
      <c r="B254" s="169" t="s">
        <v>244</v>
      </c>
      <c r="C254" s="169" t="s">
        <v>254</v>
      </c>
      <c r="D254" s="166">
        <v>37.5</v>
      </c>
      <c r="E254" s="164">
        <v>824</v>
      </c>
      <c r="F254" s="178">
        <v>0.8</v>
      </c>
      <c r="G254" s="178">
        <v>0.45</v>
      </c>
      <c r="H254" s="178">
        <v>1</v>
      </c>
      <c r="I254" s="178">
        <v>0.55000000000000004</v>
      </c>
      <c r="J254" s="182" t="s">
        <v>1351</v>
      </c>
      <c r="O254" s="167">
        <v>0.7</v>
      </c>
      <c r="P254" s="167">
        <v>0.35</v>
      </c>
      <c r="Q254" s="167">
        <v>0.9</v>
      </c>
      <c r="R254" s="167">
        <v>0.5</v>
      </c>
      <c r="T254" s="162">
        <v>0</v>
      </c>
      <c r="U254" s="175" t="s">
        <v>1797</v>
      </c>
      <c r="V254" s="175">
        <v>0.6</v>
      </c>
      <c r="W254" s="162" t="s">
        <v>244</v>
      </c>
      <c r="X254" s="162" t="s">
        <v>254</v>
      </c>
    </row>
    <row r="255" spans="1:24" ht="16">
      <c r="A255" s="160" t="str">
        <f t="shared" si="3"/>
        <v>高雄市田寮區</v>
      </c>
      <c r="B255" s="169" t="s">
        <v>244</v>
      </c>
      <c r="C255" s="466" t="s">
        <v>1818</v>
      </c>
      <c r="D255" s="166">
        <v>32.5</v>
      </c>
      <c r="E255" s="164">
        <v>823</v>
      </c>
      <c r="F255" s="178">
        <v>0.8</v>
      </c>
      <c r="G255" s="178">
        <v>0.45</v>
      </c>
      <c r="H255" s="178">
        <v>1</v>
      </c>
      <c r="I255" s="178">
        <v>0.55000000000000004</v>
      </c>
      <c r="J255" s="182" t="s">
        <v>1351</v>
      </c>
      <c r="O255" s="167">
        <v>0.7</v>
      </c>
      <c r="P255" s="167">
        <v>0.35</v>
      </c>
      <c r="Q255" s="167">
        <v>0.9</v>
      </c>
      <c r="R255" s="167">
        <v>0.5</v>
      </c>
      <c r="T255" s="162">
        <v>0</v>
      </c>
      <c r="U255" s="162" t="s">
        <v>1796</v>
      </c>
      <c r="V255" s="168">
        <v>0.8</v>
      </c>
      <c r="W255" s="162" t="s">
        <v>244</v>
      </c>
      <c r="X255" s="162" t="s">
        <v>255</v>
      </c>
    </row>
    <row r="256" spans="1:24" ht="16">
      <c r="A256" s="473" t="str">
        <f t="shared" si="3"/>
        <v>高雄市阿蓮區</v>
      </c>
      <c r="B256" s="474" t="s">
        <v>244</v>
      </c>
      <c r="C256" s="474" t="s">
        <v>256</v>
      </c>
      <c r="D256" s="328">
        <v>32.5</v>
      </c>
      <c r="E256" s="329">
        <v>822</v>
      </c>
      <c r="F256" s="168">
        <v>0.7</v>
      </c>
      <c r="G256" s="332">
        <v>0.4</v>
      </c>
      <c r="H256" s="168">
        <v>0.9</v>
      </c>
      <c r="I256" s="168">
        <v>0.5</v>
      </c>
      <c r="O256" s="167">
        <v>0.7</v>
      </c>
      <c r="P256" s="167">
        <v>0.35</v>
      </c>
      <c r="Q256" s="167">
        <v>0.9</v>
      </c>
      <c r="R256" s="167">
        <v>0.5</v>
      </c>
      <c r="T256" s="162">
        <v>0</v>
      </c>
      <c r="U256" s="175" t="s">
        <v>1797</v>
      </c>
      <c r="V256" s="175">
        <v>0.6</v>
      </c>
      <c r="W256" s="162" t="s">
        <v>244</v>
      </c>
      <c r="X256" s="162" t="s">
        <v>256</v>
      </c>
    </row>
    <row r="257" spans="1:24" ht="16">
      <c r="A257" s="160" t="str">
        <f t="shared" si="3"/>
        <v>高雄市路竹區</v>
      </c>
      <c r="B257" s="169" t="s">
        <v>244</v>
      </c>
      <c r="C257" s="169" t="s">
        <v>257</v>
      </c>
      <c r="D257" s="166">
        <v>37.5</v>
      </c>
      <c r="E257" s="164">
        <v>821</v>
      </c>
      <c r="F257" s="167">
        <v>0.7</v>
      </c>
      <c r="G257" s="167">
        <v>0.35</v>
      </c>
      <c r="H257" s="167">
        <v>0.9</v>
      </c>
      <c r="I257" s="167">
        <v>0.5</v>
      </c>
      <c r="O257" s="167">
        <v>0.7</v>
      </c>
      <c r="P257" s="167">
        <v>0.35</v>
      </c>
      <c r="Q257" s="167">
        <v>0.9</v>
      </c>
      <c r="R257" s="167">
        <v>0.5</v>
      </c>
      <c r="T257" s="162">
        <v>0</v>
      </c>
      <c r="U257" s="175" t="s">
        <v>1797</v>
      </c>
      <c r="V257" s="175">
        <v>0.6</v>
      </c>
      <c r="W257" s="162" t="s">
        <v>244</v>
      </c>
      <c r="X257" s="162" t="s">
        <v>257</v>
      </c>
    </row>
    <row r="258" spans="1:24" ht="16">
      <c r="A258" s="160" t="str">
        <f t="shared" si="3"/>
        <v>高雄市湖內區</v>
      </c>
      <c r="B258" s="169" t="s">
        <v>244</v>
      </c>
      <c r="C258" s="169" t="s">
        <v>258</v>
      </c>
      <c r="D258" s="166">
        <v>37.5</v>
      </c>
      <c r="E258" s="164">
        <v>829</v>
      </c>
      <c r="F258" s="167">
        <v>0.7</v>
      </c>
      <c r="G258" s="167">
        <v>0.35</v>
      </c>
      <c r="H258" s="167">
        <v>0.9</v>
      </c>
      <c r="I258" s="167">
        <v>0.5</v>
      </c>
      <c r="O258" s="167">
        <v>0.7</v>
      </c>
      <c r="P258" s="167">
        <v>0.35</v>
      </c>
      <c r="Q258" s="167">
        <v>0.9</v>
      </c>
      <c r="R258" s="167">
        <v>0.5</v>
      </c>
      <c r="T258" s="162">
        <v>0</v>
      </c>
      <c r="U258" s="175" t="s">
        <v>1797</v>
      </c>
      <c r="V258" s="175">
        <v>0.6</v>
      </c>
      <c r="W258" s="162" t="s">
        <v>244</v>
      </c>
      <c r="X258" s="162" t="s">
        <v>258</v>
      </c>
    </row>
    <row r="259" spans="1:24" ht="16">
      <c r="A259" s="160" t="str">
        <f t="shared" ref="A259:A322" si="4">B259&amp;C259</f>
        <v>高雄市茄萣區</v>
      </c>
      <c r="B259" s="169" t="s">
        <v>244</v>
      </c>
      <c r="C259" s="169" t="s">
        <v>259</v>
      </c>
      <c r="D259" s="166">
        <v>37.5</v>
      </c>
      <c r="E259" s="164">
        <v>852</v>
      </c>
      <c r="F259" s="167">
        <v>0.7</v>
      </c>
      <c r="G259" s="167">
        <v>0.35</v>
      </c>
      <c r="H259" s="167">
        <v>0.9</v>
      </c>
      <c r="I259" s="167">
        <v>0.5</v>
      </c>
      <c r="O259" s="167">
        <v>0.7</v>
      </c>
      <c r="P259" s="167">
        <v>0.35</v>
      </c>
      <c r="Q259" s="167">
        <v>0.9</v>
      </c>
      <c r="R259" s="167">
        <v>0.5</v>
      </c>
      <c r="T259" s="162">
        <v>0</v>
      </c>
      <c r="U259" s="175" t="s">
        <v>1797</v>
      </c>
      <c r="V259" s="175">
        <v>0.6</v>
      </c>
      <c r="W259" s="162" t="s">
        <v>244</v>
      </c>
      <c r="X259" s="162" t="s">
        <v>259</v>
      </c>
    </row>
    <row r="260" spans="1:24" ht="16">
      <c r="A260" s="160" t="str">
        <f t="shared" si="4"/>
        <v>高雄市永安區</v>
      </c>
      <c r="B260" s="169" t="s">
        <v>244</v>
      </c>
      <c r="C260" s="169" t="s">
        <v>260</v>
      </c>
      <c r="D260" s="166">
        <v>37.5</v>
      </c>
      <c r="E260" s="164">
        <v>828</v>
      </c>
      <c r="F260" s="167">
        <v>0.7</v>
      </c>
      <c r="G260" s="167">
        <v>0.35</v>
      </c>
      <c r="H260" s="167">
        <v>0.9</v>
      </c>
      <c r="I260" s="167">
        <v>0.5</v>
      </c>
      <c r="O260" s="167">
        <v>0.7</v>
      </c>
      <c r="P260" s="167">
        <v>0.35</v>
      </c>
      <c r="Q260" s="167">
        <v>0.9</v>
      </c>
      <c r="R260" s="167">
        <v>0.5</v>
      </c>
      <c r="T260" s="162">
        <v>0</v>
      </c>
      <c r="U260" s="175" t="s">
        <v>1797</v>
      </c>
      <c r="V260" s="175">
        <v>0.6</v>
      </c>
      <c r="W260" s="162" t="s">
        <v>244</v>
      </c>
      <c r="X260" s="162" t="s">
        <v>260</v>
      </c>
    </row>
    <row r="261" spans="1:24" ht="16">
      <c r="A261" s="160" t="str">
        <f t="shared" si="4"/>
        <v>高雄市彌陀區</v>
      </c>
      <c r="B261" s="169" t="s">
        <v>244</v>
      </c>
      <c r="C261" s="169" t="s">
        <v>261</v>
      </c>
      <c r="D261" s="166">
        <v>37.5</v>
      </c>
      <c r="E261" s="164">
        <v>827</v>
      </c>
      <c r="F261" s="167">
        <v>0.7</v>
      </c>
      <c r="G261" s="167">
        <v>0.35</v>
      </c>
      <c r="H261" s="167">
        <v>0.9</v>
      </c>
      <c r="I261" s="167">
        <v>0.5</v>
      </c>
      <c r="O261" s="167">
        <v>0.7</v>
      </c>
      <c r="P261" s="167">
        <v>0.35</v>
      </c>
      <c r="Q261" s="167">
        <v>0.9</v>
      </c>
      <c r="R261" s="167">
        <v>0.5</v>
      </c>
      <c r="T261" s="162">
        <v>0</v>
      </c>
      <c r="U261" s="175" t="s">
        <v>1797</v>
      </c>
      <c r="V261" s="175">
        <v>0.6</v>
      </c>
      <c r="W261" s="162" t="s">
        <v>244</v>
      </c>
      <c r="X261" s="162" t="s">
        <v>261</v>
      </c>
    </row>
    <row r="262" spans="1:24" ht="16">
      <c r="A262" s="160" t="str">
        <f t="shared" si="4"/>
        <v>高雄市梓官區</v>
      </c>
      <c r="B262" s="169" t="s">
        <v>244</v>
      </c>
      <c r="C262" s="169" t="s">
        <v>262</v>
      </c>
      <c r="D262" s="166">
        <v>37.5</v>
      </c>
      <c r="E262" s="164">
        <v>826</v>
      </c>
      <c r="F262" s="167">
        <v>0.7</v>
      </c>
      <c r="G262" s="178">
        <v>0.4</v>
      </c>
      <c r="H262" s="167">
        <v>0.9</v>
      </c>
      <c r="I262" s="167">
        <v>0.5</v>
      </c>
      <c r="O262" s="167">
        <v>0.7</v>
      </c>
      <c r="P262" s="167">
        <v>0.35</v>
      </c>
      <c r="Q262" s="167">
        <v>0.9</v>
      </c>
      <c r="R262" s="167">
        <v>0.5</v>
      </c>
      <c r="T262" s="162">
        <v>0</v>
      </c>
      <c r="U262" s="175" t="s">
        <v>1797</v>
      </c>
      <c r="V262" s="175">
        <v>0.6</v>
      </c>
      <c r="W262" s="162" t="s">
        <v>244</v>
      </c>
      <c r="X262" s="162" t="s">
        <v>262</v>
      </c>
    </row>
    <row r="263" spans="1:24" ht="16">
      <c r="A263" s="160" t="str">
        <f t="shared" si="4"/>
        <v>高雄市旗山區</v>
      </c>
      <c r="B263" s="169" t="s">
        <v>244</v>
      </c>
      <c r="C263" s="169" t="s">
        <v>263</v>
      </c>
      <c r="D263" s="166">
        <v>32.5</v>
      </c>
      <c r="E263" s="164">
        <v>842</v>
      </c>
      <c r="F263" s="178">
        <v>0.8</v>
      </c>
      <c r="G263" s="178">
        <v>0.45</v>
      </c>
      <c r="H263" s="178">
        <v>1</v>
      </c>
      <c r="I263" s="178">
        <v>0.55000000000000004</v>
      </c>
      <c r="J263" s="182" t="s">
        <v>1351</v>
      </c>
      <c r="O263" s="167">
        <v>0.7</v>
      </c>
      <c r="P263" s="167">
        <v>0.4</v>
      </c>
      <c r="Q263" s="167">
        <v>0.9</v>
      </c>
      <c r="R263" s="167">
        <v>0.5</v>
      </c>
      <c r="T263" s="162">
        <v>0</v>
      </c>
      <c r="U263" s="162" t="s">
        <v>1796</v>
      </c>
      <c r="V263" s="168">
        <v>0.8</v>
      </c>
      <c r="W263" s="162" t="s">
        <v>244</v>
      </c>
      <c r="X263" s="162" t="s">
        <v>263</v>
      </c>
    </row>
    <row r="264" spans="1:24" ht="16">
      <c r="A264" s="160" t="str">
        <f t="shared" si="4"/>
        <v>高雄市美濃區</v>
      </c>
      <c r="B264" s="169" t="s">
        <v>244</v>
      </c>
      <c r="C264" s="169" t="s">
        <v>264</v>
      </c>
      <c r="D264" s="166">
        <v>32.5</v>
      </c>
      <c r="E264" s="164">
        <v>843</v>
      </c>
      <c r="F264" s="167">
        <v>0.7</v>
      </c>
      <c r="G264" s="167">
        <v>0.4</v>
      </c>
      <c r="H264" s="167">
        <v>0.9</v>
      </c>
      <c r="I264" s="167">
        <v>0.5</v>
      </c>
      <c r="J264" s="182" t="s">
        <v>1351</v>
      </c>
      <c r="O264" s="167">
        <v>0.7</v>
      </c>
      <c r="P264" s="167">
        <v>0.4</v>
      </c>
      <c r="Q264" s="167">
        <v>0.9</v>
      </c>
      <c r="R264" s="167">
        <v>0.5</v>
      </c>
      <c r="T264" s="162">
        <v>0</v>
      </c>
      <c r="U264" s="162" t="s">
        <v>1796</v>
      </c>
      <c r="V264" s="168">
        <v>0.8</v>
      </c>
      <c r="W264" s="162" t="s">
        <v>244</v>
      </c>
      <c r="X264" s="162" t="s">
        <v>264</v>
      </c>
    </row>
    <row r="265" spans="1:24" ht="16">
      <c r="A265" s="160" t="str">
        <f t="shared" si="4"/>
        <v>高雄市六龜區</v>
      </c>
      <c r="B265" s="169" t="s">
        <v>244</v>
      </c>
      <c r="C265" s="169" t="s">
        <v>265</v>
      </c>
      <c r="D265" s="166">
        <v>32.5</v>
      </c>
      <c r="E265" s="164">
        <v>844</v>
      </c>
      <c r="F265" s="167">
        <v>0.7</v>
      </c>
      <c r="G265" s="167">
        <v>0.4</v>
      </c>
      <c r="H265" s="167">
        <v>0.9</v>
      </c>
      <c r="I265" s="167">
        <v>0.5</v>
      </c>
      <c r="O265" s="167">
        <v>0.7</v>
      </c>
      <c r="P265" s="167">
        <v>0.4</v>
      </c>
      <c r="Q265" s="167">
        <v>0.9</v>
      </c>
      <c r="R265" s="167">
        <v>0.5</v>
      </c>
      <c r="T265" s="162">
        <v>0</v>
      </c>
      <c r="U265" s="162" t="s">
        <v>1796</v>
      </c>
      <c r="V265" s="168">
        <v>0.8</v>
      </c>
      <c r="W265" s="162" t="s">
        <v>244</v>
      </c>
      <c r="X265" s="162" t="s">
        <v>265</v>
      </c>
    </row>
    <row r="266" spans="1:24" ht="16">
      <c r="A266" s="160" t="str">
        <f t="shared" si="4"/>
        <v>高雄市甲仙區</v>
      </c>
      <c r="B266" s="169" t="s">
        <v>244</v>
      </c>
      <c r="C266" s="169" t="s">
        <v>266</v>
      </c>
      <c r="D266" s="166">
        <v>32.5</v>
      </c>
      <c r="E266" s="164">
        <v>847</v>
      </c>
      <c r="F266" s="167">
        <v>0.7</v>
      </c>
      <c r="G266" s="167">
        <v>0.4</v>
      </c>
      <c r="H266" s="167">
        <v>0.9</v>
      </c>
      <c r="I266" s="167">
        <v>0.5</v>
      </c>
      <c r="O266" s="167">
        <v>0.7</v>
      </c>
      <c r="P266" s="167">
        <v>0.4</v>
      </c>
      <c r="Q266" s="167">
        <v>0.9</v>
      </c>
      <c r="R266" s="167">
        <v>0.5</v>
      </c>
      <c r="T266" s="162">
        <v>0</v>
      </c>
      <c r="U266" s="162" t="s">
        <v>1796</v>
      </c>
      <c r="V266" s="168">
        <v>0.8</v>
      </c>
      <c r="W266" s="162" t="s">
        <v>244</v>
      </c>
      <c r="X266" s="162" t="s">
        <v>266</v>
      </c>
    </row>
    <row r="267" spans="1:24" ht="16">
      <c r="A267" s="160" t="str">
        <f t="shared" si="4"/>
        <v>高雄市杉林區</v>
      </c>
      <c r="B267" s="169" t="s">
        <v>244</v>
      </c>
      <c r="C267" s="169" t="s">
        <v>267</v>
      </c>
      <c r="D267" s="166">
        <v>32.5</v>
      </c>
      <c r="E267" s="164">
        <v>846</v>
      </c>
      <c r="F267" s="167">
        <v>0.7</v>
      </c>
      <c r="G267" s="167">
        <v>0.4</v>
      </c>
      <c r="H267" s="167">
        <v>0.9</v>
      </c>
      <c r="I267" s="167">
        <v>0.5</v>
      </c>
      <c r="J267" s="182" t="s">
        <v>1351</v>
      </c>
      <c r="O267" s="167">
        <v>0.7</v>
      </c>
      <c r="P267" s="167">
        <v>0.4</v>
      </c>
      <c r="Q267" s="167">
        <v>0.9</v>
      </c>
      <c r="R267" s="167">
        <v>0.5</v>
      </c>
      <c r="T267" s="162">
        <v>0</v>
      </c>
      <c r="U267" s="162" t="s">
        <v>1796</v>
      </c>
      <c r="V267" s="168">
        <v>0.8</v>
      </c>
      <c r="W267" s="162" t="s">
        <v>244</v>
      </c>
      <c r="X267" s="162" t="s">
        <v>267</v>
      </c>
    </row>
    <row r="268" spans="1:24" ht="16">
      <c r="A268" s="160" t="str">
        <f t="shared" si="4"/>
        <v>高雄市內門區</v>
      </c>
      <c r="B268" s="169" t="s">
        <v>244</v>
      </c>
      <c r="C268" s="169" t="s">
        <v>268</v>
      </c>
      <c r="D268" s="166">
        <v>32.5</v>
      </c>
      <c r="E268" s="164">
        <v>845</v>
      </c>
      <c r="F268" s="167">
        <v>0.7</v>
      </c>
      <c r="G268" s="167">
        <v>0.4</v>
      </c>
      <c r="H268" s="167">
        <v>0.9</v>
      </c>
      <c r="I268" s="167">
        <v>0.5</v>
      </c>
      <c r="J268" s="182" t="s">
        <v>1351</v>
      </c>
      <c r="O268" s="167">
        <v>0.7</v>
      </c>
      <c r="P268" s="167">
        <v>0.4</v>
      </c>
      <c r="Q268" s="167">
        <v>0.9</v>
      </c>
      <c r="R268" s="167">
        <v>0.5</v>
      </c>
      <c r="T268" s="162">
        <v>0</v>
      </c>
      <c r="U268" s="162" t="s">
        <v>1796</v>
      </c>
      <c r="V268" s="168">
        <v>0.8</v>
      </c>
      <c r="W268" s="162" t="s">
        <v>244</v>
      </c>
      <c r="X268" s="162" t="s">
        <v>268</v>
      </c>
    </row>
    <row r="269" spans="1:24" ht="16">
      <c r="A269" s="160" t="str">
        <f t="shared" si="4"/>
        <v>高雄市茂林區</v>
      </c>
      <c r="B269" s="169" t="s">
        <v>244</v>
      </c>
      <c r="C269" s="169" t="s">
        <v>269</v>
      </c>
      <c r="D269" s="166">
        <v>32.5</v>
      </c>
      <c r="E269" s="164">
        <v>851</v>
      </c>
      <c r="F269" s="167">
        <v>0.7</v>
      </c>
      <c r="G269" s="167">
        <v>0.4</v>
      </c>
      <c r="H269" s="167">
        <v>0.9</v>
      </c>
      <c r="I269" s="167">
        <v>0.5</v>
      </c>
      <c r="O269" s="167">
        <v>0.7</v>
      </c>
      <c r="P269" s="167">
        <v>0.4</v>
      </c>
      <c r="Q269" s="167">
        <v>0.9</v>
      </c>
      <c r="R269" s="167">
        <v>0.5</v>
      </c>
      <c r="T269" s="162">
        <v>0</v>
      </c>
      <c r="U269" s="162" t="s">
        <v>1796</v>
      </c>
      <c r="V269" s="168">
        <v>0.8</v>
      </c>
      <c r="W269" s="162" t="s">
        <v>244</v>
      </c>
      <c r="X269" s="162" t="s">
        <v>269</v>
      </c>
    </row>
    <row r="270" spans="1:24" ht="16">
      <c r="A270" s="160" t="str">
        <f t="shared" si="4"/>
        <v>高雄市桃源區</v>
      </c>
      <c r="B270" s="169" t="s">
        <v>244</v>
      </c>
      <c r="C270" s="169" t="s">
        <v>270</v>
      </c>
      <c r="D270" s="166">
        <v>37.5</v>
      </c>
      <c r="E270" s="164">
        <v>848</v>
      </c>
      <c r="F270" s="167">
        <v>0.7</v>
      </c>
      <c r="G270" s="167">
        <v>0.4</v>
      </c>
      <c r="H270" s="167">
        <v>0.9</v>
      </c>
      <c r="I270" s="167">
        <v>0.5</v>
      </c>
      <c r="O270" s="167">
        <v>0.7</v>
      </c>
      <c r="P270" s="167">
        <v>0.4</v>
      </c>
      <c r="Q270" s="167">
        <v>0.9</v>
      </c>
      <c r="R270" s="167">
        <v>0.5</v>
      </c>
      <c r="T270" s="162">
        <v>0</v>
      </c>
      <c r="U270" s="162" t="s">
        <v>1796</v>
      </c>
      <c r="V270" s="168">
        <v>0.8</v>
      </c>
      <c r="W270" s="162" t="s">
        <v>244</v>
      </c>
      <c r="X270" s="162" t="s">
        <v>270</v>
      </c>
    </row>
    <row r="271" spans="1:24" ht="16">
      <c r="A271" s="160" t="str">
        <f t="shared" si="4"/>
        <v>高雄市那瑪夏區</v>
      </c>
      <c r="B271" s="169" t="s">
        <v>244</v>
      </c>
      <c r="C271" s="169" t="s">
        <v>271</v>
      </c>
      <c r="D271" s="166">
        <v>32.5</v>
      </c>
      <c r="E271" s="164">
        <v>849</v>
      </c>
      <c r="F271" s="167">
        <v>0.7</v>
      </c>
      <c r="G271" s="167">
        <v>0.4</v>
      </c>
      <c r="H271" s="167">
        <v>0.9</v>
      </c>
      <c r="I271" s="167">
        <v>0.5</v>
      </c>
      <c r="O271" s="167">
        <v>0.7</v>
      </c>
      <c r="P271" s="167">
        <v>0.4</v>
      </c>
      <c r="Q271" s="167">
        <v>0.9</v>
      </c>
      <c r="R271" s="167">
        <v>0.5</v>
      </c>
      <c r="T271" s="162">
        <v>0</v>
      </c>
      <c r="U271" s="162" t="s">
        <v>1796</v>
      </c>
      <c r="V271" s="168">
        <v>0.8</v>
      </c>
      <c r="W271" s="162" t="s">
        <v>244</v>
      </c>
      <c r="X271" s="162" t="s">
        <v>271</v>
      </c>
    </row>
    <row r="272" spans="1:24" ht="16">
      <c r="A272" s="160" t="str">
        <f t="shared" si="4"/>
        <v>高雄市鹽埕區</v>
      </c>
      <c r="B272" s="169" t="s">
        <v>244</v>
      </c>
      <c r="C272" s="169" t="s">
        <v>272</v>
      </c>
      <c r="D272" s="166">
        <v>37.5</v>
      </c>
      <c r="E272" s="164">
        <v>803</v>
      </c>
      <c r="F272" s="173">
        <v>0.6</v>
      </c>
      <c r="G272" s="173">
        <v>0.35</v>
      </c>
      <c r="H272" s="173">
        <v>0.8</v>
      </c>
      <c r="I272" s="173">
        <v>0.5</v>
      </c>
      <c r="O272" s="167">
        <v>0.6</v>
      </c>
      <c r="P272" s="167">
        <v>0.35</v>
      </c>
      <c r="Q272" s="167">
        <v>0.8</v>
      </c>
      <c r="R272" s="167">
        <v>0.5</v>
      </c>
      <c r="T272" s="162">
        <v>0</v>
      </c>
      <c r="U272" s="175" t="s">
        <v>1797</v>
      </c>
      <c r="V272" s="175">
        <v>0.6</v>
      </c>
      <c r="W272" s="162" t="s">
        <v>244</v>
      </c>
      <c r="X272" s="162" t="s">
        <v>272</v>
      </c>
    </row>
    <row r="273" spans="1:24" ht="16">
      <c r="A273" s="160" t="str">
        <f t="shared" si="4"/>
        <v>高雄市鼓山區</v>
      </c>
      <c r="B273" s="169" t="s">
        <v>244</v>
      </c>
      <c r="C273" s="169" t="s">
        <v>273</v>
      </c>
      <c r="D273" s="166">
        <v>37.5</v>
      </c>
      <c r="E273" s="164">
        <v>804</v>
      </c>
      <c r="F273" s="173">
        <v>0.6</v>
      </c>
      <c r="G273" s="173">
        <v>0.35</v>
      </c>
      <c r="H273" s="173">
        <v>0.8</v>
      </c>
      <c r="I273" s="173">
        <v>0.5</v>
      </c>
      <c r="O273" s="167">
        <v>0.6</v>
      </c>
      <c r="P273" s="167">
        <v>0.35</v>
      </c>
      <c r="Q273" s="167">
        <v>0.8</v>
      </c>
      <c r="R273" s="167">
        <v>0.5</v>
      </c>
      <c r="T273" s="162">
        <v>0</v>
      </c>
      <c r="U273" s="175" t="s">
        <v>1797</v>
      </c>
      <c r="V273" s="175">
        <v>0.6</v>
      </c>
      <c r="W273" s="162" t="s">
        <v>244</v>
      </c>
      <c r="X273" s="162" t="s">
        <v>273</v>
      </c>
    </row>
    <row r="274" spans="1:24" ht="16">
      <c r="A274" s="160" t="str">
        <f t="shared" si="4"/>
        <v>高雄市左營區</v>
      </c>
      <c r="B274" s="169" t="s">
        <v>244</v>
      </c>
      <c r="C274" s="169" t="s">
        <v>274</v>
      </c>
      <c r="D274" s="166">
        <v>37.5</v>
      </c>
      <c r="E274" s="164">
        <v>813</v>
      </c>
      <c r="F274" s="178">
        <v>0.7</v>
      </c>
      <c r="G274" s="178">
        <v>0.4</v>
      </c>
      <c r="H274" s="178">
        <v>0.9</v>
      </c>
      <c r="I274" s="178">
        <v>0.5</v>
      </c>
      <c r="J274" s="182" t="s">
        <v>1351</v>
      </c>
      <c r="O274" s="167">
        <v>0.6</v>
      </c>
      <c r="P274" s="167">
        <v>0.35</v>
      </c>
      <c r="Q274" s="167">
        <v>0.8</v>
      </c>
      <c r="R274" s="167">
        <v>0.5</v>
      </c>
      <c r="T274" s="162">
        <v>0</v>
      </c>
      <c r="U274" s="175" t="s">
        <v>1797</v>
      </c>
      <c r="V274" s="175">
        <v>0.6</v>
      </c>
      <c r="W274" s="162" t="s">
        <v>244</v>
      </c>
      <c r="X274" s="162" t="s">
        <v>274</v>
      </c>
    </row>
    <row r="275" spans="1:24" ht="16">
      <c r="A275" s="160" t="str">
        <f t="shared" si="4"/>
        <v>高雄市楠梓區</v>
      </c>
      <c r="B275" s="169" t="s">
        <v>244</v>
      </c>
      <c r="C275" s="169" t="s">
        <v>275</v>
      </c>
      <c r="D275" s="166">
        <v>37.5</v>
      </c>
      <c r="E275" s="164">
        <v>811</v>
      </c>
      <c r="F275" s="178">
        <v>0.8</v>
      </c>
      <c r="G275" s="178">
        <v>0.45</v>
      </c>
      <c r="H275" s="178">
        <v>1</v>
      </c>
      <c r="I275" s="178">
        <v>0.55000000000000004</v>
      </c>
      <c r="J275" s="182" t="s">
        <v>1351</v>
      </c>
      <c r="O275" s="167">
        <v>0.6</v>
      </c>
      <c r="P275" s="167">
        <v>0.35</v>
      </c>
      <c r="Q275" s="167">
        <v>0.8</v>
      </c>
      <c r="R275" s="167">
        <v>0.5</v>
      </c>
      <c r="T275" s="162">
        <v>0</v>
      </c>
      <c r="U275" s="175" t="s">
        <v>1797</v>
      </c>
      <c r="V275" s="175">
        <v>0.6</v>
      </c>
      <c r="W275" s="162" t="s">
        <v>244</v>
      </c>
      <c r="X275" s="162" t="s">
        <v>275</v>
      </c>
    </row>
    <row r="276" spans="1:24" ht="16">
      <c r="A276" s="160" t="str">
        <f t="shared" si="4"/>
        <v>高雄市三民區</v>
      </c>
      <c r="B276" s="169" t="s">
        <v>244</v>
      </c>
      <c r="C276" s="169" t="s">
        <v>276</v>
      </c>
      <c r="D276" s="166">
        <v>37.5</v>
      </c>
      <c r="E276" s="164">
        <v>807</v>
      </c>
      <c r="F276" s="178">
        <v>0.7</v>
      </c>
      <c r="G276" s="178">
        <v>0.4</v>
      </c>
      <c r="H276" s="178">
        <v>0.9</v>
      </c>
      <c r="I276" s="178">
        <v>0.5</v>
      </c>
      <c r="J276" s="182" t="s">
        <v>1351</v>
      </c>
      <c r="O276" s="167">
        <v>0.6</v>
      </c>
      <c r="P276" s="167">
        <v>0.35</v>
      </c>
      <c r="Q276" s="167">
        <v>0.8</v>
      </c>
      <c r="R276" s="167">
        <v>0.5</v>
      </c>
      <c r="T276" s="162">
        <v>0</v>
      </c>
      <c r="U276" s="175" t="s">
        <v>1797</v>
      </c>
      <c r="V276" s="175">
        <v>0.6</v>
      </c>
      <c r="W276" s="162" t="s">
        <v>244</v>
      </c>
      <c r="X276" s="162" t="s">
        <v>276</v>
      </c>
    </row>
    <row r="277" spans="1:24" ht="16">
      <c r="A277" s="160" t="str">
        <f t="shared" si="4"/>
        <v>高雄市新興區</v>
      </c>
      <c r="B277" s="169" t="s">
        <v>244</v>
      </c>
      <c r="C277" s="169" t="s">
        <v>277</v>
      </c>
      <c r="D277" s="166">
        <v>37.5</v>
      </c>
      <c r="E277" s="164">
        <v>800</v>
      </c>
      <c r="F277" s="173">
        <v>0.6</v>
      </c>
      <c r="G277" s="173">
        <v>0.35</v>
      </c>
      <c r="H277" s="173">
        <v>0.8</v>
      </c>
      <c r="I277" s="173">
        <v>0.5</v>
      </c>
      <c r="O277" s="167">
        <v>0.6</v>
      </c>
      <c r="P277" s="167">
        <v>0.35</v>
      </c>
      <c r="Q277" s="167">
        <v>0.8</v>
      </c>
      <c r="R277" s="167">
        <v>0.5</v>
      </c>
      <c r="T277" s="162">
        <v>0</v>
      </c>
      <c r="U277" s="175" t="s">
        <v>1797</v>
      </c>
      <c r="V277" s="175">
        <v>0.6</v>
      </c>
      <c r="W277" s="162" t="s">
        <v>244</v>
      </c>
      <c r="X277" s="162" t="s">
        <v>277</v>
      </c>
    </row>
    <row r="278" spans="1:24" ht="16">
      <c r="A278" s="160" t="str">
        <f t="shared" si="4"/>
        <v>高雄市前金區</v>
      </c>
      <c r="B278" s="169" t="s">
        <v>244</v>
      </c>
      <c r="C278" s="169" t="s">
        <v>278</v>
      </c>
      <c r="D278" s="166">
        <v>37.5</v>
      </c>
      <c r="E278" s="164">
        <v>801</v>
      </c>
      <c r="F278" s="173">
        <v>0.6</v>
      </c>
      <c r="G278" s="173">
        <v>0.35</v>
      </c>
      <c r="H278" s="173">
        <v>0.8</v>
      </c>
      <c r="I278" s="173">
        <v>0.5</v>
      </c>
      <c r="O278" s="167">
        <v>0.6</v>
      </c>
      <c r="P278" s="167">
        <v>0.35</v>
      </c>
      <c r="Q278" s="167">
        <v>0.8</v>
      </c>
      <c r="R278" s="167">
        <v>0.5</v>
      </c>
      <c r="T278" s="162">
        <v>0</v>
      </c>
      <c r="U278" s="175" t="s">
        <v>1797</v>
      </c>
      <c r="V278" s="175">
        <v>0.6</v>
      </c>
      <c r="W278" s="162" t="s">
        <v>244</v>
      </c>
      <c r="X278" s="162" t="s">
        <v>278</v>
      </c>
    </row>
    <row r="279" spans="1:24" ht="16">
      <c r="A279" s="160" t="str">
        <f t="shared" si="4"/>
        <v>高雄市苓雅區</v>
      </c>
      <c r="B279" s="169" t="s">
        <v>244</v>
      </c>
      <c r="C279" s="169" t="s">
        <v>279</v>
      </c>
      <c r="D279" s="166">
        <v>37.5</v>
      </c>
      <c r="E279" s="164">
        <v>802</v>
      </c>
      <c r="F279" s="178">
        <v>0.6</v>
      </c>
      <c r="G279" s="178">
        <v>0.35</v>
      </c>
      <c r="H279" s="178">
        <v>0.8</v>
      </c>
      <c r="I279" s="178">
        <v>0.5</v>
      </c>
      <c r="O279" s="167">
        <v>0.5</v>
      </c>
      <c r="P279" s="167">
        <v>0.35</v>
      </c>
      <c r="Q279" s="167">
        <v>0.7</v>
      </c>
      <c r="R279" s="167">
        <v>0.5</v>
      </c>
      <c r="T279" s="162">
        <v>0</v>
      </c>
      <c r="U279" s="175" t="s">
        <v>1797</v>
      </c>
      <c r="V279" s="175">
        <v>0.6</v>
      </c>
      <c r="W279" s="162" t="s">
        <v>244</v>
      </c>
      <c r="X279" s="162" t="s">
        <v>279</v>
      </c>
    </row>
    <row r="280" spans="1:24" ht="16">
      <c r="A280" s="160" t="str">
        <f t="shared" si="4"/>
        <v>高雄市前鎮區</v>
      </c>
      <c r="B280" s="169" t="s">
        <v>244</v>
      </c>
      <c r="C280" s="169" t="s">
        <v>280</v>
      </c>
      <c r="D280" s="166">
        <v>37.5</v>
      </c>
      <c r="E280" s="164">
        <v>806</v>
      </c>
      <c r="F280" s="173">
        <v>0.5</v>
      </c>
      <c r="G280" s="173">
        <v>0.35</v>
      </c>
      <c r="H280" s="173">
        <v>0.7</v>
      </c>
      <c r="I280" s="173">
        <v>0.5</v>
      </c>
      <c r="O280" s="167">
        <v>0.5</v>
      </c>
      <c r="P280" s="167">
        <v>0.35</v>
      </c>
      <c r="Q280" s="167">
        <v>0.7</v>
      </c>
      <c r="R280" s="167">
        <v>0.5</v>
      </c>
      <c r="T280" s="162">
        <v>0</v>
      </c>
      <c r="U280" s="175" t="s">
        <v>1797</v>
      </c>
      <c r="V280" s="175">
        <v>0.6</v>
      </c>
      <c r="W280" s="162" t="s">
        <v>244</v>
      </c>
      <c r="X280" s="162" t="s">
        <v>280</v>
      </c>
    </row>
    <row r="281" spans="1:24" ht="16">
      <c r="A281" s="160" t="str">
        <f t="shared" si="4"/>
        <v>高雄市旗津區</v>
      </c>
      <c r="B281" s="169" t="s">
        <v>244</v>
      </c>
      <c r="C281" s="169" t="s">
        <v>281</v>
      </c>
      <c r="D281" s="166">
        <v>37.5</v>
      </c>
      <c r="E281" s="164">
        <v>805</v>
      </c>
      <c r="F281" s="173">
        <v>0.5</v>
      </c>
      <c r="G281" s="173">
        <v>0.35</v>
      </c>
      <c r="H281" s="173">
        <v>0.7</v>
      </c>
      <c r="I281" s="173">
        <v>0.5</v>
      </c>
      <c r="O281" s="167">
        <v>0.5</v>
      </c>
      <c r="P281" s="167">
        <v>0.35</v>
      </c>
      <c r="Q281" s="167">
        <v>0.7</v>
      </c>
      <c r="R281" s="167">
        <v>0.5</v>
      </c>
      <c r="T281" s="162">
        <v>0</v>
      </c>
      <c r="U281" s="175" t="s">
        <v>1797</v>
      </c>
      <c r="V281" s="175">
        <v>0.6</v>
      </c>
      <c r="W281" s="162" t="s">
        <v>244</v>
      </c>
      <c r="X281" s="162" t="s">
        <v>281</v>
      </c>
    </row>
    <row r="282" spans="1:24" ht="16">
      <c r="A282" s="160" t="str">
        <f t="shared" si="4"/>
        <v>高雄市小港區</v>
      </c>
      <c r="B282" s="169" t="s">
        <v>244</v>
      </c>
      <c r="C282" s="169" t="s">
        <v>282</v>
      </c>
      <c r="D282" s="166">
        <v>37.5</v>
      </c>
      <c r="E282" s="164">
        <v>812</v>
      </c>
      <c r="F282" s="173">
        <v>0.5</v>
      </c>
      <c r="G282" s="173">
        <v>0.35</v>
      </c>
      <c r="H282" s="173">
        <v>0.7</v>
      </c>
      <c r="I282" s="173">
        <v>0.45</v>
      </c>
      <c r="O282" s="167">
        <v>0.5</v>
      </c>
      <c r="P282" s="167">
        <v>0.35</v>
      </c>
      <c r="Q282" s="167">
        <v>0.7</v>
      </c>
      <c r="R282" s="167">
        <v>0.45</v>
      </c>
      <c r="T282" s="162">
        <v>0</v>
      </c>
      <c r="U282" s="175" t="s">
        <v>1797</v>
      </c>
      <c r="V282" s="175">
        <v>0.6</v>
      </c>
      <c r="W282" s="162" t="s">
        <v>244</v>
      </c>
      <c r="X282" s="162" t="s">
        <v>282</v>
      </c>
    </row>
    <row r="283" spans="1:24" ht="16">
      <c r="A283" s="160" t="str">
        <f t="shared" si="4"/>
        <v>屏東縣屏東市</v>
      </c>
      <c r="B283" s="169" t="s">
        <v>283</v>
      </c>
      <c r="C283" s="169" t="s">
        <v>284</v>
      </c>
      <c r="D283" s="166">
        <v>37.5</v>
      </c>
      <c r="E283" s="164">
        <v>900</v>
      </c>
      <c r="F283" s="167">
        <v>0.6</v>
      </c>
      <c r="G283" s="167">
        <v>0.35</v>
      </c>
      <c r="H283" s="167">
        <v>0.8</v>
      </c>
      <c r="I283" s="167">
        <v>0.5</v>
      </c>
      <c r="O283" s="167">
        <v>0.6</v>
      </c>
      <c r="P283" s="167">
        <v>0.35</v>
      </c>
      <c r="Q283" s="167">
        <v>0.8</v>
      </c>
      <c r="R283" s="167">
        <v>0.5</v>
      </c>
      <c r="T283" s="162">
        <v>0</v>
      </c>
      <c r="U283" s="175" t="s">
        <v>1797</v>
      </c>
      <c r="V283" s="175">
        <v>0.6</v>
      </c>
      <c r="W283" s="162" t="s">
        <v>283</v>
      </c>
      <c r="X283" s="162" t="s">
        <v>284</v>
      </c>
    </row>
    <row r="284" spans="1:24" ht="16">
      <c r="A284" s="160" t="str">
        <f t="shared" si="4"/>
        <v>屏東縣潮州鎮</v>
      </c>
      <c r="B284" s="169" t="s">
        <v>283</v>
      </c>
      <c r="C284" s="169" t="s">
        <v>285</v>
      </c>
      <c r="D284" s="166">
        <v>37.5</v>
      </c>
      <c r="E284" s="164">
        <v>920</v>
      </c>
      <c r="F284" s="173">
        <v>0.6</v>
      </c>
      <c r="G284" s="173">
        <v>0.3</v>
      </c>
      <c r="H284" s="173">
        <v>0.8</v>
      </c>
      <c r="I284" s="173">
        <v>0.45</v>
      </c>
      <c r="O284" s="173">
        <v>0.6</v>
      </c>
      <c r="P284" s="173">
        <v>0.3</v>
      </c>
      <c r="Q284" s="173">
        <v>0.8</v>
      </c>
      <c r="R284" s="173">
        <v>0.45</v>
      </c>
      <c r="T284" s="162">
        <v>0</v>
      </c>
      <c r="U284" s="162" t="s">
        <v>1796</v>
      </c>
      <c r="V284" s="168">
        <v>0.8</v>
      </c>
      <c r="W284" s="162" t="s">
        <v>283</v>
      </c>
      <c r="X284" s="162" t="s">
        <v>294</v>
      </c>
    </row>
    <row r="285" spans="1:24" ht="16">
      <c r="A285" s="160" t="str">
        <f t="shared" si="4"/>
        <v>屏東縣東港鎮</v>
      </c>
      <c r="B285" s="169" t="s">
        <v>283</v>
      </c>
      <c r="C285" s="169" t="s">
        <v>286</v>
      </c>
      <c r="D285" s="166">
        <v>37.5</v>
      </c>
      <c r="E285" s="164">
        <v>928</v>
      </c>
      <c r="F285" s="167">
        <v>0.5</v>
      </c>
      <c r="G285" s="167">
        <v>0.3</v>
      </c>
      <c r="H285" s="167">
        <v>0.7</v>
      </c>
      <c r="I285" s="167">
        <v>0.4</v>
      </c>
      <c r="O285" s="167">
        <v>0.5</v>
      </c>
      <c r="P285" s="167">
        <v>0.3</v>
      </c>
      <c r="Q285" s="167">
        <v>0.7</v>
      </c>
      <c r="R285" s="167">
        <v>0.4</v>
      </c>
      <c r="T285" s="162">
        <v>0</v>
      </c>
      <c r="U285" s="175" t="s">
        <v>1797</v>
      </c>
      <c r="V285" s="175">
        <v>0.6</v>
      </c>
      <c r="W285" s="162" t="s">
        <v>283</v>
      </c>
      <c r="X285" s="162" t="s">
        <v>302</v>
      </c>
    </row>
    <row r="286" spans="1:24" ht="16">
      <c r="A286" s="160" t="str">
        <f t="shared" si="4"/>
        <v>屏東縣恆春鎮</v>
      </c>
      <c r="B286" s="169" t="s">
        <v>283</v>
      </c>
      <c r="C286" s="169" t="s">
        <v>287</v>
      </c>
      <c r="D286" s="166">
        <v>47.5</v>
      </c>
      <c r="E286" s="164">
        <v>946</v>
      </c>
      <c r="F286" s="167">
        <v>0.5</v>
      </c>
      <c r="G286" s="167">
        <v>0.3</v>
      </c>
      <c r="H286" s="167">
        <v>0.7</v>
      </c>
      <c r="I286" s="167">
        <v>0.4</v>
      </c>
      <c r="O286" s="167">
        <v>0.5</v>
      </c>
      <c r="P286" s="167">
        <v>0.3</v>
      </c>
      <c r="Q286" s="167">
        <v>0.7</v>
      </c>
      <c r="R286" s="167">
        <v>0.4</v>
      </c>
      <c r="T286" s="162">
        <v>0</v>
      </c>
      <c r="U286" s="162" t="s">
        <v>1796</v>
      </c>
      <c r="V286" s="168">
        <v>0.8</v>
      </c>
      <c r="W286" s="162" t="s">
        <v>283</v>
      </c>
      <c r="X286" s="162" t="s">
        <v>315</v>
      </c>
    </row>
    <row r="287" spans="1:24" ht="16">
      <c r="A287" s="160" t="str">
        <f t="shared" si="4"/>
        <v>屏東縣萬丹鄉</v>
      </c>
      <c r="B287" s="169" t="s">
        <v>283</v>
      </c>
      <c r="C287" s="169" t="s">
        <v>288</v>
      </c>
      <c r="D287" s="166">
        <v>37.5</v>
      </c>
      <c r="E287" s="164">
        <v>913</v>
      </c>
      <c r="F287" s="173">
        <v>0.6</v>
      </c>
      <c r="G287" s="173">
        <v>0.35</v>
      </c>
      <c r="H287" s="173">
        <v>0.8</v>
      </c>
      <c r="I287" s="173">
        <v>0.45</v>
      </c>
      <c r="O287" s="173">
        <v>0.6</v>
      </c>
      <c r="P287" s="173">
        <v>0.35</v>
      </c>
      <c r="Q287" s="173">
        <v>0.8</v>
      </c>
      <c r="R287" s="173">
        <v>0.45</v>
      </c>
      <c r="T287" s="162">
        <v>0</v>
      </c>
      <c r="U287" s="162" t="s">
        <v>1796</v>
      </c>
      <c r="V287" s="168">
        <v>0.8</v>
      </c>
      <c r="W287" s="162" t="s">
        <v>283</v>
      </c>
      <c r="X287" s="162" t="s">
        <v>293</v>
      </c>
    </row>
    <row r="288" spans="1:24" ht="16">
      <c r="A288" s="160" t="str">
        <f t="shared" si="4"/>
        <v>屏東縣長治鄉</v>
      </c>
      <c r="B288" s="169" t="s">
        <v>283</v>
      </c>
      <c r="C288" s="169" t="s">
        <v>289</v>
      </c>
      <c r="D288" s="166">
        <v>37.5</v>
      </c>
      <c r="E288" s="164">
        <v>908</v>
      </c>
      <c r="F288" s="167">
        <v>0.6</v>
      </c>
      <c r="G288" s="167">
        <v>0.35</v>
      </c>
      <c r="H288" s="167">
        <v>0.8</v>
      </c>
      <c r="I288" s="167">
        <v>0.5</v>
      </c>
      <c r="O288" s="167">
        <v>0.6</v>
      </c>
      <c r="P288" s="167">
        <v>0.35</v>
      </c>
      <c r="Q288" s="167">
        <v>0.8</v>
      </c>
      <c r="R288" s="167">
        <v>0.5</v>
      </c>
      <c r="T288" s="162">
        <v>0</v>
      </c>
      <c r="U288" s="162" t="s">
        <v>1796</v>
      </c>
      <c r="V288" s="168">
        <v>0.8</v>
      </c>
      <c r="W288" s="162" t="s">
        <v>283</v>
      </c>
      <c r="X288" s="162" t="s">
        <v>289</v>
      </c>
    </row>
    <row r="289" spans="1:24" ht="16">
      <c r="A289" s="160" t="str">
        <f t="shared" si="4"/>
        <v>屏東縣麟洛鄉</v>
      </c>
      <c r="B289" s="169" t="s">
        <v>283</v>
      </c>
      <c r="C289" s="169" t="s">
        <v>290</v>
      </c>
      <c r="D289" s="166">
        <v>37.5</v>
      </c>
      <c r="E289" s="164">
        <v>909</v>
      </c>
      <c r="F289" s="167">
        <v>0.6</v>
      </c>
      <c r="G289" s="167">
        <v>0.35</v>
      </c>
      <c r="H289" s="167">
        <v>0.8</v>
      </c>
      <c r="I289" s="167">
        <v>0.5</v>
      </c>
      <c r="O289" s="167">
        <v>0.6</v>
      </c>
      <c r="P289" s="167">
        <v>0.35</v>
      </c>
      <c r="Q289" s="167">
        <v>0.8</v>
      </c>
      <c r="R289" s="167">
        <v>0.5</v>
      </c>
      <c r="T289" s="162">
        <v>0</v>
      </c>
      <c r="U289" s="162" t="s">
        <v>1796</v>
      </c>
      <c r="V289" s="168">
        <v>0.8</v>
      </c>
      <c r="W289" s="162" t="s">
        <v>283</v>
      </c>
      <c r="X289" s="162" t="s">
        <v>290</v>
      </c>
    </row>
    <row r="290" spans="1:24" ht="16">
      <c r="A290" s="160" t="str">
        <f t="shared" si="4"/>
        <v>屏東縣九如鄉</v>
      </c>
      <c r="B290" s="169" t="s">
        <v>283</v>
      </c>
      <c r="C290" s="169" t="s">
        <v>291</v>
      </c>
      <c r="D290" s="166">
        <v>37.5</v>
      </c>
      <c r="E290" s="164">
        <v>904</v>
      </c>
      <c r="F290" s="193">
        <v>0.7</v>
      </c>
      <c r="G290" s="193">
        <v>0.4</v>
      </c>
      <c r="H290" s="193">
        <v>0.9</v>
      </c>
      <c r="I290" s="193">
        <v>0.5</v>
      </c>
      <c r="O290" s="167">
        <v>0.6</v>
      </c>
      <c r="P290" s="167">
        <v>0.3</v>
      </c>
      <c r="Q290" s="167">
        <v>0.8</v>
      </c>
      <c r="R290" s="167">
        <v>0.45</v>
      </c>
      <c r="T290" s="162">
        <v>0</v>
      </c>
      <c r="U290" s="162" t="s">
        <v>1796</v>
      </c>
      <c r="V290" s="168">
        <v>0.8</v>
      </c>
      <c r="W290" s="162" t="s">
        <v>283</v>
      </c>
      <c r="X290" s="162" t="s">
        <v>285</v>
      </c>
    </row>
    <row r="291" spans="1:24" ht="16">
      <c r="A291" s="160" t="str">
        <f t="shared" si="4"/>
        <v>屏東縣里港鄉</v>
      </c>
      <c r="B291" s="169" t="s">
        <v>283</v>
      </c>
      <c r="C291" s="169" t="s">
        <v>292</v>
      </c>
      <c r="D291" s="166">
        <v>37.5</v>
      </c>
      <c r="E291" s="164">
        <v>905</v>
      </c>
      <c r="F291" s="193">
        <v>0.7</v>
      </c>
      <c r="G291" s="193">
        <v>0.4</v>
      </c>
      <c r="H291" s="193">
        <v>0.9</v>
      </c>
      <c r="I291" s="193">
        <v>0.5</v>
      </c>
      <c r="J291" s="180" t="s">
        <v>1649</v>
      </c>
      <c r="O291" s="167">
        <v>0.5</v>
      </c>
      <c r="P291" s="167">
        <v>0.3</v>
      </c>
      <c r="Q291" s="167">
        <v>0.7</v>
      </c>
      <c r="R291" s="167">
        <v>0.4</v>
      </c>
      <c r="T291" s="162">
        <v>0</v>
      </c>
      <c r="U291" s="175" t="s">
        <v>1797</v>
      </c>
      <c r="V291" s="175">
        <v>0.6</v>
      </c>
      <c r="W291" s="162" t="s">
        <v>283</v>
      </c>
      <c r="X291" s="162" t="s">
        <v>286</v>
      </c>
    </row>
    <row r="292" spans="1:24" ht="16">
      <c r="A292" s="160" t="str">
        <f t="shared" si="4"/>
        <v>屏東縣鹽埔鄉</v>
      </c>
      <c r="B292" s="169" t="s">
        <v>283</v>
      </c>
      <c r="C292" s="169" t="s">
        <v>293</v>
      </c>
      <c r="D292" s="166">
        <v>37.5</v>
      </c>
      <c r="E292" s="164">
        <v>907</v>
      </c>
      <c r="F292" s="167">
        <v>0.6</v>
      </c>
      <c r="G292" s="167">
        <v>0.35</v>
      </c>
      <c r="H292" s="167">
        <v>0.8</v>
      </c>
      <c r="I292" s="193">
        <v>0.5</v>
      </c>
      <c r="O292" s="167">
        <v>0.6</v>
      </c>
      <c r="P292" s="167">
        <v>0.35</v>
      </c>
      <c r="Q292" s="167">
        <v>0.8</v>
      </c>
      <c r="R292" s="167">
        <v>0.45</v>
      </c>
      <c r="T292" s="162">
        <v>0</v>
      </c>
      <c r="U292" s="175" t="s">
        <v>1797</v>
      </c>
      <c r="V292" s="175">
        <v>0.6</v>
      </c>
      <c r="W292" s="162" t="s">
        <v>283</v>
      </c>
      <c r="X292" s="162" t="s">
        <v>288</v>
      </c>
    </row>
    <row r="293" spans="1:24" ht="16">
      <c r="A293" s="160" t="str">
        <f t="shared" si="4"/>
        <v>屏東縣高樹鄉</v>
      </c>
      <c r="B293" s="169" t="s">
        <v>283</v>
      </c>
      <c r="C293" s="169" t="s">
        <v>294</v>
      </c>
      <c r="D293" s="166">
        <v>37.5</v>
      </c>
      <c r="E293" s="164">
        <v>906</v>
      </c>
      <c r="F293" s="193">
        <v>0.7</v>
      </c>
      <c r="G293" s="193">
        <v>0.4</v>
      </c>
      <c r="H293" s="193">
        <v>0.9</v>
      </c>
      <c r="I293" s="193">
        <v>0.5</v>
      </c>
      <c r="O293" s="167">
        <v>0.5</v>
      </c>
      <c r="P293" s="167">
        <v>0.3</v>
      </c>
      <c r="Q293" s="167">
        <v>0.7</v>
      </c>
      <c r="R293" s="167">
        <v>0.4</v>
      </c>
      <c r="T293" s="162">
        <v>0</v>
      </c>
      <c r="U293" s="176" t="s">
        <v>1799</v>
      </c>
      <c r="V293" s="176">
        <v>1</v>
      </c>
      <c r="W293" s="162" t="s">
        <v>283</v>
      </c>
      <c r="X293" s="162" t="s">
        <v>287</v>
      </c>
    </row>
    <row r="294" spans="1:24" ht="16">
      <c r="A294" s="160" t="str">
        <f t="shared" si="4"/>
        <v>屏東縣萬巒鄉</v>
      </c>
      <c r="B294" s="169" t="s">
        <v>283</v>
      </c>
      <c r="C294" s="169" t="s">
        <v>295</v>
      </c>
      <c r="D294" s="166">
        <v>37.5</v>
      </c>
      <c r="E294" s="164">
        <v>923</v>
      </c>
      <c r="F294" s="167">
        <v>0.6</v>
      </c>
      <c r="G294" s="167">
        <v>0.35</v>
      </c>
      <c r="H294" s="167">
        <v>0.8</v>
      </c>
      <c r="I294" s="167">
        <v>0.45</v>
      </c>
      <c r="O294" s="167">
        <v>0.6</v>
      </c>
      <c r="P294" s="167">
        <v>0.35</v>
      </c>
      <c r="Q294" s="167">
        <v>0.8</v>
      </c>
      <c r="R294" s="167">
        <v>0.45</v>
      </c>
      <c r="T294" s="162">
        <v>0</v>
      </c>
      <c r="U294" s="162" t="s">
        <v>1796</v>
      </c>
      <c r="V294" s="168">
        <v>0.8</v>
      </c>
      <c r="W294" s="162" t="s">
        <v>283</v>
      </c>
      <c r="X294" s="162" t="s">
        <v>297</v>
      </c>
    </row>
    <row r="295" spans="1:24" ht="16">
      <c r="A295" s="160" t="str">
        <f t="shared" si="4"/>
        <v>屏東縣內埔鄉</v>
      </c>
      <c r="B295" s="169" t="s">
        <v>283</v>
      </c>
      <c r="C295" s="169" t="s">
        <v>296</v>
      </c>
      <c r="D295" s="166">
        <v>37.5</v>
      </c>
      <c r="E295" s="164">
        <v>912</v>
      </c>
      <c r="F295" s="173">
        <v>0.6</v>
      </c>
      <c r="G295" s="173">
        <v>0.35</v>
      </c>
      <c r="H295" s="173">
        <v>0.8</v>
      </c>
      <c r="I295" s="173">
        <v>0.5</v>
      </c>
      <c r="O295" s="173">
        <v>0.6</v>
      </c>
      <c r="P295" s="173">
        <v>0.35</v>
      </c>
      <c r="Q295" s="173">
        <v>0.8</v>
      </c>
      <c r="R295" s="173">
        <v>0.5</v>
      </c>
      <c r="T295" s="162">
        <v>0</v>
      </c>
      <c r="U295" s="162" t="s">
        <v>1796</v>
      </c>
      <c r="V295" s="168">
        <v>0.8</v>
      </c>
      <c r="W295" s="162" t="s">
        <v>283</v>
      </c>
      <c r="X295" s="162" t="s">
        <v>292</v>
      </c>
    </row>
    <row r="296" spans="1:24" ht="16">
      <c r="A296" s="160" t="str">
        <f t="shared" si="4"/>
        <v>屏東縣竹田鄉</v>
      </c>
      <c r="B296" s="169" t="s">
        <v>283</v>
      </c>
      <c r="C296" s="169" t="s">
        <v>297</v>
      </c>
      <c r="D296" s="166">
        <v>37.5</v>
      </c>
      <c r="E296" s="164">
        <v>911</v>
      </c>
      <c r="F296" s="167">
        <v>0.6</v>
      </c>
      <c r="G296" s="167">
        <v>0.35</v>
      </c>
      <c r="H296" s="167">
        <v>0.8</v>
      </c>
      <c r="I296" s="193">
        <v>0.45</v>
      </c>
      <c r="O296" s="167">
        <v>0.6</v>
      </c>
      <c r="P296" s="167">
        <v>0.35</v>
      </c>
      <c r="Q296" s="167">
        <v>0.8</v>
      </c>
      <c r="R296" s="167">
        <v>0.5</v>
      </c>
      <c r="T296" s="162">
        <v>0</v>
      </c>
      <c r="U296" s="175" t="s">
        <v>1797</v>
      </c>
      <c r="V296" s="175">
        <v>0.6</v>
      </c>
      <c r="W296" s="162" t="s">
        <v>283</v>
      </c>
      <c r="X296" s="162" t="s">
        <v>291</v>
      </c>
    </row>
    <row r="297" spans="1:24" ht="16">
      <c r="A297" s="160" t="str">
        <f t="shared" si="4"/>
        <v>屏東縣新埤鄉</v>
      </c>
      <c r="B297" s="169" t="s">
        <v>283</v>
      </c>
      <c r="C297" s="169" t="s">
        <v>298</v>
      </c>
      <c r="D297" s="166">
        <v>37.5</v>
      </c>
      <c r="E297" s="164">
        <v>925</v>
      </c>
      <c r="F297" s="193">
        <v>0.6</v>
      </c>
      <c r="G297" s="167">
        <v>0.3</v>
      </c>
      <c r="H297" s="167">
        <v>0.7</v>
      </c>
      <c r="I297" s="167">
        <v>0.4</v>
      </c>
      <c r="O297" s="167">
        <v>0.5</v>
      </c>
      <c r="P297" s="167">
        <v>0.3</v>
      </c>
      <c r="Q297" s="167">
        <v>0.7</v>
      </c>
      <c r="R297" s="167">
        <v>0.4</v>
      </c>
      <c r="T297" s="162">
        <v>0</v>
      </c>
      <c r="U297" s="162" t="s">
        <v>1796</v>
      </c>
      <c r="V297" s="168">
        <v>0.8</v>
      </c>
      <c r="W297" s="162" t="s">
        <v>283</v>
      </c>
      <c r="X297" s="162" t="s">
        <v>299</v>
      </c>
    </row>
    <row r="298" spans="1:24" ht="16">
      <c r="A298" s="160" t="str">
        <f t="shared" si="4"/>
        <v>屏東縣枋寮鄉</v>
      </c>
      <c r="B298" s="169" t="s">
        <v>283</v>
      </c>
      <c r="C298" s="169" t="s">
        <v>299</v>
      </c>
      <c r="D298" s="166">
        <v>42.5</v>
      </c>
      <c r="E298" s="164">
        <v>940</v>
      </c>
      <c r="F298" s="167">
        <v>0.5</v>
      </c>
      <c r="G298" s="167">
        <v>0.3</v>
      </c>
      <c r="H298" s="167">
        <v>0.7</v>
      </c>
      <c r="I298" s="167">
        <v>0.4</v>
      </c>
      <c r="O298" s="167">
        <v>0.5</v>
      </c>
      <c r="P298" s="167">
        <v>0.3</v>
      </c>
      <c r="Q298" s="167">
        <v>0.7</v>
      </c>
      <c r="R298" s="167">
        <v>0.4</v>
      </c>
      <c r="T298" s="162">
        <v>0</v>
      </c>
      <c r="U298" s="162" t="s">
        <v>1796</v>
      </c>
      <c r="V298" s="168">
        <v>0.8</v>
      </c>
      <c r="W298" s="162" t="s">
        <v>283</v>
      </c>
      <c r="X298" s="162" t="s">
        <v>306</v>
      </c>
    </row>
    <row r="299" spans="1:24" ht="16">
      <c r="A299" s="160" t="str">
        <f t="shared" si="4"/>
        <v>屏東縣新園鄉</v>
      </c>
      <c r="B299" s="169" t="s">
        <v>283</v>
      </c>
      <c r="C299" s="169" t="s">
        <v>300</v>
      </c>
      <c r="D299" s="166">
        <v>37.5</v>
      </c>
      <c r="E299" s="164">
        <v>932</v>
      </c>
      <c r="F299" s="167">
        <v>0.5</v>
      </c>
      <c r="G299" s="167">
        <v>0.3</v>
      </c>
      <c r="H299" s="167">
        <v>0.7</v>
      </c>
      <c r="I299" s="193">
        <v>0.45</v>
      </c>
      <c r="O299" s="167">
        <v>0.5</v>
      </c>
      <c r="P299" s="167">
        <v>0.3</v>
      </c>
      <c r="Q299" s="167">
        <v>0.7</v>
      </c>
      <c r="R299" s="167">
        <v>0.4</v>
      </c>
      <c r="T299" s="162">
        <v>0</v>
      </c>
      <c r="U299" s="162" t="s">
        <v>1796</v>
      </c>
      <c r="V299" s="168">
        <v>0.8</v>
      </c>
      <c r="W299" s="162" t="s">
        <v>283</v>
      </c>
      <c r="X299" s="162" t="s">
        <v>305</v>
      </c>
    </row>
    <row r="300" spans="1:24" ht="16">
      <c r="A300" s="160" t="str">
        <f t="shared" si="4"/>
        <v>屏東縣崁頂鄉</v>
      </c>
      <c r="B300" s="169" t="s">
        <v>283</v>
      </c>
      <c r="C300" s="169" t="s">
        <v>301</v>
      </c>
      <c r="D300" s="166">
        <v>37.5</v>
      </c>
      <c r="E300" s="164">
        <v>924</v>
      </c>
      <c r="F300" s="193">
        <v>0.5</v>
      </c>
      <c r="G300" s="167">
        <v>0.3</v>
      </c>
      <c r="H300" s="193">
        <v>0.8</v>
      </c>
      <c r="I300" s="193">
        <v>0.45</v>
      </c>
      <c r="O300" s="167">
        <v>0.6</v>
      </c>
      <c r="P300" s="167">
        <v>0.3</v>
      </c>
      <c r="Q300" s="167">
        <v>0.7</v>
      </c>
      <c r="R300" s="167">
        <v>0.4</v>
      </c>
      <c r="T300" s="162">
        <v>0</v>
      </c>
      <c r="U300" s="162" t="s">
        <v>1796</v>
      </c>
      <c r="V300" s="168">
        <v>0.8</v>
      </c>
      <c r="W300" s="162" t="s">
        <v>283</v>
      </c>
      <c r="X300" s="162" t="s">
        <v>298</v>
      </c>
    </row>
    <row r="301" spans="1:24" ht="16">
      <c r="A301" s="160" t="str">
        <f t="shared" si="4"/>
        <v>屏東縣林邊鄉</v>
      </c>
      <c r="B301" s="169" t="s">
        <v>283</v>
      </c>
      <c r="C301" s="169" t="s">
        <v>302</v>
      </c>
      <c r="D301" s="166">
        <v>37.5</v>
      </c>
      <c r="E301" s="164">
        <v>927</v>
      </c>
      <c r="F301" s="167">
        <v>0.5</v>
      </c>
      <c r="G301" s="167">
        <v>0.3</v>
      </c>
      <c r="H301" s="193">
        <v>0.7</v>
      </c>
      <c r="I301" s="193">
        <v>0.4</v>
      </c>
      <c r="O301" s="167">
        <v>0.5</v>
      </c>
      <c r="P301" s="167">
        <v>0.3</v>
      </c>
      <c r="Q301" s="167">
        <v>0.8</v>
      </c>
      <c r="R301" s="167">
        <v>0.45</v>
      </c>
      <c r="T301" s="162">
        <v>0</v>
      </c>
      <c r="U301" s="175" t="s">
        <v>1797</v>
      </c>
      <c r="V301" s="175">
        <v>0.6</v>
      </c>
      <c r="W301" s="162" t="s">
        <v>283</v>
      </c>
      <c r="X301" s="162" t="s">
        <v>301</v>
      </c>
    </row>
    <row r="302" spans="1:24" ht="16">
      <c r="A302" s="160" t="str">
        <f t="shared" si="4"/>
        <v>屏東縣南州鄉</v>
      </c>
      <c r="B302" s="169" t="s">
        <v>283</v>
      </c>
      <c r="C302" s="169" t="s">
        <v>303</v>
      </c>
      <c r="D302" s="166">
        <v>37.5</v>
      </c>
      <c r="E302" s="164">
        <v>926</v>
      </c>
      <c r="F302" s="167">
        <v>0.5</v>
      </c>
      <c r="G302" s="167">
        <v>0.3</v>
      </c>
      <c r="H302" s="167">
        <v>0.7</v>
      </c>
      <c r="I302" s="193">
        <v>0.4</v>
      </c>
      <c r="O302" s="167">
        <v>0.5</v>
      </c>
      <c r="P302" s="167">
        <v>0.3</v>
      </c>
      <c r="Q302" s="167">
        <v>0.7</v>
      </c>
      <c r="R302" s="167">
        <v>0.45</v>
      </c>
      <c r="T302" s="162">
        <v>0</v>
      </c>
      <c r="U302" s="175" t="s">
        <v>1797</v>
      </c>
      <c r="V302" s="175">
        <v>0.6</v>
      </c>
      <c r="W302" s="162" t="s">
        <v>283</v>
      </c>
      <c r="X302" s="162" t="s">
        <v>300</v>
      </c>
    </row>
    <row r="303" spans="1:24" ht="16">
      <c r="A303" s="160" t="str">
        <f t="shared" si="4"/>
        <v>屏東縣佳冬鄉</v>
      </c>
      <c r="B303" s="169" t="s">
        <v>283</v>
      </c>
      <c r="C303" s="169" t="s">
        <v>304</v>
      </c>
      <c r="D303" s="166">
        <v>37.5</v>
      </c>
      <c r="E303" s="164">
        <v>931</v>
      </c>
      <c r="F303" s="167">
        <v>0.5</v>
      </c>
      <c r="G303" s="167">
        <v>0.3</v>
      </c>
      <c r="H303" s="167">
        <v>0.7</v>
      </c>
      <c r="I303" s="167">
        <v>0.4</v>
      </c>
      <c r="O303" s="167">
        <v>0.5</v>
      </c>
      <c r="P303" s="167">
        <v>0.3</v>
      </c>
      <c r="Q303" s="167">
        <v>0.7</v>
      </c>
      <c r="R303" s="167">
        <v>0.4</v>
      </c>
      <c r="T303" s="162">
        <v>0</v>
      </c>
      <c r="U303" s="175" t="s">
        <v>1797</v>
      </c>
      <c r="V303" s="175">
        <v>0.6</v>
      </c>
      <c r="W303" s="162" t="s">
        <v>283</v>
      </c>
      <c r="X303" s="162" t="s">
        <v>304</v>
      </c>
    </row>
    <row r="304" spans="1:24" ht="16">
      <c r="A304" s="160" t="str">
        <f t="shared" si="4"/>
        <v>屏東縣琉球鄉</v>
      </c>
      <c r="B304" s="169" t="s">
        <v>283</v>
      </c>
      <c r="C304" s="169" t="s">
        <v>305</v>
      </c>
      <c r="D304" s="166">
        <v>40</v>
      </c>
      <c r="E304" s="164">
        <v>929</v>
      </c>
      <c r="F304" s="167">
        <v>0.5</v>
      </c>
      <c r="G304" s="167">
        <v>0.3</v>
      </c>
      <c r="H304" s="167">
        <v>0.7</v>
      </c>
      <c r="I304" s="167">
        <v>0.4</v>
      </c>
      <c r="O304" s="167">
        <v>0.5</v>
      </c>
      <c r="P304" s="167">
        <v>0.3</v>
      </c>
      <c r="Q304" s="167">
        <v>0.7</v>
      </c>
      <c r="R304" s="167">
        <v>0.4</v>
      </c>
      <c r="T304" s="162">
        <v>0</v>
      </c>
      <c r="U304" s="175" t="s">
        <v>1797</v>
      </c>
      <c r="V304" s="175">
        <v>0.6</v>
      </c>
      <c r="W304" s="162" t="s">
        <v>283</v>
      </c>
      <c r="X304" s="162" t="s">
        <v>303</v>
      </c>
    </row>
    <row r="305" spans="1:24" ht="16">
      <c r="A305" s="160" t="str">
        <f t="shared" si="4"/>
        <v>屏東縣車城鄉</v>
      </c>
      <c r="B305" s="169" t="s">
        <v>283</v>
      </c>
      <c r="C305" s="169" t="s">
        <v>306</v>
      </c>
      <c r="D305" s="166">
        <v>42.5</v>
      </c>
      <c r="E305" s="164">
        <v>944</v>
      </c>
      <c r="F305" s="193">
        <v>0.5</v>
      </c>
      <c r="G305" s="167">
        <v>0.3</v>
      </c>
      <c r="H305" s="193">
        <v>0.7</v>
      </c>
      <c r="I305" s="193">
        <v>0.4</v>
      </c>
      <c r="O305" s="167">
        <v>0.6</v>
      </c>
      <c r="P305" s="167">
        <v>0.3</v>
      </c>
      <c r="Q305" s="167">
        <v>0.8</v>
      </c>
      <c r="R305" s="167">
        <v>0.45</v>
      </c>
      <c r="T305" s="162">
        <v>0</v>
      </c>
      <c r="U305" s="162" t="s">
        <v>1796</v>
      </c>
      <c r="V305" s="168">
        <v>0.8</v>
      </c>
      <c r="W305" s="162" t="s">
        <v>283</v>
      </c>
      <c r="X305" s="162" t="s">
        <v>313</v>
      </c>
    </row>
    <row r="306" spans="1:24" ht="16">
      <c r="A306" s="160" t="str">
        <f t="shared" si="4"/>
        <v>屏東縣滿州鄉</v>
      </c>
      <c r="B306" s="169" t="s">
        <v>283</v>
      </c>
      <c r="C306" s="169" t="s">
        <v>307</v>
      </c>
      <c r="D306" s="166">
        <v>47.5</v>
      </c>
      <c r="E306" s="164">
        <v>947</v>
      </c>
      <c r="F306" s="167">
        <v>0.5</v>
      </c>
      <c r="G306" s="167">
        <v>0.3</v>
      </c>
      <c r="H306" s="167">
        <v>0.7</v>
      </c>
      <c r="I306" s="167">
        <v>0.4</v>
      </c>
      <c r="O306" s="167">
        <v>0.5</v>
      </c>
      <c r="P306" s="167">
        <v>0.3</v>
      </c>
      <c r="Q306" s="167">
        <v>0.7</v>
      </c>
      <c r="R306" s="167">
        <v>0.4</v>
      </c>
      <c r="T306" s="162">
        <v>0</v>
      </c>
      <c r="U306" s="162" t="s">
        <v>1796</v>
      </c>
      <c r="V306" s="168">
        <v>0.8</v>
      </c>
      <c r="W306" s="162" t="s">
        <v>283</v>
      </c>
      <c r="X306" s="162" t="s">
        <v>316</v>
      </c>
    </row>
    <row r="307" spans="1:24" ht="16">
      <c r="A307" s="160" t="str">
        <f t="shared" si="4"/>
        <v>屏東縣枋山鄉</v>
      </c>
      <c r="B307" s="169" t="s">
        <v>283</v>
      </c>
      <c r="C307" s="169" t="s">
        <v>308</v>
      </c>
      <c r="D307" s="166">
        <v>42.5</v>
      </c>
      <c r="E307" s="164">
        <v>941</v>
      </c>
      <c r="F307" s="167">
        <v>0.5</v>
      </c>
      <c r="G307" s="167">
        <v>0.3</v>
      </c>
      <c r="H307" s="167">
        <v>0.7</v>
      </c>
      <c r="I307" s="167">
        <v>0.4</v>
      </c>
      <c r="O307" s="167">
        <v>0.5</v>
      </c>
      <c r="P307" s="167">
        <v>0.3</v>
      </c>
      <c r="Q307" s="167">
        <v>0.7</v>
      </c>
      <c r="R307" s="167">
        <v>0.4</v>
      </c>
      <c r="T307" s="162">
        <v>0</v>
      </c>
      <c r="U307" s="176" t="s">
        <v>1799</v>
      </c>
      <c r="V307" s="176">
        <v>1</v>
      </c>
      <c r="W307" s="162" t="s">
        <v>283</v>
      </c>
      <c r="X307" s="162" t="s">
        <v>307</v>
      </c>
    </row>
    <row r="308" spans="1:24" ht="16">
      <c r="A308" s="160" t="str">
        <f t="shared" si="4"/>
        <v>屏東縣三地門鄉</v>
      </c>
      <c r="B308" s="169" t="s">
        <v>283</v>
      </c>
      <c r="C308" s="169" t="s">
        <v>309</v>
      </c>
      <c r="D308" s="166">
        <v>37.5</v>
      </c>
      <c r="E308" s="164">
        <v>901</v>
      </c>
      <c r="F308" s="167">
        <v>0.7</v>
      </c>
      <c r="G308" s="167">
        <v>0.4</v>
      </c>
      <c r="H308" s="167">
        <v>0.9</v>
      </c>
      <c r="I308" s="167">
        <v>0.5</v>
      </c>
      <c r="O308" s="167">
        <v>0.7</v>
      </c>
      <c r="P308" s="167">
        <v>0.4</v>
      </c>
      <c r="Q308" s="167">
        <v>0.9</v>
      </c>
      <c r="R308" s="167">
        <v>0.5</v>
      </c>
      <c r="T308" s="162">
        <v>0</v>
      </c>
      <c r="U308" s="162" t="s">
        <v>1796</v>
      </c>
      <c r="V308" s="168">
        <v>0.8</v>
      </c>
      <c r="W308" s="162" t="s">
        <v>283</v>
      </c>
      <c r="X308" s="162" t="s">
        <v>309</v>
      </c>
    </row>
    <row r="309" spans="1:24" ht="16">
      <c r="A309" s="160" t="str">
        <f t="shared" si="4"/>
        <v>屏東縣霧台鄉</v>
      </c>
      <c r="B309" s="169" t="s">
        <v>283</v>
      </c>
      <c r="C309" s="169" t="s">
        <v>310</v>
      </c>
      <c r="D309" s="166">
        <v>37.5</v>
      </c>
      <c r="E309" s="164">
        <v>902</v>
      </c>
      <c r="F309" s="167">
        <v>0.7</v>
      </c>
      <c r="G309" s="167">
        <v>0.4</v>
      </c>
      <c r="H309" s="167">
        <v>0.9</v>
      </c>
      <c r="I309" s="167">
        <v>0.5</v>
      </c>
      <c r="O309" s="167">
        <v>0.7</v>
      </c>
      <c r="P309" s="167">
        <v>0.4</v>
      </c>
      <c r="Q309" s="167">
        <v>0.9</v>
      </c>
      <c r="R309" s="167">
        <v>0.5</v>
      </c>
      <c r="T309" s="162">
        <v>0</v>
      </c>
      <c r="U309" s="162" t="s">
        <v>1796</v>
      </c>
      <c r="V309" s="168">
        <v>0.8</v>
      </c>
      <c r="W309" s="162" t="s">
        <v>283</v>
      </c>
      <c r="X309" s="162" t="s">
        <v>310</v>
      </c>
    </row>
    <row r="310" spans="1:24" ht="16">
      <c r="A310" s="160" t="str">
        <f t="shared" si="4"/>
        <v>屏東縣瑪家鄉</v>
      </c>
      <c r="B310" s="169" t="s">
        <v>283</v>
      </c>
      <c r="C310" s="169" t="s">
        <v>311</v>
      </c>
      <c r="D310" s="166">
        <v>37.5</v>
      </c>
      <c r="E310" s="164">
        <v>903</v>
      </c>
      <c r="F310" s="167">
        <v>0.7</v>
      </c>
      <c r="G310" s="167">
        <v>0.35</v>
      </c>
      <c r="H310" s="167">
        <v>0.9</v>
      </c>
      <c r="I310" s="167">
        <v>0.5</v>
      </c>
      <c r="O310" s="167">
        <v>0.7</v>
      </c>
      <c r="P310" s="167">
        <v>0.35</v>
      </c>
      <c r="Q310" s="167">
        <v>0.9</v>
      </c>
      <c r="R310" s="167">
        <v>0.5</v>
      </c>
      <c r="T310" s="162">
        <v>0</v>
      </c>
      <c r="U310" s="162" t="s">
        <v>1796</v>
      </c>
      <c r="V310" s="168">
        <v>0.8</v>
      </c>
      <c r="W310" s="162" t="s">
        <v>283</v>
      </c>
      <c r="X310" s="162" t="s">
        <v>311</v>
      </c>
    </row>
    <row r="311" spans="1:24" ht="16">
      <c r="A311" s="160" t="str">
        <f t="shared" si="4"/>
        <v>屏東縣泰武鄉</v>
      </c>
      <c r="B311" s="169" t="s">
        <v>283</v>
      </c>
      <c r="C311" s="169" t="s">
        <v>312</v>
      </c>
      <c r="D311" s="166">
        <v>37.5</v>
      </c>
      <c r="E311" s="164">
        <v>921</v>
      </c>
      <c r="F311" s="193">
        <v>0.7</v>
      </c>
      <c r="G311" s="167">
        <v>0.35</v>
      </c>
      <c r="H311" s="193">
        <v>0.9</v>
      </c>
      <c r="I311" s="193">
        <v>0.5</v>
      </c>
      <c r="O311" s="167">
        <v>0.6</v>
      </c>
      <c r="P311" s="167">
        <v>0.35</v>
      </c>
      <c r="Q311" s="167">
        <v>0.8</v>
      </c>
      <c r="R311" s="167">
        <v>0.45</v>
      </c>
      <c r="T311" s="162">
        <v>0</v>
      </c>
      <c r="U311" s="162" t="s">
        <v>1796</v>
      </c>
      <c r="V311" s="168">
        <v>0.8</v>
      </c>
      <c r="W311" s="162" t="s">
        <v>283</v>
      </c>
      <c r="X311" s="162" t="s">
        <v>295</v>
      </c>
    </row>
    <row r="312" spans="1:24" ht="16">
      <c r="A312" s="160" t="str">
        <f t="shared" si="4"/>
        <v>屏東縣來義鄉</v>
      </c>
      <c r="B312" s="169" t="s">
        <v>283</v>
      </c>
      <c r="C312" s="169" t="s">
        <v>313</v>
      </c>
      <c r="D312" s="166">
        <v>37.5</v>
      </c>
      <c r="E312" s="164">
        <v>922</v>
      </c>
      <c r="F312" s="167">
        <v>0.6</v>
      </c>
      <c r="G312" s="193">
        <v>0.3</v>
      </c>
      <c r="H312" s="167">
        <v>0.8</v>
      </c>
      <c r="I312" s="193">
        <v>0.45</v>
      </c>
      <c r="O312" s="167">
        <v>0.6</v>
      </c>
      <c r="P312" s="167">
        <v>0.35</v>
      </c>
      <c r="Q312" s="167">
        <v>0.8</v>
      </c>
      <c r="R312" s="167">
        <v>0.5</v>
      </c>
      <c r="T312" s="162">
        <v>0</v>
      </c>
      <c r="U312" s="162" t="s">
        <v>1796</v>
      </c>
      <c r="V312" s="168">
        <v>0.8</v>
      </c>
      <c r="W312" s="162" t="s">
        <v>283</v>
      </c>
      <c r="X312" s="162" t="s">
        <v>296</v>
      </c>
    </row>
    <row r="313" spans="1:24" ht="16">
      <c r="A313" s="160" t="str">
        <f t="shared" si="4"/>
        <v>屏東縣春日鄉</v>
      </c>
      <c r="B313" s="169" t="s">
        <v>283</v>
      </c>
      <c r="C313" s="169" t="s">
        <v>314</v>
      </c>
      <c r="D313" s="166">
        <v>42.5</v>
      </c>
      <c r="E313" s="164">
        <v>942</v>
      </c>
      <c r="F313" s="167">
        <v>0.5</v>
      </c>
      <c r="G313" s="167">
        <v>0.3</v>
      </c>
      <c r="H313" s="167">
        <v>0.7</v>
      </c>
      <c r="I313" s="167">
        <v>0.4</v>
      </c>
      <c r="O313" s="167">
        <v>0.5</v>
      </c>
      <c r="P313" s="167">
        <v>0.3</v>
      </c>
      <c r="Q313" s="167">
        <v>0.7</v>
      </c>
      <c r="R313" s="167">
        <v>0.4</v>
      </c>
      <c r="T313" s="162">
        <v>0</v>
      </c>
      <c r="U313" s="162" t="s">
        <v>1796</v>
      </c>
      <c r="V313" s="168">
        <v>0.8</v>
      </c>
      <c r="W313" s="162" t="s">
        <v>283</v>
      </c>
      <c r="X313" s="162" t="s">
        <v>308</v>
      </c>
    </row>
    <row r="314" spans="1:24" ht="16">
      <c r="A314" s="160" t="str">
        <f t="shared" si="4"/>
        <v>屏東縣獅子鄉</v>
      </c>
      <c r="B314" s="169" t="s">
        <v>283</v>
      </c>
      <c r="C314" s="169" t="s">
        <v>315</v>
      </c>
      <c r="D314" s="166">
        <v>42.5</v>
      </c>
      <c r="E314" s="164">
        <v>943</v>
      </c>
      <c r="F314" s="193">
        <v>0.5</v>
      </c>
      <c r="G314" s="193">
        <v>0.3</v>
      </c>
      <c r="H314" s="193">
        <v>0.7</v>
      </c>
      <c r="I314" s="193">
        <v>0.4</v>
      </c>
      <c r="O314" s="167">
        <v>0.7</v>
      </c>
      <c r="P314" s="167">
        <v>0.35</v>
      </c>
      <c r="Q314" s="167">
        <v>0.9</v>
      </c>
      <c r="R314" s="167">
        <v>0.5</v>
      </c>
      <c r="T314" s="162">
        <v>0</v>
      </c>
      <c r="U314" s="162" t="s">
        <v>1796</v>
      </c>
      <c r="V314" s="168">
        <v>0.8</v>
      </c>
      <c r="W314" s="162" t="s">
        <v>283</v>
      </c>
      <c r="X314" s="162" t="s">
        <v>312</v>
      </c>
    </row>
    <row r="315" spans="1:24" ht="16">
      <c r="A315" s="160" t="str">
        <f t="shared" si="4"/>
        <v>屏東縣牡丹鄉</v>
      </c>
      <c r="B315" s="169" t="s">
        <v>283</v>
      </c>
      <c r="C315" s="169" t="s">
        <v>316</v>
      </c>
      <c r="D315" s="166">
        <v>42.5</v>
      </c>
      <c r="E315" s="164">
        <v>945</v>
      </c>
      <c r="F315" s="167">
        <v>0.5</v>
      </c>
      <c r="G315" s="167">
        <v>0.3</v>
      </c>
      <c r="H315" s="167">
        <v>0.7</v>
      </c>
      <c r="I315" s="167">
        <v>0.4</v>
      </c>
      <c r="O315" s="167">
        <v>0.5</v>
      </c>
      <c r="P315" s="167">
        <v>0.3</v>
      </c>
      <c r="Q315" s="167">
        <v>0.7</v>
      </c>
      <c r="R315" s="167">
        <v>0.4</v>
      </c>
      <c r="T315" s="162">
        <v>0</v>
      </c>
      <c r="U315" s="162" t="s">
        <v>1796</v>
      </c>
      <c r="V315" s="168">
        <v>0.8</v>
      </c>
      <c r="W315" s="162" t="s">
        <v>283</v>
      </c>
      <c r="X315" s="162" t="s">
        <v>314</v>
      </c>
    </row>
    <row r="316" spans="1:24" ht="62">
      <c r="A316" s="160" t="str">
        <f t="shared" si="4"/>
        <v>臺東縣臺東市</v>
      </c>
      <c r="B316" s="169" t="s">
        <v>1580</v>
      </c>
      <c r="C316" s="169" t="s">
        <v>1617</v>
      </c>
      <c r="D316" s="166">
        <v>37.5</v>
      </c>
      <c r="E316" s="164">
        <v>950</v>
      </c>
      <c r="F316" s="167">
        <v>0.8</v>
      </c>
      <c r="G316" s="167">
        <v>0.45</v>
      </c>
      <c r="H316" s="167">
        <v>1</v>
      </c>
      <c r="I316" s="167">
        <v>0.55000000000000004</v>
      </c>
      <c r="J316" s="475" t="s">
        <v>1819</v>
      </c>
      <c r="K316" s="180"/>
      <c r="L316" s="180"/>
      <c r="M316" s="180"/>
      <c r="N316" s="180"/>
      <c r="O316" s="167">
        <v>0.8</v>
      </c>
      <c r="P316" s="167">
        <v>0.45</v>
      </c>
      <c r="Q316" s="167">
        <v>1</v>
      </c>
      <c r="R316" s="167">
        <v>0.55000000000000004</v>
      </c>
      <c r="T316" s="162">
        <v>0</v>
      </c>
      <c r="U316" s="175" t="s">
        <v>1797</v>
      </c>
      <c r="V316" s="175">
        <v>0.6</v>
      </c>
      <c r="W316" s="162" t="s">
        <v>317</v>
      </c>
      <c r="X316" s="162" t="s">
        <v>318</v>
      </c>
    </row>
    <row r="317" spans="1:24" ht="62">
      <c r="A317" s="160" t="str">
        <f t="shared" si="4"/>
        <v>臺東縣成功鎮</v>
      </c>
      <c r="B317" s="169" t="s">
        <v>1580</v>
      </c>
      <c r="C317" s="169" t="s">
        <v>325</v>
      </c>
      <c r="D317" s="166">
        <v>37.5</v>
      </c>
      <c r="E317" s="164">
        <v>961</v>
      </c>
      <c r="F317" s="167">
        <v>0.8</v>
      </c>
      <c r="G317" s="167">
        <v>0.45</v>
      </c>
      <c r="H317" s="167">
        <v>1</v>
      </c>
      <c r="I317" s="167">
        <v>0.55000000000000004</v>
      </c>
      <c r="J317" s="475" t="s">
        <v>1819</v>
      </c>
      <c r="K317" s="180"/>
      <c r="L317" s="180"/>
      <c r="M317" s="180"/>
      <c r="N317" s="180"/>
      <c r="O317" s="167">
        <v>0.8</v>
      </c>
      <c r="P317" s="167">
        <v>0.45</v>
      </c>
      <c r="Q317" s="167">
        <v>1</v>
      </c>
      <c r="R317" s="167">
        <v>0.55000000000000004</v>
      </c>
      <c r="S317" s="162" t="s">
        <v>326</v>
      </c>
      <c r="T317" s="162">
        <v>13</v>
      </c>
      <c r="U317" s="176" t="s">
        <v>1799</v>
      </c>
      <c r="V317" s="176">
        <v>1</v>
      </c>
      <c r="W317" s="162" t="s">
        <v>323</v>
      </c>
      <c r="X317" s="162" t="s">
        <v>330</v>
      </c>
    </row>
    <row r="318" spans="1:24" ht="62">
      <c r="A318" s="160" t="str">
        <f t="shared" si="4"/>
        <v>臺東縣關山鎮</v>
      </c>
      <c r="B318" s="169" t="s">
        <v>1580</v>
      </c>
      <c r="C318" s="169" t="s">
        <v>327</v>
      </c>
      <c r="D318" s="166">
        <v>37.5</v>
      </c>
      <c r="E318" s="164">
        <v>956</v>
      </c>
      <c r="F318" s="167">
        <v>0.8</v>
      </c>
      <c r="G318" s="167">
        <v>0.45</v>
      </c>
      <c r="H318" s="167">
        <v>1</v>
      </c>
      <c r="I318" s="167">
        <v>0.55000000000000004</v>
      </c>
      <c r="J318" s="475" t="s">
        <v>1819</v>
      </c>
      <c r="K318" s="180"/>
      <c r="L318" s="180"/>
      <c r="M318" s="180"/>
      <c r="N318" s="180"/>
      <c r="O318" s="167">
        <v>0.8</v>
      </c>
      <c r="P318" s="167">
        <v>0.45</v>
      </c>
      <c r="Q318" s="167">
        <v>1</v>
      </c>
      <c r="R318" s="167">
        <v>0.55000000000000004</v>
      </c>
      <c r="S318" s="162" t="s">
        <v>326</v>
      </c>
      <c r="T318" s="162">
        <v>13</v>
      </c>
      <c r="U318" s="176" t="s">
        <v>1799</v>
      </c>
      <c r="V318" s="176">
        <v>1</v>
      </c>
      <c r="W318" s="162" t="s">
        <v>323</v>
      </c>
      <c r="X318" s="162" t="s">
        <v>325</v>
      </c>
    </row>
    <row r="319" spans="1:24" ht="62">
      <c r="A319" s="160" t="str">
        <f t="shared" si="4"/>
        <v>臺東縣卑南鄉</v>
      </c>
      <c r="B319" s="169" t="s">
        <v>1580</v>
      </c>
      <c r="C319" s="169" t="s">
        <v>328</v>
      </c>
      <c r="D319" s="166">
        <v>37.5</v>
      </c>
      <c r="E319" s="164">
        <v>954</v>
      </c>
      <c r="F319" s="167">
        <v>0.8</v>
      </c>
      <c r="G319" s="167">
        <v>0.45</v>
      </c>
      <c r="H319" s="167">
        <v>1</v>
      </c>
      <c r="I319" s="167">
        <v>0.55000000000000004</v>
      </c>
      <c r="J319" s="475" t="s">
        <v>1819</v>
      </c>
      <c r="K319" s="180"/>
      <c r="L319" s="180"/>
      <c r="M319" s="180"/>
      <c r="N319" s="180"/>
      <c r="O319" s="167">
        <v>0.8</v>
      </c>
      <c r="P319" s="167">
        <v>0.45</v>
      </c>
      <c r="Q319" s="167">
        <v>1</v>
      </c>
      <c r="R319" s="167">
        <v>0.55000000000000004</v>
      </c>
      <c r="T319" s="162">
        <v>0</v>
      </c>
      <c r="U319" s="175" t="s">
        <v>1797</v>
      </c>
      <c r="V319" s="175">
        <v>0.6</v>
      </c>
      <c r="W319" s="162" t="s">
        <v>317</v>
      </c>
      <c r="X319" s="162" t="s">
        <v>322</v>
      </c>
    </row>
    <row r="320" spans="1:24" ht="62">
      <c r="A320" s="160" t="str">
        <f t="shared" si="4"/>
        <v>臺東縣鹿野鄉</v>
      </c>
      <c r="B320" s="169" t="s">
        <v>1580</v>
      </c>
      <c r="C320" s="169" t="s">
        <v>329</v>
      </c>
      <c r="D320" s="166">
        <v>37.5</v>
      </c>
      <c r="E320" s="164">
        <v>955</v>
      </c>
      <c r="F320" s="167">
        <v>0.8</v>
      </c>
      <c r="G320" s="167">
        <v>0.45</v>
      </c>
      <c r="H320" s="167">
        <v>1</v>
      </c>
      <c r="I320" s="167">
        <v>0.55000000000000004</v>
      </c>
      <c r="J320" s="475" t="s">
        <v>1819</v>
      </c>
      <c r="K320" s="180"/>
      <c r="L320" s="180"/>
      <c r="M320" s="180"/>
      <c r="N320" s="180"/>
      <c r="O320" s="167">
        <v>0.8</v>
      </c>
      <c r="P320" s="167">
        <v>0.45</v>
      </c>
      <c r="Q320" s="167">
        <v>1</v>
      </c>
      <c r="R320" s="167">
        <v>0.55000000000000004</v>
      </c>
      <c r="S320" s="162" t="s">
        <v>326</v>
      </c>
      <c r="T320" s="162">
        <v>13</v>
      </c>
      <c r="U320" s="176" t="s">
        <v>1799</v>
      </c>
      <c r="V320" s="176">
        <v>1</v>
      </c>
      <c r="W320" s="162" t="s">
        <v>323</v>
      </c>
      <c r="X320" s="162" t="s">
        <v>324</v>
      </c>
    </row>
    <row r="321" spans="1:24" ht="62">
      <c r="A321" s="160" t="str">
        <f t="shared" si="4"/>
        <v>臺東縣池上鄉</v>
      </c>
      <c r="B321" s="169" t="s">
        <v>1580</v>
      </c>
      <c r="C321" s="169" t="s">
        <v>330</v>
      </c>
      <c r="D321" s="166">
        <v>37.5</v>
      </c>
      <c r="E321" s="164">
        <v>958</v>
      </c>
      <c r="F321" s="167">
        <v>0.8</v>
      </c>
      <c r="G321" s="167">
        <v>0.45</v>
      </c>
      <c r="H321" s="167">
        <v>1</v>
      </c>
      <c r="I321" s="167">
        <v>0.55000000000000004</v>
      </c>
      <c r="J321" s="475" t="s">
        <v>1819</v>
      </c>
      <c r="K321" s="180"/>
      <c r="L321" s="180"/>
      <c r="M321" s="180"/>
      <c r="N321" s="180"/>
      <c r="O321" s="167">
        <v>0.8</v>
      </c>
      <c r="P321" s="167">
        <v>0.45</v>
      </c>
      <c r="Q321" s="167">
        <v>1</v>
      </c>
      <c r="R321" s="167">
        <v>0.55000000000000004</v>
      </c>
      <c r="S321" s="162" t="s">
        <v>326</v>
      </c>
      <c r="T321" s="162">
        <v>13</v>
      </c>
      <c r="U321" s="176" t="s">
        <v>1799</v>
      </c>
      <c r="V321" s="176">
        <v>1</v>
      </c>
      <c r="W321" s="162" t="s">
        <v>323</v>
      </c>
      <c r="X321" s="162" t="s">
        <v>328</v>
      </c>
    </row>
    <row r="322" spans="1:24" ht="62">
      <c r="A322" s="160" t="str">
        <f t="shared" si="4"/>
        <v>臺東縣東河鄉</v>
      </c>
      <c r="B322" s="169" t="s">
        <v>1580</v>
      </c>
      <c r="C322" s="169" t="s">
        <v>331</v>
      </c>
      <c r="D322" s="166">
        <v>37.5</v>
      </c>
      <c r="E322" s="164">
        <v>959</v>
      </c>
      <c r="F322" s="167">
        <v>0.8</v>
      </c>
      <c r="G322" s="167">
        <v>0.45</v>
      </c>
      <c r="H322" s="167">
        <v>1</v>
      </c>
      <c r="I322" s="167">
        <v>0.55000000000000004</v>
      </c>
      <c r="J322" s="475" t="s">
        <v>1819</v>
      </c>
      <c r="K322" s="180"/>
      <c r="L322" s="180"/>
      <c r="M322" s="180"/>
      <c r="N322" s="180"/>
      <c r="O322" s="167">
        <v>0.8</v>
      </c>
      <c r="P322" s="167">
        <v>0.45</v>
      </c>
      <c r="Q322" s="167">
        <v>1</v>
      </c>
      <c r="R322" s="167">
        <v>0.55000000000000004</v>
      </c>
      <c r="S322" s="162" t="s">
        <v>326</v>
      </c>
      <c r="T322" s="162">
        <v>13</v>
      </c>
      <c r="U322" s="176" t="s">
        <v>1799</v>
      </c>
      <c r="V322" s="176">
        <v>1</v>
      </c>
      <c r="W322" s="162" t="s">
        <v>323</v>
      </c>
      <c r="X322" s="162" t="s">
        <v>329</v>
      </c>
    </row>
    <row r="323" spans="1:24" ht="62">
      <c r="A323" s="160" t="str">
        <f t="shared" ref="A323:A363" si="5">B323&amp;C323</f>
        <v>臺東縣長濱鄉</v>
      </c>
      <c r="B323" s="169" t="s">
        <v>1580</v>
      </c>
      <c r="C323" s="169" t="s">
        <v>332</v>
      </c>
      <c r="D323" s="166">
        <v>42.5</v>
      </c>
      <c r="E323" s="164">
        <v>962</v>
      </c>
      <c r="F323" s="167">
        <v>0.8</v>
      </c>
      <c r="G323" s="167">
        <v>0.45</v>
      </c>
      <c r="H323" s="167">
        <v>1</v>
      </c>
      <c r="I323" s="167">
        <v>0.55000000000000004</v>
      </c>
      <c r="J323" s="475" t="s">
        <v>1819</v>
      </c>
      <c r="K323" s="180"/>
      <c r="L323" s="180"/>
      <c r="M323" s="180"/>
      <c r="N323" s="180"/>
      <c r="O323" s="167">
        <v>0.8</v>
      </c>
      <c r="P323" s="167">
        <v>0.45</v>
      </c>
      <c r="Q323" s="167">
        <v>1</v>
      </c>
      <c r="R323" s="167">
        <v>0.55000000000000004</v>
      </c>
      <c r="S323" s="162" t="s">
        <v>326</v>
      </c>
      <c r="T323" s="162">
        <v>13</v>
      </c>
      <c r="U323" s="176" t="s">
        <v>1799</v>
      </c>
      <c r="V323" s="176">
        <v>1</v>
      </c>
      <c r="W323" s="162" t="s">
        <v>323</v>
      </c>
      <c r="X323" s="162" t="s">
        <v>331</v>
      </c>
    </row>
    <row r="324" spans="1:24" ht="16">
      <c r="A324" s="160" t="str">
        <f t="shared" si="5"/>
        <v>臺東縣太麻里鄉</v>
      </c>
      <c r="B324" s="169" t="s">
        <v>1580</v>
      </c>
      <c r="C324" s="198" t="s">
        <v>333</v>
      </c>
      <c r="D324" s="166">
        <v>42.5</v>
      </c>
      <c r="E324" s="164">
        <v>963</v>
      </c>
      <c r="F324" s="167">
        <v>0.7</v>
      </c>
      <c r="G324" s="167">
        <v>0.4</v>
      </c>
      <c r="H324" s="167">
        <v>0.9</v>
      </c>
      <c r="I324" s="178">
        <v>0.5</v>
      </c>
      <c r="O324" s="167">
        <v>0.7</v>
      </c>
      <c r="P324" s="167">
        <v>0.4</v>
      </c>
      <c r="Q324" s="167">
        <v>0.9</v>
      </c>
      <c r="R324" s="167">
        <v>0.55000000000000004</v>
      </c>
      <c r="T324" s="162">
        <v>0</v>
      </c>
      <c r="U324" s="176" t="s">
        <v>1799</v>
      </c>
      <c r="V324" s="176">
        <v>1</v>
      </c>
      <c r="W324" s="162" t="s">
        <v>323</v>
      </c>
      <c r="X324" s="162" t="s">
        <v>332</v>
      </c>
    </row>
    <row r="325" spans="1:24" ht="16">
      <c r="A325" s="160" t="str">
        <f t="shared" si="5"/>
        <v>臺東縣大武鄉</v>
      </c>
      <c r="B325" s="169" t="s">
        <v>1580</v>
      </c>
      <c r="C325" s="169" t="s">
        <v>334</v>
      </c>
      <c r="D325" s="166">
        <v>42.5</v>
      </c>
      <c r="E325" s="164">
        <v>965</v>
      </c>
      <c r="F325" s="167">
        <v>0.6</v>
      </c>
      <c r="G325" s="167">
        <v>0.3</v>
      </c>
      <c r="H325" s="167">
        <v>0.8</v>
      </c>
      <c r="I325" s="167">
        <v>0.45</v>
      </c>
      <c r="O325" s="167">
        <v>0.6</v>
      </c>
      <c r="P325" s="167">
        <v>0.3</v>
      </c>
      <c r="Q325" s="167">
        <v>0.8</v>
      </c>
      <c r="R325" s="167">
        <v>0.45</v>
      </c>
      <c r="T325" s="162">
        <v>0</v>
      </c>
      <c r="U325" s="176" t="s">
        <v>1799</v>
      </c>
      <c r="V325" s="176">
        <v>1</v>
      </c>
      <c r="W325" s="162" t="s">
        <v>323</v>
      </c>
      <c r="X325" s="162" t="s">
        <v>334</v>
      </c>
    </row>
    <row r="326" spans="1:24" ht="16">
      <c r="A326" s="160" t="str">
        <f t="shared" si="5"/>
        <v>臺東縣綠島鄉</v>
      </c>
      <c r="B326" s="169" t="s">
        <v>1580</v>
      </c>
      <c r="C326" s="169" t="s">
        <v>335</v>
      </c>
      <c r="D326" s="166">
        <v>65</v>
      </c>
      <c r="E326" s="164">
        <v>951</v>
      </c>
      <c r="F326" s="167">
        <v>0.8</v>
      </c>
      <c r="G326" s="167">
        <v>0.45</v>
      </c>
      <c r="H326" s="167">
        <v>1</v>
      </c>
      <c r="I326" s="167">
        <v>0.55000000000000004</v>
      </c>
      <c r="J326" s="180"/>
      <c r="K326" s="180"/>
      <c r="L326" s="180"/>
      <c r="M326" s="180"/>
      <c r="N326" s="180"/>
      <c r="O326" s="167">
        <v>0.8</v>
      </c>
      <c r="P326" s="167">
        <v>0.45</v>
      </c>
      <c r="Q326" s="167">
        <v>1</v>
      </c>
      <c r="R326" s="167">
        <v>0.55000000000000004</v>
      </c>
      <c r="T326" s="162">
        <v>0</v>
      </c>
      <c r="U326" s="175" t="s">
        <v>1797</v>
      </c>
      <c r="V326" s="175">
        <v>0.6</v>
      </c>
      <c r="W326" s="162" t="s">
        <v>317</v>
      </c>
      <c r="X326" s="162" t="s">
        <v>319</v>
      </c>
    </row>
    <row r="327" spans="1:24" ht="62">
      <c r="A327" s="160" t="str">
        <f t="shared" si="5"/>
        <v>臺東縣海端鄉</v>
      </c>
      <c r="B327" s="169" t="s">
        <v>1580</v>
      </c>
      <c r="C327" s="169" t="s">
        <v>336</v>
      </c>
      <c r="D327" s="166">
        <v>37.5</v>
      </c>
      <c r="E327" s="164">
        <v>957</v>
      </c>
      <c r="F327" s="167">
        <v>0.8</v>
      </c>
      <c r="G327" s="167">
        <v>0.45</v>
      </c>
      <c r="H327" s="167">
        <v>1</v>
      </c>
      <c r="I327" s="167">
        <v>0.55000000000000004</v>
      </c>
      <c r="J327" s="475" t="s">
        <v>1819</v>
      </c>
      <c r="K327" s="180"/>
      <c r="L327" s="180"/>
      <c r="M327" s="180"/>
      <c r="N327" s="180"/>
      <c r="O327" s="167">
        <v>0.8</v>
      </c>
      <c r="P327" s="167">
        <v>0.45</v>
      </c>
      <c r="Q327" s="167">
        <v>1</v>
      </c>
      <c r="R327" s="167">
        <v>0.55000000000000004</v>
      </c>
      <c r="S327" s="162" t="s">
        <v>326</v>
      </c>
      <c r="T327" s="162">
        <v>13</v>
      </c>
      <c r="U327" s="176" t="s">
        <v>1799</v>
      </c>
      <c r="V327" s="176">
        <v>1</v>
      </c>
      <c r="W327" s="162" t="s">
        <v>323</v>
      </c>
      <c r="X327" s="162" t="s">
        <v>327</v>
      </c>
    </row>
    <row r="328" spans="1:24" ht="62">
      <c r="A328" s="160" t="str">
        <f t="shared" si="5"/>
        <v>臺東縣延平鄉</v>
      </c>
      <c r="B328" s="169" t="s">
        <v>1580</v>
      </c>
      <c r="C328" s="169" t="s">
        <v>337</v>
      </c>
      <c r="D328" s="166">
        <v>37.5</v>
      </c>
      <c r="E328" s="164">
        <v>953</v>
      </c>
      <c r="F328" s="167">
        <v>0.8</v>
      </c>
      <c r="G328" s="167">
        <v>0.45</v>
      </c>
      <c r="H328" s="167">
        <v>1</v>
      </c>
      <c r="I328" s="167">
        <v>0.55000000000000004</v>
      </c>
      <c r="J328" s="475" t="s">
        <v>1819</v>
      </c>
      <c r="K328" s="180"/>
      <c r="L328" s="180"/>
      <c r="M328" s="180"/>
      <c r="N328" s="180"/>
      <c r="O328" s="167">
        <v>0.8</v>
      </c>
      <c r="P328" s="167">
        <v>0.45</v>
      </c>
      <c r="Q328" s="167">
        <v>1</v>
      </c>
      <c r="R328" s="167">
        <v>0.55000000000000004</v>
      </c>
      <c r="T328" s="162">
        <v>0</v>
      </c>
      <c r="U328" s="175" t="s">
        <v>1797</v>
      </c>
      <c r="V328" s="175">
        <v>0.6</v>
      </c>
      <c r="W328" s="162" t="s">
        <v>317</v>
      </c>
      <c r="X328" s="162" t="s">
        <v>321</v>
      </c>
    </row>
    <row r="329" spans="1:24" ht="16">
      <c r="A329" s="160" t="str">
        <f t="shared" si="5"/>
        <v>臺東縣金峰鄉</v>
      </c>
      <c r="B329" s="169" t="s">
        <v>1580</v>
      </c>
      <c r="C329" s="169" t="s">
        <v>338</v>
      </c>
      <c r="D329" s="166">
        <v>37.5</v>
      </c>
      <c r="E329" s="164">
        <v>964</v>
      </c>
      <c r="F329" s="167">
        <v>0.7</v>
      </c>
      <c r="G329" s="167">
        <v>0.4</v>
      </c>
      <c r="H329" s="167">
        <v>0.9</v>
      </c>
      <c r="I329" s="167">
        <v>0.5</v>
      </c>
      <c r="O329" s="167">
        <v>0.7</v>
      </c>
      <c r="P329" s="167">
        <v>0.4</v>
      </c>
      <c r="Q329" s="167">
        <v>0.9</v>
      </c>
      <c r="R329" s="167">
        <v>0.5</v>
      </c>
      <c r="T329" s="162">
        <v>0</v>
      </c>
      <c r="U329" s="176" t="s">
        <v>1799</v>
      </c>
      <c r="V329" s="176">
        <v>1</v>
      </c>
      <c r="W329" s="162" t="s">
        <v>323</v>
      </c>
      <c r="X329" s="162" t="s">
        <v>333</v>
      </c>
    </row>
    <row r="330" spans="1:24" ht="16">
      <c r="A330" s="160" t="str">
        <f t="shared" si="5"/>
        <v>臺東縣達仁鄉</v>
      </c>
      <c r="B330" s="169" t="s">
        <v>1580</v>
      </c>
      <c r="C330" s="169" t="s">
        <v>339</v>
      </c>
      <c r="D330" s="166">
        <v>42.5</v>
      </c>
      <c r="E330" s="164">
        <v>966</v>
      </c>
      <c r="F330" s="167">
        <v>0.6</v>
      </c>
      <c r="G330" s="167">
        <v>0.3</v>
      </c>
      <c r="H330" s="167">
        <v>0.8</v>
      </c>
      <c r="I330" s="167">
        <v>0.45</v>
      </c>
      <c r="O330" s="167">
        <v>0.6</v>
      </c>
      <c r="P330" s="167">
        <v>0.3</v>
      </c>
      <c r="Q330" s="167">
        <v>0.8</v>
      </c>
      <c r="R330" s="167">
        <v>0.45</v>
      </c>
      <c r="T330" s="162">
        <v>0</v>
      </c>
      <c r="U330" s="176" t="s">
        <v>1799</v>
      </c>
      <c r="V330" s="176">
        <v>1</v>
      </c>
      <c r="W330" s="162" t="s">
        <v>323</v>
      </c>
      <c r="X330" s="162" t="s">
        <v>335</v>
      </c>
    </row>
    <row r="331" spans="1:24" ht="16">
      <c r="A331" s="160" t="str">
        <f t="shared" si="5"/>
        <v>臺東縣蘭嶼鄉</v>
      </c>
      <c r="B331" s="169" t="s">
        <v>1580</v>
      </c>
      <c r="C331" s="198" t="s">
        <v>340</v>
      </c>
      <c r="D331" s="166">
        <v>65</v>
      </c>
      <c r="E331" s="164">
        <v>952</v>
      </c>
      <c r="F331" s="178">
        <v>0.7</v>
      </c>
      <c r="G331" s="167">
        <v>0.4</v>
      </c>
      <c r="H331" s="167">
        <v>0.9</v>
      </c>
      <c r="I331" s="178">
        <v>0.5</v>
      </c>
      <c r="O331" s="167">
        <v>0.8</v>
      </c>
      <c r="P331" s="167">
        <v>0.4</v>
      </c>
      <c r="Q331" s="167">
        <v>0.9</v>
      </c>
      <c r="R331" s="167">
        <v>0.55000000000000004</v>
      </c>
      <c r="T331" s="162">
        <v>0</v>
      </c>
      <c r="U331" s="175" t="s">
        <v>1797</v>
      </c>
      <c r="V331" s="175">
        <v>0.6</v>
      </c>
      <c r="W331" s="162" t="s">
        <v>317</v>
      </c>
      <c r="X331" s="162" t="s">
        <v>320</v>
      </c>
    </row>
    <row r="332" spans="1:24" ht="62">
      <c r="A332" s="160" t="str">
        <f t="shared" si="5"/>
        <v>花蓮縣花蓮市</v>
      </c>
      <c r="B332" s="169" t="s">
        <v>341</v>
      </c>
      <c r="C332" s="169" t="s">
        <v>342</v>
      </c>
      <c r="D332" s="166">
        <v>47.5</v>
      </c>
      <c r="E332" s="164">
        <v>970</v>
      </c>
      <c r="F332" s="167">
        <v>0.8</v>
      </c>
      <c r="G332" s="167">
        <v>0.45</v>
      </c>
      <c r="H332" s="167">
        <v>1</v>
      </c>
      <c r="I332" s="167">
        <v>0.55000000000000004</v>
      </c>
      <c r="J332" s="475" t="s">
        <v>1819</v>
      </c>
      <c r="O332" s="167">
        <v>0.8</v>
      </c>
      <c r="P332" s="167">
        <v>0.45</v>
      </c>
      <c r="Q332" s="167">
        <v>1</v>
      </c>
      <c r="R332" s="167">
        <v>0.55000000000000004</v>
      </c>
      <c r="S332" s="162" t="s">
        <v>326</v>
      </c>
      <c r="T332" s="162">
        <v>13</v>
      </c>
      <c r="U332" s="176" t="s">
        <v>1799</v>
      </c>
      <c r="V332" s="176">
        <v>1</v>
      </c>
      <c r="W332" s="162" t="s">
        <v>323</v>
      </c>
      <c r="X332" s="162" t="s">
        <v>336</v>
      </c>
    </row>
    <row r="333" spans="1:24" ht="62">
      <c r="A333" s="160" t="str">
        <f t="shared" si="5"/>
        <v>花蓮縣鳳林鎮</v>
      </c>
      <c r="B333" s="169" t="s">
        <v>341</v>
      </c>
      <c r="C333" s="169" t="s">
        <v>343</v>
      </c>
      <c r="D333" s="166">
        <v>42.5</v>
      </c>
      <c r="E333" s="164">
        <v>975</v>
      </c>
      <c r="F333" s="167">
        <v>0.8</v>
      </c>
      <c r="G333" s="167">
        <v>0.45</v>
      </c>
      <c r="H333" s="167">
        <v>1</v>
      </c>
      <c r="I333" s="167">
        <v>0.55000000000000004</v>
      </c>
      <c r="J333" s="475" t="s">
        <v>1819</v>
      </c>
      <c r="O333" s="167">
        <v>0.8</v>
      </c>
      <c r="P333" s="167">
        <v>0.45</v>
      </c>
      <c r="Q333" s="167">
        <v>1</v>
      </c>
      <c r="R333" s="167">
        <v>0.55000000000000004</v>
      </c>
      <c r="S333" s="162" t="s">
        <v>326</v>
      </c>
      <c r="T333" s="162">
        <v>13</v>
      </c>
      <c r="U333" s="176" t="s">
        <v>1799</v>
      </c>
      <c r="V333" s="176">
        <v>1</v>
      </c>
      <c r="W333" s="162" t="s">
        <v>341</v>
      </c>
      <c r="X333" s="162" t="s">
        <v>342</v>
      </c>
    </row>
    <row r="334" spans="1:24" ht="62">
      <c r="A334" s="160" t="str">
        <f t="shared" si="5"/>
        <v>花蓮縣玉里鎮</v>
      </c>
      <c r="B334" s="169" t="s">
        <v>341</v>
      </c>
      <c r="C334" s="169" t="s">
        <v>344</v>
      </c>
      <c r="D334" s="166">
        <v>42.5</v>
      </c>
      <c r="E334" s="164">
        <v>981</v>
      </c>
      <c r="F334" s="167">
        <v>0.8</v>
      </c>
      <c r="G334" s="167">
        <v>0.45</v>
      </c>
      <c r="H334" s="167">
        <v>1</v>
      </c>
      <c r="I334" s="167">
        <v>0.55000000000000004</v>
      </c>
      <c r="J334" s="475" t="s">
        <v>1819</v>
      </c>
      <c r="O334" s="167">
        <v>0.8</v>
      </c>
      <c r="P334" s="167">
        <v>0.45</v>
      </c>
      <c r="Q334" s="167">
        <v>1</v>
      </c>
      <c r="R334" s="167">
        <v>0.55000000000000004</v>
      </c>
      <c r="S334" s="162" t="s">
        <v>326</v>
      </c>
      <c r="T334" s="162">
        <v>13</v>
      </c>
      <c r="U334" s="176" t="s">
        <v>1799</v>
      </c>
      <c r="V334" s="176">
        <v>1</v>
      </c>
      <c r="W334" s="162" t="s">
        <v>341</v>
      </c>
      <c r="X334" s="162" t="s">
        <v>347</v>
      </c>
    </row>
    <row r="335" spans="1:24" ht="62">
      <c r="A335" s="160" t="str">
        <f t="shared" si="5"/>
        <v>花蓮縣新城鄉</v>
      </c>
      <c r="B335" s="169" t="s">
        <v>341</v>
      </c>
      <c r="C335" s="476" t="s">
        <v>345</v>
      </c>
      <c r="D335" s="166">
        <v>42.5</v>
      </c>
      <c r="E335" s="164">
        <v>971</v>
      </c>
      <c r="F335" s="167">
        <v>0.8</v>
      </c>
      <c r="G335" s="167">
        <v>0.45</v>
      </c>
      <c r="H335" s="167">
        <v>1</v>
      </c>
      <c r="I335" s="167">
        <v>0.55000000000000004</v>
      </c>
      <c r="J335" s="475" t="s">
        <v>1819</v>
      </c>
      <c r="O335" s="167">
        <v>0.8</v>
      </c>
      <c r="P335" s="167">
        <v>0.45</v>
      </c>
      <c r="Q335" s="167">
        <v>1</v>
      </c>
      <c r="R335" s="167">
        <v>0.55000000000000004</v>
      </c>
      <c r="S335" s="162" t="s">
        <v>326</v>
      </c>
      <c r="T335" s="162">
        <v>13</v>
      </c>
      <c r="U335" s="176" t="s">
        <v>1799</v>
      </c>
      <c r="V335" s="176">
        <v>1</v>
      </c>
      <c r="W335" s="162" t="s">
        <v>323</v>
      </c>
      <c r="X335" s="162" t="s">
        <v>337</v>
      </c>
    </row>
    <row r="336" spans="1:24" ht="62">
      <c r="A336" s="160" t="str">
        <f t="shared" si="5"/>
        <v>花蓮縣吉安鄉</v>
      </c>
      <c r="B336" s="169" t="s">
        <v>341</v>
      </c>
      <c r="C336" s="169" t="s">
        <v>346</v>
      </c>
      <c r="D336" s="166">
        <v>47.5</v>
      </c>
      <c r="E336" s="164">
        <v>973</v>
      </c>
      <c r="F336" s="167">
        <v>0.8</v>
      </c>
      <c r="G336" s="167">
        <v>0.45</v>
      </c>
      <c r="H336" s="167">
        <v>1</v>
      </c>
      <c r="I336" s="167">
        <v>0.55000000000000004</v>
      </c>
      <c r="J336" s="475" t="s">
        <v>1819</v>
      </c>
      <c r="O336" s="167">
        <v>0.8</v>
      </c>
      <c r="P336" s="167">
        <v>0.45</v>
      </c>
      <c r="Q336" s="167">
        <v>1</v>
      </c>
      <c r="R336" s="167">
        <v>0.55000000000000004</v>
      </c>
      <c r="S336" s="162" t="s">
        <v>326</v>
      </c>
      <c r="T336" s="162">
        <v>13</v>
      </c>
      <c r="U336" s="176" t="s">
        <v>1799</v>
      </c>
      <c r="V336" s="176">
        <v>1</v>
      </c>
      <c r="W336" s="162" t="s">
        <v>323</v>
      </c>
      <c r="X336" s="162" t="s">
        <v>339</v>
      </c>
    </row>
    <row r="337" spans="1:24" ht="62">
      <c r="A337" s="160" t="str">
        <f t="shared" si="5"/>
        <v>花蓮縣壽豐鄉</v>
      </c>
      <c r="B337" s="169" t="s">
        <v>341</v>
      </c>
      <c r="C337" s="169" t="s">
        <v>347</v>
      </c>
      <c r="D337" s="166">
        <v>42.5</v>
      </c>
      <c r="E337" s="164">
        <v>974</v>
      </c>
      <c r="F337" s="167">
        <v>0.8</v>
      </c>
      <c r="G337" s="167">
        <v>0.45</v>
      </c>
      <c r="H337" s="167">
        <v>1</v>
      </c>
      <c r="I337" s="167">
        <v>0.55000000000000004</v>
      </c>
      <c r="J337" s="475" t="s">
        <v>1819</v>
      </c>
      <c r="O337" s="167">
        <v>0.8</v>
      </c>
      <c r="P337" s="167">
        <v>0.45</v>
      </c>
      <c r="Q337" s="167">
        <v>1</v>
      </c>
      <c r="R337" s="167">
        <v>0.55000000000000004</v>
      </c>
      <c r="S337" s="162" t="s">
        <v>326</v>
      </c>
      <c r="T337" s="162">
        <v>13</v>
      </c>
      <c r="U337" s="176" t="s">
        <v>1799</v>
      </c>
      <c r="V337" s="176">
        <v>1</v>
      </c>
      <c r="W337" s="162" t="s">
        <v>323</v>
      </c>
      <c r="X337" s="162" t="s">
        <v>340</v>
      </c>
    </row>
    <row r="338" spans="1:24" ht="62">
      <c r="A338" s="160" t="str">
        <f t="shared" si="5"/>
        <v>花蓮縣光復鄉</v>
      </c>
      <c r="B338" s="169" t="s">
        <v>341</v>
      </c>
      <c r="C338" s="169" t="s">
        <v>348</v>
      </c>
      <c r="D338" s="166">
        <v>42.5</v>
      </c>
      <c r="E338" s="164">
        <v>976</v>
      </c>
      <c r="F338" s="167">
        <v>0.8</v>
      </c>
      <c r="G338" s="167">
        <v>0.45</v>
      </c>
      <c r="H338" s="167">
        <v>1</v>
      </c>
      <c r="I338" s="167">
        <v>0.55000000000000004</v>
      </c>
      <c r="J338" s="475" t="s">
        <v>1819</v>
      </c>
      <c r="O338" s="167">
        <v>0.8</v>
      </c>
      <c r="P338" s="167">
        <v>0.45</v>
      </c>
      <c r="Q338" s="167">
        <v>1</v>
      </c>
      <c r="R338" s="167">
        <v>0.55000000000000004</v>
      </c>
      <c r="S338" s="162" t="s">
        <v>326</v>
      </c>
      <c r="T338" s="162">
        <v>13</v>
      </c>
      <c r="U338" s="176" t="s">
        <v>1799</v>
      </c>
      <c r="V338" s="176">
        <v>1</v>
      </c>
      <c r="W338" s="162" t="s">
        <v>341</v>
      </c>
      <c r="X338" s="162" t="s">
        <v>343</v>
      </c>
    </row>
    <row r="339" spans="1:24" ht="62">
      <c r="A339" s="160" t="str">
        <f t="shared" si="5"/>
        <v>花蓮縣豐濱鄉</v>
      </c>
      <c r="B339" s="169" t="s">
        <v>341</v>
      </c>
      <c r="C339" s="169" t="s">
        <v>349</v>
      </c>
      <c r="D339" s="166">
        <v>42.5</v>
      </c>
      <c r="E339" s="164">
        <v>977</v>
      </c>
      <c r="F339" s="167">
        <v>0.8</v>
      </c>
      <c r="G339" s="167">
        <v>0.45</v>
      </c>
      <c r="H339" s="167">
        <v>1</v>
      </c>
      <c r="I339" s="167">
        <v>0.55000000000000004</v>
      </c>
      <c r="J339" s="475" t="s">
        <v>1819</v>
      </c>
      <c r="O339" s="167">
        <v>0.8</v>
      </c>
      <c r="P339" s="167">
        <v>0.45</v>
      </c>
      <c r="Q339" s="167">
        <v>1</v>
      </c>
      <c r="R339" s="167">
        <v>0.55000000000000004</v>
      </c>
      <c r="S339" s="162" t="s">
        <v>326</v>
      </c>
      <c r="T339" s="162">
        <v>13</v>
      </c>
      <c r="U339" s="176" t="s">
        <v>1799</v>
      </c>
      <c r="V339" s="176">
        <v>1</v>
      </c>
      <c r="W339" s="162" t="s">
        <v>341</v>
      </c>
      <c r="X339" s="162" t="s">
        <v>344</v>
      </c>
    </row>
    <row r="340" spans="1:24" ht="62">
      <c r="A340" s="160" t="str">
        <f t="shared" si="5"/>
        <v>花蓮縣瑞穗鄉</v>
      </c>
      <c r="B340" s="169" t="s">
        <v>341</v>
      </c>
      <c r="C340" s="169" t="s">
        <v>350</v>
      </c>
      <c r="D340" s="166">
        <v>42.5</v>
      </c>
      <c r="E340" s="164">
        <v>978</v>
      </c>
      <c r="F340" s="167">
        <v>0.8</v>
      </c>
      <c r="G340" s="167">
        <v>0.45</v>
      </c>
      <c r="H340" s="167">
        <v>1</v>
      </c>
      <c r="I340" s="167">
        <v>0.55000000000000004</v>
      </c>
      <c r="J340" s="475" t="s">
        <v>1819</v>
      </c>
      <c r="O340" s="167">
        <v>0.8</v>
      </c>
      <c r="P340" s="167">
        <v>0.45</v>
      </c>
      <c r="Q340" s="167">
        <v>1</v>
      </c>
      <c r="R340" s="167">
        <v>0.55000000000000004</v>
      </c>
      <c r="S340" s="162" t="s">
        <v>326</v>
      </c>
      <c r="T340" s="162">
        <v>13</v>
      </c>
      <c r="U340" s="176" t="s">
        <v>1799</v>
      </c>
      <c r="V340" s="176">
        <v>1</v>
      </c>
      <c r="W340" s="162" t="s">
        <v>341</v>
      </c>
      <c r="X340" s="162" t="s">
        <v>345</v>
      </c>
    </row>
    <row r="341" spans="1:24" ht="62">
      <c r="A341" s="160" t="str">
        <f t="shared" si="5"/>
        <v>花蓮縣富里鄉</v>
      </c>
      <c r="B341" s="169" t="s">
        <v>341</v>
      </c>
      <c r="C341" s="169" t="s">
        <v>351</v>
      </c>
      <c r="D341" s="166">
        <v>37.5</v>
      </c>
      <c r="E341" s="164">
        <v>983</v>
      </c>
      <c r="F341" s="167">
        <v>0.8</v>
      </c>
      <c r="G341" s="167">
        <v>0.45</v>
      </c>
      <c r="H341" s="167">
        <v>1</v>
      </c>
      <c r="I341" s="167">
        <v>0.55000000000000004</v>
      </c>
      <c r="J341" s="475" t="s">
        <v>1819</v>
      </c>
      <c r="O341" s="167">
        <v>0.8</v>
      </c>
      <c r="P341" s="167">
        <v>0.45</v>
      </c>
      <c r="Q341" s="167">
        <v>1</v>
      </c>
      <c r="R341" s="167">
        <v>0.55000000000000004</v>
      </c>
      <c r="S341" s="162" t="s">
        <v>326</v>
      </c>
      <c r="T341" s="162">
        <v>13</v>
      </c>
      <c r="U341" s="176" t="s">
        <v>1799</v>
      </c>
      <c r="V341" s="176">
        <v>1</v>
      </c>
      <c r="W341" s="162" t="s">
        <v>341</v>
      </c>
      <c r="X341" s="162" t="s">
        <v>349</v>
      </c>
    </row>
    <row r="342" spans="1:24" ht="62">
      <c r="A342" s="160" t="str">
        <f t="shared" si="5"/>
        <v>花蓮縣秀林鄉</v>
      </c>
      <c r="B342" s="169" t="s">
        <v>341</v>
      </c>
      <c r="C342" s="169" t="s">
        <v>352</v>
      </c>
      <c r="D342" s="166">
        <v>42.5</v>
      </c>
      <c r="E342" s="164">
        <v>972</v>
      </c>
      <c r="F342" s="167">
        <v>0.8</v>
      </c>
      <c r="G342" s="167">
        <v>0.45</v>
      </c>
      <c r="H342" s="167">
        <v>1</v>
      </c>
      <c r="I342" s="167">
        <v>0.55000000000000004</v>
      </c>
      <c r="J342" s="475" t="s">
        <v>1819</v>
      </c>
      <c r="O342" s="167">
        <v>0.8</v>
      </c>
      <c r="P342" s="167">
        <v>0.45</v>
      </c>
      <c r="Q342" s="167">
        <v>1</v>
      </c>
      <c r="R342" s="167">
        <v>0.55000000000000004</v>
      </c>
      <c r="S342" s="162" t="s">
        <v>326</v>
      </c>
      <c r="T342" s="162">
        <v>13</v>
      </c>
      <c r="U342" s="176" t="s">
        <v>1799</v>
      </c>
      <c r="V342" s="176">
        <v>1</v>
      </c>
      <c r="W342" s="162" t="s">
        <v>323</v>
      </c>
      <c r="X342" s="162" t="s">
        <v>338</v>
      </c>
    </row>
    <row r="343" spans="1:24" ht="62">
      <c r="A343" s="160" t="str">
        <f t="shared" si="5"/>
        <v>花蓮縣萬榮鄉</v>
      </c>
      <c r="B343" s="169" t="s">
        <v>341</v>
      </c>
      <c r="C343" s="169" t="s">
        <v>353</v>
      </c>
      <c r="D343" s="166">
        <v>37.5</v>
      </c>
      <c r="E343" s="164">
        <v>979</v>
      </c>
      <c r="F343" s="167">
        <v>0.8</v>
      </c>
      <c r="G343" s="167">
        <v>0.45</v>
      </c>
      <c r="H343" s="167">
        <v>1</v>
      </c>
      <c r="I343" s="167">
        <v>0.55000000000000004</v>
      </c>
      <c r="J343" s="475" t="s">
        <v>1819</v>
      </c>
      <c r="O343" s="167">
        <v>0.8</v>
      </c>
      <c r="P343" s="167">
        <v>0.45</v>
      </c>
      <c r="Q343" s="167">
        <v>1</v>
      </c>
      <c r="R343" s="167">
        <v>0.55000000000000004</v>
      </c>
      <c r="S343" s="162" t="s">
        <v>326</v>
      </c>
      <c r="T343" s="162">
        <v>13</v>
      </c>
      <c r="U343" s="176" t="s">
        <v>1799</v>
      </c>
      <c r="V343" s="176">
        <v>1</v>
      </c>
      <c r="W343" s="162" t="s">
        <v>341</v>
      </c>
      <c r="X343" s="162" t="s">
        <v>346</v>
      </c>
    </row>
    <row r="344" spans="1:24" ht="62">
      <c r="A344" s="160" t="str">
        <f t="shared" si="5"/>
        <v>花蓮縣卓溪鄉</v>
      </c>
      <c r="B344" s="169" t="s">
        <v>341</v>
      </c>
      <c r="C344" s="169" t="s">
        <v>354</v>
      </c>
      <c r="D344" s="166">
        <v>37.5</v>
      </c>
      <c r="E344" s="164">
        <v>982</v>
      </c>
      <c r="F344" s="167">
        <v>0.8</v>
      </c>
      <c r="G344" s="167">
        <v>0.45</v>
      </c>
      <c r="H344" s="167">
        <v>1</v>
      </c>
      <c r="I344" s="167">
        <v>0.55000000000000004</v>
      </c>
      <c r="J344" s="475" t="s">
        <v>1819</v>
      </c>
      <c r="O344" s="167">
        <v>0.8</v>
      </c>
      <c r="P344" s="167">
        <v>0.45</v>
      </c>
      <c r="Q344" s="167">
        <v>1</v>
      </c>
      <c r="R344" s="167">
        <v>0.55000000000000004</v>
      </c>
      <c r="S344" s="162" t="s">
        <v>326</v>
      </c>
      <c r="T344" s="162">
        <v>13</v>
      </c>
      <c r="U344" s="176" t="s">
        <v>1799</v>
      </c>
      <c r="V344" s="176">
        <v>1</v>
      </c>
      <c r="W344" s="162" t="s">
        <v>341</v>
      </c>
      <c r="X344" s="162" t="s">
        <v>348</v>
      </c>
    </row>
    <row r="345" spans="1:24" ht="16">
      <c r="A345" s="160" t="str">
        <f t="shared" si="5"/>
        <v>澎湖縣馬公市</v>
      </c>
      <c r="B345" s="169" t="s">
        <v>317</v>
      </c>
      <c r="C345" s="169" t="s">
        <v>318</v>
      </c>
      <c r="D345" s="166">
        <v>33</v>
      </c>
      <c r="E345" s="164">
        <v>880</v>
      </c>
      <c r="F345" s="193">
        <v>0.4</v>
      </c>
      <c r="G345" s="193">
        <v>0.25</v>
      </c>
      <c r="H345" s="193">
        <v>0.65</v>
      </c>
      <c r="I345" s="193">
        <v>0.35</v>
      </c>
      <c r="O345" s="167">
        <v>0.5</v>
      </c>
      <c r="P345" s="167">
        <v>0.3</v>
      </c>
      <c r="Q345" s="167">
        <v>0.7</v>
      </c>
      <c r="R345" s="167">
        <v>0.4</v>
      </c>
      <c r="T345" s="162">
        <v>0</v>
      </c>
      <c r="U345" s="176" t="s">
        <v>1799</v>
      </c>
      <c r="V345" s="176">
        <v>1</v>
      </c>
      <c r="W345" s="162" t="s">
        <v>341</v>
      </c>
      <c r="X345" s="162" t="s">
        <v>350</v>
      </c>
    </row>
    <row r="346" spans="1:24" ht="16">
      <c r="A346" s="160" t="str">
        <f t="shared" si="5"/>
        <v>澎湖縣湖西鄉</v>
      </c>
      <c r="B346" s="169" t="s">
        <v>317</v>
      </c>
      <c r="C346" s="169" t="s">
        <v>319</v>
      </c>
      <c r="D346" s="166">
        <v>33</v>
      </c>
      <c r="E346" s="164">
        <v>885</v>
      </c>
      <c r="F346" s="193">
        <v>0.4</v>
      </c>
      <c r="G346" s="193">
        <v>0.25</v>
      </c>
      <c r="H346" s="193">
        <v>0.65</v>
      </c>
      <c r="I346" s="193">
        <v>0.35</v>
      </c>
      <c r="O346" s="167">
        <v>0.5</v>
      </c>
      <c r="P346" s="167">
        <v>0.3</v>
      </c>
      <c r="Q346" s="167">
        <v>0.7</v>
      </c>
      <c r="R346" s="167">
        <v>0.4</v>
      </c>
      <c r="T346" s="162">
        <v>0</v>
      </c>
      <c r="U346" s="32" t="s">
        <v>357</v>
      </c>
      <c r="V346" s="32" t="s">
        <v>357</v>
      </c>
      <c r="W346" s="162" t="s">
        <v>355</v>
      </c>
      <c r="X346" s="162" t="s">
        <v>358</v>
      </c>
    </row>
    <row r="347" spans="1:24" ht="16">
      <c r="A347" s="160" t="str">
        <f t="shared" si="5"/>
        <v>澎湖縣白沙鄉</v>
      </c>
      <c r="B347" s="169" t="s">
        <v>317</v>
      </c>
      <c r="C347" s="169" t="s">
        <v>320</v>
      </c>
      <c r="D347" s="166">
        <v>33</v>
      </c>
      <c r="E347" s="164">
        <v>884</v>
      </c>
      <c r="F347" s="193">
        <v>0.4</v>
      </c>
      <c r="G347" s="193">
        <v>0.25</v>
      </c>
      <c r="H347" s="193">
        <v>0.65</v>
      </c>
      <c r="I347" s="193">
        <v>0.35</v>
      </c>
      <c r="O347" s="167">
        <v>0.5</v>
      </c>
      <c r="P347" s="167">
        <v>0.3</v>
      </c>
      <c r="Q347" s="167">
        <v>0.7</v>
      </c>
      <c r="R347" s="167">
        <v>0.4</v>
      </c>
      <c r="T347" s="162">
        <v>0</v>
      </c>
      <c r="U347" s="32" t="s">
        <v>357</v>
      </c>
      <c r="V347" s="32" t="s">
        <v>357</v>
      </c>
      <c r="W347" s="162" t="s">
        <v>355</v>
      </c>
      <c r="X347" s="162" t="s">
        <v>356</v>
      </c>
    </row>
    <row r="348" spans="1:24" ht="16">
      <c r="A348" s="160" t="str">
        <f t="shared" si="5"/>
        <v>澎湖縣西嶼鄉</v>
      </c>
      <c r="B348" s="169" t="s">
        <v>317</v>
      </c>
      <c r="C348" s="169" t="s">
        <v>321</v>
      </c>
      <c r="D348" s="166">
        <v>33</v>
      </c>
      <c r="E348" s="164">
        <v>881</v>
      </c>
      <c r="F348" s="193">
        <v>0.35</v>
      </c>
      <c r="G348" s="193">
        <v>0.2</v>
      </c>
      <c r="H348" s="193">
        <v>0.55000000000000004</v>
      </c>
      <c r="I348" s="193">
        <v>0.35</v>
      </c>
      <c r="O348" s="167">
        <v>0.5</v>
      </c>
      <c r="P348" s="167">
        <v>0.3</v>
      </c>
      <c r="Q348" s="167">
        <v>0.7</v>
      </c>
      <c r="R348" s="167">
        <v>0.4</v>
      </c>
      <c r="T348" s="162">
        <v>0</v>
      </c>
      <c r="U348" s="176" t="s">
        <v>1799</v>
      </c>
      <c r="V348" s="176">
        <v>1</v>
      </c>
      <c r="W348" s="162" t="s">
        <v>341</v>
      </c>
      <c r="X348" s="162" t="s">
        <v>351</v>
      </c>
    </row>
    <row r="349" spans="1:24" ht="16">
      <c r="A349" s="160" t="str">
        <f t="shared" si="5"/>
        <v>澎湖縣望安鄉</v>
      </c>
      <c r="B349" s="169" t="s">
        <v>317</v>
      </c>
      <c r="C349" s="169" t="s">
        <v>322</v>
      </c>
      <c r="D349" s="166">
        <v>33</v>
      </c>
      <c r="E349" s="164">
        <v>882</v>
      </c>
      <c r="F349" s="193">
        <v>0.35</v>
      </c>
      <c r="G349" s="193">
        <v>0.2</v>
      </c>
      <c r="H349" s="193">
        <v>0.55000000000000004</v>
      </c>
      <c r="I349" s="193">
        <v>0.35</v>
      </c>
      <c r="O349" s="167">
        <v>0.5</v>
      </c>
      <c r="P349" s="167">
        <v>0.3</v>
      </c>
      <c r="Q349" s="167">
        <v>0.7</v>
      </c>
      <c r="R349" s="167">
        <v>0.4</v>
      </c>
      <c r="T349" s="162">
        <v>0</v>
      </c>
      <c r="U349" s="176" t="s">
        <v>1799</v>
      </c>
      <c r="V349" s="176">
        <v>1</v>
      </c>
      <c r="W349" s="162" t="s">
        <v>341</v>
      </c>
      <c r="X349" s="162" t="s">
        <v>352</v>
      </c>
    </row>
    <row r="350" spans="1:24" ht="16">
      <c r="A350" s="160" t="str">
        <f t="shared" si="5"/>
        <v>澎湖縣七美鄉</v>
      </c>
      <c r="B350" s="169" t="s">
        <v>317</v>
      </c>
      <c r="C350" s="169" t="s">
        <v>1619</v>
      </c>
      <c r="D350" s="164">
        <v>33</v>
      </c>
      <c r="E350" s="164">
        <v>883</v>
      </c>
      <c r="F350" s="193">
        <v>0.35</v>
      </c>
      <c r="G350" s="193">
        <v>0.2</v>
      </c>
      <c r="H350" s="193">
        <v>0.55000000000000004</v>
      </c>
      <c r="I350" s="193">
        <v>0.35</v>
      </c>
      <c r="O350" s="167">
        <v>0.5</v>
      </c>
      <c r="P350" s="167">
        <v>0.3</v>
      </c>
      <c r="Q350" s="167">
        <v>0.7</v>
      </c>
      <c r="R350" s="167">
        <v>0.4</v>
      </c>
      <c r="T350" s="162">
        <v>0</v>
      </c>
      <c r="U350" s="176" t="s">
        <v>1799</v>
      </c>
      <c r="V350" s="176">
        <v>1</v>
      </c>
      <c r="W350" s="162" t="s">
        <v>341</v>
      </c>
      <c r="X350" s="162" t="s">
        <v>354</v>
      </c>
    </row>
    <row r="351" spans="1:24" s="199" customFormat="1" ht="16">
      <c r="A351" s="199" t="str">
        <f t="shared" si="5"/>
        <v>澎湖縣東吉島</v>
      </c>
      <c r="B351" s="198" t="s">
        <v>317</v>
      </c>
      <c r="C351" s="198" t="s">
        <v>1618</v>
      </c>
      <c r="D351" s="194">
        <v>45</v>
      </c>
      <c r="E351" s="195">
        <v>882</v>
      </c>
      <c r="F351" s="193">
        <v>0.5</v>
      </c>
      <c r="G351" s="193">
        <v>0.3</v>
      </c>
      <c r="H351" s="193">
        <v>0.7</v>
      </c>
      <c r="I351" s="193">
        <v>0.4</v>
      </c>
      <c r="J351" s="180"/>
      <c r="K351" s="180"/>
      <c r="L351" s="180"/>
      <c r="M351" s="180"/>
      <c r="N351" s="180"/>
      <c r="O351" s="193">
        <v>0.5</v>
      </c>
      <c r="P351" s="193">
        <v>0.3</v>
      </c>
      <c r="Q351" s="193">
        <v>0.7</v>
      </c>
      <c r="R351" s="193">
        <v>0.4</v>
      </c>
      <c r="S351" s="196"/>
      <c r="T351" s="162">
        <v>0</v>
      </c>
      <c r="U351" s="176" t="s">
        <v>1799</v>
      </c>
      <c r="V351" s="176">
        <v>1</v>
      </c>
      <c r="W351" s="196" t="s">
        <v>341</v>
      </c>
      <c r="X351" s="196" t="s">
        <v>353</v>
      </c>
    </row>
    <row r="352" spans="1:24" ht="16">
      <c r="A352" s="160" t="str">
        <f t="shared" si="5"/>
        <v>金門縣金湖鎮</v>
      </c>
      <c r="B352" s="169" t="s">
        <v>356</v>
      </c>
      <c r="C352" s="169" t="s">
        <v>1621</v>
      </c>
      <c r="D352" s="166">
        <v>35</v>
      </c>
      <c r="E352" s="164">
        <v>891</v>
      </c>
      <c r="F352" s="193">
        <v>0.4</v>
      </c>
      <c r="G352" s="193">
        <v>0.25</v>
      </c>
      <c r="H352" s="193">
        <v>0.5</v>
      </c>
      <c r="I352" s="193">
        <v>0.35</v>
      </c>
      <c r="O352" s="167">
        <v>0.5</v>
      </c>
      <c r="P352" s="167">
        <v>0.3</v>
      </c>
      <c r="Q352" s="167">
        <v>0.7</v>
      </c>
      <c r="R352" s="167">
        <v>0.4</v>
      </c>
      <c r="T352" s="162">
        <v>0</v>
      </c>
    </row>
    <row r="353" spans="1:20" ht="16">
      <c r="A353" s="160" t="str">
        <f t="shared" si="5"/>
        <v>金門縣金沙鎮</v>
      </c>
      <c r="B353" s="169" t="s">
        <v>356</v>
      </c>
      <c r="C353" s="169" t="s">
        <v>1620</v>
      </c>
      <c r="D353" s="166">
        <v>35</v>
      </c>
      <c r="E353" s="164">
        <v>890</v>
      </c>
      <c r="F353" s="193">
        <v>0.35</v>
      </c>
      <c r="G353" s="193">
        <v>0.2</v>
      </c>
      <c r="H353" s="193">
        <v>0.5</v>
      </c>
      <c r="I353" s="193">
        <v>0.35</v>
      </c>
      <c r="O353" s="167">
        <v>0.5</v>
      </c>
      <c r="P353" s="167">
        <v>0.3</v>
      </c>
      <c r="Q353" s="167">
        <v>0.7</v>
      </c>
      <c r="R353" s="167">
        <v>0.4</v>
      </c>
      <c r="T353" s="162">
        <v>0</v>
      </c>
    </row>
    <row r="354" spans="1:20" ht="16">
      <c r="A354" s="160" t="str">
        <f t="shared" si="5"/>
        <v>金門縣金城鎮</v>
      </c>
      <c r="B354" s="169" t="s">
        <v>356</v>
      </c>
      <c r="C354" s="169" t="s">
        <v>1623</v>
      </c>
      <c r="D354" s="166">
        <v>35</v>
      </c>
      <c r="E354" s="164">
        <v>893</v>
      </c>
      <c r="F354" s="193">
        <v>0.35</v>
      </c>
      <c r="G354" s="193">
        <v>0.2</v>
      </c>
      <c r="H354" s="193">
        <v>0.5</v>
      </c>
      <c r="I354" s="193">
        <v>0.35</v>
      </c>
      <c r="O354" s="167">
        <v>0.5</v>
      </c>
      <c r="P354" s="167">
        <v>0.3</v>
      </c>
      <c r="Q354" s="167">
        <v>0.7</v>
      </c>
      <c r="R354" s="167">
        <v>0.4</v>
      </c>
      <c r="T354" s="162">
        <v>0</v>
      </c>
    </row>
    <row r="355" spans="1:20" ht="16">
      <c r="A355" s="160" t="str">
        <f t="shared" si="5"/>
        <v>金門縣金寧鄉</v>
      </c>
      <c r="B355" s="169" t="s">
        <v>356</v>
      </c>
      <c r="C355" s="169" t="s">
        <v>1622</v>
      </c>
      <c r="D355" s="166">
        <v>35</v>
      </c>
      <c r="E355" s="164">
        <v>892</v>
      </c>
      <c r="F355" s="193">
        <v>0.35</v>
      </c>
      <c r="G355" s="193">
        <v>0.2</v>
      </c>
      <c r="H355" s="193">
        <v>0.45</v>
      </c>
      <c r="I355" s="193">
        <v>0.3</v>
      </c>
      <c r="O355" s="167">
        <v>0.5</v>
      </c>
      <c r="P355" s="167">
        <v>0.3</v>
      </c>
      <c r="Q355" s="167">
        <v>0.7</v>
      </c>
      <c r="R355" s="167">
        <v>0.4</v>
      </c>
      <c r="T355" s="162">
        <v>0</v>
      </c>
    </row>
    <row r="356" spans="1:20" ht="16">
      <c r="A356" s="160" t="str">
        <f t="shared" si="5"/>
        <v>金門縣烈嶼鄉</v>
      </c>
      <c r="B356" s="169" t="s">
        <v>356</v>
      </c>
      <c r="C356" s="169" t="s">
        <v>1624</v>
      </c>
      <c r="D356" s="166">
        <v>35</v>
      </c>
      <c r="E356" s="164">
        <v>894</v>
      </c>
      <c r="F356" s="193">
        <v>0.35</v>
      </c>
      <c r="G356" s="193">
        <v>0.2</v>
      </c>
      <c r="H356" s="193">
        <v>0.45</v>
      </c>
      <c r="I356" s="193">
        <v>0.3</v>
      </c>
      <c r="O356" s="167">
        <v>0.5</v>
      </c>
      <c r="P356" s="167">
        <v>0.3</v>
      </c>
      <c r="Q356" s="167">
        <v>0.7</v>
      </c>
      <c r="R356" s="167">
        <v>0.4</v>
      </c>
      <c r="T356" s="162">
        <v>0</v>
      </c>
    </row>
    <row r="357" spans="1:20" ht="16">
      <c r="A357" s="160" t="str">
        <f t="shared" si="5"/>
        <v>金門縣烏坵鄉</v>
      </c>
      <c r="B357" s="169" t="s">
        <v>356</v>
      </c>
      <c r="C357" s="169" t="s">
        <v>1625</v>
      </c>
      <c r="D357" s="166">
        <v>35</v>
      </c>
      <c r="E357" s="164">
        <v>896</v>
      </c>
      <c r="F357" s="193">
        <v>0.8</v>
      </c>
      <c r="G357" s="193">
        <v>0.5</v>
      </c>
      <c r="H357" s="193">
        <v>1</v>
      </c>
      <c r="I357" s="193">
        <v>0.55000000000000004</v>
      </c>
      <c r="O357" s="167">
        <v>0.5</v>
      </c>
      <c r="P357" s="167">
        <v>0.3</v>
      </c>
      <c r="Q357" s="167">
        <v>0.7</v>
      </c>
      <c r="R357" s="167">
        <v>0.4</v>
      </c>
      <c r="T357" s="162">
        <v>0</v>
      </c>
    </row>
    <row r="358" spans="1:20" ht="16">
      <c r="A358" s="160" t="str">
        <f t="shared" si="5"/>
        <v>連江縣南竿鄉</v>
      </c>
      <c r="B358" s="169" t="s">
        <v>358</v>
      </c>
      <c r="C358" s="169" t="s">
        <v>1650</v>
      </c>
      <c r="D358" s="166">
        <v>42</v>
      </c>
      <c r="E358" s="164">
        <v>209</v>
      </c>
      <c r="F358" s="193">
        <v>0.35</v>
      </c>
      <c r="G358" s="193">
        <v>0.2</v>
      </c>
      <c r="H358" s="193">
        <v>0.45</v>
      </c>
      <c r="I358" s="193">
        <v>0.3</v>
      </c>
      <c r="O358" s="167">
        <v>0.5</v>
      </c>
      <c r="P358" s="167">
        <v>0.3</v>
      </c>
      <c r="Q358" s="167">
        <v>0.7</v>
      </c>
      <c r="R358" s="167">
        <v>0.4</v>
      </c>
      <c r="T358" s="162">
        <v>0</v>
      </c>
    </row>
    <row r="359" spans="1:20" ht="16">
      <c r="A359" s="160" t="str">
        <f t="shared" si="5"/>
        <v>連江縣北竿鄉</v>
      </c>
      <c r="B359" s="169" t="s">
        <v>358</v>
      </c>
      <c r="C359" s="169" t="s">
        <v>1651</v>
      </c>
      <c r="D359" s="166">
        <v>42</v>
      </c>
      <c r="E359" s="164">
        <v>210</v>
      </c>
      <c r="F359" s="193">
        <v>0.35</v>
      </c>
      <c r="G359" s="193">
        <v>0.2</v>
      </c>
      <c r="H359" s="193">
        <v>0.45</v>
      </c>
      <c r="I359" s="193">
        <v>0.3</v>
      </c>
      <c r="O359" s="167">
        <v>0.5</v>
      </c>
      <c r="P359" s="167">
        <v>0.3</v>
      </c>
      <c r="Q359" s="167">
        <v>0.7</v>
      </c>
      <c r="R359" s="167">
        <v>0.4</v>
      </c>
      <c r="T359" s="162">
        <v>0</v>
      </c>
    </row>
    <row r="360" spans="1:20" ht="16">
      <c r="A360" s="160" t="str">
        <f t="shared" si="5"/>
        <v>連江縣莒光鄉</v>
      </c>
      <c r="B360" s="169" t="s">
        <v>358</v>
      </c>
      <c r="C360" s="169" t="s">
        <v>1652</v>
      </c>
      <c r="D360" s="166">
        <v>42</v>
      </c>
      <c r="E360" s="164">
        <v>211</v>
      </c>
      <c r="F360" s="193">
        <v>0.35</v>
      </c>
      <c r="G360" s="193">
        <v>0.2</v>
      </c>
      <c r="H360" s="193">
        <v>0.45</v>
      </c>
      <c r="I360" s="193">
        <v>0.3</v>
      </c>
      <c r="O360" s="167">
        <v>0.5</v>
      </c>
      <c r="P360" s="167">
        <v>0.3</v>
      </c>
      <c r="Q360" s="167">
        <v>0.7</v>
      </c>
      <c r="R360" s="167">
        <v>0.4</v>
      </c>
      <c r="T360" s="162">
        <v>0</v>
      </c>
    </row>
    <row r="361" spans="1:20" ht="16">
      <c r="A361" s="160" t="str">
        <f t="shared" si="5"/>
        <v>連江縣東引鄉</v>
      </c>
      <c r="B361" s="169" t="s">
        <v>358</v>
      </c>
      <c r="C361" s="169" t="s">
        <v>1653</v>
      </c>
      <c r="D361" s="166">
        <v>42</v>
      </c>
      <c r="E361" s="164">
        <v>212</v>
      </c>
      <c r="F361" s="193">
        <v>0.35</v>
      </c>
      <c r="G361" s="193">
        <v>0.2</v>
      </c>
      <c r="H361" s="193">
        <v>0.45</v>
      </c>
      <c r="I361" s="193">
        <v>0.3</v>
      </c>
      <c r="O361" s="167">
        <v>0.5</v>
      </c>
      <c r="P361" s="167">
        <v>0.3</v>
      </c>
      <c r="Q361" s="167">
        <v>0.7</v>
      </c>
      <c r="R361" s="167">
        <v>0.4</v>
      </c>
      <c r="T361" s="162">
        <v>0</v>
      </c>
    </row>
    <row r="362" spans="1:20" ht="16">
      <c r="A362" s="160" t="str">
        <f t="shared" si="5"/>
        <v>南海諸島東沙</v>
      </c>
      <c r="B362" s="477" t="s">
        <v>1581</v>
      </c>
      <c r="C362" s="477" t="s">
        <v>1626</v>
      </c>
      <c r="D362" s="166">
        <v>42</v>
      </c>
      <c r="E362" s="164">
        <v>817</v>
      </c>
      <c r="F362" s="167">
        <v>0.5</v>
      </c>
      <c r="G362" s="167">
        <v>0.3</v>
      </c>
      <c r="H362" s="167">
        <v>0.7</v>
      </c>
      <c r="I362" s="167">
        <v>0.4</v>
      </c>
      <c r="O362" s="167">
        <v>0.5</v>
      </c>
      <c r="P362" s="167">
        <v>0.3</v>
      </c>
      <c r="Q362" s="167">
        <v>0.7</v>
      </c>
      <c r="R362" s="167">
        <v>0.4</v>
      </c>
      <c r="T362" s="162">
        <v>0</v>
      </c>
    </row>
    <row r="363" spans="1:20" ht="16">
      <c r="A363" s="160" t="str">
        <f t="shared" si="5"/>
        <v>南海諸島南沙</v>
      </c>
      <c r="B363" s="477" t="s">
        <v>1581</v>
      </c>
      <c r="C363" s="477" t="s">
        <v>1627</v>
      </c>
      <c r="D363" s="166">
        <v>42</v>
      </c>
      <c r="E363" s="164">
        <v>819</v>
      </c>
      <c r="F363" s="167">
        <v>0.5</v>
      </c>
      <c r="G363" s="167">
        <v>0.3</v>
      </c>
      <c r="H363" s="167">
        <v>0.7</v>
      </c>
      <c r="I363" s="167">
        <v>0.4</v>
      </c>
      <c r="O363" s="167">
        <v>0.5</v>
      </c>
      <c r="P363" s="167">
        <v>0.3</v>
      </c>
      <c r="Q363" s="167">
        <v>0.7</v>
      </c>
      <c r="R363" s="167">
        <v>0.4</v>
      </c>
      <c r="T363" s="162">
        <v>0</v>
      </c>
    </row>
    <row r="364" spans="1:20" ht="16">
      <c r="B364" s="477"/>
      <c r="C364" s="477"/>
      <c r="D364" s="166"/>
      <c r="E364" s="164"/>
      <c r="F364" s="167"/>
      <c r="G364" s="167"/>
      <c r="H364" s="167"/>
      <c r="I364" s="167"/>
      <c r="O364" s="167"/>
      <c r="P364" s="167"/>
      <c r="Q364" s="167"/>
      <c r="R364" s="167"/>
    </row>
  </sheetData>
  <mergeCells count="2">
    <mergeCell ref="F1:I1"/>
    <mergeCell ref="O1:R1"/>
  </mergeCells>
  <phoneticPr fontId="24"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55AB4-E1D2-4A2D-8DB4-AA7C81638D4E}">
  <dimension ref="B1:AX230"/>
  <sheetViews>
    <sheetView topLeftCell="B13" zoomScale="85" zoomScaleNormal="85" workbookViewId="0">
      <selection activeCell="C9" sqref="C9"/>
    </sheetView>
  </sheetViews>
  <sheetFormatPr defaultRowHeight="17"/>
  <cols>
    <col min="1" max="1" width="3.81640625" style="32" customWidth="1"/>
    <col min="2" max="2" width="27.6328125" style="32" bestFit="1" customWidth="1"/>
    <col min="3" max="3" width="16.36328125" style="32" bestFit="1" customWidth="1"/>
    <col min="4" max="5" width="9" style="32" bestFit="1" customWidth="1"/>
    <col min="6" max="6" width="8.7265625" style="32" bestFit="1" customWidth="1"/>
    <col min="7" max="7" width="9.08984375" style="32" bestFit="1" customWidth="1"/>
    <col min="8" max="8" width="11.7265625" style="32" bestFit="1" customWidth="1"/>
    <col min="9" max="9" width="9.08984375" style="32" bestFit="1" customWidth="1"/>
    <col min="10" max="10" width="31.7265625" style="32" bestFit="1" customWidth="1"/>
    <col min="11" max="11" width="16.36328125" style="32" bestFit="1" customWidth="1"/>
    <col min="12" max="12" width="10.453125" style="32" customWidth="1"/>
    <col min="13" max="13" width="29.81640625" style="32" customWidth="1"/>
    <col min="14" max="14" width="10.453125" style="32" customWidth="1"/>
    <col min="15" max="15" width="10" style="32" bestFit="1" customWidth="1"/>
    <col min="16" max="16" width="18.6328125" style="32" customWidth="1"/>
    <col min="17" max="17" width="10.453125" style="32" customWidth="1"/>
    <col min="22" max="22" width="12.6328125" bestFit="1" customWidth="1"/>
    <col min="27" max="27" width="10.453125" bestFit="1" customWidth="1"/>
    <col min="33" max="33" width="16.26953125" bestFit="1" customWidth="1"/>
    <col min="34" max="34" width="8.7265625" customWidth="1"/>
    <col min="36" max="38" width="9" style="15"/>
    <col min="39" max="39" width="23.6328125" style="15" bestFit="1" customWidth="1"/>
    <col min="40" max="40" width="15.453125" style="32" bestFit="1" customWidth="1"/>
    <col min="41" max="41" width="9" style="32"/>
    <col min="42" max="44" width="9" style="15"/>
    <col min="45" max="45" width="23.6328125" style="15" bestFit="1" customWidth="1"/>
    <col min="46" max="46" width="15.453125" style="32" bestFit="1" customWidth="1"/>
    <col min="47" max="47" width="9" style="32"/>
    <col min="48" max="48" width="12.26953125" style="32" customWidth="1"/>
    <col min="49" max="257" width="9" style="32"/>
    <col min="258" max="258" width="3.81640625" style="32" customWidth="1"/>
    <col min="259" max="259" width="20" style="32" customWidth="1"/>
    <col min="260" max="260" width="10.81640625" style="32" customWidth="1"/>
    <col min="261" max="261" width="11.6328125" style="32" customWidth="1"/>
    <col min="262" max="263" width="13" style="32" customWidth="1"/>
    <col min="264" max="264" width="11.36328125" style="32" customWidth="1"/>
    <col min="265" max="265" width="2.81640625" style="32" customWidth="1"/>
    <col min="266" max="266" width="9" style="32"/>
    <col min="267" max="267" width="11.6328125" style="32" bestFit="1" customWidth="1"/>
    <col min="268" max="268" width="10.453125" style="32" customWidth="1"/>
    <col min="269" max="269" width="2.36328125" style="32" customWidth="1"/>
    <col min="270" max="293" width="9" style="32"/>
    <col min="294" max="294" width="3.6328125" style="32" customWidth="1"/>
    <col min="295" max="295" width="9" style="32"/>
    <col min="296" max="296" width="3.36328125" style="32" customWidth="1"/>
    <col min="297" max="297" width="7.36328125" style="32" customWidth="1"/>
    <col min="298" max="298" width="3.36328125" style="32" customWidth="1"/>
    <col min="299" max="299" width="9" style="32" bestFit="1" customWidth="1"/>
    <col min="300" max="513" width="9" style="32"/>
    <col min="514" max="514" width="3.81640625" style="32" customWidth="1"/>
    <col min="515" max="515" width="20" style="32" customWidth="1"/>
    <col min="516" max="516" width="10.81640625" style="32" customWidth="1"/>
    <col min="517" max="517" width="11.6328125" style="32" customWidth="1"/>
    <col min="518" max="519" width="13" style="32" customWidth="1"/>
    <col min="520" max="520" width="11.36328125" style="32" customWidth="1"/>
    <col min="521" max="521" width="2.81640625" style="32" customWidth="1"/>
    <col min="522" max="522" width="9" style="32"/>
    <col min="523" max="523" width="11.6328125" style="32" bestFit="1" customWidth="1"/>
    <col min="524" max="524" width="10.453125" style="32" customWidth="1"/>
    <col min="525" max="525" width="2.36328125" style="32" customWidth="1"/>
    <col min="526" max="549" width="9" style="32"/>
    <col min="550" max="550" width="3.6328125" style="32" customWidth="1"/>
    <col min="551" max="551" width="9" style="32"/>
    <col min="552" max="552" width="3.36328125" style="32" customWidth="1"/>
    <col min="553" max="553" width="7.36328125" style="32" customWidth="1"/>
    <col min="554" max="554" width="3.36328125" style="32" customWidth="1"/>
    <col min="555" max="555" width="9" style="32" bestFit="1" customWidth="1"/>
    <col min="556" max="769" width="9" style="32"/>
    <col min="770" max="770" width="3.81640625" style="32" customWidth="1"/>
    <col min="771" max="771" width="20" style="32" customWidth="1"/>
    <col min="772" max="772" width="10.81640625" style="32" customWidth="1"/>
    <col min="773" max="773" width="11.6328125" style="32" customWidth="1"/>
    <col min="774" max="775" width="13" style="32" customWidth="1"/>
    <col min="776" max="776" width="11.36328125" style="32" customWidth="1"/>
    <col min="777" max="777" width="2.81640625" style="32" customWidth="1"/>
    <col min="778" max="778" width="9" style="32"/>
    <col min="779" max="779" width="11.6328125" style="32" bestFit="1" customWidth="1"/>
    <col min="780" max="780" width="10.453125" style="32" customWidth="1"/>
    <col min="781" max="781" width="2.36328125" style="32" customWidth="1"/>
    <col min="782" max="805" width="9" style="32"/>
    <col min="806" max="806" width="3.6328125" style="32" customWidth="1"/>
    <col min="807" max="807" width="9" style="32"/>
    <col min="808" max="808" width="3.36328125" style="32" customWidth="1"/>
    <col min="809" max="809" width="7.36328125" style="32" customWidth="1"/>
    <col min="810" max="810" width="3.36328125" style="32" customWidth="1"/>
    <col min="811" max="811" width="9" style="32" bestFit="1" customWidth="1"/>
    <col min="812" max="1025" width="9" style="32"/>
    <col min="1026" max="1026" width="3.81640625" style="32" customWidth="1"/>
    <col min="1027" max="1027" width="20" style="32" customWidth="1"/>
    <col min="1028" max="1028" width="10.81640625" style="32" customWidth="1"/>
    <col min="1029" max="1029" width="11.6328125" style="32" customWidth="1"/>
    <col min="1030" max="1031" width="13" style="32" customWidth="1"/>
    <col min="1032" max="1032" width="11.36328125" style="32" customWidth="1"/>
    <col min="1033" max="1033" width="2.81640625" style="32" customWidth="1"/>
    <col min="1034" max="1034" width="9" style="32"/>
    <col min="1035" max="1035" width="11.6328125" style="32" bestFit="1" customWidth="1"/>
    <col min="1036" max="1036" width="10.453125" style="32" customWidth="1"/>
    <col min="1037" max="1037" width="2.36328125" style="32" customWidth="1"/>
    <col min="1038" max="1061" width="9" style="32"/>
    <col min="1062" max="1062" width="3.6328125" style="32" customWidth="1"/>
    <col min="1063" max="1063" width="9" style="32"/>
    <col min="1064" max="1064" width="3.36328125" style="32" customWidth="1"/>
    <col min="1065" max="1065" width="7.36328125" style="32" customWidth="1"/>
    <col min="1066" max="1066" width="3.36328125" style="32" customWidth="1"/>
    <col min="1067" max="1067" width="9" style="32" bestFit="1" customWidth="1"/>
    <col min="1068" max="1281" width="9" style="32"/>
    <col min="1282" max="1282" width="3.81640625" style="32" customWidth="1"/>
    <col min="1283" max="1283" width="20" style="32" customWidth="1"/>
    <col min="1284" max="1284" width="10.81640625" style="32" customWidth="1"/>
    <col min="1285" max="1285" width="11.6328125" style="32" customWidth="1"/>
    <col min="1286" max="1287" width="13" style="32" customWidth="1"/>
    <col min="1288" max="1288" width="11.36328125" style="32" customWidth="1"/>
    <col min="1289" max="1289" width="2.81640625" style="32" customWidth="1"/>
    <col min="1290" max="1290" width="9" style="32"/>
    <col min="1291" max="1291" width="11.6328125" style="32" bestFit="1" customWidth="1"/>
    <col min="1292" max="1292" width="10.453125" style="32" customWidth="1"/>
    <col min="1293" max="1293" width="2.36328125" style="32" customWidth="1"/>
    <col min="1294" max="1317" width="9" style="32"/>
    <col min="1318" max="1318" width="3.6328125" style="32" customWidth="1"/>
    <col min="1319" max="1319" width="9" style="32"/>
    <col min="1320" max="1320" width="3.36328125" style="32" customWidth="1"/>
    <col min="1321" max="1321" width="7.36328125" style="32" customWidth="1"/>
    <col min="1322" max="1322" width="3.36328125" style="32" customWidth="1"/>
    <col min="1323" max="1323" width="9" style="32" bestFit="1" customWidth="1"/>
    <col min="1324" max="1537" width="9" style="32"/>
    <col min="1538" max="1538" width="3.81640625" style="32" customWidth="1"/>
    <col min="1539" max="1539" width="20" style="32" customWidth="1"/>
    <col min="1540" max="1540" width="10.81640625" style="32" customWidth="1"/>
    <col min="1541" max="1541" width="11.6328125" style="32" customWidth="1"/>
    <col min="1542" max="1543" width="13" style="32" customWidth="1"/>
    <col min="1544" max="1544" width="11.36328125" style="32" customWidth="1"/>
    <col min="1545" max="1545" width="2.81640625" style="32" customWidth="1"/>
    <col min="1546" max="1546" width="9" style="32"/>
    <col min="1547" max="1547" width="11.6328125" style="32" bestFit="1" customWidth="1"/>
    <col min="1548" max="1548" width="10.453125" style="32" customWidth="1"/>
    <col min="1549" max="1549" width="2.36328125" style="32" customWidth="1"/>
    <col min="1550" max="1573" width="9" style="32"/>
    <col min="1574" max="1574" width="3.6328125" style="32" customWidth="1"/>
    <col min="1575" max="1575" width="9" style="32"/>
    <col min="1576" max="1576" width="3.36328125" style="32" customWidth="1"/>
    <col min="1577" max="1577" width="7.36328125" style="32" customWidth="1"/>
    <col min="1578" max="1578" width="3.36328125" style="32" customWidth="1"/>
    <col min="1579" max="1579" width="9" style="32" bestFit="1" customWidth="1"/>
    <col min="1580" max="1793" width="9" style="32"/>
    <col min="1794" max="1794" width="3.81640625" style="32" customWidth="1"/>
    <col min="1795" max="1795" width="20" style="32" customWidth="1"/>
    <col min="1796" max="1796" width="10.81640625" style="32" customWidth="1"/>
    <col min="1797" max="1797" width="11.6328125" style="32" customWidth="1"/>
    <col min="1798" max="1799" width="13" style="32" customWidth="1"/>
    <col min="1800" max="1800" width="11.36328125" style="32" customWidth="1"/>
    <col min="1801" max="1801" width="2.81640625" style="32" customWidth="1"/>
    <col min="1802" max="1802" width="9" style="32"/>
    <col min="1803" max="1803" width="11.6328125" style="32" bestFit="1" customWidth="1"/>
    <col min="1804" max="1804" width="10.453125" style="32" customWidth="1"/>
    <col min="1805" max="1805" width="2.36328125" style="32" customWidth="1"/>
    <col min="1806" max="1829" width="9" style="32"/>
    <col min="1830" max="1830" width="3.6328125" style="32" customWidth="1"/>
    <col min="1831" max="1831" width="9" style="32"/>
    <col min="1832" max="1832" width="3.36328125" style="32" customWidth="1"/>
    <col min="1833" max="1833" width="7.36328125" style="32" customWidth="1"/>
    <col min="1834" max="1834" width="3.36328125" style="32" customWidth="1"/>
    <col min="1835" max="1835" width="9" style="32" bestFit="1" customWidth="1"/>
    <col min="1836" max="2049" width="9" style="32"/>
    <col min="2050" max="2050" width="3.81640625" style="32" customWidth="1"/>
    <col min="2051" max="2051" width="20" style="32" customWidth="1"/>
    <col min="2052" max="2052" width="10.81640625" style="32" customWidth="1"/>
    <col min="2053" max="2053" width="11.6328125" style="32" customWidth="1"/>
    <col min="2054" max="2055" width="13" style="32" customWidth="1"/>
    <col min="2056" max="2056" width="11.36328125" style="32" customWidth="1"/>
    <col min="2057" max="2057" width="2.81640625" style="32" customWidth="1"/>
    <col min="2058" max="2058" width="9" style="32"/>
    <col min="2059" max="2059" width="11.6328125" style="32" bestFit="1" customWidth="1"/>
    <col min="2060" max="2060" width="10.453125" style="32" customWidth="1"/>
    <col min="2061" max="2061" width="2.36328125" style="32" customWidth="1"/>
    <col min="2062" max="2085" width="9" style="32"/>
    <col min="2086" max="2086" width="3.6328125" style="32" customWidth="1"/>
    <col min="2087" max="2087" width="9" style="32"/>
    <col min="2088" max="2088" width="3.36328125" style="32" customWidth="1"/>
    <col min="2089" max="2089" width="7.36328125" style="32" customWidth="1"/>
    <col min="2090" max="2090" width="3.36328125" style="32" customWidth="1"/>
    <col min="2091" max="2091" width="9" style="32" bestFit="1" customWidth="1"/>
    <col min="2092" max="2305" width="9" style="32"/>
    <col min="2306" max="2306" width="3.81640625" style="32" customWidth="1"/>
    <col min="2307" max="2307" width="20" style="32" customWidth="1"/>
    <col min="2308" max="2308" width="10.81640625" style="32" customWidth="1"/>
    <col min="2309" max="2309" width="11.6328125" style="32" customWidth="1"/>
    <col min="2310" max="2311" width="13" style="32" customWidth="1"/>
    <col min="2312" max="2312" width="11.36328125" style="32" customWidth="1"/>
    <col min="2313" max="2313" width="2.81640625" style="32" customWidth="1"/>
    <col min="2314" max="2314" width="9" style="32"/>
    <col min="2315" max="2315" width="11.6328125" style="32" bestFit="1" customWidth="1"/>
    <col min="2316" max="2316" width="10.453125" style="32" customWidth="1"/>
    <col min="2317" max="2317" width="2.36328125" style="32" customWidth="1"/>
    <col min="2318" max="2341" width="9" style="32"/>
    <col min="2342" max="2342" width="3.6328125" style="32" customWidth="1"/>
    <col min="2343" max="2343" width="9" style="32"/>
    <col min="2344" max="2344" width="3.36328125" style="32" customWidth="1"/>
    <col min="2345" max="2345" width="7.36328125" style="32" customWidth="1"/>
    <col min="2346" max="2346" width="3.36328125" style="32" customWidth="1"/>
    <col min="2347" max="2347" width="9" style="32" bestFit="1" customWidth="1"/>
    <col min="2348" max="2561" width="9" style="32"/>
    <col min="2562" max="2562" width="3.81640625" style="32" customWidth="1"/>
    <col min="2563" max="2563" width="20" style="32" customWidth="1"/>
    <col min="2564" max="2564" width="10.81640625" style="32" customWidth="1"/>
    <col min="2565" max="2565" width="11.6328125" style="32" customWidth="1"/>
    <col min="2566" max="2567" width="13" style="32" customWidth="1"/>
    <col min="2568" max="2568" width="11.36328125" style="32" customWidth="1"/>
    <col min="2569" max="2569" width="2.81640625" style="32" customWidth="1"/>
    <col min="2570" max="2570" width="9" style="32"/>
    <col min="2571" max="2571" width="11.6328125" style="32" bestFit="1" customWidth="1"/>
    <col min="2572" max="2572" width="10.453125" style="32" customWidth="1"/>
    <col min="2573" max="2573" width="2.36328125" style="32" customWidth="1"/>
    <col min="2574" max="2597" width="9" style="32"/>
    <col min="2598" max="2598" width="3.6328125" style="32" customWidth="1"/>
    <col min="2599" max="2599" width="9" style="32"/>
    <col min="2600" max="2600" width="3.36328125" style="32" customWidth="1"/>
    <col min="2601" max="2601" width="7.36328125" style="32" customWidth="1"/>
    <col min="2602" max="2602" width="3.36328125" style="32" customWidth="1"/>
    <col min="2603" max="2603" width="9" style="32" bestFit="1" customWidth="1"/>
    <col min="2604" max="2817" width="9" style="32"/>
    <col min="2818" max="2818" width="3.81640625" style="32" customWidth="1"/>
    <col min="2819" max="2819" width="20" style="32" customWidth="1"/>
    <col min="2820" max="2820" width="10.81640625" style="32" customWidth="1"/>
    <col min="2821" max="2821" width="11.6328125" style="32" customWidth="1"/>
    <col min="2822" max="2823" width="13" style="32" customWidth="1"/>
    <col min="2824" max="2824" width="11.36328125" style="32" customWidth="1"/>
    <col min="2825" max="2825" width="2.81640625" style="32" customWidth="1"/>
    <col min="2826" max="2826" width="9" style="32"/>
    <col min="2827" max="2827" width="11.6328125" style="32" bestFit="1" customWidth="1"/>
    <col min="2828" max="2828" width="10.453125" style="32" customWidth="1"/>
    <col min="2829" max="2829" width="2.36328125" style="32" customWidth="1"/>
    <col min="2830" max="2853" width="9" style="32"/>
    <col min="2854" max="2854" width="3.6328125" style="32" customWidth="1"/>
    <col min="2855" max="2855" width="9" style="32"/>
    <col min="2856" max="2856" width="3.36328125" style="32" customWidth="1"/>
    <col min="2857" max="2857" width="7.36328125" style="32" customWidth="1"/>
    <col min="2858" max="2858" width="3.36328125" style="32" customWidth="1"/>
    <col min="2859" max="2859" width="9" style="32" bestFit="1" customWidth="1"/>
    <col min="2860" max="3073" width="9" style="32"/>
    <col min="3074" max="3074" width="3.81640625" style="32" customWidth="1"/>
    <col min="3075" max="3075" width="20" style="32" customWidth="1"/>
    <col min="3076" max="3076" width="10.81640625" style="32" customWidth="1"/>
    <col min="3077" max="3077" width="11.6328125" style="32" customWidth="1"/>
    <col min="3078" max="3079" width="13" style="32" customWidth="1"/>
    <col min="3080" max="3080" width="11.36328125" style="32" customWidth="1"/>
    <col min="3081" max="3081" width="2.81640625" style="32" customWidth="1"/>
    <col min="3082" max="3082" width="9" style="32"/>
    <col min="3083" max="3083" width="11.6328125" style="32" bestFit="1" customWidth="1"/>
    <col min="3084" max="3084" width="10.453125" style="32" customWidth="1"/>
    <col min="3085" max="3085" width="2.36328125" style="32" customWidth="1"/>
    <col min="3086" max="3109" width="9" style="32"/>
    <col min="3110" max="3110" width="3.6328125" style="32" customWidth="1"/>
    <col min="3111" max="3111" width="9" style="32"/>
    <col min="3112" max="3112" width="3.36328125" style="32" customWidth="1"/>
    <col min="3113" max="3113" width="7.36328125" style="32" customWidth="1"/>
    <col min="3114" max="3114" width="3.36328125" style="32" customWidth="1"/>
    <col min="3115" max="3115" width="9" style="32" bestFit="1" customWidth="1"/>
    <col min="3116" max="3329" width="9" style="32"/>
    <col min="3330" max="3330" width="3.81640625" style="32" customWidth="1"/>
    <col min="3331" max="3331" width="20" style="32" customWidth="1"/>
    <col min="3332" max="3332" width="10.81640625" style="32" customWidth="1"/>
    <col min="3333" max="3333" width="11.6328125" style="32" customWidth="1"/>
    <col min="3334" max="3335" width="13" style="32" customWidth="1"/>
    <col min="3336" max="3336" width="11.36328125" style="32" customWidth="1"/>
    <col min="3337" max="3337" width="2.81640625" style="32" customWidth="1"/>
    <col min="3338" max="3338" width="9" style="32"/>
    <col min="3339" max="3339" width="11.6328125" style="32" bestFit="1" customWidth="1"/>
    <col min="3340" max="3340" width="10.453125" style="32" customWidth="1"/>
    <col min="3341" max="3341" width="2.36328125" style="32" customWidth="1"/>
    <col min="3342" max="3365" width="9" style="32"/>
    <col min="3366" max="3366" width="3.6328125" style="32" customWidth="1"/>
    <col min="3367" max="3367" width="9" style="32"/>
    <col min="3368" max="3368" width="3.36328125" style="32" customWidth="1"/>
    <col min="3369" max="3369" width="7.36328125" style="32" customWidth="1"/>
    <col min="3370" max="3370" width="3.36328125" style="32" customWidth="1"/>
    <col min="3371" max="3371" width="9" style="32" bestFit="1" customWidth="1"/>
    <col min="3372" max="3585" width="9" style="32"/>
    <col min="3586" max="3586" width="3.81640625" style="32" customWidth="1"/>
    <col min="3587" max="3587" width="20" style="32" customWidth="1"/>
    <col min="3588" max="3588" width="10.81640625" style="32" customWidth="1"/>
    <col min="3589" max="3589" width="11.6328125" style="32" customWidth="1"/>
    <col min="3590" max="3591" width="13" style="32" customWidth="1"/>
    <col min="3592" max="3592" width="11.36328125" style="32" customWidth="1"/>
    <col min="3593" max="3593" width="2.81640625" style="32" customWidth="1"/>
    <col min="3594" max="3594" width="9" style="32"/>
    <col min="3595" max="3595" width="11.6328125" style="32" bestFit="1" customWidth="1"/>
    <col min="3596" max="3596" width="10.453125" style="32" customWidth="1"/>
    <col min="3597" max="3597" width="2.36328125" style="32" customWidth="1"/>
    <col min="3598" max="3621" width="9" style="32"/>
    <col min="3622" max="3622" width="3.6328125" style="32" customWidth="1"/>
    <col min="3623" max="3623" width="9" style="32"/>
    <col min="3624" max="3624" width="3.36328125" style="32" customWidth="1"/>
    <col min="3625" max="3625" width="7.36328125" style="32" customWidth="1"/>
    <col min="3626" max="3626" width="3.36328125" style="32" customWidth="1"/>
    <col min="3627" max="3627" width="9" style="32" bestFit="1" customWidth="1"/>
    <col min="3628" max="3841" width="9" style="32"/>
    <col min="3842" max="3842" width="3.81640625" style="32" customWidth="1"/>
    <col min="3843" max="3843" width="20" style="32" customWidth="1"/>
    <col min="3844" max="3844" width="10.81640625" style="32" customWidth="1"/>
    <col min="3845" max="3845" width="11.6328125" style="32" customWidth="1"/>
    <col min="3846" max="3847" width="13" style="32" customWidth="1"/>
    <col min="3848" max="3848" width="11.36328125" style="32" customWidth="1"/>
    <col min="3849" max="3849" width="2.81640625" style="32" customWidth="1"/>
    <col min="3850" max="3850" width="9" style="32"/>
    <col min="3851" max="3851" width="11.6328125" style="32" bestFit="1" customWidth="1"/>
    <col min="3852" max="3852" width="10.453125" style="32" customWidth="1"/>
    <col min="3853" max="3853" width="2.36328125" style="32" customWidth="1"/>
    <col min="3854" max="3877" width="9" style="32"/>
    <col min="3878" max="3878" width="3.6328125" style="32" customWidth="1"/>
    <col min="3879" max="3879" width="9" style="32"/>
    <col min="3880" max="3880" width="3.36328125" style="32" customWidth="1"/>
    <col min="3881" max="3881" width="7.36328125" style="32" customWidth="1"/>
    <col min="3882" max="3882" width="3.36328125" style="32" customWidth="1"/>
    <col min="3883" max="3883" width="9" style="32" bestFit="1" customWidth="1"/>
    <col min="3884" max="4097" width="9" style="32"/>
    <col min="4098" max="4098" width="3.81640625" style="32" customWidth="1"/>
    <col min="4099" max="4099" width="20" style="32" customWidth="1"/>
    <col min="4100" max="4100" width="10.81640625" style="32" customWidth="1"/>
    <col min="4101" max="4101" width="11.6328125" style="32" customWidth="1"/>
    <col min="4102" max="4103" width="13" style="32" customWidth="1"/>
    <col min="4104" max="4104" width="11.36328125" style="32" customWidth="1"/>
    <col min="4105" max="4105" width="2.81640625" style="32" customWidth="1"/>
    <col min="4106" max="4106" width="9" style="32"/>
    <col min="4107" max="4107" width="11.6328125" style="32" bestFit="1" customWidth="1"/>
    <col min="4108" max="4108" width="10.453125" style="32" customWidth="1"/>
    <col min="4109" max="4109" width="2.36328125" style="32" customWidth="1"/>
    <col min="4110" max="4133" width="9" style="32"/>
    <col min="4134" max="4134" width="3.6328125" style="32" customWidth="1"/>
    <col min="4135" max="4135" width="9" style="32"/>
    <col min="4136" max="4136" width="3.36328125" style="32" customWidth="1"/>
    <col min="4137" max="4137" width="7.36328125" style="32" customWidth="1"/>
    <col min="4138" max="4138" width="3.36328125" style="32" customWidth="1"/>
    <col min="4139" max="4139" width="9" style="32" bestFit="1" customWidth="1"/>
    <col min="4140" max="4353" width="9" style="32"/>
    <col min="4354" max="4354" width="3.81640625" style="32" customWidth="1"/>
    <col min="4355" max="4355" width="20" style="32" customWidth="1"/>
    <col min="4356" max="4356" width="10.81640625" style="32" customWidth="1"/>
    <col min="4357" max="4357" width="11.6328125" style="32" customWidth="1"/>
    <col min="4358" max="4359" width="13" style="32" customWidth="1"/>
    <col min="4360" max="4360" width="11.36328125" style="32" customWidth="1"/>
    <col min="4361" max="4361" width="2.81640625" style="32" customWidth="1"/>
    <col min="4362" max="4362" width="9" style="32"/>
    <col min="4363" max="4363" width="11.6328125" style="32" bestFit="1" customWidth="1"/>
    <col min="4364" max="4364" width="10.453125" style="32" customWidth="1"/>
    <col min="4365" max="4365" width="2.36328125" style="32" customWidth="1"/>
    <col min="4366" max="4389" width="9" style="32"/>
    <col min="4390" max="4390" width="3.6328125" style="32" customWidth="1"/>
    <col min="4391" max="4391" width="9" style="32"/>
    <col min="4392" max="4392" width="3.36328125" style="32" customWidth="1"/>
    <col min="4393" max="4393" width="7.36328125" style="32" customWidth="1"/>
    <col min="4394" max="4394" width="3.36328125" style="32" customWidth="1"/>
    <col min="4395" max="4395" width="9" style="32" bestFit="1" customWidth="1"/>
    <col min="4396" max="4609" width="9" style="32"/>
    <col min="4610" max="4610" width="3.81640625" style="32" customWidth="1"/>
    <col min="4611" max="4611" width="20" style="32" customWidth="1"/>
    <col min="4612" max="4612" width="10.81640625" style="32" customWidth="1"/>
    <col min="4613" max="4613" width="11.6328125" style="32" customWidth="1"/>
    <col min="4614" max="4615" width="13" style="32" customWidth="1"/>
    <col min="4616" max="4616" width="11.36328125" style="32" customWidth="1"/>
    <col min="4617" max="4617" width="2.81640625" style="32" customWidth="1"/>
    <col min="4618" max="4618" width="9" style="32"/>
    <col min="4619" max="4619" width="11.6328125" style="32" bestFit="1" customWidth="1"/>
    <col min="4620" max="4620" width="10.453125" style="32" customWidth="1"/>
    <col min="4621" max="4621" width="2.36328125" style="32" customWidth="1"/>
    <col min="4622" max="4645" width="9" style="32"/>
    <col min="4646" max="4646" width="3.6328125" style="32" customWidth="1"/>
    <col min="4647" max="4647" width="9" style="32"/>
    <col min="4648" max="4648" width="3.36328125" style="32" customWidth="1"/>
    <col min="4649" max="4649" width="7.36328125" style="32" customWidth="1"/>
    <col min="4650" max="4650" width="3.36328125" style="32" customWidth="1"/>
    <col min="4651" max="4651" width="9" style="32" bestFit="1" customWidth="1"/>
    <col min="4652" max="4865" width="9" style="32"/>
    <col min="4866" max="4866" width="3.81640625" style="32" customWidth="1"/>
    <col min="4867" max="4867" width="20" style="32" customWidth="1"/>
    <col min="4868" max="4868" width="10.81640625" style="32" customWidth="1"/>
    <col min="4869" max="4869" width="11.6328125" style="32" customWidth="1"/>
    <col min="4870" max="4871" width="13" style="32" customWidth="1"/>
    <col min="4872" max="4872" width="11.36328125" style="32" customWidth="1"/>
    <col min="4873" max="4873" width="2.81640625" style="32" customWidth="1"/>
    <col min="4874" max="4874" width="9" style="32"/>
    <col min="4875" max="4875" width="11.6328125" style="32" bestFit="1" customWidth="1"/>
    <col min="4876" max="4876" width="10.453125" style="32" customWidth="1"/>
    <col min="4877" max="4877" width="2.36328125" style="32" customWidth="1"/>
    <col min="4878" max="4901" width="9" style="32"/>
    <col min="4902" max="4902" width="3.6328125" style="32" customWidth="1"/>
    <col min="4903" max="4903" width="9" style="32"/>
    <col min="4904" max="4904" width="3.36328125" style="32" customWidth="1"/>
    <col min="4905" max="4905" width="7.36328125" style="32" customWidth="1"/>
    <col min="4906" max="4906" width="3.36328125" style="32" customWidth="1"/>
    <col min="4907" max="4907" width="9" style="32" bestFit="1" customWidth="1"/>
    <col min="4908" max="5121" width="9" style="32"/>
    <col min="5122" max="5122" width="3.81640625" style="32" customWidth="1"/>
    <col min="5123" max="5123" width="20" style="32" customWidth="1"/>
    <col min="5124" max="5124" width="10.81640625" style="32" customWidth="1"/>
    <col min="5125" max="5125" width="11.6328125" style="32" customWidth="1"/>
    <col min="5126" max="5127" width="13" style="32" customWidth="1"/>
    <col min="5128" max="5128" width="11.36328125" style="32" customWidth="1"/>
    <col min="5129" max="5129" width="2.81640625" style="32" customWidth="1"/>
    <col min="5130" max="5130" width="9" style="32"/>
    <col min="5131" max="5131" width="11.6328125" style="32" bestFit="1" customWidth="1"/>
    <col min="5132" max="5132" width="10.453125" style="32" customWidth="1"/>
    <col min="5133" max="5133" width="2.36328125" style="32" customWidth="1"/>
    <col min="5134" max="5157" width="9" style="32"/>
    <col min="5158" max="5158" width="3.6328125" style="32" customWidth="1"/>
    <col min="5159" max="5159" width="9" style="32"/>
    <col min="5160" max="5160" width="3.36328125" style="32" customWidth="1"/>
    <col min="5161" max="5161" width="7.36328125" style="32" customWidth="1"/>
    <col min="5162" max="5162" width="3.36328125" style="32" customWidth="1"/>
    <col min="5163" max="5163" width="9" style="32" bestFit="1" customWidth="1"/>
    <col min="5164" max="5377" width="9" style="32"/>
    <col min="5378" max="5378" width="3.81640625" style="32" customWidth="1"/>
    <col min="5379" max="5379" width="20" style="32" customWidth="1"/>
    <col min="5380" max="5380" width="10.81640625" style="32" customWidth="1"/>
    <col min="5381" max="5381" width="11.6328125" style="32" customWidth="1"/>
    <col min="5382" max="5383" width="13" style="32" customWidth="1"/>
    <col min="5384" max="5384" width="11.36328125" style="32" customWidth="1"/>
    <col min="5385" max="5385" width="2.81640625" style="32" customWidth="1"/>
    <col min="5386" max="5386" width="9" style="32"/>
    <col min="5387" max="5387" width="11.6328125" style="32" bestFit="1" customWidth="1"/>
    <col min="5388" max="5388" width="10.453125" style="32" customWidth="1"/>
    <col min="5389" max="5389" width="2.36328125" style="32" customWidth="1"/>
    <col min="5390" max="5413" width="9" style="32"/>
    <col min="5414" max="5414" width="3.6328125" style="32" customWidth="1"/>
    <col min="5415" max="5415" width="9" style="32"/>
    <col min="5416" max="5416" width="3.36328125" style="32" customWidth="1"/>
    <col min="5417" max="5417" width="7.36328125" style="32" customWidth="1"/>
    <col min="5418" max="5418" width="3.36328125" style="32" customWidth="1"/>
    <col min="5419" max="5419" width="9" style="32" bestFit="1" customWidth="1"/>
    <col min="5420" max="5633" width="9" style="32"/>
    <col min="5634" max="5634" width="3.81640625" style="32" customWidth="1"/>
    <col min="5635" max="5635" width="20" style="32" customWidth="1"/>
    <col min="5636" max="5636" width="10.81640625" style="32" customWidth="1"/>
    <col min="5637" max="5637" width="11.6328125" style="32" customWidth="1"/>
    <col min="5638" max="5639" width="13" style="32" customWidth="1"/>
    <col min="5640" max="5640" width="11.36328125" style="32" customWidth="1"/>
    <col min="5641" max="5641" width="2.81640625" style="32" customWidth="1"/>
    <col min="5642" max="5642" width="9" style="32"/>
    <col min="5643" max="5643" width="11.6328125" style="32" bestFit="1" customWidth="1"/>
    <col min="5644" max="5644" width="10.453125" style="32" customWidth="1"/>
    <col min="5645" max="5645" width="2.36328125" style="32" customWidth="1"/>
    <col min="5646" max="5669" width="9" style="32"/>
    <col min="5670" max="5670" width="3.6328125" style="32" customWidth="1"/>
    <col min="5671" max="5671" width="9" style="32"/>
    <col min="5672" max="5672" width="3.36328125" style="32" customWidth="1"/>
    <col min="5673" max="5673" width="7.36328125" style="32" customWidth="1"/>
    <col min="5674" max="5674" width="3.36328125" style="32" customWidth="1"/>
    <col min="5675" max="5675" width="9" style="32" bestFit="1" customWidth="1"/>
    <col min="5676" max="5889" width="9" style="32"/>
    <col min="5890" max="5890" width="3.81640625" style="32" customWidth="1"/>
    <col min="5891" max="5891" width="20" style="32" customWidth="1"/>
    <col min="5892" max="5892" width="10.81640625" style="32" customWidth="1"/>
    <col min="5893" max="5893" width="11.6328125" style="32" customWidth="1"/>
    <col min="5894" max="5895" width="13" style="32" customWidth="1"/>
    <col min="5896" max="5896" width="11.36328125" style="32" customWidth="1"/>
    <col min="5897" max="5897" width="2.81640625" style="32" customWidth="1"/>
    <col min="5898" max="5898" width="9" style="32"/>
    <col min="5899" max="5899" width="11.6328125" style="32" bestFit="1" customWidth="1"/>
    <col min="5900" max="5900" width="10.453125" style="32" customWidth="1"/>
    <col min="5901" max="5901" width="2.36328125" style="32" customWidth="1"/>
    <col min="5902" max="5925" width="9" style="32"/>
    <col min="5926" max="5926" width="3.6328125" style="32" customWidth="1"/>
    <col min="5927" max="5927" width="9" style="32"/>
    <col min="5928" max="5928" width="3.36328125" style="32" customWidth="1"/>
    <col min="5929" max="5929" width="7.36328125" style="32" customWidth="1"/>
    <col min="5930" max="5930" width="3.36328125" style="32" customWidth="1"/>
    <col min="5931" max="5931" width="9" style="32" bestFit="1" customWidth="1"/>
    <col min="5932" max="6145" width="9" style="32"/>
    <col min="6146" max="6146" width="3.81640625" style="32" customWidth="1"/>
    <col min="6147" max="6147" width="20" style="32" customWidth="1"/>
    <col min="6148" max="6148" width="10.81640625" style="32" customWidth="1"/>
    <col min="6149" max="6149" width="11.6328125" style="32" customWidth="1"/>
    <col min="6150" max="6151" width="13" style="32" customWidth="1"/>
    <col min="6152" max="6152" width="11.36328125" style="32" customWidth="1"/>
    <col min="6153" max="6153" width="2.81640625" style="32" customWidth="1"/>
    <col min="6154" max="6154" width="9" style="32"/>
    <col min="6155" max="6155" width="11.6328125" style="32" bestFit="1" customWidth="1"/>
    <col min="6156" max="6156" width="10.453125" style="32" customWidth="1"/>
    <col min="6157" max="6157" width="2.36328125" style="32" customWidth="1"/>
    <col min="6158" max="6181" width="9" style="32"/>
    <col min="6182" max="6182" width="3.6328125" style="32" customWidth="1"/>
    <col min="6183" max="6183" width="9" style="32"/>
    <col min="6184" max="6184" width="3.36328125" style="32" customWidth="1"/>
    <col min="6185" max="6185" width="7.36328125" style="32" customWidth="1"/>
    <col min="6186" max="6186" width="3.36328125" style="32" customWidth="1"/>
    <col min="6187" max="6187" width="9" style="32" bestFit="1" customWidth="1"/>
    <col min="6188" max="6401" width="9" style="32"/>
    <col min="6402" max="6402" width="3.81640625" style="32" customWidth="1"/>
    <col min="6403" max="6403" width="20" style="32" customWidth="1"/>
    <col min="6404" max="6404" width="10.81640625" style="32" customWidth="1"/>
    <col min="6405" max="6405" width="11.6328125" style="32" customWidth="1"/>
    <col min="6406" max="6407" width="13" style="32" customWidth="1"/>
    <col min="6408" max="6408" width="11.36328125" style="32" customWidth="1"/>
    <col min="6409" max="6409" width="2.81640625" style="32" customWidth="1"/>
    <col min="6410" max="6410" width="9" style="32"/>
    <col min="6411" max="6411" width="11.6328125" style="32" bestFit="1" customWidth="1"/>
    <col min="6412" max="6412" width="10.453125" style="32" customWidth="1"/>
    <col min="6413" max="6413" width="2.36328125" style="32" customWidth="1"/>
    <col min="6414" max="6437" width="9" style="32"/>
    <col min="6438" max="6438" width="3.6328125" style="32" customWidth="1"/>
    <col min="6439" max="6439" width="9" style="32"/>
    <col min="6440" max="6440" width="3.36328125" style="32" customWidth="1"/>
    <col min="6441" max="6441" width="7.36328125" style="32" customWidth="1"/>
    <col min="6442" max="6442" width="3.36328125" style="32" customWidth="1"/>
    <col min="6443" max="6443" width="9" style="32" bestFit="1" customWidth="1"/>
    <col min="6444" max="6657" width="9" style="32"/>
    <col min="6658" max="6658" width="3.81640625" style="32" customWidth="1"/>
    <col min="6659" max="6659" width="20" style="32" customWidth="1"/>
    <col min="6660" max="6660" width="10.81640625" style="32" customWidth="1"/>
    <col min="6661" max="6661" width="11.6328125" style="32" customWidth="1"/>
    <col min="6662" max="6663" width="13" style="32" customWidth="1"/>
    <col min="6664" max="6664" width="11.36328125" style="32" customWidth="1"/>
    <col min="6665" max="6665" width="2.81640625" style="32" customWidth="1"/>
    <col min="6666" max="6666" width="9" style="32"/>
    <col min="6667" max="6667" width="11.6328125" style="32" bestFit="1" customWidth="1"/>
    <col min="6668" max="6668" width="10.453125" style="32" customWidth="1"/>
    <col min="6669" max="6669" width="2.36328125" style="32" customWidth="1"/>
    <col min="6670" max="6693" width="9" style="32"/>
    <col min="6694" max="6694" width="3.6328125" style="32" customWidth="1"/>
    <col min="6695" max="6695" width="9" style="32"/>
    <col min="6696" max="6696" width="3.36328125" style="32" customWidth="1"/>
    <col min="6697" max="6697" width="7.36328125" style="32" customWidth="1"/>
    <col min="6698" max="6698" width="3.36328125" style="32" customWidth="1"/>
    <col min="6699" max="6699" width="9" style="32" bestFit="1" customWidth="1"/>
    <col min="6700" max="6913" width="9" style="32"/>
    <col min="6914" max="6914" width="3.81640625" style="32" customWidth="1"/>
    <col min="6915" max="6915" width="20" style="32" customWidth="1"/>
    <col min="6916" max="6916" width="10.81640625" style="32" customWidth="1"/>
    <col min="6917" max="6917" width="11.6328125" style="32" customWidth="1"/>
    <col min="6918" max="6919" width="13" style="32" customWidth="1"/>
    <col min="6920" max="6920" width="11.36328125" style="32" customWidth="1"/>
    <col min="6921" max="6921" width="2.81640625" style="32" customWidth="1"/>
    <col min="6922" max="6922" width="9" style="32"/>
    <col min="6923" max="6923" width="11.6328125" style="32" bestFit="1" customWidth="1"/>
    <col min="6924" max="6924" width="10.453125" style="32" customWidth="1"/>
    <col min="6925" max="6925" width="2.36328125" style="32" customWidth="1"/>
    <col min="6926" max="6949" width="9" style="32"/>
    <col min="6950" max="6950" width="3.6328125" style="32" customWidth="1"/>
    <col min="6951" max="6951" width="9" style="32"/>
    <col min="6952" max="6952" width="3.36328125" style="32" customWidth="1"/>
    <col min="6953" max="6953" width="7.36328125" style="32" customWidth="1"/>
    <col min="6954" max="6954" width="3.36328125" style="32" customWidth="1"/>
    <col min="6955" max="6955" width="9" style="32" bestFit="1" customWidth="1"/>
    <col min="6956" max="7169" width="9" style="32"/>
    <col min="7170" max="7170" width="3.81640625" style="32" customWidth="1"/>
    <col min="7171" max="7171" width="20" style="32" customWidth="1"/>
    <col min="7172" max="7172" width="10.81640625" style="32" customWidth="1"/>
    <col min="7173" max="7173" width="11.6328125" style="32" customWidth="1"/>
    <col min="7174" max="7175" width="13" style="32" customWidth="1"/>
    <col min="7176" max="7176" width="11.36328125" style="32" customWidth="1"/>
    <col min="7177" max="7177" width="2.81640625" style="32" customWidth="1"/>
    <col min="7178" max="7178" width="9" style="32"/>
    <col min="7179" max="7179" width="11.6328125" style="32" bestFit="1" customWidth="1"/>
    <col min="7180" max="7180" width="10.453125" style="32" customWidth="1"/>
    <col min="7181" max="7181" width="2.36328125" style="32" customWidth="1"/>
    <col min="7182" max="7205" width="9" style="32"/>
    <col min="7206" max="7206" width="3.6328125" style="32" customWidth="1"/>
    <col min="7207" max="7207" width="9" style="32"/>
    <col min="7208" max="7208" width="3.36328125" style="32" customWidth="1"/>
    <col min="7209" max="7209" width="7.36328125" style="32" customWidth="1"/>
    <col min="7210" max="7210" width="3.36328125" style="32" customWidth="1"/>
    <col min="7211" max="7211" width="9" style="32" bestFit="1" customWidth="1"/>
    <col min="7212" max="7425" width="9" style="32"/>
    <col min="7426" max="7426" width="3.81640625" style="32" customWidth="1"/>
    <col min="7427" max="7427" width="20" style="32" customWidth="1"/>
    <col min="7428" max="7428" width="10.81640625" style="32" customWidth="1"/>
    <col min="7429" max="7429" width="11.6328125" style="32" customWidth="1"/>
    <col min="7430" max="7431" width="13" style="32" customWidth="1"/>
    <col min="7432" max="7432" width="11.36328125" style="32" customWidth="1"/>
    <col min="7433" max="7433" width="2.81640625" style="32" customWidth="1"/>
    <col min="7434" max="7434" width="9" style="32"/>
    <col min="7435" max="7435" width="11.6328125" style="32" bestFit="1" customWidth="1"/>
    <col min="7436" max="7436" width="10.453125" style="32" customWidth="1"/>
    <col min="7437" max="7437" width="2.36328125" style="32" customWidth="1"/>
    <col min="7438" max="7461" width="9" style="32"/>
    <col min="7462" max="7462" width="3.6328125" style="32" customWidth="1"/>
    <col min="7463" max="7463" width="9" style="32"/>
    <col min="7464" max="7464" width="3.36328125" style="32" customWidth="1"/>
    <col min="7465" max="7465" width="7.36328125" style="32" customWidth="1"/>
    <col min="7466" max="7466" width="3.36328125" style="32" customWidth="1"/>
    <col min="7467" max="7467" width="9" style="32" bestFit="1" customWidth="1"/>
    <col min="7468" max="7681" width="9" style="32"/>
    <col min="7682" max="7682" width="3.81640625" style="32" customWidth="1"/>
    <col min="7683" max="7683" width="20" style="32" customWidth="1"/>
    <col min="7684" max="7684" width="10.81640625" style="32" customWidth="1"/>
    <col min="7685" max="7685" width="11.6328125" style="32" customWidth="1"/>
    <col min="7686" max="7687" width="13" style="32" customWidth="1"/>
    <col min="7688" max="7688" width="11.36328125" style="32" customWidth="1"/>
    <col min="7689" max="7689" width="2.81640625" style="32" customWidth="1"/>
    <col min="7690" max="7690" width="9" style="32"/>
    <col min="7691" max="7691" width="11.6328125" style="32" bestFit="1" customWidth="1"/>
    <col min="7692" max="7692" width="10.453125" style="32" customWidth="1"/>
    <col min="7693" max="7693" width="2.36328125" style="32" customWidth="1"/>
    <col min="7694" max="7717" width="9" style="32"/>
    <col min="7718" max="7718" width="3.6328125" style="32" customWidth="1"/>
    <col min="7719" max="7719" width="9" style="32"/>
    <col min="7720" max="7720" width="3.36328125" style="32" customWidth="1"/>
    <col min="7721" max="7721" width="7.36328125" style="32" customWidth="1"/>
    <col min="7722" max="7722" width="3.36328125" style="32" customWidth="1"/>
    <col min="7723" max="7723" width="9" style="32" bestFit="1" customWidth="1"/>
    <col min="7724" max="7937" width="9" style="32"/>
    <col min="7938" max="7938" width="3.81640625" style="32" customWidth="1"/>
    <col min="7939" max="7939" width="20" style="32" customWidth="1"/>
    <col min="7940" max="7940" width="10.81640625" style="32" customWidth="1"/>
    <col min="7941" max="7941" width="11.6328125" style="32" customWidth="1"/>
    <col min="7942" max="7943" width="13" style="32" customWidth="1"/>
    <col min="7944" max="7944" width="11.36328125" style="32" customWidth="1"/>
    <col min="7945" max="7945" width="2.81640625" style="32" customWidth="1"/>
    <col min="7946" max="7946" width="9" style="32"/>
    <col min="7947" max="7947" width="11.6328125" style="32" bestFit="1" customWidth="1"/>
    <col min="7948" max="7948" width="10.453125" style="32" customWidth="1"/>
    <col min="7949" max="7949" width="2.36328125" style="32" customWidth="1"/>
    <col min="7950" max="7973" width="9" style="32"/>
    <col min="7974" max="7974" width="3.6328125" style="32" customWidth="1"/>
    <col min="7975" max="7975" width="9" style="32"/>
    <col min="7976" max="7976" width="3.36328125" style="32" customWidth="1"/>
    <col min="7977" max="7977" width="7.36328125" style="32" customWidth="1"/>
    <col min="7978" max="7978" width="3.36328125" style="32" customWidth="1"/>
    <col min="7979" max="7979" width="9" style="32" bestFit="1" customWidth="1"/>
    <col min="7980" max="8193" width="9" style="32"/>
    <col min="8194" max="8194" width="3.81640625" style="32" customWidth="1"/>
    <col min="8195" max="8195" width="20" style="32" customWidth="1"/>
    <col min="8196" max="8196" width="10.81640625" style="32" customWidth="1"/>
    <col min="8197" max="8197" width="11.6328125" style="32" customWidth="1"/>
    <col min="8198" max="8199" width="13" style="32" customWidth="1"/>
    <col min="8200" max="8200" width="11.36328125" style="32" customWidth="1"/>
    <col min="8201" max="8201" width="2.81640625" style="32" customWidth="1"/>
    <col min="8202" max="8202" width="9" style="32"/>
    <col min="8203" max="8203" width="11.6328125" style="32" bestFit="1" customWidth="1"/>
    <col min="8204" max="8204" width="10.453125" style="32" customWidth="1"/>
    <col min="8205" max="8205" width="2.36328125" style="32" customWidth="1"/>
    <col min="8206" max="8229" width="9" style="32"/>
    <col min="8230" max="8230" width="3.6328125" style="32" customWidth="1"/>
    <col min="8231" max="8231" width="9" style="32"/>
    <col min="8232" max="8232" width="3.36328125" style="32" customWidth="1"/>
    <col min="8233" max="8233" width="7.36328125" style="32" customWidth="1"/>
    <col min="8234" max="8234" width="3.36328125" style="32" customWidth="1"/>
    <col min="8235" max="8235" width="9" style="32" bestFit="1" customWidth="1"/>
    <col min="8236" max="8449" width="9" style="32"/>
    <col min="8450" max="8450" width="3.81640625" style="32" customWidth="1"/>
    <col min="8451" max="8451" width="20" style="32" customWidth="1"/>
    <col min="8452" max="8452" width="10.81640625" style="32" customWidth="1"/>
    <col min="8453" max="8453" width="11.6328125" style="32" customWidth="1"/>
    <col min="8454" max="8455" width="13" style="32" customWidth="1"/>
    <col min="8456" max="8456" width="11.36328125" style="32" customWidth="1"/>
    <col min="8457" max="8457" width="2.81640625" style="32" customWidth="1"/>
    <col min="8458" max="8458" width="9" style="32"/>
    <col min="8459" max="8459" width="11.6328125" style="32" bestFit="1" customWidth="1"/>
    <col min="8460" max="8460" width="10.453125" style="32" customWidth="1"/>
    <col min="8461" max="8461" width="2.36328125" style="32" customWidth="1"/>
    <col min="8462" max="8485" width="9" style="32"/>
    <col min="8486" max="8486" width="3.6328125" style="32" customWidth="1"/>
    <col min="8487" max="8487" width="9" style="32"/>
    <col min="8488" max="8488" width="3.36328125" style="32" customWidth="1"/>
    <col min="8489" max="8489" width="7.36328125" style="32" customWidth="1"/>
    <col min="8490" max="8490" width="3.36328125" style="32" customWidth="1"/>
    <col min="8491" max="8491" width="9" style="32" bestFit="1" customWidth="1"/>
    <col min="8492" max="8705" width="9" style="32"/>
    <col min="8706" max="8706" width="3.81640625" style="32" customWidth="1"/>
    <col min="8707" max="8707" width="20" style="32" customWidth="1"/>
    <col min="8708" max="8708" width="10.81640625" style="32" customWidth="1"/>
    <col min="8709" max="8709" width="11.6328125" style="32" customWidth="1"/>
    <col min="8710" max="8711" width="13" style="32" customWidth="1"/>
    <col min="8712" max="8712" width="11.36328125" style="32" customWidth="1"/>
    <col min="8713" max="8713" width="2.81640625" style="32" customWidth="1"/>
    <col min="8714" max="8714" width="9" style="32"/>
    <col min="8715" max="8715" width="11.6328125" style="32" bestFit="1" customWidth="1"/>
    <col min="8716" max="8716" width="10.453125" style="32" customWidth="1"/>
    <col min="8717" max="8717" width="2.36328125" style="32" customWidth="1"/>
    <col min="8718" max="8741" width="9" style="32"/>
    <col min="8742" max="8742" width="3.6328125" style="32" customWidth="1"/>
    <col min="8743" max="8743" width="9" style="32"/>
    <col min="8744" max="8744" width="3.36328125" style="32" customWidth="1"/>
    <col min="8745" max="8745" width="7.36328125" style="32" customWidth="1"/>
    <col min="8746" max="8746" width="3.36328125" style="32" customWidth="1"/>
    <col min="8747" max="8747" width="9" style="32" bestFit="1" customWidth="1"/>
    <col min="8748" max="8961" width="9" style="32"/>
    <col min="8962" max="8962" width="3.81640625" style="32" customWidth="1"/>
    <col min="8963" max="8963" width="20" style="32" customWidth="1"/>
    <col min="8964" max="8964" width="10.81640625" style="32" customWidth="1"/>
    <col min="8965" max="8965" width="11.6328125" style="32" customWidth="1"/>
    <col min="8966" max="8967" width="13" style="32" customWidth="1"/>
    <col min="8968" max="8968" width="11.36328125" style="32" customWidth="1"/>
    <col min="8969" max="8969" width="2.81640625" style="32" customWidth="1"/>
    <col min="8970" max="8970" width="9" style="32"/>
    <col min="8971" max="8971" width="11.6328125" style="32" bestFit="1" customWidth="1"/>
    <col min="8972" max="8972" width="10.453125" style="32" customWidth="1"/>
    <col min="8973" max="8973" width="2.36328125" style="32" customWidth="1"/>
    <col min="8974" max="8997" width="9" style="32"/>
    <col min="8998" max="8998" width="3.6328125" style="32" customWidth="1"/>
    <col min="8999" max="8999" width="9" style="32"/>
    <col min="9000" max="9000" width="3.36328125" style="32" customWidth="1"/>
    <col min="9001" max="9001" width="7.36328125" style="32" customWidth="1"/>
    <col min="9002" max="9002" width="3.36328125" style="32" customWidth="1"/>
    <col min="9003" max="9003" width="9" style="32" bestFit="1" customWidth="1"/>
    <col min="9004" max="9217" width="9" style="32"/>
    <col min="9218" max="9218" width="3.81640625" style="32" customWidth="1"/>
    <col min="9219" max="9219" width="20" style="32" customWidth="1"/>
    <col min="9220" max="9220" width="10.81640625" style="32" customWidth="1"/>
    <col min="9221" max="9221" width="11.6328125" style="32" customWidth="1"/>
    <col min="9222" max="9223" width="13" style="32" customWidth="1"/>
    <col min="9224" max="9224" width="11.36328125" style="32" customWidth="1"/>
    <col min="9225" max="9225" width="2.81640625" style="32" customWidth="1"/>
    <col min="9226" max="9226" width="9" style="32"/>
    <col min="9227" max="9227" width="11.6328125" style="32" bestFit="1" customWidth="1"/>
    <col min="9228" max="9228" width="10.453125" style="32" customWidth="1"/>
    <col min="9229" max="9229" width="2.36328125" style="32" customWidth="1"/>
    <col min="9230" max="9253" width="9" style="32"/>
    <col min="9254" max="9254" width="3.6328125" style="32" customWidth="1"/>
    <col min="9255" max="9255" width="9" style="32"/>
    <col min="9256" max="9256" width="3.36328125" style="32" customWidth="1"/>
    <col min="9257" max="9257" width="7.36328125" style="32" customWidth="1"/>
    <col min="9258" max="9258" width="3.36328125" style="32" customWidth="1"/>
    <col min="9259" max="9259" width="9" style="32" bestFit="1" customWidth="1"/>
    <col min="9260" max="9473" width="9" style="32"/>
    <col min="9474" max="9474" width="3.81640625" style="32" customWidth="1"/>
    <col min="9475" max="9475" width="20" style="32" customWidth="1"/>
    <col min="9476" max="9476" width="10.81640625" style="32" customWidth="1"/>
    <col min="9477" max="9477" width="11.6328125" style="32" customWidth="1"/>
    <col min="9478" max="9479" width="13" style="32" customWidth="1"/>
    <col min="9480" max="9480" width="11.36328125" style="32" customWidth="1"/>
    <col min="9481" max="9481" width="2.81640625" style="32" customWidth="1"/>
    <col min="9482" max="9482" width="9" style="32"/>
    <col min="9483" max="9483" width="11.6328125" style="32" bestFit="1" customWidth="1"/>
    <col min="9484" max="9484" width="10.453125" style="32" customWidth="1"/>
    <col min="9485" max="9485" width="2.36328125" style="32" customWidth="1"/>
    <col min="9486" max="9509" width="9" style="32"/>
    <col min="9510" max="9510" width="3.6328125" style="32" customWidth="1"/>
    <col min="9511" max="9511" width="9" style="32"/>
    <col min="9512" max="9512" width="3.36328125" style="32" customWidth="1"/>
    <col min="9513" max="9513" width="7.36328125" style="32" customWidth="1"/>
    <col min="9514" max="9514" width="3.36328125" style="32" customWidth="1"/>
    <col min="9515" max="9515" width="9" style="32" bestFit="1" customWidth="1"/>
    <col min="9516" max="9729" width="9" style="32"/>
    <col min="9730" max="9730" width="3.81640625" style="32" customWidth="1"/>
    <col min="9731" max="9731" width="20" style="32" customWidth="1"/>
    <col min="9732" max="9732" width="10.81640625" style="32" customWidth="1"/>
    <col min="9733" max="9733" width="11.6328125" style="32" customWidth="1"/>
    <col min="9734" max="9735" width="13" style="32" customWidth="1"/>
    <col min="9736" max="9736" width="11.36328125" style="32" customWidth="1"/>
    <col min="9737" max="9737" width="2.81640625" style="32" customWidth="1"/>
    <col min="9738" max="9738" width="9" style="32"/>
    <col min="9739" max="9739" width="11.6328125" style="32" bestFit="1" customWidth="1"/>
    <col min="9740" max="9740" width="10.453125" style="32" customWidth="1"/>
    <col min="9741" max="9741" width="2.36328125" style="32" customWidth="1"/>
    <col min="9742" max="9765" width="9" style="32"/>
    <col min="9766" max="9766" width="3.6328125" style="32" customWidth="1"/>
    <col min="9767" max="9767" width="9" style="32"/>
    <col min="9768" max="9768" width="3.36328125" style="32" customWidth="1"/>
    <col min="9769" max="9769" width="7.36328125" style="32" customWidth="1"/>
    <col min="9770" max="9770" width="3.36328125" style="32" customWidth="1"/>
    <col min="9771" max="9771" width="9" style="32" bestFit="1" customWidth="1"/>
    <col min="9772" max="9985" width="9" style="32"/>
    <col min="9986" max="9986" width="3.81640625" style="32" customWidth="1"/>
    <col min="9987" max="9987" width="20" style="32" customWidth="1"/>
    <col min="9988" max="9988" width="10.81640625" style="32" customWidth="1"/>
    <col min="9989" max="9989" width="11.6328125" style="32" customWidth="1"/>
    <col min="9990" max="9991" width="13" style="32" customWidth="1"/>
    <col min="9992" max="9992" width="11.36328125" style="32" customWidth="1"/>
    <col min="9993" max="9993" width="2.81640625" style="32" customWidth="1"/>
    <col min="9994" max="9994" width="9" style="32"/>
    <col min="9995" max="9995" width="11.6328125" style="32" bestFit="1" customWidth="1"/>
    <col min="9996" max="9996" width="10.453125" style="32" customWidth="1"/>
    <col min="9997" max="9997" width="2.36328125" style="32" customWidth="1"/>
    <col min="9998" max="10021" width="9" style="32"/>
    <col min="10022" max="10022" width="3.6328125" style="32" customWidth="1"/>
    <col min="10023" max="10023" width="9" style="32"/>
    <col min="10024" max="10024" width="3.36328125" style="32" customWidth="1"/>
    <col min="10025" max="10025" width="7.36328125" style="32" customWidth="1"/>
    <col min="10026" max="10026" width="3.36328125" style="32" customWidth="1"/>
    <col min="10027" max="10027" width="9" style="32" bestFit="1" customWidth="1"/>
    <col min="10028" max="10241" width="9" style="32"/>
    <col min="10242" max="10242" width="3.81640625" style="32" customWidth="1"/>
    <col min="10243" max="10243" width="20" style="32" customWidth="1"/>
    <col min="10244" max="10244" width="10.81640625" style="32" customWidth="1"/>
    <col min="10245" max="10245" width="11.6328125" style="32" customWidth="1"/>
    <col min="10246" max="10247" width="13" style="32" customWidth="1"/>
    <col min="10248" max="10248" width="11.36328125" style="32" customWidth="1"/>
    <col min="10249" max="10249" width="2.81640625" style="32" customWidth="1"/>
    <col min="10250" max="10250" width="9" style="32"/>
    <col min="10251" max="10251" width="11.6328125" style="32" bestFit="1" customWidth="1"/>
    <col min="10252" max="10252" width="10.453125" style="32" customWidth="1"/>
    <col min="10253" max="10253" width="2.36328125" style="32" customWidth="1"/>
    <col min="10254" max="10277" width="9" style="32"/>
    <col min="10278" max="10278" width="3.6328125" style="32" customWidth="1"/>
    <col min="10279" max="10279" width="9" style="32"/>
    <col min="10280" max="10280" width="3.36328125" style="32" customWidth="1"/>
    <col min="10281" max="10281" width="7.36328125" style="32" customWidth="1"/>
    <col min="10282" max="10282" width="3.36328125" style="32" customWidth="1"/>
    <col min="10283" max="10283" width="9" style="32" bestFit="1" customWidth="1"/>
    <col min="10284" max="10497" width="9" style="32"/>
    <col min="10498" max="10498" width="3.81640625" style="32" customWidth="1"/>
    <col min="10499" max="10499" width="20" style="32" customWidth="1"/>
    <col min="10500" max="10500" width="10.81640625" style="32" customWidth="1"/>
    <col min="10501" max="10501" width="11.6328125" style="32" customWidth="1"/>
    <col min="10502" max="10503" width="13" style="32" customWidth="1"/>
    <col min="10504" max="10504" width="11.36328125" style="32" customWidth="1"/>
    <col min="10505" max="10505" width="2.81640625" style="32" customWidth="1"/>
    <col min="10506" max="10506" width="9" style="32"/>
    <col min="10507" max="10507" width="11.6328125" style="32" bestFit="1" customWidth="1"/>
    <col min="10508" max="10508" width="10.453125" style="32" customWidth="1"/>
    <col min="10509" max="10509" width="2.36328125" style="32" customWidth="1"/>
    <col min="10510" max="10533" width="9" style="32"/>
    <col min="10534" max="10534" width="3.6328125" style="32" customWidth="1"/>
    <col min="10535" max="10535" width="9" style="32"/>
    <col min="10536" max="10536" width="3.36328125" style="32" customWidth="1"/>
    <col min="10537" max="10537" width="7.36328125" style="32" customWidth="1"/>
    <col min="10538" max="10538" width="3.36328125" style="32" customWidth="1"/>
    <col min="10539" max="10539" width="9" style="32" bestFit="1" customWidth="1"/>
    <col min="10540" max="10753" width="9" style="32"/>
    <col min="10754" max="10754" width="3.81640625" style="32" customWidth="1"/>
    <col min="10755" max="10755" width="20" style="32" customWidth="1"/>
    <col min="10756" max="10756" width="10.81640625" style="32" customWidth="1"/>
    <col min="10757" max="10757" width="11.6328125" style="32" customWidth="1"/>
    <col min="10758" max="10759" width="13" style="32" customWidth="1"/>
    <col min="10760" max="10760" width="11.36328125" style="32" customWidth="1"/>
    <col min="10761" max="10761" width="2.81640625" style="32" customWidth="1"/>
    <col min="10762" max="10762" width="9" style="32"/>
    <col min="10763" max="10763" width="11.6328125" style="32" bestFit="1" customWidth="1"/>
    <col min="10764" max="10764" width="10.453125" style="32" customWidth="1"/>
    <col min="10765" max="10765" width="2.36328125" style="32" customWidth="1"/>
    <col min="10766" max="10789" width="9" style="32"/>
    <col min="10790" max="10790" width="3.6328125" style="32" customWidth="1"/>
    <col min="10791" max="10791" width="9" style="32"/>
    <col min="10792" max="10792" width="3.36328125" style="32" customWidth="1"/>
    <col min="10793" max="10793" width="7.36328125" style="32" customWidth="1"/>
    <col min="10794" max="10794" width="3.36328125" style="32" customWidth="1"/>
    <col min="10795" max="10795" width="9" style="32" bestFit="1" customWidth="1"/>
    <col min="10796" max="11009" width="9" style="32"/>
    <col min="11010" max="11010" width="3.81640625" style="32" customWidth="1"/>
    <col min="11011" max="11011" width="20" style="32" customWidth="1"/>
    <col min="11012" max="11012" width="10.81640625" style="32" customWidth="1"/>
    <col min="11013" max="11013" width="11.6328125" style="32" customWidth="1"/>
    <col min="11014" max="11015" width="13" style="32" customWidth="1"/>
    <col min="11016" max="11016" width="11.36328125" style="32" customWidth="1"/>
    <col min="11017" max="11017" width="2.81640625" style="32" customWidth="1"/>
    <col min="11018" max="11018" width="9" style="32"/>
    <col min="11019" max="11019" width="11.6328125" style="32" bestFit="1" customWidth="1"/>
    <col min="11020" max="11020" width="10.453125" style="32" customWidth="1"/>
    <col min="11021" max="11021" width="2.36328125" style="32" customWidth="1"/>
    <col min="11022" max="11045" width="9" style="32"/>
    <col min="11046" max="11046" width="3.6328125" style="32" customWidth="1"/>
    <col min="11047" max="11047" width="9" style="32"/>
    <col min="11048" max="11048" width="3.36328125" style="32" customWidth="1"/>
    <col min="11049" max="11049" width="7.36328125" style="32" customWidth="1"/>
    <col min="11050" max="11050" width="3.36328125" style="32" customWidth="1"/>
    <col min="11051" max="11051" width="9" style="32" bestFit="1" customWidth="1"/>
    <col min="11052" max="11265" width="9" style="32"/>
    <col min="11266" max="11266" width="3.81640625" style="32" customWidth="1"/>
    <col min="11267" max="11267" width="20" style="32" customWidth="1"/>
    <col min="11268" max="11268" width="10.81640625" style="32" customWidth="1"/>
    <col min="11269" max="11269" width="11.6328125" style="32" customWidth="1"/>
    <col min="11270" max="11271" width="13" style="32" customWidth="1"/>
    <col min="11272" max="11272" width="11.36328125" style="32" customWidth="1"/>
    <col min="11273" max="11273" width="2.81640625" style="32" customWidth="1"/>
    <col min="11274" max="11274" width="9" style="32"/>
    <col min="11275" max="11275" width="11.6328125" style="32" bestFit="1" customWidth="1"/>
    <col min="11276" max="11276" width="10.453125" style="32" customWidth="1"/>
    <col min="11277" max="11277" width="2.36328125" style="32" customWidth="1"/>
    <col min="11278" max="11301" width="9" style="32"/>
    <col min="11302" max="11302" width="3.6328125" style="32" customWidth="1"/>
    <col min="11303" max="11303" width="9" style="32"/>
    <col min="11304" max="11304" width="3.36328125" style="32" customWidth="1"/>
    <col min="11305" max="11305" width="7.36328125" style="32" customWidth="1"/>
    <col min="11306" max="11306" width="3.36328125" style="32" customWidth="1"/>
    <col min="11307" max="11307" width="9" style="32" bestFit="1" customWidth="1"/>
    <col min="11308" max="11521" width="9" style="32"/>
    <col min="11522" max="11522" width="3.81640625" style="32" customWidth="1"/>
    <col min="11523" max="11523" width="20" style="32" customWidth="1"/>
    <col min="11524" max="11524" width="10.81640625" style="32" customWidth="1"/>
    <col min="11525" max="11525" width="11.6328125" style="32" customWidth="1"/>
    <col min="11526" max="11527" width="13" style="32" customWidth="1"/>
    <col min="11528" max="11528" width="11.36328125" style="32" customWidth="1"/>
    <col min="11529" max="11529" width="2.81640625" style="32" customWidth="1"/>
    <col min="11530" max="11530" width="9" style="32"/>
    <col min="11531" max="11531" width="11.6328125" style="32" bestFit="1" customWidth="1"/>
    <col min="11532" max="11532" width="10.453125" style="32" customWidth="1"/>
    <col min="11533" max="11533" width="2.36328125" style="32" customWidth="1"/>
    <col min="11534" max="11557" width="9" style="32"/>
    <col min="11558" max="11558" width="3.6328125" style="32" customWidth="1"/>
    <col min="11559" max="11559" width="9" style="32"/>
    <col min="11560" max="11560" width="3.36328125" style="32" customWidth="1"/>
    <col min="11561" max="11561" width="7.36328125" style="32" customWidth="1"/>
    <col min="11562" max="11562" width="3.36328125" style="32" customWidth="1"/>
    <col min="11563" max="11563" width="9" style="32" bestFit="1" customWidth="1"/>
    <col min="11564" max="11777" width="9" style="32"/>
    <col min="11778" max="11778" width="3.81640625" style="32" customWidth="1"/>
    <col min="11779" max="11779" width="20" style="32" customWidth="1"/>
    <col min="11780" max="11780" width="10.81640625" style="32" customWidth="1"/>
    <col min="11781" max="11781" width="11.6328125" style="32" customWidth="1"/>
    <col min="11782" max="11783" width="13" style="32" customWidth="1"/>
    <col min="11784" max="11784" width="11.36328125" style="32" customWidth="1"/>
    <col min="11785" max="11785" width="2.81640625" style="32" customWidth="1"/>
    <col min="11786" max="11786" width="9" style="32"/>
    <col min="11787" max="11787" width="11.6328125" style="32" bestFit="1" customWidth="1"/>
    <col min="11788" max="11788" width="10.453125" style="32" customWidth="1"/>
    <col min="11789" max="11789" width="2.36328125" style="32" customWidth="1"/>
    <col min="11790" max="11813" width="9" style="32"/>
    <col min="11814" max="11814" width="3.6328125" style="32" customWidth="1"/>
    <col min="11815" max="11815" width="9" style="32"/>
    <col min="11816" max="11816" width="3.36328125" style="32" customWidth="1"/>
    <col min="11817" max="11817" width="7.36328125" style="32" customWidth="1"/>
    <col min="11818" max="11818" width="3.36328125" style="32" customWidth="1"/>
    <col min="11819" max="11819" width="9" style="32" bestFit="1" customWidth="1"/>
    <col min="11820" max="12033" width="9" style="32"/>
    <col min="12034" max="12034" width="3.81640625" style="32" customWidth="1"/>
    <col min="12035" max="12035" width="20" style="32" customWidth="1"/>
    <col min="12036" max="12036" width="10.81640625" style="32" customWidth="1"/>
    <col min="12037" max="12037" width="11.6328125" style="32" customWidth="1"/>
    <col min="12038" max="12039" width="13" style="32" customWidth="1"/>
    <col min="12040" max="12040" width="11.36328125" style="32" customWidth="1"/>
    <col min="12041" max="12041" width="2.81640625" style="32" customWidth="1"/>
    <col min="12042" max="12042" width="9" style="32"/>
    <col min="12043" max="12043" width="11.6328125" style="32" bestFit="1" customWidth="1"/>
    <col min="12044" max="12044" width="10.453125" style="32" customWidth="1"/>
    <col min="12045" max="12045" width="2.36328125" style="32" customWidth="1"/>
    <col min="12046" max="12069" width="9" style="32"/>
    <col min="12070" max="12070" width="3.6328125" style="32" customWidth="1"/>
    <col min="12071" max="12071" width="9" style="32"/>
    <col min="12072" max="12072" width="3.36328125" style="32" customWidth="1"/>
    <col min="12073" max="12073" width="7.36328125" style="32" customWidth="1"/>
    <col min="12074" max="12074" width="3.36328125" style="32" customWidth="1"/>
    <col min="12075" max="12075" width="9" style="32" bestFit="1" customWidth="1"/>
    <col min="12076" max="12289" width="9" style="32"/>
    <col min="12290" max="12290" width="3.81640625" style="32" customWidth="1"/>
    <col min="12291" max="12291" width="20" style="32" customWidth="1"/>
    <col min="12292" max="12292" width="10.81640625" style="32" customWidth="1"/>
    <col min="12293" max="12293" width="11.6328125" style="32" customWidth="1"/>
    <col min="12294" max="12295" width="13" style="32" customWidth="1"/>
    <col min="12296" max="12296" width="11.36328125" style="32" customWidth="1"/>
    <col min="12297" max="12297" width="2.81640625" style="32" customWidth="1"/>
    <col min="12298" max="12298" width="9" style="32"/>
    <col min="12299" max="12299" width="11.6328125" style="32" bestFit="1" customWidth="1"/>
    <col min="12300" max="12300" width="10.453125" style="32" customWidth="1"/>
    <col min="12301" max="12301" width="2.36328125" style="32" customWidth="1"/>
    <col min="12302" max="12325" width="9" style="32"/>
    <col min="12326" max="12326" width="3.6328125" style="32" customWidth="1"/>
    <col min="12327" max="12327" width="9" style="32"/>
    <col min="12328" max="12328" width="3.36328125" style="32" customWidth="1"/>
    <col min="12329" max="12329" width="7.36328125" style="32" customWidth="1"/>
    <col min="12330" max="12330" width="3.36328125" style="32" customWidth="1"/>
    <col min="12331" max="12331" width="9" style="32" bestFit="1" customWidth="1"/>
    <col min="12332" max="12545" width="9" style="32"/>
    <col min="12546" max="12546" width="3.81640625" style="32" customWidth="1"/>
    <col min="12547" max="12547" width="20" style="32" customWidth="1"/>
    <col min="12548" max="12548" width="10.81640625" style="32" customWidth="1"/>
    <col min="12549" max="12549" width="11.6328125" style="32" customWidth="1"/>
    <col min="12550" max="12551" width="13" style="32" customWidth="1"/>
    <col min="12552" max="12552" width="11.36328125" style="32" customWidth="1"/>
    <col min="12553" max="12553" width="2.81640625" style="32" customWidth="1"/>
    <col min="12554" max="12554" width="9" style="32"/>
    <col min="12555" max="12555" width="11.6328125" style="32" bestFit="1" customWidth="1"/>
    <col min="12556" max="12556" width="10.453125" style="32" customWidth="1"/>
    <col min="12557" max="12557" width="2.36328125" style="32" customWidth="1"/>
    <col min="12558" max="12581" width="9" style="32"/>
    <col min="12582" max="12582" width="3.6328125" style="32" customWidth="1"/>
    <col min="12583" max="12583" width="9" style="32"/>
    <col min="12584" max="12584" width="3.36328125" style="32" customWidth="1"/>
    <col min="12585" max="12585" width="7.36328125" style="32" customWidth="1"/>
    <col min="12586" max="12586" width="3.36328125" style="32" customWidth="1"/>
    <col min="12587" max="12587" width="9" style="32" bestFit="1" customWidth="1"/>
    <col min="12588" max="12801" width="9" style="32"/>
    <col min="12802" max="12802" width="3.81640625" style="32" customWidth="1"/>
    <col min="12803" max="12803" width="20" style="32" customWidth="1"/>
    <col min="12804" max="12804" width="10.81640625" style="32" customWidth="1"/>
    <col min="12805" max="12805" width="11.6328125" style="32" customWidth="1"/>
    <col min="12806" max="12807" width="13" style="32" customWidth="1"/>
    <col min="12808" max="12808" width="11.36328125" style="32" customWidth="1"/>
    <col min="12809" max="12809" width="2.81640625" style="32" customWidth="1"/>
    <col min="12810" max="12810" width="9" style="32"/>
    <col min="12811" max="12811" width="11.6328125" style="32" bestFit="1" customWidth="1"/>
    <col min="12812" max="12812" width="10.453125" style="32" customWidth="1"/>
    <col min="12813" max="12813" width="2.36328125" style="32" customWidth="1"/>
    <col min="12814" max="12837" width="9" style="32"/>
    <col min="12838" max="12838" width="3.6328125" style="32" customWidth="1"/>
    <col min="12839" max="12839" width="9" style="32"/>
    <col min="12840" max="12840" width="3.36328125" style="32" customWidth="1"/>
    <col min="12841" max="12841" width="7.36328125" style="32" customWidth="1"/>
    <col min="12842" max="12842" width="3.36328125" style="32" customWidth="1"/>
    <col min="12843" max="12843" width="9" style="32" bestFit="1" customWidth="1"/>
    <col min="12844" max="13057" width="9" style="32"/>
    <col min="13058" max="13058" width="3.81640625" style="32" customWidth="1"/>
    <col min="13059" max="13059" width="20" style="32" customWidth="1"/>
    <col min="13060" max="13060" width="10.81640625" style="32" customWidth="1"/>
    <col min="13061" max="13061" width="11.6328125" style="32" customWidth="1"/>
    <col min="13062" max="13063" width="13" style="32" customWidth="1"/>
    <col min="13064" max="13064" width="11.36328125" style="32" customWidth="1"/>
    <col min="13065" max="13065" width="2.81640625" style="32" customWidth="1"/>
    <col min="13066" max="13066" width="9" style="32"/>
    <col min="13067" max="13067" width="11.6328125" style="32" bestFit="1" customWidth="1"/>
    <col min="13068" max="13068" width="10.453125" style="32" customWidth="1"/>
    <col min="13069" max="13069" width="2.36328125" style="32" customWidth="1"/>
    <col min="13070" max="13093" width="9" style="32"/>
    <col min="13094" max="13094" width="3.6328125" style="32" customWidth="1"/>
    <col min="13095" max="13095" width="9" style="32"/>
    <col min="13096" max="13096" width="3.36328125" style="32" customWidth="1"/>
    <col min="13097" max="13097" width="7.36328125" style="32" customWidth="1"/>
    <col min="13098" max="13098" width="3.36328125" style="32" customWidth="1"/>
    <col min="13099" max="13099" width="9" style="32" bestFit="1" customWidth="1"/>
    <col min="13100" max="13313" width="9" style="32"/>
    <col min="13314" max="13314" width="3.81640625" style="32" customWidth="1"/>
    <col min="13315" max="13315" width="20" style="32" customWidth="1"/>
    <col min="13316" max="13316" width="10.81640625" style="32" customWidth="1"/>
    <col min="13317" max="13317" width="11.6328125" style="32" customWidth="1"/>
    <col min="13318" max="13319" width="13" style="32" customWidth="1"/>
    <col min="13320" max="13320" width="11.36328125" style="32" customWidth="1"/>
    <col min="13321" max="13321" width="2.81640625" style="32" customWidth="1"/>
    <col min="13322" max="13322" width="9" style="32"/>
    <col min="13323" max="13323" width="11.6328125" style="32" bestFit="1" customWidth="1"/>
    <col min="13324" max="13324" width="10.453125" style="32" customWidth="1"/>
    <col min="13325" max="13325" width="2.36328125" style="32" customWidth="1"/>
    <col min="13326" max="13349" width="9" style="32"/>
    <col min="13350" max="13350" width="3.6328125" style="32" customWidth="1"/>
    <col min="13351" max="13351" width="9" style="32"/>
    <col min="13352" max="13352" width="3.36328125" style="32" customWidth="1"/>
    <col min="13353" max="13353" width="7.36328125" style="32" customWidth="1"/>
    <col min="13354" max="13354" width="3.36328125" style="32" customWidth="1"/>
    <col min="13355" max="13355" width="9" style="32" bestFit="1" customWidth="1"/>
    <col min="13356" max="13569" width="9" style="32"/>
    <col min="13570" max="13570" width="3.81640625" style="32" customWidth="1"/>
    <col min="13571" max="13571" width="20" style="32" customWidth="1"/>
    <col min="13572" max="13572" width="10.81640625" style="32" customWidth="1"/>
    <col min="13573" max="13573" width="11.6328125" style="32" customWidth="1"/>
    <col min="13574" max="13575" width="13" style="32" customWidth="1"/>
    <col min="13576" max="13576" width="11.36328125" style="32" customWidth="1"/>
    <col min="13577" max="13577" width="2.81640625" style="32" customWidth="1"/>
    <col min="13578" max="13578" width="9" style="32"/>
    <col min="13579" max="13579" width="11.6328125" style="32" bestFit="1" customWidth="1"/>
    <col min="13580" max="13580" width="10.453125" style="32" customWidth="1"/>
    <col min="13581" max="13581" width="2.36328125" style="32" customWidth="1"/>
    <col min="13582" max="13605" width="9" style="32"/>
    <col min="13606" max="13606" width="3.6328125" style="32" customWidth="1"/>
    <col min="13607" max="13607" width="9" style="32"/>
    <col min="13608" max="13608" width="3.36328125" style="32" customWidth="1"/>
    <col min="13609" max="13609" width="7.36328125" style="32" customWidth="1"/>
    <col min="13610" max="13610" width="3.36328125" style="32" customWidth="1"/>
    <col min="13611" max="13611" width="9" style="32" bestFit="1" customWidth="1"/>
    <col min="13612" max="13825" width="9" style="32"/>
    <col min="13826" max="13826" width="3.81640625" style="32" customWidth="1"/>
    <col min="13827" max="13827" width="20" style="32" customWidth="1"/>
    <col min="13828" max="13828" width="10.81640625" style="32" customWidth="1"/>
    <col min="13829" max="13829" width="11.6328125" style="32" customWidth="1"/>
    <col min="13830" max="13831" width="13" style="32" customWidth="1"/>
    <col min="13832" max="13832" width="11.36328125" style="32" customWidth="1"/>
    <col min="13833" max="13833" width="2.81640625" style="32" customWidth="1"/>
    <col min="13834" max="13834" width="9" style="32"/>
    <col min="13835" max="13835" width="11.6328125" style="32" bestFit="1" customWidth="1"/>
    <col min="13836" max="13836" width="10.453125" style="32" customWidth="1"/>
    <col min="13837" max="13837" width="2.36328125" style="32" customWidth="1"/>
    <col min="13838" max="13861" width="9" style="32"/>
    <col min="13862" max="13862" width="3.6328125" style="32" customWidth="1"/>
    <col min="13863" max="13863" width="9" style="32"/>
    <col min="13864" max="13864" width="3.36328125" style="32" customWidth="1"/>
    <col min="13865" max="13865" width="7.36328125" style="32" customWidth="1"/>
    <col min="13866" max="13866" width="3.36328125" style="32" customWidth="1"/>
    <col min="13867" max="13867" width="9" style="32" bestFit="1" customWidth="1"/>
    <col min="13868" max="14081" width="9" style="32"/>
    <col min="14082" max="14082" width="3.81640625" style="32" customWidth="1"/>
    <col min="14083" max="14083" width="20" style="32" customWidth="1"/>
    <col min="14084" max="14084" width="10.81640625" style="32" customWidth="1"/>
    <col min="14085" max="14085" width="11.6328125" style="32" customWidth="1"/>
    <col min="14086" max="14087" width="13" style="32" customWidth="1"/>
    <col min="14088" max="14088" width="11.36328125" style="32" customWidth="1"/>
    <col min="14089" max="14089" width="2.81640625" style="32" customWidth="1"/>
    <col min="14090" max="14090" width="9" style="32"/>
    <col min="14091" max="14091" width="11.6328125" style="32" bestFit="1" customWidth="1"/>
    <col min="14092" max="14092" width="10.453125" style="32" customWidth="1"/>
    <col min="14093" max="14093" width="2.36328125" style="32" customWidth="1"/>
    <col min="14094" max="14117" width="9" style="32"/>
    <col min="14118" max="14118" width="3.6328125" style="32" customWidth="1"/>
    <col min="14119" max="14119" width="9" style="32"/>
    <col min="14120" max="14120" width="3.36328125" style="32" customWidth="1"/>
    <col min="14121" max="14121" width="7.36328125" style="32" customWidth="1"/>
    <col min="14122" max="14122" width="3.36328125" style="32" customWidth="1"/>
    <col min="14123" max="14123" width="9" style="32" bestFit="1" customWidth="1"/>
    <col min="14124" max="14337" width="9" style="32"/>
    <col min="14338" max="14338" width="3.81640625" style="32" customWidth="1"/>
    <col min="14339" max="14339" width="20" style="32" customWidth="1"/>
    <col min="14340" max="14340" width="10.81640625" style="32" customWidth="1"/>
    <col min="14341" max="14341" width="11.6328125" style="32" customWidth="1"/>
    <col min="14342" max="14343" width="13" style="32" customWidth="1"/>
    <col min="14344" max="14344" width="11.36328125" style="32" customWidth="1"/>
    <col min="14345" max="14345" width="2.81640625" style="32" customWidth="1"/>
    <col min="14346" max="14346" width="9" style="32"/>
    <col min="14347" max="14347" width="11.6328125" style="32" bestFit="1" customWidth="1"/>
    <col min="14348" max="14348" width="10.453125" style="32" customWidth="1"/>
    <col min="14349" max="14349" width="2.36328125" style="32" customWidth="1"/>
    <col min="14350" max="14373" width="9" style="32"/>
    <col min="14374" max="14374" width="3.6328125" style="32" customWidth="1"/>
    <col min="14375" max="14375" width="9" style="32"/>
    <col min="14376" max="14376" width="3.36328125" style="32" customWidth="1"/>
    <col min="14377" max="14377" width="7.36328125" style="32" customWidth="1"/>
    <col min="14378" max="14378" width="3.36328125" style="32" customWidth="1"/>
    <col min="14379" max="14379" width="9" style="32" bestFit="1" customWidth="1"/>
    <col min="14380" max="14593" width="9" style="32"/>
    <col min="14594" max="14594" width="3.81640625" style="32" customWidth="1"/>
    <col min="14595" max="14595" width="20" style="32" customWidth="1"/>
    <col min="14596" max="14596" width="10.81640625" style="32" customWidth="1"/>
    <col min="14597" max="14597" width="11.6328125" style="32" customWidth="1"/>
    <col min="14598" max="14599" width="13" style="32" customWidth="1"/>
    <col min="14600" max="14600" width="11.36328125" style="32" customWidth="1"/>
    <col min="14601" max="14601" width="2.81640625" style="32" customWidth="1"/>
    <col min="14602" max="14602" width="9" style="32"/>
    <col min="14603" max="14603" width="11.6328125" style="32" bestFit="1" customWidth="1"/>
    <col min="14604" max="14604" width="10.453125" style="32" customWidth="1"/>
    <col min="14605" max="14605" width="2.36328125" style="32" customWidth="1"/>
    <col min="14606" max="14629" width="9" style="32"/>
    <col min="14630" max="14630" width="3.6328125" style="32" customWidth="1"/>
    <col min="14631" max="14631" width="9" style="32"/>
    <col min="14632" max="14632" width="3.36328125" style="32" customWidth="1"/>
    <col min="14633" max="14633" width="7.36328125" style="32" customWidth="1"/>
    <col min="14634" max="14634" width="3.36328125" style="32" customWidth="1"/>
    <col min="14635" max="14635" width="9" style="32" bestFit="1" customWidth="1"/>
    <col min="14636" max="14849" width="9" style="32"/>
    <col min="14850" max="14850" width="3.81640625" style="32" customWidth="1"/>
    <col min="14851" max="14851" width="20" style="32" customWidth="1"/>
    <col min="14852" max="14852" width="10.81640625" style="32" customWidth="1"/>
    <col min="14853" max="14853" width="11.6328125" style="32" customWidth="1"/>
    <col min="14854" max="14855" width="13" style="32" customWidth="1"/>
    <col min="14856" max="14856" width="11.36328125" style="32" customWidth="1"/>
    <col min="14857" max="14857" width="2.81640625" style="32" customWidth="1"/>
    <col min="14858" max="14858" width="9" style="32"/>
    <col min="14859" max="14859" width="11.6328125" style="32" bestFit="1" customWidth="1"/>
    <col min="14860" max="14860" width="10.453125" style="32" customWidth="1"/>
    <col min="14861" max="14861" width="2.36328125" style="32" customWidth="1"/>
    <col min="14862" max="14885" width="9" style="32"/>
    <col min="14886" max="14886" width="3.6328125" style="32" customWidth="1"/>
    <col min="14887" max="14887" width="9" style="32"/>
    <col min="14888" max="14888" width="3.36328125" style="32" customWidth="1"/>
    <col min="14889" max="14889" width="7.36328125" style="32" customWidth="1"/>
    <col min="14890" max="14890" width="3.36328125" style="32" customWidth="1"/>
    <col min="14891" max="14891" width="9" style="32" bestFit="1" customWidth="1"/>
    <col min="14892" max="15105" width="9" style="32"/>
    <col min="15106" max="15106" width="3.81640625" style="32" customWidth="1"/>
    <col min="15107" max="15107" width="20" style="32" customWidth="1"/>
    <col min="15108" max="15108" width="10.81640625" style="32" customWidth="1"/>
    <col min="15109" max="15109" width="11.6328125" style="32" customWidth="1"/>
    <col min="15110" max="15111" width="13" style="32" customWidth="1"/>
    <col min="15112" max="15112" width="11.36328125" style="32" customWidth="1"/>
    <col min="15113" max="15113" width="2.81640625" style="32" customWidth="1"/>
    <col min="15114" max="15114" width="9" style="32"/>
    <col min="15115" max="15115" width="11.6328125" style="32" bestFit="1" customWidth="1"/>
    <col min="15116" max="15116" width="10.453125" style="32" customWidth="1"/>
    <col min="15117" max="15117" width="2.36328125" style="32" customWidth="1"/>
    <col min="15118" max="15141" width="9" style="32"/>
    <col min="15142" max="15142" width="3.6328125" style="32" customWidth="1"/>
    <col min="15143" max="15143" width="9" style="32"/>
    <col min="15144" max="15144" width="3.36328125" style="32" customWidth="1"/>
    <col min="15145" max="15145" width="7.36328125" style="32" customWidth="1"/>
    <col min="15146" max="15146" width="3.36328125" style="32" customWidth="1"/>
    <col min="15147" max="15147" width="9" style="32" bestFit="1" customWidth="1"/>
    <col min="15148" max="15361" width="9" style="32"/>
    <col min="15362" max="15362" width="3.81640625" style="32" customWidth="1"/>
    <col min="15363" max="15363" width="20" style="32" customWidth="1"/>
    <col min="15364" max="15364" width="10.81640625" style="32" customWidth="1"/>
    <col min="15365" max="15365" width="11.6328125" style="32" customWidth="1"/>
    <col min="15366" max="15367" width="13" style="32" customWidth="1"/>
    <col min="15368" max="15368" width="11.36328125" style="32" customWidth="1"/>
    <col min="15369" max="15369" width="2.81640625" style="32" customWidth="1"/>
    <col min="15370" max="15370" width="9" style="32"/>
    <col min="15371" max="15371" width="11.6328125" style="32" bestFit="1" customWidth="1"/>
    <col min="15372" max="15372" width="10.453125" style="32" customWidth="1"/>
    <col min="15373" max="15373" width="2.36328125" style="32" customWidth="1"/>
    <col min="15374" max="15397" width="9" style="32"/>
    <col min="15398" max="15398" width="3.6328125" style="32" customWidth="1"/>
    <col min="15399" max="15399" width="9" style="32"/>
    <col min="15400" max="15400" width="3.36328125" style="32" customWidth="1"/>
    <col min="15401" max="15401" width="7.36328125" style="32" customWidth="1"/>
    <col min="15402" max="15402" width="3.36328125" style="32" customWidth="1"/>
    <col min="15403" max="15403" width="9" style="32" bestFit="1" customWidth="1"/>
    <col min="15404" max="15617" width="9" style="32"/>
    <col min="15618" max="15618" width="3.81640625" style="32" customWidth="1"/>
    <col min="15619" max="15619" width="20" style="32" customWidth="1"/>
    <col min="15620" max="15620" width="10.81640625" style="32" customWidth="1"/>
    <col min="15621" max="15621" width="11.6328125" style="32" customWidth="1"/>
    <col min="15622" max="15623" width="13" style="32" customWidth="1"/>
    <col min="15624" max="15624" width="11.36328125" style="32" customWidth="1"/>
    <col min="15625" max="15625" width="2.81640625" style="32" customWidth="1"/>
    <col min="15626" max="15626" width="9" style="32"/>
    <col min="15627" max="15627" width="11.6328125" style="32" bestFit="1" customWidth="1"/>
    <col min="15628" max="15628" width="10.453125" style="32" customWidth="1"/>
    <col min="15629" max="15629" width="2.36328125" style="32" customWidth="1"/>
    <col min="15630" max="15653" width="9" style="32"/>
    <col min="15654" max="15654" width="3.6328125" style="32" customWidth="1"/>
    <col min="15655" max="15655" width="9" style="32"/>
    <col min="15656" max="15656" width="3.36328125" style="32" customWidth="1"/>
    <col min="15657" max="15657" width="7.36328125" style="32" customWidth="1"/>
    <col min="15658" max="15658" width="3.36328125" style="32" customWidth="1"/>
    <col min="15659" max="15659" width="9" style="32" bestFit="1" customWidth="1"/>
    <col min="15660" max="15873" width="9" style="32"/>
    <col min="15874" max="15874" width="3.81640625" style="32" customWidth="1"/>
    <col min="15875" max="15875" width="20" style="32" customWidth="1"/>
    <col min="15876" max="15876" width="10.81640625" style="32" customWidth="1"/>
    <col min="15877" max="15877" width="11.6328125" style="32" customWidth="1"/>
    <col min="15878" max="15879" width="13" style="32" customWidth="1"/>
    <col min="15880" max="15880" width="11.36328125" style="32" customWidth="1"/>
    <col min="15881" max="15881" width="2.81640625" style="32" customWidth="1"/>
    <col min="15882" max="15882" width="9" style="32"/>
    <col min="15883" max="15883" width="11.6328125" style="32" bestFit="1" customWidth="1"/>
    <col min="15884" max="15884" width="10.453125" style="32" customWidth="1"/>
    <col min="15885" max="15885" width="2.36328125" style="32" customWidth="1"/>
    <col min="15886" max="15909" width="9" style="32"/>
    <col min="15910" max="15910" width="3.6328125" style="32" customWidth="1"/>
    <col min="15911" max="15911" width="9" style="32"/>
    <col min="15912" max="15912" width="3.36328125" style="32" customWidth="1"/>
    <col min="15913" max="15913" width="7.36328125" style="32" customWidth="1"/>
    <col min="15914" max="15914" width="3.36328125" style="32" customWidth="1"/>
    <col min="15915" max="15915" width="9" style="32" bestFit="1" customWidth="1"/>
    <col min="15916" max="16129" width="9" style="32"/>
    <col min="16130" max="16130" width="3.81640625" style="32" customWidth="1"/>
    <col min="16131" max="16131" width="20" style="32" customWidth="1"/>
    <col min="16132" max="16132" width="10.81640625" style="32" customWidth="1"/>
    <col min="16133" max="16133" width="11.6328125" style="32" customWidth="1"/>
    <col min="16134" max="16135" width="13" style="32" customWidth="1"/>
    <col min="16136" max="16136" width="11.36328125" style="32" customWidth="1"/>
    <col min="16137" max="16137" width="2.81640625" style="32" customWidth="1"/>
    <col min="16138" max="16138" width="9" style="32"/>
    <col min="16139" max="16139" width="11.6328125" style="32" bestFit="1" customWidth="1"/>
    <col min="16140" max="16140" width="10.453125" style="32" customWidth="1"/>
    <col min="16141" max="16141" width="2.36328125" style="32" customWidth="1"/>
    <col min="16142" max="16165" width="9" style="32"/>
    <col min="16166" max="16166" width="3.6328125" style="32" customWidth="1"/>
    <col min="16167" max="16167" width="9" style="32"/>
    <col min="16168" max="16168" width="3.36328125" style="32" customWidth="1"/>
    <col min="16169" max="16169" width="7.36328125" style="32" customWidth="1"/>
    <col min="16170" max="16170" width="3.36328125" style="32" customWidth="1"/>
    <col min="16171" max="16171" width="9" style="32" bestFit="1" customWidth="1"/>
    <col min="16172" max="16384" width="9" style="32"/>
  </cols>
  <sheetData>
    <row r="1" spans="2:45" ht="22" customHeight="1">
      <c r="J1" s="32" t="s">
        <v>1781</v>
      </c>
      <c r="M1" s="32" t="s">
        <v>1780</v>
      </c>
      <c r="P1" s="32" t="s">
        <v>1793</v>
      </c>
      <c r="AJ1"/>
      <c r="AK1"/>
      <c r="AL1"/>
      <c r="AM1"/>
      <c r="AP1"/>
      <c r="AQ1"/>
      <c r="AR1"/>
      <c r="AS1"/>
    </row>
    <row r="2" spans="2:45" ht="22" customHeight="1" thickBot="1">
      <c r="B2" s="32" t="s">
        <v>1721</v>
      </c>
      <c r="J2" s="32" t="s">
        <v>1721</v>
      </c>
      <c r="M2" s="32" t="s">
        <v>1721</v>
      </c>
      <c r="AJ2"/>
      <c r="AK2"/>
      <c r="AL2"/>
      <c r="AM2"/>
      <c r="AP2"/>
      <c r="AQ2"/>
      <c r="AR2"/>
      <c r="AS2"/>
    </row>
    <row r="3" spans="2:45" ht="22" customHeight="1" thickBot="1">
      <c r="B3" s="107" t="s">
        <v>1714</v>
      </c>
      <c r="C3" s="301" t="s">
        <v>1772</v>
      </c>
      <c r="J3" s="295" t="s">
        <v>1714</v>
      </c>
      <c r="K3" s="300" t="str">
        <f>C3</f>
        <v>臺北市　</v>
      </c>
      <c r="L3" s="457"/>
      <c r="M3" s="295" t="s">
        <v>1714</v>
      </c>
      <c r="N3" s="300" t="str">
        <f>C3</f>
        <v>臺北市　</v>
      </c>
      <c r="O3" s="457"/>
      <c r="P3" s="295" t="s">
        <v>1714</v>
      </c>
      <c r="Q3" s="300" t="str">
        <f>C3</f>
        <v>臺北市　</v>
      </c>
      <c r="AJ3"/>
      <c r="AK3"/>
      <c r="AL3"/>
      <c r="AM3"/>
      <c r="AP3"/>
      <c r="AQ3"/>
      <c r="AR3"/>
      <c r="AS3"/>
    </row>
    <row r="4" spans="2:45" ht="22" customHeight="1" thickBot="1">
      <c r="B4" s="107"/>
      <c r="C4" s="301" t="s">
        <v>1773</v>
      </c>
      <c r="E4" s="35"/>
      <c r="J4" s="295"/>
      <c r="K4" s="300" t="str">
        <f>C4</f>
        <v>萬華區</v>
      </c>
      <c r="L4" s="457"/>
      <c r="M4" s="295"/>
      <c r="N4" s="300" t="str">
        <f>C4</f>
        <v>萬華區</v>
      </c>
      <c r="O4" s="457"/>
      <c r="P4" s="295"/>
      <c r="Q4" s="300" t="str">
        <f>C4</f>
        <v>萬華區</v>
      </c>
      <c r="AJ4"/>
      <c r="AK4"/>
      <c r="AL4"/>
      <c r="AM4"/>
      <c r="AP4"/>
      <c r="AQ4"/>
      <c r="AR4"/>
      <c r="AS4"/>
    </row>
    <row r="5" spans="2:45" ht="22" customHeight="1" thickBot="1">
      <c r="B5" s="107"/>
      <c r="C5" s="301" t="s">
        <v>1774</v>
      </c>
      <c r="E5" s="35"/>
      <c r="J5" s="298" t="s">
        <v>484</v>
      </c>
      <c r="K5" s="300" t="s">
        <v>485</v>
      </c>
      <c r="L5" s="457"/>
      <c r="M5" s="298" t="s">
        <v>484</v>
      </c>
      <c r="N5" s="300" t="s">
        <v>485</v>
      </c>
      <c r="O5" s="457"/>
      <c r="P5" s="298" t="s">
        <v>484</v>
      </c>
      <c r="Q5" s="32" t="s">
        <v>1790</v>
      </c>
      <c r="AJ5"/>
      <c r="AK5"/>
      <c r="AL5"/>
      <c r="AM5"/>
      <c r="AP5"/>
      <c r="AQ5"/>
      <c r="AR5"/>
      <c r="AS5"/>
    </row>
    <row r="6" spans="2:45" ht="22" customHeight="1" thickBot="1">
      <c r="B6" s="107" t="s">
        <v>437</v>
      </c>
      <c r="C6" s="304" t="str">
        <f ca="1">VLOOKUP(C5,INDIRECT(C4),2,FALSE)</f>
        <v>台北二區</v>
      </c>
      <c r="E6" s="35"/>
      <c r="J6" s="298" t="s">
        <v>486</v>
      </c>
      <c r="K6" s="300">
        <v>0.8</v>
      </c>
      <c r="L6" s="457"/>
      <c r="M6" s="298" t="s">
        <v>486</v>
      </c>
      <c r="N6" s="300">
        <v>0.8</v>
      </c>
      <c r="O6" s="457"/>
      <c r="P6" s="457" t="s">
        <v>1794</v>
      </c>
      <c r="Q6" s="32">
        <v>0.23</v>
      </c>
      <c r="AJ6"/>
      <c r="AK6"/>
      <c r="AL6"/>
      <c r="AM6"/>
      <c r="AP6"/>
      <c r="AQ6"/>
      <c r="AR6"/>
      <c r="AS6"/>
    </row>
    <row r="7" spans="2:45" ht="22" customHeight="1" thickBot="1">
      <c r="B7" s="32" t="s">
        <v>449</v>
      </c>
      <c r="J7" s="32" t="s">
        <v>449</v>
      </c>
      <c r="M7" s="32" t="s">
        <v>449</v>
      </c>
      <c r="P7" s="457" t="s">
        <v>1782</v>
      </c>
      <c r="AJ7"/>
      <c r="AK7"/>
      <c r="AL7"/>
      <c r="AM7"/>
      <c r="AP7"/>
      <c r="AQ7"/>
      <c r="AR7"/>
      <c r="AS7"/>
    </row>
    <row r="8" spans="2:45" ht="22" customHeight="1" thickBot="1">
      <c r="B8" s="210" t="s">
        <v>1362</v>
      </c>
      <c r="C8" s="305">
        <v>15</v>
      </c>
      <c r="J8" s="297" t="s">
        <v>1362</v>
      </c>
      <c r="K8" s="300">
        <f>C8</f>
        <v>15</v>
      </c>
      <c r="L8" s="457"/>
      <c r="M8" s="297" t="s">
        <v>1362</v>
      </c>
      <c r="N8" s="300">
        <f>C8</f>
        <v>15</v>
      </c>
      <c r="O8" s="457"/>
      <c r="P8" s="457"/>
      <c r="AJ8"/>
      <c r="AK8"/>
      <c r="AL8"/>
      <c r="AM8"/>
      <c r="AP8"/>
      <c r="AQ8"/>
      <c r="AR8"/>
      <c r="AS8"/>
    </row>
    <row r="9" spans="2:45" ht="22" customHeight="1" thickBot="1">
      <c r="B9" s="210" t="s">
        <v>1421</v>
      </c>
      <c r="C9" s="305" t="s">
        <v>1290</v>
      </c>
      <c r="D9" s="106" t="s">
        <v>1691</v>
      </c>
      <c r="E9" s="106" t="s">
        <v>1725</v>
      </c>
      <c r="F9" s="106" t="s">
        <v>1693</v>
      </c>
      <c r="J9" s="307" t="s">
        <v>1727</v>
      </c>
      <c r="K9" s="303">
        <v>10</v>
      </c>
      <c r="L9" s="458"/>
      <c r="M9" s="307" t="s">
        <v>1727</v>
      </c>
      <c r="N9" s="303">
        <f>K9</f>
        <v>10</v>
      </c>
      <c r="O9" s="458"/>
      <c r="P9" s="458"/>
      <c r="AJ9"/>
      <c r="AK9"/>
      <c r="AL9"/>
      <c r="AM9"/>
      <c r="AP9"/>
      <c r="AQ9"/>
      <c r="AR9"/>
      <c r="AS9"/>
    </row>
    <row r="10" spans="2:45" ht="22" customHeight="1" thickBot="1">
      <c r="B10" s="210" t="s">
        <v>1724</v>
      </c>
      <c r="C10" s="300">
        <f>ROUND(IF(D10&gt;=E10,E10,IF(E10&gt;=F10,F10,E10)),4)</f>
        <v>0.53349999999999997</v>
      </c>
      <c r="D10" s="300">
        <f>ROUND(IF(C9="鋼構",0.085,IF(C9="RC",0.07,0.05))*C8^0.75,4)</f>
        <v>0.53349999999999997</v>
      </c>
      <c r="E10" s="306">
        <v>0.53349999999999997</v>
      </c>
      <c r="F10" s="300">
        <f>D10*1.4</f>
        <v>0.7468999999999999</v>
      </c>
      <c r="J10" s="297" t="s">
        <v>454</v>
      </c>
      <c r="K10" s="300" t="str">
        <f>C9</f>
        <v>RC</v>
      </c>
      <c r="L10" s="457"/>
      <c r="M10" s="297" t="s">
        <v>454</v>
      </c>
      <c r="N10" s="300" t="str">
        <f>C9</f>
        <v>RC</v>
      </c>
      <c r="O10" s="457"/>
      <c r="P10" s="457"/>
      <c r="AJ10"/>
      <c r="AK10"/>
      <c r="AL10"/>
      <c r="AM10"/>
      <c r="AP10"/>
      <c r="AQ10"/>
      <c r="AR10"/>
      <c r="AS10"/>
    </row>
    <row r="11" spans="2:45" ht="22" customHeight="1" thickBot="1">
      <c r="B11" s="210" t="s">
        <v>459</v>
      </c>
      <c r="C11" s="303">
        <v>1</v>
      </c>
      <c r="J11" s="297" t="s">
        <v>1716</v>
      </c>
      <c r="K11" s="300">
        <f>IF($K$10="鋼構",0.085*K8^0.75,IF($K$10="RC",0.06*K8^0.75,0.09*K8/SQRT(K9)))</f>
        <v>0.45731947333915318</v>
      </c>
      <c r="L11" s="457"/>
      <c r="M11" s="297" t="s">
        <v>1716</v>
      </c>
      <c r="N11" s="300">
        <f>IF($N$10="鋼構",0.085*N8^0.75,IF($N$10="RC",0.06*N8^0.75,0.09*N8/SQRT(N9)))</f>
        <v>0.45731947333915318</v>
      </c>
      <c r="O11" s="457"/>
      <c r="P11" s="457"/>
      <c r="AJ11"/>
      <c r="AK11"/>
      <c r="AL11"/>
      <c r="AM11"/>
      <c r="AP11"/>
      <c r="AQ11"/>
      <c r="AR11"/>
      <c r="AS11"/>
    </row>
    <row r="12" spans="2:45" ht="22" customHeight="1" thickBot="1">
      <c r="B12" s="210" t="s">
        <v>461</v>
      </c>
      <c r="C12" s="303">
        <v>2.4</v>
      </c>
      <c r="J12" s="297" t="s">
        <v>487</v>
      </c>
      <c r="K12" s="300">
        <f>IF(1/(8*SQRT(K11))&lt;=0.15,1/(8*SQRT(K11)),0.15)</f>
        <v>0.15</v>
      </c>
      <c r="L12" s="457"/>
      <c r="M12" s="297" t="s">
        <v>487</v>
      </c>
      <c r="N12" s="300">
        <f>IF(0.248/N11&lt;=0.0625,0.0625,IF(0.248/N11&gt;=0.15,0.15,0.248/N11))</f>
        <v>0.15</v>
      </c>
      <c r="O12" s="457" t="s">
        <v>1782</v>
      </c>
      <c r="P12" s="457"/>
      <c r="AJ12"/>
      <c r="AK12"/>
      <c r="AL12"/>
      <c r="AM12"/>
      <c r="AP12"/>
      <c r="AQ12"/>
      <c r="AR12"/>
      <c r="AS12"/>
    </row>
    <row r="13" spans="2:45" ht="22" customHeight="1" thickBot="1">
      <c r="B13" s="210" t="s">
        <v>1717</v>
      </c>
      <c r="C13" s="300">
        <f>1+(C12-1)/2</f>
        <v>1.7</v>
      </c>
      <c r="J13" s="297" t="s">
        <v>459</v>
      </c>
      <c r="K13" s="300">
        <f>C11</f>
        <v>1</v>
      </c>
      <c r="L13" s="457"/>
      <c r="M13" s="297" t="s">
        <v>459</v>
      </c>
      <c r="N13" s="300">
        <f>C11</f>
        <v>1</v>
      </c>
      <c r="O13" s="457"/>
      <c r="P13" s="457"/>
      <c r="AJ13"/>
      <c r="AK13"/>
      <c r="AL13"/>
      <c r="AM13"/>
      <c r="AP13"/>
      <c r="AQ13"/>
      <c r="AR13"/>
      <c r="AS13"/>
    </row>
    <row r="14" spans="2:45" ht="22" customHeight="1" thickBot="1">
      <c r="B14" s="210" t="s">
        <v>1718</v>
      </c>
      <c r="C14" s="303">
        <v>1</v>
      </c>
      <c r="J14" s="297" t="s">
        <v>1720</v>
      </c>
      <c r="K14" s="303">
        <v>0.67</v>
      </c>
      <c r="L14" s="458"/>
      <c r="M14" s="297" t="s">
        <v>1720</v>
      </c>
      <c r="N14" s="303">
        <v>0.67</v>
      </c>
      <c r="O14" s="458"/>
      <c r="P14" s="458"/>
      <c r="AJ14"/>
      <c r="AK14"/>
      <c r="AL14"/>
      <c r="AM14"/>
      <c r="AP14"/>
      <c r="AQ14"/>
      <c r="AR14"/>
      <c r="AS14"/>
    </row>
    <row r="15" spans="2:45" ht="22" customHeight="1" thickBot="1">
      <c r="B15" s="506" t="s">
        <v>467</v>
      </c>
      <c r="C15" s="506"/>
      <c r="J15" s="32" t="s">
        <v>488</v>
      </c>
      <c r="K15" s="296">
        <f>K6*K14*K12*K13</f>
        <v>8.0399999999999999E-2</v>
      </c>
      <c r="L15" s="56"/>
      <c r="M15" s="32" t="s">
        <v>488</v>
      </c>
      <c r="N15" s="296">
        <f>N6*N14*N12*N13</f>
        <v>8.0399999999999999E-2</v>
      </c>
      <c r="O15" s="56"/>
      <c r="P15" s="56"/>
      <c r="AJ15"/>
      <c r="AK15"/>
      <c r="AL15"/>
      <c r="AM15"/>
      <c r="AP15"/>
      <c r="AQ15"/>
      <c r="AR15"/>
      <c r="AS15"/>
    </row>
    <row r="16" spans="2:45" ht="22" customHeight="1">
      <c r="C16" s="210" t="s">
        <v>1715</v>
      </c>
      <c r="D16" s="210" t="s">
        <v>1368</v>
      </c>
      <c r="E16" s="210" t="s">
        <v>1379</v>
      </c>
      <c r="F16" s="210" t="s">
        <v>1380</v>
      </c>
      <c r="G16" s="210" t="s">
        <v>1381</v>
      </c>
      <c r="H16" s="210" t="s">
        <v>1382</v>
      </c>
      <c r="J16" s="32" t="s">
        <v>1783</v>
      </c>
      <c r="M16" s="32" t="s">
        <v>1784</v>
      </c>
      <c r="AJ16"/>
      <c r="AK16"/>
      <c r="AL16"/>
      <c r="AM16"/>
      <c r="AP16"/>
      <c r="AQ16"/>
      <c r="AR16"/>
      <c r="AS16"/>
    </row>
    <row r="17" spans="2:48" ht="22" customHeight="1">
      <c r="C17" s="300">
        <f ca="1">VLOOKUP(C6,台北盆地設計反應譜!I2:L4,2,FALSE)</f>
        <v>0.6</v>
      </c>
      <c r="D17" s="300">
        <f ca="1">VLOOKUP(C6,台北盆地設計反應譜!I2:L4,4,FALSE)</f>
        <v>1.3</v>
      </c>
      <c r="E17" s="300">
        <f ca="1">IF(C10&lt;=0.2*D17,C17*(0.4+3*C10/D17),IF(C10&lt;=D17,C17,IF(C10&lt;=2.5*D17,C17*D17/C10,0.4*C17)))</f>
        <v>0.6</v>
      </c>
      <c r="F17" s="300">
        <f ca="1">IF(C10&lt;=0.2*D17,SQRT(2*C13-1)+(SQRT(2*C13-1)-1)*(C10-0.2*D17)/(0.2*D17),IF(C10&lt;=0.6*D17,SQRT(2*C13-1),IF(C10&lt;=D17,SQRT(2*C13-1)+(C13-SQRT(2*C13-1))*(C10-0.6*D17)/(0.4*D17),C13)))</f>
        <v>1.5491933384829668</v>
      </c>
      <c r="G17" s="300">
        <f ca="1">E17/F17</f>
        <v>0.38729833462074165</v>
      </c>
      <c r="H17" s="300">
        <f ca="1">IF(G17&lt;=0.3,G17,IF(G17&lt;0.8,0.52*G17+0.144,0.7*G17))</f>
        <v>0.34539513400278565</v>
      </c>
      <c r="M17" s="32" t="s">
        <v>1785</v>
      </c>
      <c r="N17" s="32">
        <f>0.248/N11</f>
        <v>0.54229048719314088</v>
      </c>
      <c r="AJ17"/>
      <c r="AK17"/>
      <c r="AL17"/>
      <c r="AM17"/>
      <c r="AP17"/>
      <c r="AQ17"/>
      <c r="AR17"/>
      <c r="AS17"/>
    </row>
    <row r="18" spans="2:48" ht="22" customHeight="1">
      <c r="C18" s="210" t="s">
        <v>1374</v>
      </c>
      <c r="D18" s="210" t="s">
        <v>1376</v>
      </c>
      <c r="E18" s="210" t="s">
        <v>1386</v>
      </c>
      <c r="F18" s="210" t="s">
        <v>1387</v>
      </c>
      <c r="G18" s="210" t="s">
        <v>1388</v>
      </c>
      <c r="H18" s="210" t="s">
        <v>1389</v>
      </c>
      <c r="AJ18"/>
      <c r="AK18"/>
      <c r="AL18"/>
      <c r="AM18"/>
      <c r="AP18"/>
      <c r="AQ18"/>
      <c r="AR18"/>
      <c r="AS18"/>
    </row>
    <row r="19" spans="2:48" ht="22" customHeight="1">
      <c r="C19" s="300">
        <f ca="1">VLOOKUP(C6,台北盆地設計反應譜!I2:L4,3,FALSE)</f>
        <v>0.8</v>
      </c>
      <c r="D19" s="300">
        <f ca="1">D17</f>
        <v>1.3</v>
      </c>
      <c r="E19" s="300">
        <f ca="1">IF(C10&lt;=0.2*D19,C19*(0.4+3*C10/D19),IF(C10&lt;=D19,C19,IF(C10&lt;=2.5*D19,C19*D19/C10,0.4*C19)))</f>
        <v>0.8</v>
      </c>
      <c r="F19" s="300">
        <f ca="1">IF(C10&lt;=0.2*D19,SQRT(2*C12-1)+(SQRT(2*C12-1)-1)*(C10-0.2*D19)/(0.2*D19),IF(C10&lt;=0.6*D19,SQRT(2*C12-1),IF(C10&lt;=D19,SQRT(2*C12-1)+(C12-SQRT(2*C12-1))*(C10-0.6*D19)/(0.4*D19),C12)))</f>
        <v>1.9493588689617927</v>
      </c>
      <c r="G19" s="300">
        <f ca="1">E19/F19</f>
        <v>0.4103913408340617</v>
      </c>
      <c r="H19" s="300">
        <f ca="1">IF(G19&lt;=0.3,G19,IF(G19&lt;0.8,0.52*G19+0.144,0.7*G19))</f>
        <v>0.35740349723371212</v>
      </c>
      <c r="K19" s="457"/>
      <c r="L19" s="457"/>
      <c r="M19" s="457"/>
      <c r="N19" s="457"/>
      <c r="O19" s="457"/>
      <c r="P19" s="457"/>
      <c r="AJ19"/>
      <c r="AK19"/>
      <c r="AL19"/>
      <c r="AM19"/>
      <c r="AP19"/>
      <c r="AQ19"/>
      <c r="AR19"/>
      <c r="AS19"/>
    </row>
    <row r="20" spans="2:48" ht="22" customHeight="1">
      <c r="I20" s="302"/>
      <c r="K20" s="457"/>
      <c r="L20" s="457"/>
      <c r="M20" s="457"/>
      <c r="N20" s="457"/>
      <c r="O20" s="457"/>
      <c r="P20" s="457"/>
      <c r="Q20" s="302"/>
      <c r="AJ20"/>
      <c r="AK20"/>
      <c r="AL20"/>
      <c r="AM20"/>
      <c r="AP20"/>
      <c r="AQ20"/>
      <c r="AR20"/>
      <c r="AS20"/>
    </row>
    <row r="21" spans="2:48" ht="22" customHeight="1">
      <c r="B21" s="484" t="s">
        <v>1726</v>
      </c>
      <c r="C21" s="507"/>
      <c r="D21" s="300">
        <f ca="1">C11*H17/1.4/C14</f>
        <v>0.24671081000198977</v>
      </c>
      <c r="E21" s="208" t="s">
        <v>1713</v>
      </c>
      <c r="F21" s="56"/>
      <c r="G21" s="56"/>
      <c r="J21" s="459"/>
      <c r="K21" s="457"/>
      <c r="L21" s="457"/>
      <c r="M21" s="457"/>
      <c r="N21" s="457"/>
      <c r="O21" s="457"/>
      <c r="P21" s="457"/>
      <c r="AJ21"/>
      <c r="AK21"/>
      <c r="AL21"/>
      <c r="AM21"/>
      <c r="AP21"/>
      <c r="AQ21"/>
      <c r="AR21"/>
      <c r="AS21"/>
    </row>
    <row r="22" spans="2:48" ht="22" customHeight="1">
      <c r="D22" s="208"/>
      <c r="E22" s="56"/>
      <c r="F22" s="56"/>
      <c r="G22" s="56"/>
      <c r="J22" s="459"/>
      <c r="K22" s="457"/>
      <c r="L22" s="457"/>
      <c r="M22" s="457"/>
      <c r="N22" s="457"/>
      <c r="O22" s="457"/>
      <c r="P22" s="457"/>
      <c r="AJ22"/>
      <c r="AK22"/>
      <c r="AL22"/>
      <c r="AM22"/>
      <c r="AP22"/>
      <c r="AQ22"/>
      <c r="AR22"/>
      <c r="AS22"/>
    </row>
    <row r="23" spans="2:48" ht="22" customHeight="1">
      <c r="B23" s="484" t="s">
        <v>476</v>
      </c>
      <c r="C23" s="507"/>
      <c r="D23" s="300">
        <f ca="1">C11*F17*H17/3.5/C14</f>
        <v>0.1528810973547278</v>
      </c>
      <c r="E23" s="208" t="s">
        <v>1713</v>
      </c>
      <c r="F23" s="56"/>
      <c r="G23" s="56"/>
      <c r="AJ23"/>
      <c r="AK23"/>
      <c r="AL23"/>
      <c r="AM23"/>
      <c r="AP23"/>
      <c r="AQ23"/>
      <c r="AR23"/>
      <c r="AS23"/>
    </row>
    <row r="24" spans="2:48" ht="22" customHeight="1">
      <c r="F24" s="56"/>
      <c r="G24" s="56"/>
      <c r="AJ24"/>
      <c r="AK24"/>
      <c r="AL24"/>
      <c r="AM24"/>
      <c r="AP24"/>
      <c r="AQ24"/>
      <c r="AR24"/>
      <c r="AS24"/>
    </row>
    <row r="25" spans="2:48" ht="22" customHeight="1">
      <c r="B25" s="484" t="s">
        <v>1719</v>
      </c>
      <c r="C25" s="507"/>
      <c r="D25" s="300">
        <f ca="1">C11*H19/1.4/C14</f>
        <v>0.25528821230979437</v>
      </c>
      <c r="E25" s="208" t="s">
        <v>1713</v>
      </c>
      <c r="F25" s="56"/>
      <c r="G25" s="56"/>
      <c r="AJ25"/>
      <c r="AK25"/>
      <c r="AL25"/>
      <c r="AM25"/>
      <c r="AP25"/>
      <c r="AQ25"/>
      <c r="AR25"/>
      <c r="AS25"/>
    </row>
    <row r="26" spans="2:48" ht="22" customHeight="1">
      <c r="D26" s="56"/>
      <c r="E26" s="56"/>
      <c r="F26" s="56"/>
      <c r="AJ26"/>
      <c r="AK26"/>
      <c r="AL26"/>
      <c r="AM26"/>
      <c r="AP26"/>
      <c r="AQ26"/>
      <c r="AR26"/>
      <c r="AS26"/>
    </row>
    <row r="27" spans="2:48" ht="22" customHeight="1">
      <c r="B27" s="508" t="s">
        <v>1722</v>
      </c>
      <c r="C27" s="509"/>
      <c r="D27" s="299">
        <f ca="1">MAX(D21,D23,D25)</f>
        <v>0.25528821230979437</v>
      </c>
      <c r="AJ27"/>
      <c r="AK27"/>
      <c r="AL27"/>
      <c r="AM27"/>
      <c r="AP27"/>
      <c r="AQ27"/>
      <c r="AR27"/>
      <c r="AS27"/>
    </row>
    <row r="28" spans="2:48" ht="22" customHeight="1">
      <c r="B28" s="450"/>
      <c r="C28" s="450"/>
      <c r="D28" s="456"/>
      <c r="AJ28"/>
      <c r="AK28"/>
      <c r="AL28"/>
      <c r="AM28"/>
      <c r="AP28"/>
      <c r="AQ28"/>
      <c r="AR28"/>
      <c r="AS28"/>
    </row>
    <row r="29" spans="2:48" ht="22" customHeight="1">
      <c r="B29" s="450"/>
      <c r="C29" s="450"/>
      <c r="D29" s="456"/>
      <c r="AJ29"/>
      <c r="AK29"/>
      <c r="AL29"/>
      <c r="AM29"/>
      <c r="AP29"/>
      <c r="AQ29"/>
      <c r="AR29"/>
      <c r="AS29"/>
    </row>
    <row r="30" spans="2:48" ht="22" customHeight="1">
      <c r="B30" s="450"/>
      <c r="C30" s="450"/>
      <c r="D30" s="456"/>
      <c r="AJ30"/>
      <c r="AK30"/>
      <c r="AL30"/>
      <c r="AM30"/>
      <c r="AP30"/>
      <c r="AQ30"/>
      <c r="AR30"/>
      <c r="AS30"/>
    </row>
    <row r="31" spans="2:48">
      <c r="C31" s="208"/>
      <c r="AJ31"/>
      <c r="AK31"/>
      <c r="AL31"/>
      <c r="AM31"/>
      <c r="AP31"/>
      <c r="AQ31"/>
      <c r="AR31"/>
      <c r="AS31"/>
    </row>
    <row r="32" spans="2:48">
      <c r="R32" t="s">
        <v>492</v>
      </c>
      <c r="S32">
        <f>台北盆地Cs!C12</f>
        <v>2.4</v>
      </c>
      <c r="T32" t="s">
        <v>493</v>
      </c>
      <c r="U32">
        <f>台北盆地Cs!C13</f>
        <v>1.7</v>
      </c>
      <c r="V32" t="s">
        <v>494</v>
      </c>
      <c r="W32">
        <f>台北盆地Cs!C11</f>
        <v>1</v>
      </c>
      <c r="X32" t="s">
        <v>495</v>
      </c>
      <c r="Y32">
        <f>台北盆地Cs!C14</f>
        <v>1</v>
      </c>
      <c r="AJ32" s="452" t="s">
        <v>496</v>
      </c>
      <c r="AP32" s="452" t="s">
        <v>1786</v>
      </c>
      <c r="AV32" s="452" t="s">
        <v>1789</v>
      </c>
    </row>
    <row r="33" spans="18:50">
      <c r="AK33" s="15">
        <v>1.4075</v>
      </c>
      <c r="AQ33" s="15">
        <v>1.4075</v>
      </c>
      <c r="AV33" s="15" t="s">
        <v>1782</v>
      </c>
    </row>
    <row r="34" spans="18:50" ht="19">
      <c r="R34" t="s">
        <v>497</v>
      </c>
      <c r="S34" s="453">
        <f ca="1">C17</f>
        <v>0.6</v>
      </c>
      <c r="W34" t="s">
        <v>498</v>
      </c>
      <c r="X34" s="454">
        <f ca="1">C19</f>
        <v>0.8</v>
      </c>
      <c r="AK34" s="15">
        <v>1.4</v>
      </c>
      <c r="AQ34" s="15">
        <v>1.4</v>
      </c>
      <c r="AV34" s="15" t="s">
        <v>1791</v>
      </c>
      <c r="AW34" s="32">
        <f>Q6</f>
        <v>0.23</v>
      </c>
    </row>
    <row r="35" spans="18:50">
      <c r="AJ35" s="15" t="s">
        <v>499</v>
      </c>
      <c r="AK35" s="460">
        <f>N6</f>
        <v>0.8</v>
      </c>
      <c r="AL35" s="15" t="s">
        <v>1779</v>
      </c>
      <c r="AM35" s="15">
        <v>1.33</v>
      </c>
      <c r="AP35" s="15" t="s">
        <v>499</v>
      </c>
      <c r="AQ35" s="460">
        <f>K6</f>
        <v>0.8</v>
      </c>
      <c r="AR35" s="15" t="s">
        <v>1779</v>
      </c>
      <c r="AS35" s="15">
        <v>1.33</v>
      </c>
      <c r="AV35" s="15"/>
    </row>
    <row r="36" spans="18:50">
      <c r="AJ36" s="15" t="s">
        <v>500</v>
      </c>
      <c r="AK36" s="15">
        <v>0.67</v>
      </c>
      <c r="AM36" s="15">
        <v>1</v>
      </c>
      <c r="AP36" s="15" t="s">
        <v>500</v>
      </c>
      <c r="AQ36" s="15">
        <v>0.67</v>
      </c>
      <c r="AS36" s="15">
        <v>1</v>
      </c>
      <c r="AV36" s="15"/>
    </row>
    <row r="37" spans="18:50">
      <c r="R37" t="s">
        <v>501</v>
      </c>
      <c r="S37" t="s">
        <v>502</v>
      </c>
      <c r="T37" t="s">
        <v>503</v>
      </c>
      <c r="W37" t="s">
        <v>501</v>
      </c>
      <c r="X37" t="s">
        <v>502</v>
      </c>
      <c r="Y37" t="s">
        <v>503</v>
      </c>
      <c r="AJ37" s="15" t="s">
        <v>494</v>
      </c>
      <c r="AK37" s="15">
        <v>1</v>
      </c>
      <c r="AM37" s="15">
        <v>0.8</v>
      </c>
      <c r="AN37" s="209">
        <f>ROUND((1/8/0.15)^2,4)</f>
        <v>0.69440000000000002</v>
      </c>
      <c r="AP37" s="15" t="s">
        <v>494</v>
      </c>
      <c r="AQ37" s="15">
        <v>1</v>
      </c>
      <c r="AS37" s="15">
        <v>0.8</v>
      </c>
      <c r="AT37" s="209">
        <f>ROUND((1/8/0.15)^2,4)</f>
        <v>0.69440000000000002</v>
      </c>
      <c r="AV37" s="15"/>
    </row>
    <row r="38" spans="18:50">
      <c r="R38">
        <f ca="1">0.2*S38</f>
        <v>0.26</v>
      </c>
      <c r="S38" s="454">
        <f ca="1">D17</f>
        <v>1.3</v>
      </c>
      <c r="T38">
        <f ca="1">2.5*S38</f>
        <v>3.25</v>
      </c>
      <c r="W38">
        <f>0.2*X38</f>
        <v>0.26</v>
      </c>
      <c r="X38" s="455">
        <v>1.3</v>
      </c>
      <c r="Y38">
        <f>2.5*X38</f>
        <v>3.25</v>
      </c>
      <c r="AJ38" s="15" t="s">
        <v>412</v>
      </c>
      <c r="AK38" s="15">
        <f>ROUND(8/3/AK36,1)</f>
        <v>4</v>
      </c>
      <c r="AM38" s="15">
        <v>0.67</v>
      </c>
      <c r="AN38" s="209">
        <f>ROUND(AN37*0.2,4)</f>
        <v>0.1389</v>
      </c>
      <c r="AP38" s="15" t="s">
        <v>412</v>
      </c>
      <c r="AQ38" s="15">
        <f>ROUND(8/3/AQ36,1)</f>
        <v>4</v>
      </c>
      <c r="AS38" s="15">
        <v>0.67</v>
      </c>
      <c r="AT38" s="209">
        <f>ROUND(AT37*0.2,4)</f>
        <v>0.1389</v>
      </c>
      <c r="AV38" s="15"/>
    </row>
    <row r="39" spans="18:50">
      <c r="S39" t="s">
        <v>505</v>
      </c>
      <c r="X39" t="s">
        <v>509</v>
      </c>
      <c r="AG39" t="s">
        <v>504</v>
      </c>
      <c r="AM39" s="15">
        <v>1</v>
      </c>
      <c r="AS39" s="15">
        <v>1</v>
      </c>
      <c r="AV39" s="15"/>
    </row>
    <row r="40" spans="18:50" ht="19">
      <c r="R40" t="s">
        <v>0</v>
      </c>
      <c r="S40" t="s">
        <v>1787</v>
      </c>
      <c r="T40" t="s">
        <v>506</v>
      </c>
      <c r="U40" t="s">
        <v>507</v>
      </c>
      <c r="V40" t="s">
        <v>508</v>
      </c>
      <c r="W40" t="s">
        <v>0</v>
      </c>
      <c r="X40" t="s">
        <v>1788</v>
      </c>
      <c r="Y40" t="s">
        <v>510</v>
      </c>
      <c r="Z40" t="s">
        <v>511</v>
      </c>
      <c r="AA40" t="s">
        <v>512</v>
      </c>
      <c r="AB40" t="s">
        <v>1279</v>
      </c>
      <c r="AC40" t="s">
        <v>513</v>
      </c>
      <c r="AD40" t="s">
        <v>514</v>
      </c>
      <c r="AE40" t="s">
        <v>515</v>
      </c>
      <c r="AG40" t="s">
        <v>516</v>
      </c>
      <c r="AH40" t="s">
        <v>517</v>
      </c>
      <c r="AJ40" s="451" t="s">
        <v>0</v>
      </c>
      <c r="AK40" s="451" t="s">
        <v>518</v>
      </c>
      <c r="AL40" s="451" t="s">
        <v>515</v>
      </c>
      <c r="AM40" s="360" t="str">
        <f>"民71年(γZKC, K=" &amp; AM39 &amp; ")"</f>
        <v>民71年(γZKC, K=1)</v>
      </c>
      <c r="AN40" s="35" t="s">
        <v>1775</v>
      </c>
      <c r="AP40" s="451" t="s">
        <v>0</v>
      </c>
      <c r="AQ40" s="451" t="s">
        <v>518</v>
      </c>
      <c r="AR40" s="451" t="s">
        <v>515</v>
      </c>
      <c r="AS40" s="360" t="str">
        <f>"民71年(γZKC, K=" &amp; AS39 &amp; ")"</f>
        <v>民71年(γZKC, K=1)</v>
      </c>
      <c r="AT40" s="35" t="s">
        <v>1775</v>
      </c>
      <c r="AV40" s="451" t="s">
        <v>0</v>
      </c>
      <c r="AW40" s="451" t="s">
        <v>518</v>
      </c>
      <c r="AX40" s="32" t="s">
        <v>1792</v>
      </c>
    </row>
    <row r="41" spans="18:50">
      <c r="R41">
        <v>1E-3</v>
      </c>
      <c r="S41">
        <f t="shared" ref="S41:S72" ca="1" si="0">IF(R41&lt;=0.2*$S$38,$S$34*(0.4+3*R41/$S$38),IF(R41&lt;=$S$38,$S$34,IF(R41&lt;=2.5*$S$38,$S$34*$S$38/R41,0.4*$S$34)))</f>
        <v>0.24138461538461536</v>
      </c>
      <c r="T41">
        <f t="shared" ref="T41:T104" ca="1" si="1">R41^2/(4*PI()^2)*(S41*981)</f>
        <v>5.9981712049717778E-6</v>
      </c>
      <c r="U41">
        <f t="shared" ref="U41:U72" ca="1" si="2">IF(R41&gt;$S$38,$U$32,IF(R41&gt;0.6*$S$38,SQRT(2*$U$32-1)+($U$32-SQRT(2*$U$32-1))*(R41-0.6*$S$38)/0.4/$S$38,IF(R41&gt;0.2*$S$38,SQRT(2*$U$32-1),SQRT(2*$U$32-1)+(SQRT(2*$U$32-1)-1)*(R41-0.2*$S$38)/0.2/$S$38)))</f>
        <v>1.0021122820710884</v>
      </c>
      <c r="V41">
        <f t="shared" ref="V41:V104" ca="1" si="3">IF(S41/U41&lt;=0.3,S41/U41,IF(S41/U41&lt;0.8,0.52*S41/U41+0.144,0.7*S41/U41))</f>
        <v>0.24087581771350039</v>
      </c>
      <c r="W41">
        <v>1E-3</v>
      </c>
      <c r="X41">
        <f t="shared" ref="X41:X72" ca="1" si="4">IF(W41&lt;=0.2*$X$38,$X$34*(0.4+3*W41/$X$38),IF(W41&lt;=$X$38,$X$34,IF(W41&lt;=2.5*$X$38,$X$34*$X$38/W41,0.4*$X$34)))</f>
        <v>0.32184615384615389</v>
      </c>
      <c r="Y41">
        <f t="shared" ref="Y41:Y104" ca="1" si="5">W41^2/(4*PI()^2)*(X41*981)</f>
        <v>7.9975616066290382E-6</v>
      </c>
      <c r="Z41" s="16">
        <f t="shared" ref="Z41:Z72" si="6">IF(W41&gt;$X$38,$S$32,IF(W41&gt;0.6*$X$38,SQRT(2*$S$32-1)+($S$32-SQRT(2*$S$32-1))*(W41-0.6*$X$38)/0.4/$X$38,IF(W41&gt;0.2*$X$38,SQRT(2*$S$32-1),SQRT(2*$S$32-1)+(SQRT(2*$S$32-1)-1)*(W41-0.2*$X$38)/0.2/$X$38)))</f>
        <v>1.0036513802652378</v>
      </c>
      <c r="AA41" s="16">
        <f t="shared" ref="AA41:AA104" ca="1" si="7">IF(X41/Z41&lt;=0.3,X41/Z41,IF(X41/Z41&lt;0.8,0.52*X41/Z41+0.144,0.7*X41/Z41))</f>
        <v>0.31075112822120698</v>
      </c>
      <c r="AB41" s="16">
        <f t="shared" ref="AB41:AB72" ca="1" si="8">$W$32/1.4/$Y$32*V41</f>
        <v>0.17205415550964315</v>
      </c>
      <c r="AC41">
        <f t="shared" ref="AC41:AC72" ca="1" si="9">$W$32*U41/3.5/$Y$32*V41</f>
        <v>6.8967032967032965E-2</v>
      </c>
      <c r="AD41">
        <f t="shared" ref="AD41:AD72" ca="1" si="10">$W$32/1.4/$Y$32*AA41</f>
        <v>0.22196509158657643</v>
      </c>
      <c r="AE41" s="308">
        <f t="shared" ref="AE41:AE104" ca="1" si="11">MAX(AB41:AD41)</f>
        <v>0.22196509158657643</v>
      </c>
      <c r="AG41" s="16">
        <v>0</v>
      </c>
      <c r="AH41" s="16">
        <f>AH44</f>
        <v>0.53349999999999997</v>
      </c>
      <c r="AJ41" s="15">
        <v>1E-3</v>
      </c>
      <c r="AK41" s="15">
        <f t="shared" ref="AK41:AK104" si="12">IF(0.248/AJ41&lt;=0.0625,0.0625,IF(0.248/AJ41&gt;=0.15,0.15,0.248/AJ41))</f>
        <v>0.15</v>
      </c>
      <c r="AL41" s="15">
        <f t="shared" ref="AL41:AL72" si="13">$AK$35*$AK$36*AK41*$AK$37</f>
        <v>8.0399999999999999E-2</v>
      </c>
      <c r="AM41" s="15">
        <f t="shared" ref="AM41:AM72" si="14">ROUND(AK$33*$AK$35*AM$39*AK41*$AK$37,4)</f>
        <v>0.16889999999999999</v>
      </c>
      <c r="AN41" s="184">
        <f t="shared" ref="AN41:AN72" si="15">IF(AJ41&lt;=AN$38,AL41*AK$38*AK$33*AK$34*(0.4+3*AJ41/AN$37),AL41*AK$38*AK$33*AK$34)</f>
        <v>0.25622293451612904</v>
      </c>
      <c r="AP41" s="15">
        <v>1E-3</v>
      </c>
      <c r="AQ41" s="15">
        <f>IF(1/(8*SQRT(AP41))&lt;=0.15,1/(8*SQRT(AP41)),0.15)</f>
        <v>0.15</v>
      </c>
      <c r="AR41" s="15">
        <f>$AQ$35*$AQ$36*AQ41*$AQ$37</f>
        <v>8.0399999999999999E-2</v>
      </c>
      <c r="AS41" s="15">
        <f>ROUND(AQ$33*$AQ$35*AS$39*AQ41*$AQ$37,4)</f>
        <v>0.16889999999999999</v>
      </c>
      <c r="AT41" s="184">
        <f t="shared" ref="AT41:AT72" si="16">IF(AP41&lt;=AT$38,AR41*AQ$38*AQ$33*AQ$34*(0.4+3*AP41/AT$37),AR41*AQ$38*AQ$33*AQ$34)</f>
        <v>0.25622293451612904</v>
      </c>
      <c r="AV41" s="15">
        <v>1E-3</v>
      </c>
      <c r="AW41" s="32">
        <f>IF(AV41&lt;=0.03,1,IF(AV41&lt;0.2,5.882*AV41+0.824,IF(AV41&lt;1.65,2,IF(AV41&lt;3.3,3.3/AV41,1))))</f>
        <v>1</v>
      </c>
      <c r="AX41" s="32">
        <f>$AW$34*AW41</f>
        <v>0.23</v>
      </c>
    </row>
    <row r="42" spans="18:50">
      <c r="R42">
        <v>0.02</v>
      </c>
      <c r="S42">
        <f t="shared" ca="1" si="0"/>
        <v>0.26769230769230767</v>
      </c>
      <c r="T42">
        <f t="shared" ca="1" si="1"/>
        <v>2.6607566339454155E-3</v>
      </c>
      <c r="U42">
        <f t="shared" ca="1" si="2"/>
        <v>1.0422456414217667</v>
      </c>
      <c r="V42">
        <f t="shared" ca="1" si="3"/>
        <v>0.25684185863050335</v>
      </c>
      <c r="W42">
        <v>0.02</v>
      </c>
      <c r="X42">
        <f t="shared" ca="1" si="4"/>
        <v>0.35692307692307695</v>
      </c>
      <c r="Y42">
        <f t="shared" ca="1" si="5"/>
        <v>3.5476755119272221E-3</v>
      </c>
      <c r="Z42" s="16">
        <f t="shared" si="6"/>
        <v>1.0730276053047532</v>
      </c>
      <c r="AA42" s="16">
        <f t="shared" ca="1" si="7"/>
        <v>0.31696852297410122</v>
      </c>
      <c r="AB42" s="16">
        <f t="shared" ca="1" si="8"/>
        <v>0.18345847045035954</v>
      </c>
      <c r="AC42">
        <f t="shared" ca="1" si="9"/>
        <v>7.6483516483516478E-2</v>
      </c>
      <c r="AD42">
        <f t="shared" ca="1" si="10"/>
        <v>0.22640608783864374</v>
      </c>
      <c r="AE42" s="308">
        <f t="shared" ca="1" si="11"/>
        <v>0.22640608783864374</v>
      </c>
      <c r="AG42" s="16">
        <f ca="1">ROUNDUP(MAX(AE42:AE219),2)</f>
        <v>0.26</v>
      </c>
      <c r="AH42" s="16">
        <f>AH44</f>
        <v>0.53349999999999997</v>
      </c>
      <c r="AJ42" s="15">
        <v>0.02</v>
      </c>
      <c r="AK42" s="15">
        <f t="shared" si="12"/>
        <v>0.15</v>
      </c>
      <c r="AL42" s="15">
        <f t="shared" si="13"/>
        <v>8.0399999999999999E-2</v>
      </c>
      <c r="AM42" s="15">
        <f t="shared" si="14"/>
        <v>0.16889999999999999</v>
      </c>
      <c r="AN42" s="184">
        <f t="shared" si="15"/>
        <v>0.30824141032258062</v>
      </c>
      <c r="AP42" s="15">
        <v>0.02</v>
      </c>
      <c r="AQ42" s="15">
        <f t="shared" ref="AQ42:AQ105" si="17">IF(1/(8*SQRT(AP42))&lt;=0.15,1/(8*SQRT(AP42)),0.15)</f>
        <v>0.15</v>
      </c>
      <c r="AR42" s="15">
        <f t="shared" ref="AR42:AR105" si="18">$AQ$35*$AQ$36*AQ42*$AQ$37</f>
        <v>8.0399999999999999E-2</v>
      </c>
      <c r="AS42" s="15">
        <f t="shared" ref="AS42:AS105" si="19">ROUND(AQ$33*$AQ$35*AS$39*AQ42*$AQ$37,4)</f>
        <v>0.16889999999999999</v>
      </c>
      <c r="AT42" s="184">
        <f t="shared" si="16"/>
        <v>0.30824141032258062</v>
      </c>
      <c r="AV42" s="15">
        <v>0.02</v>
      </c>
      <c r="AW42" s="32">
        <f t="shared" ref="AW42:AW105" si="20">IF(AV42&lt;=0.03,1,IF(AV42&lt;0.2,5.882*AV42+0.824,IF(AV42&lt;1.65,2,IF(AV42&lt;3.3,3.3/AV42,1))))</f>
        <v>1</v>
      </c>
      <c r="AX42" s="32">
        <f t="shared" ref="AX42:AX105" si="21">$AW$34*AW42</f>
        <v>0.23</v>
      </c>
    </row>
    <row r="43" spans="18:50">
      <c r="R43">
        <v>0.04</v>
      </c>
      <c r="S43">
        <f t="shared" ca="1" si="0"/>
        <v>0.29538461538461541</v>
      </c>
      <c r="T43">
        <f t="shared" ca="1" si="1"/>
        <v>1.1744029280862527E-2</v>
      </c>
      <c r="U43">
        <f t="shared" ca="1" si="2"/>
        <v>1.0844912828435334</v>
      </c>
      <c r="V43">
        <f t="shared" ca="1" si="3"/>
        <v>0.27237159030925329</v>
      </c>
      <c r="W43">
        <v>0.04</v>
      </c>
      <c r="X43">
        <f t="shared" ca="1" si="4"/>
        <v>0.3938461538461539</v>
      </c>
      <c r="Y43">
        <f t="shared" ca="1" si="5"/>
        <v>1.5658705707816703E-2</v>
      </c>
      <c r="Z43" s="16">
        <f t="shared" si="6"/>
        <v>1.1460552106095068</v>
      </c>
      <c r="AA43" s="16">
        <f t="shared" ca="1" si="7"/>
        <v>0.32269994229255428</v>
      </c>
      <c r="AB43" s="16">
        <f t="shared" ca="1" si="8"/>
        <v>0.19455113593518092</v>
      </c>
      <c r="AC43">
        <f t="shared" ca="1" si="9"/>
        <v>8.4395604395604409E-2</v>
      </c>
      <c r="AD43">
        <f t="shared" ca="1" si="10"/>
        <v>0.23049995878039592</v>
      </c>
      <c r="AE43" s="308">
        <f t="shared" ca="1" si="11"/>
        <v>0.23049995878039592</v>
      </c>
      <c r="AJ43" s="15">
        <v>0.04</v>
      </c>
      <c r="AK43" s="15">
        <f t="shared" si="12"/>
        <v>0.15</v>
      </c>
      <c r="AL43" s="15">
        <f t="shared" si="13"/>
        <v>8.0399999999999999E-2</v>
      </c>
      <c r="AM43" s="15">
        <f t="shared" si="14"/>
        <v>0.16889999999999999</v>
      </c>
      <c r="AN43" s="184">
        <f t="shared" si="15"/>
        <v>0.36299770064516129</v>
      </c>
      <c r="AP43" s="15">
        <v>0.04</v>
      </c>
      <c r="AQ43" s="15">
        <f t="shared" si="17"/>
        <v>0.15</v>
      </c>
      <c r="AR43" s="15">
        <f t="shared" si="18"/>
        <v>8.0399999999999999E-2</v>
      </c>
      <c r="AS43" s="15">
        <f t="shared" si="19"/>
        <v>0.16889999999999999</v>
      </c>
      <c r="AT43" s="184">
        <f t="shared" si="16"/>
        <v>0.36299770064516129</v>
      </c>
      <c r="AV43" s="15">
        <v>0.04</v>
      </c>
      <c r="AW43" s="32">
        <f t="shared" si="20"/>
        <v>1.05928</v>
      </c>
      <c r="AX43" s="32">
        <f t="shared" si="21"/>
        <v>0.2436344</v>
      </c>
    </row>
    <row r="44" spans="18:50">
      <c r="R44">
        <v>0.06</v>
      </c>
      <c r="S44">
        <f t="shared" ca="1" si="0"/>
        <v>0.32307692307692304</v>
      </c>
      <c r="T44">
        <f t="shared" ca="1" si="1"/>
        <v>2.8901322058372619E-2</v>
      </c>
      <c r="U44">
        <f t="shared" ca="1" si="2"/>
        <v>1.1267369242653</v>
      </c>
      <c r="V44">
        <f t="shared" ca="1" si="3"/>
        <v>0.28673678488666604</v>
      </c>
      <c r="W44">
        <v>0.06</v>
      </c>
      <c r="X44">
        <f t="shared" ca="1" si="4"/>
        <v>0.43076923076923079</v>
      </c>
      <c r="Y44">
        <f t="shared" ca="1" si="5"/>
        <v>3.8535096077830164E-2</v>
      </c>
      <c r="Z44" s="16">
        <f t="shared" si="6"/>
        <v>1.2190828159142599</v>
      </c>
      <c r="AA44" s="16">
        <f t="shared" ca="1" si="7"/>
        <v>0.32774469484422153</v>
      </c>
      <c r="AB44" s="16">
        <f t="shared" ca="1" si="8"/>
        <v>0.20481198920476146</v>
      </c>
      <c r="AC44">
        <f t="shared" ca="1" si="9"/>
        <v>9.2307692307692313E-2</v>
      </c>
      <c r="AD44">
        <f t="shared" ca="1" si="10"/>
        <v>0.23410335346015823</v>
      </c>
      <c r="AE44" s="308">
        <f t="shared" ca="1" si="11"/>
        <v>0.23410335346015823</v>
      </c>
      <c r="AG44" t="s">
        <v>519</v>
      </c>
      <c r="AH44" s="16">
        <f>台北盆地Cs!C10</f>
        <v>0.53349999999999997</v>
      </c>
      <c r="AI44" t="s">
        <v>520</v>
      </c>
      <c r="AJ44" s="15">
        <v>0.06</v>
      </c>
      <c r="AK44" s="15">
        <f t="shared" si="12"/>
        <v>0.15</v>
      </c>
      <c r="AL44" s="15">
        <f t="shared" si="13"/>
        <v>8.0399999999999999E-2</v>
      </c>
      <c r="AM44" s="15">
        <f t="shared" si="14"/>
        <v>0.16889999999999999</v>
      </c>
      <c r="AN44" s="184">
        <f t="shared" si="15"/>
        <v>0.41775399096774191</v>
      </c>
      <c r="AP44" s="15">
        <v>0.06</v>
      </c>
      <c r="AQ44" s="15">
        <f t="shared" si="17"/>
        <v>0.15</v>
      </c>
      <c r="AR44" s="15">
        <f t="shared" si="18"/>
        <v>8.0399999999999999E-2</v>
      </c>
      <c r="AS44" s="15">
        <f t="shared" si="19"/>
        <v>0.16889999999999999</v>
      </c>
      <c r="AT44" s="184">
        <f t="shared" si="16"/>
        <v>0.41775399096774191</v>
      </c>
      <c r="AV44" s="15">
        <v>0.06</v>
      </c>
      <c r="AW44" s="32">
        <f t="shared" si="20"/>
        <v>1.17692</v>
      </c>
      <c r="AX44" s="32">
        <f t="shared" si="21"/>
        <v>0.27069159999999998</v>
      </c>
    </row>
    <row r="45" spans="18:50">
      <c r="R45">
        <v>0.08</v>
      </c>
      <c r="S45">
        <f t="shared" ca="1" si="0"/>
        <v>0.35076923076923078</v>
      </c>
      <c r="T45">
        <f t="shared" ca="1" si="1"/>
        <v>5.5784139084096997E-2</v>
      </c>
      <c r="U45">
        <f t="shared" ca="1" si="2"/>
        <v>1.1689825656870667</v>
      </c>
      <c r="V45">
        <f t="shared" ca="1" si="3"/>
        <v>0.30003312260931353</v>
      </c>
      <c r="W45">
        <v>0.08</v>
      </c>
      <c r="X45">
        <f t="shared" ca="1" si="4"/>
        <v>0.46769230769230774</v>
      </c>
      <c r="Y45">
        <f t="shared" ca="1" si="5"/>
        <v>7.4378852112129343E-2</v>
      </c>
      <c r="Z45" s="16">
        <f t="shared" si="6"/>
        <v>1.2921104212190131</v>
      </c>
      <c r="AA45" s="16">
        <f t="shared" ca="1" si="7"/>
        <v>0.33221920789908832</v>
      </c>
      <c r="AB45" s="16">
        <f t="shared" ca="1" si="8"/>
        <v>0.21430937329236682</v>
      </c>
      <c r="AC45">
        <f t="shared" ca="1" si="9"/>
        <v>0.10020956841683931</v>
      </c>
      <c r="AD45">
        <f t="shared" ca="1" si="10"/>
        <v>0.23729943421363453</v>
      </c>
      <c r="AE45" s="308">
        <f t="shared" ca="1" si="11"/>
        <v>0.23729943421363453</v>
      </c>
      <c r="AJ45" s="15">
        <v>0.08</v>
      </c>
      <c r="AK45" s="15">
        <f t="shared" si="12"/>
        <v>0.15</v>
      </c>
      <c r="AL45" s="15">
        <f t="shared" si="13"/>
        <v>8.0399999999999999E-2</v>
      </c>
      <c r="AM45" s="15">
        <f t="shared" si="14"/>
        <v>0.16889999999999999</v>
      </c>
      <c r="AN45" s="184">
        <f t="shared" si="15"/>
        <v>0.47251028129032263</v>
      </c>
      <c r="AP45" s="15">
        <v>0.08</v>
      </c>
      <c r="AQ45" s="15">
        <f t="shared" si="17"/>
        <v>0.15</v>
      </c>
      <c r="AR45" s="15">
        <f t="shared" si="18"/>
        <v>8.0399999999999999E-2</v>
      </c>
      <c r="AS45" s="15">
        <f t="shared" si="19"/>
        <v>0.16889999999999999</v>
      </c>
      <c r="AT45" s="184">
        <f t="shared" si="16"/>
        <v>0.47251028129032263</v>
      </c>
      <c r="AV45" s="15">
        <v>0.08</v>
      </c>
      <c r="AW45" s="32">
        <f t="shared" si="20"/>
        <v>1.2945599999999999</v>
      </c>
      <c r="AX45" s="32">
        <f t="shared" si="21"/>
        <v>0.29774879999999998</v>
      </c>
    </row>
    <row r="46" spans="18:50">
      <c r="R46">
        <v>0.1</v>
      </c>
      <c r="S46">
        <f t="shared" ca="1" si="0"/>
        <v>0.37846153846153846</v>
      </c>
      <c r="T46">
        <f t="shared" ca="1" si="1"/>
        <v>9.4043984475656969E-2</v>
      </c>
      <c r="U46">
        <f t="shared" ca="1" si="2"/>
        <v>1.2112282071088334</v>
      </c>
      <c r="V46">
        <f t="shared" ca="1" si="3"/>
        <v>0.3064797035314723</v>
      </c>
      <c r="W46">
        <v>0.1</v>
      </c>
      <c r="X46">
        <f t="shared" ca="1" si="4"/>
        <v>0.50461538461538458</v>
      </c>
      <c r="Y46">
        <f t="shared" ca="1" si="5"/>
        <v>0.12539197930087595</v>
      </c>
      <c r="Z46" s="16">
        <f t="shared" si="6"/>
        <v>1.3651380265237665</v>
      </c>
      <c r="AA46" s="16">
        <f t="shared" ca="1" si="7"/>
        <v>0.33621499577459146</v>
      </c>
      <c r="AB46" s="16">
        <f t="shared" ca="1" si="8"/>
        <v>0.21891407395105164</v>
      </c>
      <c r="AC46">
        <f t="shared" ca="1" si="9"/>
        <v>0.10606196052104915</v>
      </c>
      <c r="AD46">
        <f t="shared" ca="1" si="10"/>
        <v>0.24015356841042249</v>
      </c>
      <c r="AE46" s="308">
        <f t="shared" ca="1" si="11"/>
        <v>0.24015356841042249</v>
      </c>
      <c r="AJ46" s="15">
        <v>0.1</v>
      </c>
      <c r="AK46" s="15">
        <f t="shared" si="12"/>
        <v>0.15</v>
      </c>
      <c r="AL46" s="15">
        <f t="shared" si="13"/>
        <v>8.0399999999999999E-2</v>
      </c>
      <c r="AM46" s="15">
        <f t="shared" si="14"/>
        <v>0.16889999999999999</v>
      </c>
      <c r="AN46" s="184">
        <f t="shared" si="15"/>
        <v>0.52726657161290325</v>
      </c>
      <c r="AP46" s="15">
        <v>0.1</v>
      </c>
      <c r="AQ46" s="15">
        <f t="shared" si="17"/>
        <v>0.15</v>
      </c>
      <c r="AR46" s="15">
        <f t="shared" si="18"/>
        <v>8.0399999999999999E-2</v>
      </c>
      <c r="AS46" s="15">
        <f t="shared" si="19"/>
        <v>0.16889999999999999</v>
      </c>
      <c r="AT46" s="184">
        <f t="shared" si="16"/>
        <v>0.52726657161290325</v>
      </c>
      <c r="AV46" s="15">
        <v>0.1</v>
      </c>
      <c r="AW46" s="32">
        <f t="shared" si="20"/>
        <v>1.4121999999999999</v>
      </c>
      <c r="AX46" s="32">
        <f t="shared" si="21"/>
        <v>0.32480599999999998</v>
      </c>
    </row>
    <row r="47" spans="18:50">
      <c r="R47">
        <v>0.12</v>
      </c>
      <c r="S47">
        <f t="shared" ca="1" si="0"/>
        <v>0.40615384615384614</v>
      </c>
      <c r="T47">
        <f t="shared" ca="1" si="1"/>
        <v>0.14533236235067373</v>
      </c>
      <c r="U47">
        <f t="shared" ca="1" si="2"/>
        <v>1.2534738485306001</v>
      </c>
      <c r="V47">
        <f t="shared" ca="1" si="3"/>
        <v>0.31249174815061498</v>
      </c>
      <c r="W47">
        <v>0.12</v>
      </c>
      <c r="X47">
        <f t="shared" ca="1" si="4"/>
        <v>0.54153846153846164</v>
      </c>
      <c r="Y47">
        <f t="shared" ca="1" si="5"/>
        <v>0.19377648313423168</v>
      </c>
      <c r="Z47" s="16">
        <f t="shared" si="6"/>
        <v>1.4381656318285199</v>
      </c>
      <c r="AA47" s="16">
        <f t="shared" ca="1" si="7"/>
        <v>0.33980498502246004</v>
      </c>
      <c r="AB47" s="16">
        <f t="shared" ca="1" si="8"/>
        <v>0.22320839153615357</v>
      </c>
      <c r="AC47">
        <f t="shared" ca="1" si="9"/>
        <v>0.11191435262525896</v>
      </c>
      <c r="AD47">
        <f t="shared" ca="1" si="10"/>
        <v>0.2427178464446143</v>
      </c>
      <c r="AE47" s="308">
        <f t="shared" ca="1" si="11"/>
        <v>0.2427178464446143</v>
      </c>
      <c r="AJ47" s="15">
        <v>0.12</v>
      </c>
      <c r="AK47" s="15">
        <f t="shared" si="12"/>
        <v>0.15</v>
      </c>
      <c r="AL47" s="15">
        <f t="shared" si="13"/>
        <v>8.0399999999999999E-2</v>
      </c>
      <c r="AM47" s="15">
        <f t="shared" si="14"/>
        <v>0.16889999999999999</v>
      </c>
      <c r="AN47" s="184">
        <f t="shared" si="15"/>
        <v>0.5820228619354838</v>
      </c>
      <c r="AP47" s="15">
        <v>0.12</v>
      </c>
      <c r="AQ47" s="15">
        <f t="shared" si="17"/>
        <v>0.15</v>
      </c>
      <c r="AR47" s="15">
        <f t="shared" si="18"/>
        <v>8.0399999999999999E-2</v>
      </c>
      <c r="AS47" s="15">
        <f t="shared" si="19"/>
        <v>0.16889999999999999</v>
      </c>
      <c r="AT47" s="184">
        <f t="shared" si="16"/>
        <v>0.5820228619354838</v>
      </c>
      <c r="AV47" s="15">
        <v>0.12</v>
      </c>
      <c r="AW47" s="32">
        <f t="shared" si="20"/>
        <v>1.5298399999999999</v>
      </c>
      <c r="AX47" s="32">
        <f t="shared" si="21"/>
        <v>0.35186319999999999</v>
      </c>
    </row>
    <row r="48" spans="18:50">
      <c r="R48">
        <v>0.14000000000000001</v>
      </c>
      <c r="S48">
        <f t="shared" ca="1" si="0"/>
        <v>0.43384615384615388</v>
      </c>
      <c r="T48">
        <f t="shared" ca="1" si="1"/>
        <v>0.21130077682676879</v>
      </c>
      <c r="U48">
        <f t="shared" ca="1" si="2"/>
        <v>1.2957194899523667</v>
      </c>
      <c r="V48">
        <f t="shared" ca="1" si="3"/>
        <v>0.31811175933480285</v>
      </c>
      <c r="W48">
        <v>0.14000000000000001</v>
      </c>
      <c r="X48">
        <f t="shared" ca="1" si="4"/>
        <v>0.57846153846153858</v>
      </c>
      <c r="Y48">
        <f t="shared" ca="1" si="5"/>
        <v>0.28173436910235844</v>
      </c>
      <c r="Z48" s="16">
        <f t="shared" si="6"/>
        <v>1.511193237133273</v>
      </c>
      <c r="AA48" s="16">
        <f t="shared" ca="1" si="7"/>
        <v>0.34304800564791854</v>
      </c>
      <c r="AB48" s="16">
        <f t="shared" ca="1" si="8"/>
        <v>0.22722268523914491</v>
      </c>
      <c r="AC48">
        <f t="shared" ca="1" si="9"/>
        <v>0.11776674472946878</v>
      </c>
      <c r="AD48">
        <f t="shared" ca="1" si="10"/>
        <v>0.24503428974851324</v>
      </c>
      <c r="AE48" s="308">
        <f t="shared" ca="1" si="11"/>
        <v>0.24503428974851324</v>
      </c>
      <c r="AJ48" s="15">
        <v>0.14000000000000001</v>
      </c>
      <c r="AK48" s="15">
        <f t="shared" si="12"/>
        <v>0.15</v>
      </c>
      <c r="AL48" s="15">
        <f t="shared" si="13"/>
        <v>8.0399999999999999E-2</v>
      </c>
      <c r="AM48" s="15">
        <f t="shared" si="14"/>
        <v>0.16889999999999999</v>
      </c>
      <c r="AN48" s="184">
        <f t="shared" si="15"/>
        <v>0.63371279999999997</v>
      </c>
      <c r="AP48" s="15">
        <v>0.14000000000000001</v>
      </c>
      <c r="AQ48" s="15">
        <f t="shared" si="17"/>
        <v>0.15</v>
      </c>
      <c r="AR48" s="15">
        <f t="shared" si="18"/>
        <v>8.0399999999999999E-2</v>
      </c>
      <c r="AS48" s="15">
        <f t="shared" si="19"/>
        <v>0.16889999999999999</v>
      </c>
      <c r="AT48" s="184">
        <f t="shared" si="16"/>
        <v>0.63371279999999997</v>
      </c>
      <c r="AV48" s="15">
        <v>0.14000000000000001</v>
      </c>
      <c r="AW48" s="32">
        <f t="shared" si="20"/>
        <v>1.6474799999999998</v>
      </c>
      <c r="AX48" s="32">
        <f t="shared" si="21"/>
        <v>0.37892039999999999</v>
      </c>
    </row>
    <row r="49" spans="18:50">
      <c r="R49">
        <v>0.16</v>
      </c>
      <c r="S49">
        <f t="shared" ca="1" si="0"/>
        <v>0.46153846153846145</v>
      </c>
      <c r="T49">
        <f t="shared" ca="1" si="1"/>
        <v>0.29360073202156306</v>
      </c>
      <c r="U49">
        <f t="shared" ca="1" si="2"/>
        <v>1.3379651313741334</v>
      </c>
      <c r="V49">
        <f t="shared" ca="1" si="3"/>
        <v>0.32337687191706721</v>
      </c>
      <c r="W49">
        <v>0.16</v>
      </c>
      <c r="X49">
        <f t="shared" ca="1" si="4"/>
        <v>0.61538461538461542</v>
      </c>
      <c r="Y49">
        <f t="shared" ca="1" si="5"/>
        <v>0.39146764269541756</v>
      </c>
      <c r="Z49" s="16">
        <f t="shared" si="6"/>
        <v>1.5842208424380262</v>
      </c>
      <c r="AA49" s="16">
        <f t="shared" ca="1" si="7"/>
        <v>0.34599204014229362</v>
      </c>
      <c r="AB49" s="16">
        <f t="shared" ca="1" si="8"/>
        <v>0.23098347994076229</v>
      </c>
      <c r="AC49">
        <f t="shared" ca="1" si="9"/>
        <v>0.1236191368336786</v>
      </c>
      <c r="AD49">
        <f t="shared" ca="1" si="10"/>
        <v>0.24713717153020973</v>
      </c>
      <c r="AE49" s="308">
        <f t="shared" ca="1" si="11"/>
        <v>0.24713717153020973</v>
      </c>
      <c r="AJ49" s="15">
        <v>0.16</v>
      </c>
      <c r="AK49" s="15">
        <f t="shared" si="12"/>
        <v>0.15</v>
      </c>
      <c r="AL49" s="15">
        <f t="shared" si="13"/>
        <v>8.0399999999999999E-2</v>
      </c>
      <c r="AM49" s="15">
        <f t="shared" si="14"/>
        <v>0.16889999999999999</v>
      </c>
      <c r="AN49" s="184">
        <f t="shared" si="15"/>
        <v>0.63371279999999997</v>
      </c>
      <c r="AP49" s="15">
        <v>0.16</v>
      </c>
      <c r="AQ49" s="15">
        <f t="shared" si="17"/>
        <v>0.15</v>
      </c>
      <c r="AR49" s="15">
        <f t="shared" si="18"/>
        <v>8.0399999999999999E-2</v>
      </c>
      <c r="AS49" s="15">
        <f t="shared" si="19"/>
        <v>0.16889999999999999</v>
      </c>
      <c r="AT49" s="184">
        <f t="shared" si="16"/>
        <v>0.63371279999999997</v>
      </c>
      <c r="AV49" s="15">
        <v>0.16</v>
      </c>
      <c r="AW49" s="32">
        <f t="shared" si="20"/>
        <v>1.76512</v>
      </c>
      <c r="AX49" s="32">
        <f t="shared" si="21"/>
        <v>0.40597760000000005</v>
      </c>
    </row>
    <row r="50" spans="18:50">
      <c r="R50">
        <v>0.18</v>
      </c>
      <c r="S50">
        <f t="shared" ca="1" si="0"/>
        <v>0.48923076923076919</v>
      </c>
      <c r="T50">
        <f t="shared" ca="1" si="1"/>
        <v>0.39388373205267824</v>
      </c>
      <c r="U50">
        <f t="shared" ca="1" si="2"/>
        <v>1.3802107727959001</v>
      </c>
      <c r="V50">
        <f t="shared" ca="1" si="3"/>
        <v>0.32831967422240926</v>
      </c>
      <c r="W50">
        <v>0.18</v>
      </c>
      <c r="X50">
        <f t="shared" ca="1" si="4"/>
        <v>0.65230769230769237</v>
      </c>
      <c r="Y50">
        <f t="shared" ca="1" si="5"/>
        <v>0.52517830940357102</v>
      </c>
      <c r="Z50" s="16">
        <f t="shared" si="6"/>
        <v>1.6572484477427796</v>
      </c>
      <c r="AA50" s="16">
        <f t="shared" ca="1" si="7"/>
        <v>0.34867661349268442</v>
      </c>
      <c r="AB50" s="16">
        <f t="shared" ca="1" si="8"/>
        <v>0.23451405301600661</v>
      </c>
      <c r="AC50">
        <f t="shared" ca="1" si="9"/>
        <v>0.12947152893788849</v>
      </c>
      <c r="AD50">
        <f t="shared" ca="1" si="10"/>
        <v>0.24905472392334602</v>
      </c>
      <c r="AE50" s="308">
        <f t="shared" ca="1" si="11"/>
        <v>0.24905472392334602</v>
      </c>
      <c r="AG50" t="s">
        <v>504</v>
      </c>
      <c r="AJ50" s="15">
        <v>0.18</v>
      </c>
      <c r="AK50" s="15">
        <f t="shared" si="12"/>
        <v>0.15</v>
      </c>
      <c r="AL50" s="15">
        <f t="shared" si="13"/>
        <v>8.0399999999999999E-2</v>
      </c>
      <c r="AM50" s="15">
        <f t="shared" si="14"/>
        <v>0.16889999999999999</v>
      </c>
      <c r="AN50" s="184">
        <f t="shared" si="15"/>
        <v>0.63371279999999997</v>
      </c>
      <c r="AP50" s="15">
        <v>0.18</v>
      </c>
      <c r="AQ50" s="15">
        <f t="shared" si="17"/>
        <v>0.15</v>
      </c>
      <c r="AR50" s="15">
        <f t="shared" si="18"/>
        <v>8.0399999999999999E-2</v>
      </c>
      <c r="AS50" s="15">
        <f t="shared" si="19"/>
        <v>0.16889999999999999</v>
      </c>
      <c r="AT50" s="184">
        <f t="shared" si="16"/>
        <v>0.63371279999999997</v>
      </c>
      <c r="AV50" s="15">
        <v>0.18</v>
      </c>
      <c r="AW50" s="32">
        <f t="shared" si="20"/>
        <v>1.8827599999999998</v>
      </c>
      <c r="AX50" s="32">
        <f t="shared" si="21"/>
        <v>0.43303479999999994</v>
      </c>
    </row>
    <row r="51" spans="18:50">
      <c r="R51">
        <v>0.2</v>
      </c>
      <c r="S51">
        <f t="shared" ca="1" si="0"/>
        <v>0.51692307692307693</v>
      </c>
      <c r="T51">
        <f t="shared" ca="1" si="1"/>
        <v>0.5138012810377357</v>
      </c>
      <c r="U51">
        <f t="shared" ca="1" si="2"/>
        <v>1.4224564142176668</v>
      </c>
      <c r="V51">
        <f t="shared" ca="1" si="3"/>
        <v>0.33296888320324153</v>
      </c>
      <c r="W51">
        <v>0.2</v>
      </c>
      <c r="X51">
        <f t="shared" ca="1" si="4"/>
        <v>0.68923076923076931</v>
      </c>
      <c r="Y51">
        <f t="shared" ca="1" si="5"/>
        <v>0.68506837471698101</v>
      </c>
      <c r="Z51" s="16">
        <f t="shared" si="6"/>
        <v>1.730276053047533</v>
      </c>
      <c r="AA51" s="16">
        <f t="shared" ca="1" si="7"/>
        <v>0.35113457795867342</v>
      </c>
      <c r="AB51" s="16">
        <f t="shared" ca="1" si="8"/>
        <v>0.23783491657374395</v>
      </c>
      <c r="AC51">
        <f t="shared" ca="1" si="9"/>
        <v>0.13532392104209831</v>
      </c>
      <c r="AD51">
        <f t="shared" ca="1" si="10"/>
        <v>0.2508104128276239</v>
      </c>
      <c r="AE51" s="308">
        <f t="shared" ca="1" si="11"/>
        <v>0.2508104128276239</v>
      </c>
      <c r="AG51" t="s">
        <v>516</v>
      </c>
      <c r="AH51" t="s">
        <v>517</v>
      </c>
      <c r="AJ51" s="15">
        <v>0.2</v>
      </c>
      <c r="AK51" s="15">
        <f t="shared" si="12"/>
        <v>0.15</v>
      </c>
      <c r="AL51" s="15">
        <f t="shared" si="13"/>
        <v>8.0399999999999999E-2</v>
      </c>
      <c r="AM51" s="15">
        <f t="shared" si="14"/>
        <v>0.16889999999999999</v>
      </c>
      <c r="AN51" s="184">
        <f t="shared" si="15"/>
        <v>0.63371279999999997</v>
      </c>
      <c r="AP51" s="15">
        <v>0.2</v>
      </c>
      <c r="AQ51" s="15">
        <f t="shared" si="17"/>
        <v>0.15</v>
      </c>
      <c r="AR51" s="15">
        <f t="shared" si="18"/>
        <v>8.0399999999999999E-2</v>
      </c>
      <c r="AS51" s="15">
        <f t="shared" si="19"/>
        <v>0.16889999999999999</v>
      </c>
      <c r="AT51" s="184">
        <f t="shared" si="16"/>
        <v>0.63371279999999997</v>
      </c>
      <c r="AV51" s="15">
        <v>0.2</v>
      </c>
      <c r="AW51" s="32">
        <f t="shared" si="20"/>
        <v>2</v>
      </c>
      <c r="AX51" s="32">
        <f t="shared" si="21"/>
        <v>0.46</v>
      </c>
    </row>
    <row r="52" spans="18:50">
      <c r="R52">
        <v>0.22</v>
      </c>
      <c r="S52">
        <f t="shared" ca="1" si="0"/>
        <v>0.54461538461538461</v>
      </c>
      <c r="T52">
        <f t="shared" ca="1" si="1"/>
        <v>0.65500488309435601</v>
      </c>
      <c r="U52">
        <f t="shared" ca="1" si="2"/>
        <v>1.4647020556394335</v>
      </c>
      <c r="V52">
        <f t="shared" ca="1" si="3"/>
        <v>0.33734990273934284</v>
      </c>
      <c r="W52">
        <v>0.22</v>
      </c>
      <c r="X52">
        <f t="shared" ca="1" si="4"/>
        <v>0.72615384615384615</v>
      </c>
      <c r="Y52">
        <f t="shared" ca="1" si="5"/>
        <v>0.87333984412580801</v>
      </c>
      <c r="Z52" s="16">
        <f t="shared" si="6"/>
        <v>1.8033036583522861</v>
      </c>
      <c r="AA52" s="16">
        <f t="shared" ca="1" si="7"/>
        <v>0.35339346418507267</v>
      </c>
      <c r="AB52" s="16">
        <f t="shared" ca="1" si="8"/>
        <v>0.24096421624238776</v>
      </c>
      <c r="AC52">
        <f t="shared" ca="1" si="9"/>
        <v>0.14117631314630813</v>
      </c>
      <c r="AD52">
        <f t="shared" ca="1" si="10"/>
        <v>0.25242390298933765</v>
      </c>
      <c r="AE52" s="308">
        <f t="shared" ca="1" si="11"/>
        <v>0.25242390298933765</v>
      </c>
      <c r="AG52" s="16">
        <v>0</v>
      </c>
      <c r="AH52" s="308">
        <f>AH44</f>
        <v>0.53349999999999997</v>
      </c>
      <c r="AJ52" s="15">
        <v>0.22</v>
      </c>
      <c r="AK52" s="15">
        <f t="shared" si="12"/>
        <v>0.15</v>
      </c>
      <c r="AL52" s="15">
        <f t="shared" si="13"/>
        <v>8.0399999999999999E-2</v>
      </c>
      <c r="AM52" s="15">
        <f t="shared" si="14"/>
        <v>0.16889999999999999</v>
      </c>
      <c r="AN52" s="184">
        <f t="shared" si="15"/>
        <v>0.63371279999999997</v>
      </c>
      <c r="AP52" s="15">
        <v>0.22</v>
      </c>
      <c r="AQ52" s="15">
        <f t="shared" si="17"/>
        <v>0.15</v>
      </c>
      <c r="AR52" s="15">
        <f t="shared" si="18"/>
        <v>8.0399999999999999E-2</v>
      </c>
      <c r="AS52" s="15">
        <f t="shared" si="19"/>
        <v>0.16889999999999999</v>
      </c>
      <c r="AT52" s="184">
        <f t="shared" si="16"/>
        <v>0.63371279999999997</v>
      </c>
      <c r="AV52" s="15">
        <v>0.22</v>
      </c>
      <c r="AW52" s="32">
        <f t="shared" si="20"/>
        <v>2</v>
      </c>
      <c r="AX52" s="32">
        <f t="shared" si="21"/>
        <v>0.46</v>
      </c>
    </row>
    <row r="53" spans="18:50">
      <c r="R53">
        <v>0.24</v>
      </c>
      <c r="S53">
        <f t="shared" ca="1" si="0"/>
        <v>0.5723076923076923</v>
      </c>
      <c r="T53">
        <f t="shared" ca="1" si="1"/>
        <v>0.81914604234016108</v>
      </c>
      <c r="U53">
        <f t="shared" ca="1" si="2"/>
        <v>1.5069476970612001</v>
      </c>
      <c r="V53">
        <f t="shared" ca="1" si="3"/>
        <v>0.3414852880298167</v>
      </c>
      <c r="W53">
        <v>0.24</v>
      </c>
      <c r="X53">
        <f t="shared" ca="1" si="4"/>
        <v>0.7630769230769231</v>
      </c>
      <c r="Y53">
        <f t="shared" ca="1" si="5"/>
        <v>1.0921947231202147</v>
      </c>
      <c r="Z53" s="16">
        <f t="shared" si="6"/>
        <v>1.8763312636570393</v>
      </c>
      <c r="AA53" s="16">
        <f t="shared" ca="1" si="7"/>
        <v>0.35547651679939613</v>
      </c>
      <c r="AB53" s="16">
        <f t="shared" ca="1" si="8"/>
        <v>0.24391806287844051</v>
      </c>
      <c r="AC53">
        <f t="shared" ca="1" si="9"/>
        <v>0.14702870525051798</v>
      </c>
      <c r="AD53">
        <f t="shared" ca="1" si="10"/>
        <v>0.25391179771385436</v>
      </c>
      <c r="AE53" s="308">
        <f t="shared" ca="1" si="11"/>
        <v>0.25391179771385436</v>
      </c>
      <c r="AG53" s="16">
        <f>ROUNDUP(MAX(Z41:Z219),2)</f>
        <v>2.4</v>
      </c>
      <c r="AH53" s="308">
        <f>AH44</f>
        <v>0.53349999999999997</v>
      </c>
      <c r="AJ53" s="15">
        <v>0.24</v>
      </c>
      <c r="AK53" s="15">
        <f t="shared" si="12"/>
        <v>0.15</v>
      </c>
      <c r="AL53" s="15">
        <f t="shared" si="13"/>
        <v>8.0399999999999999E-2</v>
      </c>
      <c r="AM53" s="15">
        <f t="shared" si="14"/>
        <v>0.16889999999999999</v>
      </c>
      <c r="AN53" s="184">
        <f t="shared" si="15"/>
        <v>0.63371279999999997</v>
      </c>
      <c r="AP53" s="15">
        <v>0.24</v>
      </c>
      <c r="AQ53" s="15">
        <f t="shared" si="17"/>
        <v>0.15</v>
      </c>
      <c r="AR53" s="15">
        <f t="shared" si="18"/>
        <v>8.0399999999999999E-2</v>
      </c>
      <c r="AS53" s="15">
        <f t="shared" si="19"/>
        <v>0.16889999999999999</v>
      </c>
      <c r="AT53" s="184">
        <f t="shared" si="16"/>
        <v>0.63371279999999997</v>
      </c>
      <c r="AV53" s="15">
        <v>0.24</v>
      </c>
      <c r="AW53" s="32">
        <f t="shared" si="20"/>
        <v>2</v>
      </c>
      <c r="AX53" s="32">
        <f t="shared" si="21"/>
        <v>0.46</v>
      </c>
    </row>
    <row r="54" spans="18:50">
      <c r="R54">
        <v>0.26</v>
      </c>
      <c r="S54">
        <f t="shared" ca="1" si="0"/>
        <v>0.6</v>
      </c>
      <c r="T54">
        <f t="shared" ca="1" si="1"/>
        <v>1.0078762628927724</v>
      </c>
      <c r="U54">
        <f t="shared" ca="1" si="2"/>
        <v>1.5491933384829668</v>
      </c>
      <c r="V54">
        <f t="shared" ca="1" si="3"/>
        <v>0.34539513400278565</v>
      </c>
      <c r="W54">
        <v>0.26</v>
      </c>
      <c r="X54">
        <f t="shared" ca="1" si="4"/>
        <v>0.8</v>
      </c>
      <c r="Y54">
        <f t="shared" ca="1" si="5"/>
        <v>1.3438350171903632</v>
      </c>
      <c r="Z54" s="16">
        <f t="shared" si="6"/>
        <v>1.9493588689617927</v>
      </c>
      <c r="AA54" s="16">
        <f t="shared" ca="1" si="7"/>
        <v>0.35740349723371206</v>
      </c>
      <c r="AB54" s="16">
        <f t="shared" ca="1" si="8"/>
        <v>0.24671081000198974</v>
      </c>
      <c r="AC54">
        <f t="shared" ca="1" si="9"/>
        <v>0.15288109735472777</v>
      </c>
      <c r="AD54">
        <f t="shared" ca="1" si="10"/>
        <v>0.25528821230979432</v>
      </c>
      <c r="AE54" s="308">
        <f t="shared" ca="1" si="11"/>
        <v>0.25528821230979432</v>
      </c>
      <c r="AJ54" s="15">
        <v>0.26</v>
      </c>
      <c r="AK54" s="15">
        <f t="shared" si="12"/>
        <v>0.15</v>
      </c>
      <c r="AL54" s="15">
        <f t="shared" si="13"/>
        <v>8.0399999999999999E-2</v>
      </c>
      <c r="AM54" s="15">
        <f t="shared" si="14"/>
        <v>0.16889999999999999</v>
      </c>
      <c r="AN54" s="184">
        <f t="shared" si="15"/>
        <v>0.63371279999999997</v>
      </c>
      <c r="AP54" s="15">
        <v>0.26</v>
      </c>
      <c r="AQ54" s="15">
        <f t="shared" si="17"/>
        <v>0.15</v>
      </c>
      <c r="AR54" s="15">
        <f t="shared" si="18"/>
        <v>8.0399999999999999E-2</v>
      </c>
      <c r="AS54" s="15">
        <f t="shared" si="19"/>
        <v>0.16889999999999999</v>
      </c>
      <c r="AT54" s="184">
        <f t="shared" si="16"/>
        <v>0.63371279999999997</v>
      </c>
      <c r="AV54" s="15">
        <v>0.26</v>
      </c>
      <c r="AW54" s="32">
        <f t="shared" si="20"/>
        <v>2</v>
      </c>
      <c r="AX54" s="32">
        <f t="shared" si="21"/>
        <v>0.46</v>
      </c>
    </row>
    <row r="55" spans="18:50">
      <c r="R55">
        <v>0.28000000000000003</v>
      </c>
      <c r="S55">
        <f t="shared" ca="1" si="0"/>
        <v>0.6</v>
      </c>
      <c r="T55">
        <f t="shared" ca="1" si="1"/>
        <v>1.1688979143608484</v>
      </c>
      <c r="U55">
        <f t="shared" ca="1" si="2"/>
        <v>1.5491933384829668</v>
      </c>
      <c r="V55">
        <f t="shared" ca="1" si="3"/>
        <v>0.34539513400278565</v>
      </c>
      <c r="W55">
        <v>0.28000000000000003</v>
      </c>
      <c r="X55">
        <f t="shared" ca="1" si="4"/>
        <v>0.8</v>
      </c>
      <c r="Y55">
        <f t="shared" ca="1" si="5"/>
        <v>1.5585305524811315</v>
      </c>
      <c r="Z55" s="16">
        <f t="shared" si="6"/>
        <v>1.9493588689617927</v>
      </c>
      <c r="AA55" s="16">
        <f t="shared" ca="1" si="7"/>
        <v>0.35740349723371206</v>
      </c>
      <c r="AB55" s="16">
        <f t="shared" ca="1" si="8"/>
        <v>0.24671081000198974</v>
      </c>
      <c r="AC55">
        <f t="shared" ca="1" si="9"/>
        <v>0.15288109735472777</v>
      </c>
      <c r="AD55">
        <f t="shared" ca="1" si="10"/>
        <v>0.25528821230979432</v>
      </c>
      <c r="AE55" s="308">
        <f t="shared" ca="1" si="11"/>
        <v>0.25528821230979432</v>
      </c>
      <c r="AJ55" s="15">
        <v>0.28000000000000003</v>
      </c>
      <c r="AK55" s="15">
        <f t="shared" si="12"/>
        <v>0.15</v>
      </c>
      <c r="AL55" s="15">
        <f t="shared" si="13"/>
        <v>8.0399999999999999E-2</v>
      </c>
      <c r="AM55" s="15">
        <f t="shared" si="14"/>
        <v>0.16889999999999999</v>
      </c>
      <c r="AN55" s="184">
        <f t="shared" si="15"/>
        <v>0.63371279999999997</v>
      </c>
      <c r="AP55" s="15">
        <v>0.28000000000000003</v>
      </c>
      <c r="AQ55" s="15">
        <f t="shared" si="17"/>
        <v>0.15</v>
      </c>
      <c r="AR55" s="15">
        <f t="shared" si="18"/>
        <v>8.0399999999999999E-2</v>
      </c>
      <c r="AS55" s="15">
        <f t="shared" si="19"/>
        <v>0.16889999999999999</v>
      </c>
      <c r="AT55" s="184">
        <f t="shared" si="16"/>
        <v>0.63371279999999997</v>
      </c>
      <c r="AV55" s="15">
        <v>0.28000000000000003</v>
      </c>
      <c r="AW55" s="32">
        <f t="shared" si="20"/>
        <v>2</v>
      </c>
      <c r="AX55" s="32">
        <f t="shared" si="21"/>
        <v>0.46</v>
      </c>
    </row>
    <row r="56" spans="18:50">
      <c r="R56">
        <v>0.3</v>
      </c>
      <c r="S56">
        <f t="shared" ca="1" si="0"/>
        <v>0.6</v>
      </c>
      <c r="T56">
        <f t="shared" ca="1" si="1"/>
        <v>1.3418470955673003</v>
      </c>
      <c r="U56">
        <f t="shared" ca="1" si="2"/>
        <v>1.5491933384829668</v>
      </c>
      <c r="V56">
        <f t="shared" ca="1" si="3"/>
        <v>0.34539513400278565</v>
      </c>
      <c r="W56">
        <v>0.3</v>
      </c>
      <c r="X56">
        <f t="shared" ca="1" si="4"/>
        <v>0.8</v>
      </c>
      <c r="Y56">
        <f t="shared" ca="1" si="5"/>
        <v>1.7891294607564006</v>
      </c>
      <c r="Z56" s="16">
        <f t="shared" si="6"/>
        <v>1.9493588689617927</v>
      </c>
      <c r="AA56" s="16">
        <f t="shared" ca="1" si="7"/>
        <v>0.35740349723371206</v>
      </c>
      <c r="AB56" s="16">
        <f t="shared" ca="1" si="8"/>
        <v>0.24671081000198974</v>
      </c>
      <c r="AC56">
        <f t="shared" ca="1" si="9"/>
        <v>0.15288109735472777</v>
      </c>
      <c r="AD56">
        <f t="shared" ca="1" si="10"/>
        <v>0.25528821230979432</v>
      </c>
      <c r="AE56" s="308">
        <f t="shared" ca="1" si="11"/>
        <v>0.25528821230979432</v>
      </c>
      <c r="AJ56" s="15">
        <v>0.3</v>
      </c>
      <c r="AK56" s="15">
        <f t="shared" si="12"/>
        <v>0.15</v>
      </c>
      <c r="AL56" s="15">
        <f t="shared" si="13"/>
        <v>8.0399999999999999E-2</v>
      </c>
      <c r="AM56" s="15">
        <f t="shared" si="14"/>
        <v>0.16889999999999999</v>
      </c>
      <c r="AN56" s="184">
        <f t="shared" si="15"/>
        <v>0.63371279999999997</v>
      </c>
      <c r="AP56" s="15">
        <v>0.3</v>
      </c>
      <c r="AQ56" s="15">
        <f t="shared" si="17"/>
        <v>0.15</v>
      </c>
      <c r="AR56" s="15">
        <f t="shared" si="18"/>
        <v>8.0399999999999999E-2</v>
      </c>
      <c r="AS56" s="15">
        <f t="shared" si="19"/>
        <v>0.16889999999999999</v>
      </c>
      <c r="AT56" s="184">
        <f t="shared" si="16"/>
        <v>0.63371279999999997</v>
      </c>
      <c r="AV56" s="15">
        <v>0.3</v>
      </c>
      <c r="AW56" s="32">
        <f t="shared" si="20"/>
        <v>2</v>
      </c>
      <c r="AX56" s="32">
        <f t="shared" si="21"/>
        <v>0.46</v>
      </c>
    </row>
    <row r="57" spans="18:50">
      <c r="R57">
        <v>0.32</v>
      </c>
      <c r="S57">
        <f t="shared" ca="1" si="0"/>
        <v>0.6</v>
      </c>
      <c r="T57">
        <f t="shared" ca="1" si="1"/>
        <v>1.5267238065121285</v>
      </c>
      <c r="U57">
        <f t="shared" ca="1" si="2"/>
        <v>1.5491933384829668</v>
      </c>
      <c r="V57">
        <f t="shared" ca="1" si="3"/>
        <v>0.34539513400278565</v>
      </c>
      <c r="W57">
        <v>0.32</v>
      </c>
      <c r="X57">
        <f t="shared" ca="1" si="4"/>
        <v>0.8</v>
      </c>
      <c r="Y57">
        <f t="shared" ca="1" si="5"/>
        <v>2.0356317420161716</v>
      </c>
      <c r="Z57" s="16">
        <f t="shared" si="6"/>
        <v>1.9493588689617927</v>
      </c>
      <c r="AA57" s="16">
        <f t="shared" ca="1" si="7"/>
        <v>0.35740349723371206</v>
      </c>
      <c r="AB57" s="16">
        <f t="shared" ca="1" si="8"/>
        <v>0.24671081000198974</v>
      </c>
      <c r="AC57">
        <f t="shared" ca="1" si="9"/>
        <v>0.15288109735472777</v>
      </c>
      <c r="AD57">
        <f t="shared" ca="1" si="10"/>
        <v>0.25528821230979432</v>
      </c>
      <c r="AE57" s="308">
        <f t="shared" ca="1" si="11"/>
        <v>0.25528821230979432</v>
      </c>
      <c r="AJ57" s="15">
        <v>0.32</v>
      </c>
      <c r="AK57" s="15">
        <f t="shared" si="12"/>
        <v>0.15</v>
      </c>
      <c r="AL57" s="15">
        <f t="shared" si="13"/>
        <v>8.0399999999999999E-2</v>
      </c>
      <c r="AM57" s="15">
        <f t="shared" si="14"/>
        <v>0.16889999999999999</v>
      </c>
      <c r="AN57" s="184">
        <f t="shared" si="15"/>
        <v>0.63371279999999997</v>
      </c>
      <c r="AP57" s="15">
        <v>0.32</v>
      </c>
      <c r="AQ57" s="15">
        <f t="shared" si="17"/>
        <v>0.15</v>
      </c>
      <c r="AR57" s="15">
        <f t="shared" si="18"/>
        <v>8.0399999999999999E-2</v>
      </c>
      <c r="AS57" s="15">
        <f t="shared" si="19"/>
        <v>0.16889999999999999</v>
      </c>
      <c r="AT57" s="184">
        <f t="shared" si="16"/>
        <v>0.63371279999999997</v>
      </c>
      <c r="AV57" s="15">
        <v>0.32</v>
      </c>
      <c r="AW57" s="32">
        <f t="shared" si="20"/>
        <v>2</v>
      </c>
      <c r="AX57" s="32">
        <f t="shared" si="21"/>
        <v>0.46</v>
      </c>
    </row>
    <row r="58" spans="18:50">
      <c r="R58">
        <v>0.34</v>
      </c>
      <c r="S58">
        <f t="shared" ca="1" si="0"/>
        <v>0.6</v>
      </c>
      <c r="T58">
        <f t="shared" ca="1" si="1"/>
        <v>1.7235280471953329</v>
      </c>
      <c r="U58">
        <f t="shared" ca="1" si="2"/>
        <v>1.5491933384829668</v>
      </c>
      <c r="V58">
        <f t="shared" ca="1" si="3"/>
        <v>0.34539513400278565</v>
      </c>
      <c r="W58">
        <v>0.34</v>
      </c>
      <c r="X58">
        <f t="shared" ca="1" si="4"/>
        <v>0.8</v>
      </c>
      <c r="Y58">
        <f t="shared" ca="1" si="5"/>
        <v>2.2980373962604439</v>
      </c>
      <c r="Z58" s="16">
        <f t="shared" si="6"/>
        <v>1.9493588689617927</v>
      </c>
      <c r="AA58" s="16">
        <f t="shared" ca="1" si="7"/>
        <v>0.35740349723371206</v>
      </c>
      <c r="AB58" s="16">
        <f t="shared" ca="1" si="8"/>
        <v>0.24671081000198974</v>
      </c>
      <c r="AC58">
        <f t="shared" ca="1" si="9"/>
        <v>0.15288109735472777</v>
      </c>
      <c r="AD58">
        <f t="shared" ca="1" si="10"/>
        <v>0.25528821230979432</v>
      </c>
      <c r="AE58" s="308">
        <f t="shared" ca="1" si="11"/>
        <v>0.25528821230979432</v>
      </c>
      <c r="AJ58" s="15">
        <v>0.34</v>
      </c>
      <c r="AK58" s="15">
        <f t="shared" si="12"/>
        <v>0.15</v>
      </c>
      <c r="AL58" s="15">
        <f t="shared" si="13"/>
        <v>8.0399999999999999E-2</v>
      </c>
      <c r="AM58" s="15">
        <f t="shared" si="14"/>
        <v>0.16889999999999999</v>
      </c>
      <c r="AN58" s="184">
        <f t="shared" si="15"/>
        <v>0.63371279999999997</v>
      </c>
      <c r="AP58" s="15">
        <v>0.34</v>
      </c>
      <c r="AQ58" s="15">
        <f t="shared" si="17"/>
        <v>0.15</v>
      </c>
      <c r="AR58" s="15">
        <f t="shared" si="18"/>
        <v>8.0399999999999999E-2</v>
      </c>
      <c r="AS58" s="15">
        <f t="shared" si="19"/>
        <v>0.16889999999999999</v>
      </c>
      <c r="AT58" s="184">
        <f t="shared" si="16"/>
        <v>0.63371279999999997</v>
      </c>
      <c r="AV58" s="15">
        <v>0.34</v>
      </c>
      <c r="AW58" s="32">
        <f t="shared" si="20"/>
        <v>2</v>
      </c>
      <c r="AX58" s="32">
        <f t="shared" si="21"/>
        <v>0.46</v>
      </c>
    </row>
    <row r="59" spans="18:50">
      <c r="R59">
        <v>0.36</v>
      </c>
      <c r="S59">
        <f t="shared" ca="1" si="0"/>
        <v>0.6</v>
      </c>
      <c r="T59">
        <f t="shared" ca="1" si="1"/>
        <v>1.9322598176169123</v>
      </c>
      <c r="U59">
        <f t="shared" ca="1" si="2"/>
        <v>1.5491933384829668</v>
      </c>
      <c r="V59">
        <f t="shared" ca="1" si="3"/>
        <v>0.34539513400278565</v>
      </c>
      <c r="W59">
        <v>0.36</v>
      </c>
      <c r="X59">
        <f t="shared" ca="1" si="4"/>
        <v>0.8</v>
      </c>
      <c r="Y59">
        <f t="shared" ca="1" si="5"/>
        <v>2.5763464234892166</v>
      </c>
      <c r="Z59" s="16">
        <f t="shared" si="6"/>
        <v>1.9493588689617927</v>
      </c>
      <c r="AA59" s="16">
        <f t="shared" ca="1" si="7"/>
        <v>0.35740349723371206</v>
      </c>
      <c r="AB59" s="16">
        <f t="shared" ca="1" si="8"/>
        <v>0.24671081000198974</v>
      </c>
      <c r="AC59">
        <f t="shared" ca="1" si="9"/>
        <v>0.15288109735472777</v>
      </c>
      <c r="AD59">
        <f t="shared" ca="1" si="10"/>
        <v>0.25528821230979432</v>
      </c>
      <c r="AE59" s="308">
        <f t="shared" ca="1" si="11"/>
        <v>0.25528821230979432</v>
      </c>
      <c r="AJ59" s="15">
        <v>0.36</v>
      </c>
      <c r="AK59" s="15">
        <f t="shared" si="12"/>
        <v>0.15</v>
      </c>
      <c r="AL59" s="15">
        <f t="shared" si="13"/>
        <v>8.0399999999999999E-2</v>
      </c>
      <c r="AM59" s="15">
        <f t="shared" si="14"/>
        <v>0.16889999999999999</v>
      </c>
      <c r="AN59" s="184">
        <f t="shared" si="15"/>
        <v>0.63371279999999997</v>
      </c>
      <c r="AP59" s="15">
        <v>0.36</v>
      </c>
      <c r="AQ59" s="15">
        <f t="shared" si="17"/>
        <v>0.15</v>
      </c>
      <c r="AR59" s="15">
        <f t="shared" si="18"/>
        <v>8.0399999999999999E-2</v>
      </c>
      <c r="AS59" s="15">
        <f t="shared" si="19"/>
        <v>0.16889999999999999</v>
      </c>
      <c r="AT59" s="184">
        <f t="shared" si="16"/>
        <v>0.63371279999999997</v>
      </c>
      <c r="AV59" s="15">
        <v>0.36</v>
      </c>
      <c r="AW59" s="32">
        <f t="shared" si="20"/>
        <v>2</v>
      </c>
      <c r="AX59" s="32">
        <f t="shared" si="21"/>
        <v>0.46</v>
      </c>
    </row>
    <row r="60" spans="18:50">
      <c r="R60">
        <v>0.38</v>
      </c>
      <c r="S60">
        <f t="shared" ca="1" si="0"/>
        <v>0.6</v>
      </c>
      <c r="T60">
        <f t="shared" ca="1" si="1"/>
        <v>2.1529191177768685</v>
      </c>
      <c r="U60">
        <f t="shared" ca="1" si="2"/>
        <v>1.5491933384829668</v>
      </c>
      <c r="V60">
        <f t="shared" ca="1" si="3"/>
        <v>0.34539513400278565</v>
      </c>
      <c r="W60">
        <v>0.38</v>
      </c>
      <c r="X60">
        <f t="shared" ca="1" si="4"/>
        <v>0.8</v>
      </c>
      <c r="Y60">
        <f t="shared" ca="1" si="5"/>
        <v>2.8705588237024915</v>
      </c>
      <c r="Z60" s="16">
        <f t="shared" si="6"/>
        <v>1.9493588689617927</v>
      </c>
      <c r="AA60" s="16">
        <f t="shared" ca="1" si="7"/>
        <v>0.35740349723371206</v>
      </c>
      <c r="AB60" s="16">
        <f t="shared" ca="1" si="8"/>
        <v>0.24671081000198974</v>
      </c>
      <c r="AC60">
        <f t="shared" ca="1" si="9"/>
        <v>0.15288109735472777</v>
      </c>
      <c r="AD60">
        <f t="shared" ca="1" si="10"/>
        <v>0.25528821230979432</v>
      </c>
      <c r="AE60" s="308">
        <f t="shared" ca="1" si="11"/>
        <v>0.25528821230979432</v>
      </c>
      <c r="AJ60" s="15">
        <v>0.38</v>
      </c>
      <c r="AK60" s="15">
        <f t="shared" si="12"/>
        <v>0.15</v>
      </c>
      <c r="AL60" s="15">
        <f t="shared" si="13"/>
        <v>8.0399999999999999E-2</v>
      </c>
      <c r="AM60" s="15">
        <f t="shared" si="14"/>
        <v>0.16889999999999999</v>
      </c>
      <c r="AN60" s="184">
        <f t="shared" si="15"/>
        <v>0.63371279999999997</v>
      </c>
      <c r="AP60" s="15">
        <v>0.38</v>
      </c>
      <c r="AQ60" s="15">
        <f t="shared" si="17"/>
        <v>0.15</v>
      </c>
      <c r="AR60" s="15">
        <f t="shared" si="18"/>
        <v>8.0399999999999999E-2</v>
      </c>
      <c r="AS60" s="15">
        <f t="shared" si="19"/>
        <v>0.16889999999999999</v>
      </c>
      <c r="AT60" s="184">
        <f t="shared" si="16"/>
        <v>0.63371279999999997</v>
      </c>
      <c r="AV60" s="15">
        <v>0.38</v>
      </c>
      <c r="AW60" s="32">
        <f t="shared" si="20"/>
        <v>2</v>
      </c>
      <c r="AX60" s="32">
        <f t="shared" si="21"/>
        <v>0.46</v>
      </c>
    </row>
    <row r="61" spans="18:50">
      <c r="R61">
        <v>0.4</v>
      </c>
      <c r="S61">
        <f t="shared" ca="1" si="0"/>
        <v>0.6</v>
      </c>
      <c r="T61">
        <f t="shared" ca="1" si="1"/>
        <v>2.3855059476752012</v>
      </c>
      <c r="U61">
        <f t="shared" ca="1" si="2"/>
        <v>1.5491933384829668</v>
      </c>
      <c r="V61">
        <f t="shared" ca="1" si="3"/>
        <v>0.34539513400278565</v>
      </c>
      <c r="W61">
        <v>0.4</v>
      </c>
      <c r="X61">
        <f t="shared" ca="1" si="4"/>
        <v>0.8</v>
      </c>
      <c r="Y61">
        <f t="shared" ca="1" si="5"/>
        <v>3.1806745969002685</v>
      </c>
      <c r="Z61" s="16">
        <f t="shared" si="6"/>
        <v>1.9493588689617927</v>
      </c>
      <c r="AA61" s="16">
        <f t="shared" ca="1" si="7"/>
        <v>0.35740349723371206</v>
      </c>
      <c r="AB61" s="16">
        <f t="shared" ca="1" si="8"/>
        <v>0.24671081000198974</v>
      </c>
      <c r="AC61">
        <f t="shared" ca="1" si="9"/>
        <v>0.15288109735472777</v>
      </c>
      <c r="AD61">
        <f t="shared" ca="1" si="10"/>
        <v>0.25528821230979432</v>
      </c>
      <c r="AE61" s="308">
        <f t="shared" ca="1" si="11"/>
        <v>0.25528821230979432</v>
      </c>
      <c r="AJ61" s="15">
        <v>0.4</v>
      </c>
      <c r="AK61" s="15">
        <f t="shared" si="12"/>
        <v>0.15</v>
      </c>
      <c r="AL61" s="15">
        <f t="shared" si="13"/>
        <v>8.0399999999999999E-2</v>
      </c>
      <c r="AM61" s="15">
        <f t="shared" si="14"/>
        <v>0.16889999999999999</v>
      </c>
      <c r="AN61" s="184">
        <f t="shared" si="15"/>
        <v>0.63371279999999997</v>
      </c>
      <c r="AP61" s="15">
        <v>0.4</v>
      </c>
      <c r="AQ61" s="15">
        <f t="shared" si="17"/>
        <v>0.15</v>
      </c>
      <c r="AR61" s="15">
        <f t="shared" si="18"/>
        <v>8.0399999999999999E-2</v>
      </c>
      <c r="AS61" s="15">
        <f t="shared" si="19"/>
        <v>0.16889999999999999</v>
      </c>
      <c r="AT61" s="184">
        <f t="shared" si="16"/>
        <v>0.63371279999999997</v>
      </c>
      <c r="AV61" s="15">
        <v>0.4</v>
      </c>
      <c r="AW61" s="32">
        <f t="shared" si="20"/>
        <v>2</v>
      </c>
      <c r="AX61" s="32">
        <f t="shared" si="21"/>
        <v>0.46</v>
      </c>
    </row>
    <row r="62" spans="18:50">
      <c r="R62">
        <v>0.42</v>
      </c>
      <c r="S62">
        <f t="shared" ca="1" si="0"/>
        <v>0.6</v>
      </c>
      <c r="T62">
        <f t="shared" ca="1" si="1"/>
        <v>2.6300203073119084</v>
      </c>
      <c r="U62">
        <f t="shared" ca="1" si="2"/>
        <v>1.5491933384829668</v>
      </c>
      <c r="V62">
        <f t="shared" ca="1" si="3"/>
        <v>0.34539513400278565</v>
      </c>
      <c r="W62">
        <v>0.42</v>
      </c>
      <c r="X62">
        <f t="shared" ca="1" si="4"/>
        <v>0.8</v>
      </c>
      <c r="Y62">
        <f t="shared" ca="1" si="5"/>
        <v>3.5066937430825447</v>
      </c>
      <c r="Z62" s="16">
        <f t="shared" si="6"/>
        <v>1.9493588689617927</v>
      </c>
      <c r="AA62" s="16">
        <f t="shared" ca="1" si="7"/>
        <v>0.35740349723371206</v>
      </c>
      <c r="AB62" s="16">
        <f t="shared" ca="1" si="8"/>
        <v>0.24671081000198974</v>
      </c>
      <c r="AC62">
        <f t="shared" ca="1" si="9"/>
        <v>0.15288109735472777</v>
      </c>
      <c r="AD62">
        <f t="shared" ca="1" si="10"/>
        <v>0.25528821230979432</v>
      </c>
      <c r="AE62" s="308">
        <f t="shared" ca="1" si="11"/>
        <v>0.25528821230979432</v>
      </c>
      <c r="AJ62" s="15">
        <v>0.42</v>
      </c>
      <c r="AK62" s="15">
        <f t="shared" si="12"/>
        <v>0.15</v>
      </c>
      <c r="AL62" s="15">
        <f t="shared" si="13"/>
        <v>8.0399999999999999E-2</v>
      </c>
      <c r="AM62" s="15">
        <f t="shared" si="14"/>
        <v>0.16889999999999999</v>
      </c>
      <c r="AN62" s="184">
        <f t="shared" si="15"/>
        <v>0.63371279999999997</v>
      </c>
      <c r="AP62" s="15">
        <v>0.42</v>
      </c>
      <c r="AQ62" s="15">
        <f t="shared" si="17"/>
        <v>0.15</v>
      </c>
      <c r="AR62" s="15">
        <f t="shared" si="18"/>
        <v>8.0399999999999999E-2</v>
      </c>
      <c r="AS62" s="15">
        <f t="shared" si="19"/>
        <v>0.16889999999999999</v>
      </c>
      <c r="AT62" s="184">
        <f t="shared" si="16"/>
        <v>0.63371279999999997</v>
      </c>
      <c r="AV62" s="15">
        <v>0.42</v>
      </c>
      <c r="AW62" s="32">
        <f t="shared" si="20"/>
        <v>2</v>
      </c>
      <c r="AX62" s="32">
        <f t="shared" si="21"/>
        <v>0.46</v>
      </c>
    </row>
    <row r="63" spans="18:50">
      <c r="R63">
        <v>0.44</v>
      </c>
      <c r="S63">
        <f t="shared" ca="1" si="0"/>
        <v>0.6</v>
      </c>
      <c r="T63">
        <f t="shared" ca="1" si="1"/>
        <v>2.8864621966869928</v>
      </c>
      <c r="U63">
        <f t="shared" ca="1" si="2"/>
        <v>1.5491933384829668</v>
      </c>
      <c r="V63">
        <f t="shared" ca="1" si="3"/>
        <v>0.34539513400278565</v>
      </c>
      <c r="W63">
        <v>0.44</v>
      </c>
      <c r="X63">
        <f t="shared" ca="1" si="4"/>
        <v>0.8</v>
      </c>
      <c r="Y63">
        <f t="shared" ca="1" si="5"/>
        <v>3.8486162622493238</v>
      </c>
      <c r="Z63" s="16">
        <f t="shared" si="6"/>
        <v>1.9493588689617927</v>
      </c>
      <c r="AA63" s="16">
        <f t="shared" ca="1" si="7"/>
        <v>0.35740349723371206</v>
      </c>
      <c r="AB63" s="16">
        <f t="shared" ca="1" si="8"/>
        <v>0.24671081000198974</v>
      </c>
      <c r="AC63">
        <f t="shared" ca="1" si="9"/>
        <v>0.15288109735472777</v>
      </c>
      <c r="AD63">
        <f t="shared" ca="1" si="10"/>
        <v>0.25528821230979432</v>
      </c>
      <c r="AE63" s="308">
        <f t="shared" ca="1" si="11"/>
        <v>0.25528821230979432</v>
      </c>
      <c r="AJ63" s="15">
        <v>0.44</v>
      </c>
      <c r="AK63" s="15">
        <f t="shared" si="12"/>
        <v>0.15</v>
      </c>
      <c r="AL63" s="15">
        <f t="shared" si="13"/>
        <v>8.0399999999999999E-2</v>
      </c>
      <c r="AM63" s="15">
        <f t="shared" si="14"/>
        <v>0.16889999999999999</v>
      </c>
      <c r="AN63" s="184">
        <f t="shared" si="15"/>
        <v>0.63371279999999997</v>
      </c>
      <c r="AP63" s="15">
        <v>0.44</v>
      </c>
      <c r="AQ63" s="15">
        <f t="shared" si="17"/>
        <v>0.15</v>
      </c>
      <c r="AR63" s="15">
        <f t="shared" si="18"/>
        <v>8.0399999999999999E-2</v>
      </c>
      <c r="AS63" s="15">
        <f t="shared" si="19"/>
        <v>0.16889999999999999</v>
      </c>
      <c r="AT63" s="184">
        <f t="shared" si="16"/>
        <v>0.63371279999999997</v>
      </c>
      <c r="AV63" s="15">
        <v>0.44</v>
      </c>
      <c r="AW63" s="32">
        <f t="shared" si="20"/>
        <v>2</v>
      </c>
      <c r="AX63" s="32">
        <f t="shared" si="21"/>
        <v>0.46</v>
      </c>
    </row>
    <row r="64" spans="18:50">
      <c r="R64">
        <v>0.46</v>
      </c>
      <c r="S64">
        <f t="shared" ca="1" si="0"/>
        <v>0.6</v>
      </c>
      <c r="T64">
        <f t="shared" ca="1" si="1"/>
        <v>3.1548316158004535</v>
      </c>
      <c r="U64">
        <f t="shared" ca="1" si="2"/>
        <v>1.5491933384829668</v>
      </c>
      <c r="V64">
        <f t="shared" ca="1" si="3"/>
        <v>0.34539513400278565</v>
      </c>
      <c r="W64">
        <v>0.46</v>
      </c>
      <c r="X64">
        <f t="shared" ca="1" si="4"/>
        <v>0.8</v>
      </c>
      <c r="Y64">
        <f t="shared" ca="1" si="5"/>
        <v>4.2064421544006043</v>
      </c>
      <c r="Z64" s="16">
        <f t="shared" si="6"/>
        <v>1.9493588689617927</v>
      </c>
      <c r="AA64" s="16">
        <f t="shared" ca="1" si="7"/>
        <v>0.35740349723371206</v>
      </c>
      <c r="AB64" s="16">
        <f t="shared" ca="1" si="8"/>
        <v>0.24671081000198974</v>
      </c>
      <c r="AC64">
        <f t="shared" ca="1" si="9"/>
        <v>0.15288109735472777</v>
      </c>
      <c r="AD64">
        <f t="shared" ca="1" si="10"/>
        <v>0.25528821230979432</v>
      </c>
      <c r="AE64" s="308">
        <f t="shared" ca="1" si="11"/>
        <v>0.25528821230979432</v>
      </c>
      <c r="AJ64" s="15">
        <v>0.46</v>
      </c>
      <c r="AK64" s="15">
        <f t="shared" si="12"/>
        <v>0.15</v>
      </c>
      <c r="AL64" s="15">
        <f t="shared" si="13"/>
        <v>8.0399999999999999E-2</v>
      </c>
      <c r="AM64" s="15">
        <f t="shared" si="14"/>
        <v>0.16889999999999999</v>
      </c>
      <c r="AN64" s="184">
        <f t="shared" si="15"/>
        <v>0.63371279999999997</v>
      </c>
      <c r="AP64" s="15">
        <v>0.46</v>
      </c>
      <c r="AQ64" s="15">
        <f t="shared" si="17"/>
        <v>0.15</v>
      </c>
      <c r="AR64" s="15">
        <f t="shared" si="18"/>
        <v>8.0399999999999999E-2</v>
      </c>
      <c r="AS64" s="15">
        <f t="shared" si="19"/>
        <v>0.16889999999999999</v>
      </c>
      <c r="AT64" s="184">
        <f t="shared" si="16"/>
        <v>0.63371279999999997</v>
      </c>
      <c r="AV64" s="15">
        <v>0.46</v>
      </c>
      <c r="AW64" s="32">
        <f t="shared" si="20"/>
        <v>2</v>
      </c>
      <c r="AX64" s="32">
        <f t="shared" si="21"/>
        <v>0.46</v>
      </c>
    </row>
    <row r="65" spans="18:50">
      <c r="R65">
        <v>0.48</v>
      </c>
      <c r="S65">
        <f t="shared" ca="1" si="0"/>
        <v>0.6</v>
      </c>
      <c r="T65">
        <f t="shared" ca="1" si="1"/>
        <v>3.4351285646522887</v>
      </c>
      <c r="U65">
        <f t="shared" ca="1" si="2"/>
        <v>1.5491933384829668</v>
      </c>
      <c r="V65">
        <f t="shared" ca="1" si="3"/>
        <v>0.34539513400278565</v>
      </c>
      <c r="W65">
        <v>0.48</v>
      </c>
      <c r="X65">
        <f t="shared" ca="1" si="4"/>
        <v>0.8</v>
      </c>
      <c r="Y65">
        <f t="shared" ca="1" si="5"/>
        <v>4.5801714195363852</v>
      </c>
      <c r="Z65" s="16">
        <f t="shared" si="6"/>
        <v>1.9493588689617927</v>
      </c>
      <c r="AA65" s="16">
        <f t="shared" ca="1" si="7"/>
        <v>0.35740349723371206</v>
      </c>
      <c r="AB65" s="16">
        <f t="shared" ca="1" si="8"/>
        <v>0.24671081000198974</v>
      </c>
      <c r="AC65">
        <f t="shared" ca="1" si="9"/>
        <v>0.15288109735472777</v>
      </c>
      <c r="AD65">
        <f t="shared" ca="1" si="10"/>
        <v>0.25528821230979432</v>
      </c>
      <c r="AE65" s="308">
        <f t="shared" ca="1" si="11"/>
        <v>0.25528821230979432</v>
      </c>
      <c r="AJ65" s="15">
        <v>0.48</v>
      </c>
      <c r="AK65" s="15">
        <f t="shared" si="12"/>
        <v>0.15</v>
      </c>
      <c r="AL65" s="15">
        <f t="shared" si="13"/>
        <v>8.0399999999999999E-2</v>
      </c>
      <c r="AM65" s="15">
        <f t="shared" si="14"/>
        <v>0.16889999999999999</v>
      </c>
      <c r="AN65" s="184">
        <f t="shared" si="15"/>
        <v>0.63371279999999997</v>
      </c>
      <c r="AP65" s="15">
        <v>0.48</v>
      </c>
      <c r="AQ65" s="15">
        <f t="shared" si="17"/>
        <v>0.15</v>
      </c>
      <c r="AR65" s="15">
        <f t="shared" si="18"/>
        <v>8.0399999999999999E-2</v>
      </c>
      <c r="AS65" s="15">
        <f t="shared" si="19"/>
        <v>0.16889999999999999</v>
      </c>
      <c r="AT65" s="184">
        <f t="shared" si="16"/>
        <v>0.63371279999999997</v>
      </c>
      <c r="AV65" s="15">
        <v>0.48</v>
      </c>
      <c r="AW65" s="32">
        <f t="shared" si="20"/>
        <v>2</v>
      </c>
      <c r="AX65" s="32">
        <f t="shared" si="21"/>
        <v>0.46</v>
      </c>
    </row>
    <row r="66" spans="18:50">
      <c r="R66">
        <v>0.5</v>
      </c>
      <c r="S66">
        <f t="shared" ca="1" si="0"/>
        <v>0.6</v>
      </c>
      <c r="T66">
        <f t="shared" ca="1" si="1"/>
        <v>3.7273530432425011</v>
      </c>
      <c r="U66">
        <f t="shared" ca="1" si="2"/>
        <v>1.5491933384829668</v>
      </c>
      <c r="V66">
        <f t="shared" ca="1" si="3"/>
        <v>0.34539513400278565</v>
      </c>
      <c r="W66">
        <v>0.5</v>
      </c>
      <c r="X66">
        <f t="shared" ca="1" si="4"/>
        <v>0.8</v>
      </c>
      <c r="Y66">
        <f t="shared" ca="1" si="5"/>
        <v>4.9698040576566687</v>
      </c>
      <c r="Z66" s="16">
        <f t="shared" si="6"/>
        <v>1.9493588689617927</v>
      </c>
      <c r="AA66" s="16">
        <f t="shared" ca="1" si="7"/>
        <v>0.35740349723371206</v>
      </c>
      <c r="AB66" s="16">
        <f t="shared" ca="1" si="8"/>
        <v>0.24671081000198974</v>
      </c>
      <c r="AC66">
        <f t="shared" ca="1" si="9"/>
        <v>0.15288109735472777</v>
      </c>
      <c r="AD66">
        <f t="shared" ca="1" si="10"/>
        <v>0.25528821230979432</v>
      </c>
      <c r="AE66" s="308">
        <f t="shared" ca="1" si="11"/>
        <v>0.25528821230979432</v>
      </c>
      <c r="AJ66" s="15">
        <v>0.5</v>
      </c>
      <c r="AK66" s="15">
        <f t="shared" si="12"/>
        <v>0.15</v>
      </c>
      <c r="AL66" s="15">
        <f t="shared" si="13"/>
        <v>8.0399999999999999E-2</v>
      </c>
      <c r="AM66" s="15">
        <f t="shared" si="14"/>
        <v>0.16889999999999999</v>
      </c>
      <c r="AN66" s="184">
        <f t="shared" si="15"/>
        <v>0.63371279999999997</v>
      </c>
      <c r="AP66" s="15">
        <v>0.5</v>
      </c>
      <c r="AQ66" s="15">
        <f t="shared" si="17"/>
        <v>0.15</v>
      </c>
      <c r="AR66" s="15">
        <f t="shared" si="18"/>
        <v>8.0399999999999999E-2</v>
      </c>
      <c r="AS66" s="15">
        <f t="shared" si="19"/>
        <v>0.16889999999999999</v>
      </c>
      <c r="AT66" s="184">
        <f t="shared" si="16"/>
        <v>0.63371279999999997</v>
      </c>
      <c r="AV66" s="15">
        <v>0.5</v>
      </c>
      <c r="AW66" s="32">
        <f t="shared" si="20"/>
        <v>2</v>
      </c>
      <c r="AX66" s="32">
        <f t="shared" si="21"/>
        <v>0.46</v>
      </c>
    </row>
    <row r="67" spans="18:50">
      <c r="R67">
        <v>0.52</v>
      </c>
      <c r="S67">
        <f t="shared" ca="1" si="0"/>
        <v>0.6</v>
      </c>
      <c r="T67">
        <f t="shared" ca="1" si="1"/>
        <v>4.0315050515710897</v>
      </c>
      <c r="U67">
        <f t="shared" ca="1" si="2"/>
        <v>1.5491933384829668</v>
      </c>
      <c r="V67">
        <f t="shared" ca="1" si="3"/>
        <v>0.34539513400278565</v>
      </c>
      <c r="W67">
        <v>0.52</v>
      </c>
      <c r="X67">
        <f t="shared" ca="1" si="4"/>
        <v>0.8</v>
      </c>
      <c r="Y67">
        <f t="shared" ca="1" si="5"/>
        <v>5.375340068761453</v>
      </c>
      <c r="Z67" s="16">
        <f t="shared" si="6"/>
        <v>1.9493588689617927</v>
      </c>
      <c r="AA67" s="16">
        <f t="shared" ca="1" si="7"/>
        <v>0.35740349723371206</v>
      </c>
      <c r="AB67" s="16">
        <f t="shared" ca="1" si="8"/>
        <v>0.24671081000198974</v>
      </c>
      <c r="AC67">
        <f t="shared" ca="1" si="9"/>
        <v>0.15288109735472777</v>
      </c>
      <c r="AD67">
        <f t="shared" ca="1" si="10"/>
        <v>0.25528821230979432</v>
      </c>
      <c r="AE67" s="308">
        <f t="shared" ca="1" si="11"/>
        <v>0.25528821230979432</v>
      </c>
      <c r="AJ67" s="15">
        <v>0.52</v>
      </c>
      <c r="AK67" s="15">
        <f t="shared" si="12"/>
        <v>0.15</v>
      </c>
      <c r="AL67" s="15">
        <f t="shared" si="13"/>
        <v>8.0399999999999999E-2</v>
      </c>
      <c r="AM67" s="15">
        <f t="shared" si="14"/>
        <v>0.16889999999999999</v>
      </c>
      <c r="AN67" s="184">
        <f t="shared" si="15"/>
        <v>0.63371279999999997</v>
      </c>
      <c r="AP67" s="15">
        <v>0.52</v>
      </c>
      <c r="AQ67" s="15">
        <f t="shared" si="17"/>
        <v>0.15</v>
      </c>
      <c r="AR67" s="15">
        <f t="shared" si="18"/>
        <v>8.0399999999999999E-2</v>
      </c>
      <c r="AS67" s="15">
        <f t="shared" si="19"/>
        <v>0.16889999999999999</v>
      </c>
      <c r="AT67" s="184">
        <f t="shared" si="16"/>
        <v>0.63371279999999997</v>
      </c>
      <c r="AV67" s="15">
        <v>0.52</v>
      </c>
      <c r="AW67" s="32">
        <f t="shared" si="20"/>
        <v>2</v>
      </c>
      <c r="AX67" s="32">
        <f t="shared" si="21"/>
        <v>0.46</v>
      </c>
    </row>
    <row r="68" spans="18:50">
      <c r="R68">
        <v>0.54</v>
      </c>
      <c r="S68">
        <f t="shared" ca="1" si="0"/>
        <v>0.6</v>
      </c>
      <c r="T68">
        <f t="shared" ca="1" si="1"/>
        <v>4.3475845896380534</v>
      </c>
      <c r="U68">
        <f t="shared" ca="1" si="2"/>
        <v>1.5491933384829668</v>
      </c>
      <c r="V68">
        <f t="shared" ca="1" si="3"/>
        <v>0.34539513400278565</v>
      </c>
      <c r="W68">
        <v>0.54</v>
      </c>
      <c r="X68">
        <f t="shared" ca="1" si="4"/>
        <v>0.8</v>
      </c>
      <c r="Y68">
        <f t="shared" ca="1" si="5"/>
        <v>5.7967794528507381</v>
      </c>
      <c r="Z68" s="16">
        <f t="shared" si="6"/>
        <v>1.9493588689617927</v>
      </c>
      <c r="AA68" s="16">
        <f t="shared" ca="1" si="7"/>
        <v>0.35740349723371206</v>
      </c>
      <c r="AB68" s="16">
        <f t="shared" ca="1" si="8"/>
        <v>0.24671081000198974</v>
      </c>
      <c r="AC68">
        <f t="shared" ca="1" si="9"/>
        <v>0.15288109735472777</v>
      </c>
      <c r="AD68">
        <f t="shared" ca="1" si="10"/>
        <v>0.25528821230979432</v>
      </c>
      <c r="AE68" s="308">
        <f t="shared" ca="1" si="11"/>
        <v>0.25528821230979432</v>
      </c>
      <c r="AJ68" s="15">
        <v>0.54</v>
      </c>
      <c r="AK68" s="15">
        <f t="shared" si="12"/>
        <v>0.15</v>
      </c>
      <c r="AL68" s="15">
        <f t="shared" si="13"/>
        <v>8.0399999999999999E-2</v>
      </c>
      <c r="AM68" s="15">
        <f t="shared" si="14"/>
        <v>0.16889999999999999</v>
      </c>
      <c r="AN68" s="184">
        <f t="shared" si="15"/>
        <v>0.63371279999999997</v>
      </c>
      <c r="AP68" s="15">
        <v>0.54</v>
      </c>
      <c r="AQ68" s="15">
        <f t="shared" si="17"/>
        <v>0.15</v>
      </c>
      <c r="AR68" s="15">
        <f t="shared" si="18"/>
        <v>8.0399999999999999E-2</v>
      </c>
      <c r="AS68" s="15">
        <f t="shared" si="19"/>
        <v>0.16889999999999999</v>
      </c>
      <c r="AT68" s="184">
        <f t="shared" si="16"/>
        <v>0.63371279999999997</v>
      </c>
      <c r="AV68" s="15">
        <v>0.54</v>
      </c>
      <c r="AW68" s="32">
        <f t="shared" si="20"/>
        <v>2</v>
      </c>
      <c r="AX68" s="32">
        <f t="shared" si="21"/>
        <v>0.46</v>
      </c>
    </row>
    <row r="69" spans="18:50">
      <c r="R69">
        <v>0.56000000000000005</v>
      </c>
      <c r="S69">
        <f t="shared" ca="1" si="0"/>
        <v>0.6</v>
      </c>
      <c r="T69">
        <f t="shared" ca="1" si="1"/>
        <v>4.6755916574433938</v>
      </c>
      <c r="U69">
        <f t="shared" ca="1" si="2"/>
        <v>1.5491933384829668</v>
      </c>
      <c r="V69">
        <f t="shared" ca="1" si="3"/>
        <v>0.34539513400278565</v>
      </c>
      <c r="W69">
        <v>0.56000000000000005</v>
      </c>
      <c r="X69">
        <f t="shared" ca="1" si="4"/>
        <v>0.8</v>
      </c>
      <c r="Y69">
        <f t="shared" ca="1" si="5"/>
        <v>6.2341222099245259</v>
      </c>
      <c r="Z69" s="16">
        <f t="shared" si="6"/>
        <v>1.9493588689617927</v>
      </c>
      <c r="AA69" s="16">
        <f t="shared" ca="1" si="7"/>
        <v>0.35740349723371206</v>
      </c>
      <c r="AB69" s="16">
        <f t="shared" ca="1" si="8"/>
        <v>0.24671081000198974</v>
      </c>
      <c r="AC69">
        <f t="shared" ca="1" si="9"/>
        <v>0.15288109735472777</v>
      </c>
      <c r="AD69">
        <f t="shared" ca="1" si="10"/>
        <v>0.25528821230979432</v>
      </c>
      <c r="AE69" s="308">
        <f t="shared" ca="1" si="11"/>
        <v>0.25528821230979432</v>
      </c>
      <c r="AJ69" s="15">
        <v>0.56000000000000005</v>
      </c>
      <c r="AK69" s="15">
        <f t="shared" si="12"/>
        <v>0.15</v>
      </c>
      <c r="AL69" s="15">
        <f t="shared" si="13"/>
        <v>8.0399999999999999E-2</v>
      </c>
      <c r="AM69" s="15">
        <f t="shared" si="14"/>
        <v>0.16889999999999999</v>
      </c>
      <c r="AN69" s="184">
        <f t="shared" si="15"/>
        <v>0.63371279999999997</v>
      </c>
      <c r="AP69" s="15">
        <v>0.56000000000000005</v>
      </c>
      <c r="AQ69" s="15">
        <f t="shared" si="17"/>
        <v>0.15</v>
      </c>
      <c r="AR69" s="15">
        <f t="shared" si="18"/>
        <v>8.0399999999999999E-2</v>
      </c>
      <c r="AS69" s="15">
        <f t="shared" si="19"/>
        <v>0.16889999999999999</v>
      </c>
      <c r="AT69" s="184">
        <f t="shared" si="16"/>
        <v>0.63371279999999997</v>
      </c>
      <c r="AV69" s="15">
        <v>0.56000000000000005</v>
      </c>
      <c r="AW69" s="32">
        <f t="shared" si="20"/>
        <v>2</v>
      </c>
      <c r="AX69" s="32">
        <f t="shared" si="21"/>
        <v>0.46</v>
      </c>
    </row>
    <row r="70" spans="18:50">
      <c r="R70">
        <v>0.57999999999999996</v>
      </c>
      <c r="S70">
        <f t="shared" ca="1" si="0"/>
        <v>0.6</v>
      </c>
      <c r="T70">
        <f t="shared" ca="1" si="1"/>
        <v>5.01552625498711</v>
      </c>
      <c r="U70">
        <f t="shared" ca="1" si="2"/>
        <v>1.5491933384829668</v>
      </c>
      <c r="V70">
        <f t="shared" ca="1" si="3"/>
        <v>0.34539513400278565</v>
      </c>
      <c r="W70">
        <v>0.57999999999999996</v>
      </c>
      <c r="X70">
        <f t="shared" ca="1" si="4"/>
        <v>0.8</v>
      </c>
      <c r="Y70">
        <f t="shared" ca="1" si="5"/>
        <v>6.6873683399828128</v>
      </c>
      <c r="Z70" s="16">
        <f t="shared" si="6"/>
        <v>1.9493588689617927</v>
      </c>
      <c r="AA70" s="16">
        <f t="shared" ca="1" si="7"/>
        <v>0.35740349723371206</v>
      </c>
      <c r="AB70" s="16">
        <f t="shared" ca="1" si="8"/>
        <v>0.24671081000198974</v>
      </c>
      <c r="AC70">
        <f t="shared" ca="1" si="9"/>
        <v>0.15288109735472777</v>
      </c>
      <c r="AD70">
        <f t="shared" ca="1" si="10"/>
        <v>0.25528821230979432</v>
      </c>
      <c r="AE70" s="308">
        <f t="shared" ca="1" si="11"/>
        <v>0.25528821230979432</v>
      </c>
      <c r="AJ70" s="15">
        <v>0.57999999999999996</v>
      </c>
      <c r="AK70" s="15">
        <f t="shared" si="12"/>
        <v>0.15</v>
      </c>
      <c r="AL70" s="15">
        <f t="shared" si="13"/>
        <v>8.0399999999999999E-2</v>
      </c>
      <c r="AM70" s="15">
        <f t="shared" si="14"/>
        <v>0.16889999999999999</v>
      </c>
      <c r="AN70" s="184">
        <f t="shared" si="15"/>
        <v>0.63371279999999997</v>
      </c>
      <c r="AP70" s="15">
        <v>0.57999999999999996</v>
      </c>
      <c r="AQ70" s="15">
        <f t="shared" si="17"/>
        <v>0.15</v>
      </c>
      <c r="AR70" s="15">
        <f t="shared" si="18"/>
        <v>8.0399999999999999E-2</v>
      </c>
      <c r="AS70" s="15">
        <f t="shared" si="19"/>
        <v>0.16889999999999999</v>
      </c>
      <c r="AT70" s="184">
        <f t="shared" si="16"/>
        <v>0.63371279999999997</v>
      </c>
      <c r="AV70" s="15">
        <v>0.57999999999999996</v>
      </c>
      <c r="AW70" s="32">
        <f t="shared" si="20"/>
        <v>2</v>
      </c>
      <c r="AX70" s="32">
        <f t="shared" si="21"/>
        <v>0.46</v>
      </c>
    </row>
    <row r="71" spans="18:50">
      <c r="R71">
        <v>0.6</v>
      </c>
      <c r="S71">
        <f t="shared" ca="1" si="0"/>
        <v>0.6</v>
      </c>
      <c r="T71">
        <f t="shared" ca="1" si="1"/>
        <v>5.3673883822692012</v>
      </c>
      <c r="U71">
        <f t="shared" ca="1" si="2"/>
        <v>1.5491933384829668</v>
      </c>
      <c r="V71">
        <f t="shared" ca="1" si="3"/>
        <v>0.34539513400278565</v>
      </c>
      <c r="W71">
        <v>0.6</v>
      </c>
      <c r="X71">
        <f t="shared" ca="1" si="4"/>
        <v>0.8</v>
      </c>
      <c r="Y71">
        <f t="shared" ca="1" si="5"/>
        <v>7.1565178430256022</v>
      </c>
      <c r="Z71" s="16">
        <f t="shared" si="6"/>
        <v>1.9493588689617927</v>
      </c>
      <c r="AA71" s="16">
        <f t="shared" ca="1" si="7"/>
        <v>0.35740349723371206</v>
      </c>
      <c r="AB71" s="16">
        <f t="shared" ca="1" si="8"/>
        <v>0.24671081000198974</v>
      </c>
      <c r="AC71">
        <f t="shared" ca="1" si="9"/>
        <v>0.15288109735472777</v>
      </c>
      <c r="AD71">
        <f t="shared" ca="1" si="10"/>
        <v>0.25528821230979432</v>
      </c>
      <c r="AE71" s="308">
        <f t="shared" ca="1" si="11"/>
        <v>0.25528821230979432</v>
      </c>
      <c r="AJ71" s="15">
        <v>0.6</v>
      </c>
      <c r="AK71" s="15">
        <f t="shared" si="12"/>
        <v>0.15</v>
      </c>
      <c r="AL71" s="15">
        <f t="shared" si="13"/>
        <v>8.0399999999999999E-2</v>
      </c>
      <c r="AM71" s="15">
        <f t="shared" si="14"/>
        <v>0.16889999999999999</v>
      </c>
      <c r="AN71" s="184">
        <f t="shared" si="15"/>
        <v>0.63371279999999997</v>
      </c>
      <c r="AP71" s="15">
        <v>0.6</v>
      </c>
      <c r="AQ71" s="15">
        <f t="shared" si="17"/>
        <v>0.15</v>
      </c>
      <c r="AR71" s="15">
        <f t="shared" si="18"/>
        <v>8.0399999999999999E-2</v>
      </c>
      <c r="AS71" s="15">
        <f t="shared" si="19"/>
        <v>0.16889999999999999</v>
      </c>
      <c r="AT71" s="184">
        <f t="shared" si="16"/>
        <v>0.63371279999999997</v>
      </c>
      <c r="AV71" s="15">
        <v>0.6</v>
      </c>
      <c r="AW71" s="32">
        <f t="shared" si="20"/>
        <v>2</v>
      </c>
      <c r="AX71" s="32">
        <f t="shared" si="21"/>
        <v>0.46</v>
      </c>
    </row>
    <row r="72" spans="18:50">
      <c r="R72">
        <v>0.62</v>
      </c>
      <c r="S72">
        <f t="shared" ca="1" si="0"/>
        <v>0.6</v>
      </c>
      <c r="T72">
        <f t="shared" ca="1" si="1"/>
        <v>5.731178039289671</v>
      </c>
      <c r="U72">
        <f t="shared" ca="1" si="2"/>
        <v>1.5491933384829668</v>
      </c>
      <c r="V72">
        <f t="shared" ca="1" si="3"/>
        <v>0.34539513400278565</v>
      </c>
      <c r="W72">
        <v>0.62</v>
      </c>
      <c r="X72">
        <f t="shared" ca="1" si="4"/>
        <v>0.8</v>
      </c>
      <c r="Y72">
        <f t="shared" ca="1" si="5"/>
        <v>7.6415707190528943</v>
      </c>
      <c r="Z72" s="16">
        <f t="shared" si="6"/>
        <v>1.9493588689617927</v>
      </c>
      <c r="AA72" s="16">
        <f t="shared" ca="1" si="7"/>
        <v>0.35740349723371206</v>
      </c>
      <c r="AB72" s="16">
        <f t="shared" ca="1" si="8"/>
        <v>0.24671081000198974</v>
      </c>
      <c r="AC72">
        <f t="shared" ca="1" si="9"/>
        <v>0.15288109735472777</v>
      </c>
      <c r="AD72">
        <f t="shared" ca="1" si="10"/>
        <v>0.25528821230979432</v>
      </c>
      <c r="AE72" s="308">
        <f t="shared" ca="1" si="11"/>
        <v>0.25528821230979432</v>
      </c>
      <c r="AJ72" s="15">
        <v>0.62</v>
      </c>
      <c r="AK72" s="15">
        <f t="shared" si="12"/>
        <v>0.15</v>
      </c>
      <c r="AL72" s="15">
        <f t="shared" si="13"/>
        <v>8.0399999999999999E-2</v>
      </c>
      <c r="AM72" s="15">
        <f t="shared" si="14"/>
        <v>0.16889999999999999</v>
      </c>
      <c r="AN72" s="184">
        <f t="shared" si="15"/>
        <v>0.63371279999999997</v>
      </c>
      <c r="AP72" s="15">
        <v>0.62</v>
      </c>
      <c r="AQ72" s="15">
        <f t="shared" si="17"/>
        <v>0.15</v>
      </c>
      <c r="AR72" s="15">
        <f t="shared" si="18"/>
        <v>8.0399999999999999E-2</v>
      </c>
      <c r="AS72" s="15">
        <f t="shared" si="19"/>
        <v>0.16889999999999999</v>
      </c>
      <c r="AT72" s="184">
        <f t="shared" si="16"/>
        <v>0.63371279999999997</v>
      </c>
      <c r="AV72" s="15">
        <v>0.62</v>
      </c>
      <c r="AW72" s="32">
        <f t="shared" si="20"/>
        <v>2</v>
      </c>
      <c r="AX72" s="32">
        <f t="shared" si="21"/>
        <v>0.46</v>
      </c>
    </row>
    <row r="73" spans="18:50">
      <c r="R73">
        <v>0.64</v>
      </c>
      <c r="S73">
        <f t="shared" ref="S73:S104" ca="1" si="22">IF(R73&lt;=0.2*$S$38,$S$34*(0.4+3*R73/$S$38),IF(R73&lt;=$S$38,$S$34,IF(R73&lt;=2.5*$S$38,$S$34*$S$38/R73,0.4*$S$34)))</f>
        <v>0.6</v>
      </c>
      <c r="T73">
        <f t="shared" ca="1" si="1"/>
        <v>6.1068952260485139</v>
      </c>
      <c r="U73">
        <f t="shared" ref="U73:U104" ca="1" si="23">IF(R73&gt;$S$38,$U$32,IF(R73&gt;0.6*$S$38,SQRT(2*$U$32-1)+($U$32-SQRT(2*$U$32-1))*(R73-0.6*$S$38)/0.4/$S$38,IF(R73&gt;0.2*$S$38,SQRT(2*$U$32-1),SQRT(2*$U$32-1)+(SQRT(2*$U$32-1)-1)*(R73-0.2*$S$38)/0.2/$S$38)))</f>
        <v>1.5491933384829668</v>
      </c>
      <c r="V73">
        <f t="shared" ca="1" si="3"/>
        <v>0.34539513400278565</v>
      </c>
      <c r="W73">
        <v>0.64</v>
      </c>
      <c r="X73">
        <f t="shared" ref="X73:X104" ca="1" si="24">IF(W73&lt;=0.2*$X$38,$X$34*(0.4+3*W73/$X$38),IF(W73&lt;=$X$38,$X$34,IF(W73&lt;=2.5*$X$38,$X$34*$X$38/W73,0.4*$X$34)))</f>
        <v>0.8</v>
      </c>
      <c r="Y73">
        <f t="shared" ca="1" si="5"/>
        <v>8.1425269680646863</v>
      </c>
      <c r="Z73" s="16">
        <f t="shared" ref="Z73:Z104" si="25">IF(W73&gt;$X$38,$S$32,IF(W73&gt;0.6*$X$38,SQRT(2*$S$32-1)+($S$32-SQRT(2*$S$32-1))*(W73-0.6*$X$38)/0.4/$X$38,IF(W73&gt;0.2*$X$38,SQRT(2*$S$32-1),SQRT(2*$S$32-1)+(SQRT(2*$S$32-1)-1)*(W73-0.2*$X$38)/0.2/$X$38)))</f>
        <v>1.9493588689617927</v>
      </c>
      <c r="AA73" s="16">
        <f t="shared" ca="1" si="7"/>
        <v>0.35740349723371206</v>
      </c>
      <c r="AB73" s="16">
        <f t="shared" ref="AB73:AB104" ca="1" si="26">$W$32/1.4/$Y$32*V73</f>
        <v>0.24671081000198974</v>
      </c>
      <c r="AC73">
        <f t="shared" ref="AC73:AC104" ca="1" si="27">$W$32*U73/3.5/$Y$32*V73</f>
        <v>0.15288109735472777</v>
      </c>
      <c r="AD73">
        <f t="shared" ref="AD73:AD104" ca="1" si="28">$W$32/1.4/$Y$32*AA73</f>
        <v>0.25528821230979432</v>
      </c>
      <c r="AE73" s="308">
        <f t="shared" ca="1" si="11"/>
        <v>0.25528821230979432</v>
      </c>
      <c r="AJ73" s="15">
        <v>0.64</v>
      </c>
      <c r="AK73" s="15">
        <f t="shared" si="12"/>
        <v>0.15</v>
      </c>
      <c r="AL73" s="15">
        <f t="shared" ref="AL73:AL104" si="29">$AK$35*$AK$36*AK73*$AK$37</f>
        <v>8.0399999999999999E-2</v>
      </c>
      <c r="AM73" s="15">
        <f t="shared" ref="AM73:AM104" si="30">ROUND(AK$33*$AK$35*AM$39*AK73*$AK$37,4)</f>
        <v>0.16889999999999999</v>
      </c>
      <c r="AN73" s="184">
        <f t="shared" ref="AN73:AN104" si="31">IF(AJ73&lt;=AN$38,AL73*AK$38*AK$33*AK$34*(0.4+3*AJ73/AN$37),AL73*AK$38*AK$33*AK$34)</f>
        <v>0.63371279999999997</v>
      </c>
      <c r="AP73" s="15">
        <v>0.64</v>
      </c>
      <c r="AQ73" s="15">
        <f t="shared" si="17"/>
        <v>0.15</v>
      </c>
      <c r="AR73" s="15">
        <f t="shared" si="18"/>
        <v>8.0399999999999999E-2</v>
      </c>
      <c r="AS73" s="15">
        <f t="shared" si="19"/>
        <v>0.16889999999999999</v>
      </c>
      <c r="AT73" s="184">
        <f t="shared" ref="AT73:AT104" si="32">IF(AP73&lt;=AT$38,AR73*AQ$38*AQ$33*AQ$34*(0.4+3*AP73/AT$37),AR73*AQ$38*AQ$33*AQ$34)</f>
        <v>0.63371279999999997</v>
      </c>
      <c r="AV73" s="15">
        <v>0.64</v>
      </c>
      <c r="AW73" s="32">
        <f t="shared" si="20"/>
        <v>2</v>
      </c>
      <c r="AX73" s="32">
        <f t="shared" si="21"/>
        <v>0.46</v>
      </c>
    </row>
    <row r="74" spans="18:50">
      <c r="R74">
        <v>0.66</v>
      </c>
      <c r="S74">
        <f t="shared" ca="1" si="22"/>
        <v>0.6</v>
      </c>
      <c r="T74">
        <f t="shared" ca="1" si="1"/>
        <v>6.4945399425457344</v>
      </c>
      <c r="U74">
        <f t="shared" ca="1" si="23"/>
        <v>1.5491933384829668</v>
      </c>
      <c r="V74">
        <f t="shared" ca="1" si="3"/>
        <v>0.34539513400278565</v>
      </c>
      <c r="W74">
        <v>0.66</v>
      </c>
      <c r="X74">
        <f t="shared" ca="1" si="24"/>
        <v>0.8</v>
      </c>
      <c r="Y74">
        <f t="shared" ca="1" si="5"/>
        <v>8.6593865900609792</v>
      </c>
      <c r="Z74" s="16">
        <f t="shared" si="25"/>
        <v>1.9493588689617927</v>
      </c>
      <c r="AA74" s="16">
        <f t="shared" ca="1" si="7"/>
        <v>0.35740349723371206</v>
      </c>
      <c r="AB74" s="16">
        <f t="shared" ca="1" si="26"/>
        <v>0.24671081000198974</v>
      </c>
      <c r="AC74">
        <f t="shared" ca="1" si="27"/>
        <v>0.15288109735472777</v>
      </c>
      <c r="AD74">
        <f t="shared" ca="1" si="28"/>
        <v>0.25528821230979432</v>
      </c>
      <c r="AE74" s="308">
        <f t="shared" ca="1" si="11"/>
        <v>0.25528821230979432</v>
      </c>
      <c r="AJ74" s="15">
        <v>0.66</v>
      </c>
      <c r="AK74" s="15">
        <f t="shared" si="12"/>
        <v>0.15</v>
      </c>
      <c r="AL74" s="15">
        <f t="shared" si="29"/>
        <v>8.0399999999999999E-2</v>
      </c>
      <c r="AM74" s="15">
        <f t="shared" si="30"/>
        <v>0.16889999999999999</v>
      </c>
      <c r="AN74" s="184">
        <f t="shared" si="31"/>
        <v>0.63371279999999997</v>
      </c>
      <c r="AP74" s="15">
        <v>0.66</v>
      </c>
      <c r="AQ74" s="15">
        <f t="shared" si="17"/>
        <v>0.15</v>
      </c>
      <c r="AR74" s="15">
        <f t="shared" si="18"/>
        <v>8.0399999999999999E-2</v>
      </c>
      <c r="AS74" s="15">
        <f t="shared" si="19"/>
        <v>0.16889999999999999</v>
      </c>
      <c r="AT74" s="184">
        <f t="shared" si="32"/>
        <v>0.63371279999999997</v>
      </c>
      <c r="AV74" s="15">
        <v>0.66</v>
      </c>
      <c r="AW74" s="32">
        <f t="shared" si="20"/>
        <v>2</v>
      </c>
      <c r="AX74" s="32">
        <f t="shared" si="21"/>
        <v>0.46</v>
      </c>
    </row>
    <row r="75" spans="18:50">
      <c r="R75">
        <v>0.68</v>
      </c>
      <c r="S75">
        <f t="shared" ca="1" si="22"/>
        <v>0.6</v>
      </c>
      <c r="T75">
        <f t="shared" ca="1" si="1"/>
        <v>6.8941121887813317</v>
      </c>
      <c r="U75">
        <f t="shared" ca="1" si="23"/>
        <v>1.5491933384829668</v>
      </c>
      <c r="V75">
        <f t="shared" ca="1" si="3"/>
        <v>0.34539513400278565</v>
      </c>
      <c r="W75">
        <v>0.68</v>
      </c>
      <c r="X75">
        <f t="shared" ca="1" si="24"/>
        <v>0.8</v>
      </c>
      <c r="Y75">
        <f t="shared" ca="1" si="5"/>
        <v>9.1921495850417756</v>
      </c>
      <c r="Z75" s="16">
        <f t="shared" si="25"/>
        <v>1.9493588689617927</v>
      </c>
      <c r="AA75" s="16">
        <f t="shared" ca="1" si="7"/>
        <v>0.35740349723371206</v>
      </c>
      <c r="AB75" s="16">
        <f t="shared" ca="1" si="26"/>
        <v>0.24671081000198974</v>
      </c>
      <c r="AC75">
        <f t="shared" ca="1" si="27"/>
        <v>0.15288109735472777</v>
      </c>
      <c r="AD75">
        <f t="shared" ca="1" si="28"/>
        <v>0.25528821230979432</v>
      </c>
      <c r="AE75" s="308">
        <f t="shared" ca="1" si="11"/>
        <v>0.25528821230979432</v>
      </c>
      <c r="AJ75" s="15">
        <v>0.68</v>
      </c>
      <c r="AK75" s="15">
        <f t="shared" si="12"/>
        <v>0.15</v>
      </c>
      <c r="AL75" s="15">
        <f t="shared" si="29"/>
        <v>8.0399999999999999E-2</v>
      </c>
      <c r="AM75" s="15">
        <f t="shared" si="30"/>
        <v>0.16889999999999999</v>
      </c>
      <c r="AN75" s="184">
        <f t="shared" si="31"/>
        <v>0.63371279999999997</v>
      </c>
      <c r="AP75" s="15">
        <v>0.68</v>
      </c>
      <c r="AQ75" s="15">
        <f t="shared" si="17"/>
        <v>0.15</v>
      </c>
      <c r="AR75" s="15">
        <f t="shared" si="18"/>
        <v>8.0399999999999999E-2</v>
      </c>
      <c r="AS75" s="15">
        <f t="shared" si="19"/>
        <v>0.16889999999999999</v>
      </c>
      <c r="AT75" s="184">
        <f t="shared" si="32"/>
        <v>0.63371279999999997</v>
      </c>
      <c r="AV75" s="15">
        <v>0.68</v>
      </c>
      <c r="AW75" s="32">
        <f t="shared" si="20"/>
        <v>2</v>
      </c>
      <c r="AX75" s="32">
        <f t="shared" si="21"/>
        <v>0.46</v>
      </c>
    </row>
    <row r="76" spans="18:50">
      <c r="R76">
        <v>0.7</v>
      </c>
      <c r="S76">
        <f t="shared" ca="1" si="22"/>
        <v>0.6</v>
      </c>
      <c r="T76">
        <f t="shared" ca="1" si="1"/>
        <v>7.3056119647553013</v>
      </c>
      <c r="U76">
        <f t="shared" ca="1" si="23"/>
        <v>1.5491933384829668</v>
      </c>
      <c r="V76">
        <f t="shared" ca="1" si="3"/>
        <v>0.34539513400278565</v>
      </c>
      <c r="W76">
        <v>0.7</v>
      </c>
      <c r="X76">
        <f t="shared" ca="1" si="24"/>
        <v>0.8</v>
      </c>
      <c r="Y76">
        <f t="shared" ca="1" si="5"/>
        <v>9.7408159530070684</v>
      </c>
      <c r="Z76" s="16">
        <f t="shared" si="25"/>
        <v>1.9493588689617927</v>
      </c>
      <c r="AA76" s="16">
        <f t="shared" ca="1" si="7"/>
        <v>0.35740349723371206</v>
      </c>
      <c r="AB76" s="16">
        <f t="shared" ca="1" si="26"/>
        <v>0.24671081000198974</v>
      </c>
      <c r="AC76">
        <f t="shared" ca="1" si="27"/>
        <v>0.15288109735472777</v>
      </c>
      <c r="AD76">
        <f t="shared" ca="1" si="28"/>
        <v>0.25528821230979432</v>
      </c>
      <c r="AE76" s="308">
        <f t="shared" ca="1" si="11"/>
        <v>0.25528821230979432</v>
      </c>
      <c r="AJ76" s="15">
        <v>0.7</v>
      </c>
      <c r="AK76" s="15">
        <f t="shared" si="12"/>
        <v>0.15</v>
      </c>
      <c r="AL76" s="15">
        <f t="shared" si="29"/>
        <v>8.0399999999999999E-2</v>
      </c>
      <c r="AM76" s="15">
        <f t="shared" si="30"/>
        <v>0.16889999999999999</v>
      </c>
      <c r="AN76" s="184">
        <f t="shared" si="31"/>
        <v>0.63371279999999997</v>
      </c>
      <c r="AP76" s="15">
        <v>0.7</v>
      </c>
      <c r="AQ76" s="15">
        <f t="shared" si="17"/>
        <v>0.1494035761667992</v>
      </c>
      <c r="AR76" s="15">
        <f t="shared" si="18"/>
        <v>8.0080316825404368E-2</v>
      </c>
      <c r="AS76" s="15">
        <f t="shared" si="19"/>
        <v>0.16819999999999999</v>
      </c>
      <c r="AT76" s="184">
        <f t="shared" si="32"/>
        <v>0.63119305721783714</v>
      </c>
      <c r="AV76" s="15">
        <v>0.7</v>
      </c>
      <c r="AW76" s="32">
        <f t="shared" si="20"/>
        <v>2</v>
      </c>
      <c r="AX76" s="32">
        <f t="shared" si="21"/>
        <v>0.46</v>
      </c>
    </row>
    <row r="77" spans="18:50">
      <c r="R77">
        <v>0.72</v>
      </c>
      <c r="S77">
        <f t="shared" ca="1" si="22"/>
        <v>0.6</v>
      </c>
      <c r="T77">
        <f t="shared" ca="1" si="1"/>
        <v>7.7290392704676494</v>
      </c>
      <c r="U77">
        <f t="shared" ca="1" si="23"/>
        <v>1.5491933384829668</v>
      </c>
      <c r="V77">
        <f t="shared" ca="1" si="3"/>
        <v>0.34539513400278565</v>
      </c>
      <c r="W77">
        <v>0.72</v>
      </c>
      <c r="X77">
        <f t="shared" ca="1" si="24"/>
        <v>0.8</v>
      </c>
      <c r="Y77">
        <f t="shared" ca="1" si="5"/>
        <v>10.305385693956866</v>
      </c>
      <c r="Z77" s="16">
        <f t="shared" si="25"/>
        <v>1.9493588689617927</v>
      </c>
      <c r="AA77" s="16">
        <f t="shared" ca="1" si="7"/>
        <v>0.35740349723371206</v>
      </c>
      <c r="AB77" s="16">
        <f t="shared" ca="1" si="26"/>
        <v>0.24671081000198974</v>
      </c>
      <c r="AC77">
        <f t="shared" ca="1" si="27"/>
        <v>0.15288109735472777</v>
      </c>
      <c r="AD77">
        <f t="shared" ca="1" si="28"/>
        <v>0.25528821230979432</v>
      </c>
      <c r="AE77" s="308">
        <f t="shared" ca="1" si="11"/>
        <v>0.25528821230979432</v>
      </c>
      <c r="AJ77" s="15">
        <v>0.72</v>
      </c>
      <c r="AK77" s="15">
        <f t="shared" si="12"/>
        <v>0.15</v>
      </c>
      <c r="AL77" s="15">
        <f t="shared" si="29"/>
        <v>8.0399999999999999E-2</v>
      </c>
      <c r="AM77" s="15">
        <f t="shared" si="30"/>
        <v>0.16889999999999999</v>
      </c>
      <c r="AN77" s="184">
        <f t="shared" si="31"/>
        <v>0.63371279999999997</v>
      </c>
      <c r="AP77" s="15">
        <v>0.72</v>
      </c>
      <c r="AQ77" s="15">
        <f t="shared" si="17"/>
        <v>0.14731391274719741</v>
      </c>
      <c r="AR77" s="15">
        <f t="shared" si="18"/>
        <v>7.8960257232497819E-2</v>
      </c>
      <c r="AS77" s="15">
        <f t="shared" si="19"/>
        <v>0.16589999999999999</v>
      </c>
      <c r="AT77" s="184">
        <f t="shared" si="32"/>
        <v>0.6223647475065478</v>
      </c>
      <c r="AV77" s="15">
        <v>0.72</v>
      </c>
      <c r="AW77" s="32">
        <f t="shared" si="20"/>
        <v>2</v>
      </c>
      <c r="AX77" s="32">
        <f t="shared" si="21"/>
        <v>0.46</v>
      </c>
    </row>
    <row r="78" spans="18:50">
      <c r="R78">
        <v>0.74</v>
      </c>
      <c r="S78">
        <f t="shared" ca="1" si="22"/>
        <v>0.6</v>
      </c>
      <c r="T78">
        <f t="shared" ca="1" si="1"/>
        <v>8.1643941059183742</v>
      </c>
      <c r="U78">
        <f t="shared" ca="1" si="23"/>
        <v>1.5491933384829668</v>
      </c>
      <c r="V78">
        <f t="shared" ca="1" si="3"/>
        <v>0.34539513400278565</v>
      </c>
      <c r="W78">
        <v>0.74</v>
      </c>
      <c r="X78">
        <f t="shared" ca="1" si="24"/>
        <v>0.8</v>
      </c>
      <c r="Y78">
        <f t="shared" ca="1" si="5"/>
        <v>10.885858807891166</v>
      </c>
      <c r="Z78" s="16">
        <f t="shared" si="25"/>
        <v>1.9493588689617927</v>
      </c>
      <c r="AA78" s="16">
        <f t="shared" ca="1" si="7"/>
        <v>0.35740349723371206</v>
      </c>
      <c r="AB78" s="16">
        <f t="shared" ca="1" si="26"/>
        <v>0.24671081000198974</v>
      </c>
      <c r="AC78">
        <f t="shared" ca="1" si="27"/>
        <v>0.15288109735472777</v>
      </c>
      <c r="AD78">
        <f t="shared" ca="1" si="28"/>
        <v>0.25528821230979432</v>
      </c>
      <c r="AE78" s="308">
        <f t="shared" ca="1" si="11"/>
        <v>0.25528821230979432</v>
      </c>
      <c r="AJ78" s="15">
        <v>0.74</v>
      </c>
      <c r="AK78" s="15">
        <f t="shared" si="12"/>
        <v>0.15</v>
      </c>
      <c r="AL78" s="15">
        <f t="shared" si="29"/>
        <v>8.0399999999999999E-2</v>
      </c>
      <c r="AM78" s="15">
        <f t="shared" si="30"/>
        <v>0.16889999999999999</v>
      </c>
      <c r="AN78" s="184">
        <f t="shared" si="31"/>
        <v>0.63371279999999997</v>
      </c>
      <c r="AP78" s="15">
        <v>0.74</v>
      </c>
      <c r="AQ78" s="15">
        <f t="shared" si="17"/>
        <v>0.14530954842977412</v>
      </c>
      <c r="AR78" s="15">
        <f t="shared" si="18"/>
        <v>7.7885917958358933E-2</v>
      </c>
      <c r="AS78" s="15">
        <f t="shared" si="19"/>
        <v>0.1636</v>
      </c>
      <c r="AT78" s="184">
        <f t="shared" si="32"/>
        <v>0.61389680534778501</v>
      </c>
      <c r="AV78" s="15">
        <v>0.74</v>
      </c>
      <c r="AW78" s="32">
        <f t="shared" si="20"/>
        <v>2</v>
      </c>
      <c r="AX78" s="32">
        <f t="shared" si="21"/>
        <v>0.46</v>
      </c>
    </row>
    <row r="79" spans="18:50">
      <c r="R79">
        <v>0.76</v>
      </c>
      <c r="S79">
        <f t="shared" ca="1" si="22"/>
        <v>0.6</v>
      </c>
      <c r="T79">
        <f t="shared" ca="1" si="1"/>
        <v>8.611676471107474</v>
      </c>
      <c r="U79">
        <f t="shared" ca="1" si="23"/>
        <v>1.5491933384829668</v>
      </c>
      <c r="V79">
        <f t="shared" ca="1" si="3"/>
        <v>0.34539513400278565</v>
      </c>
      <c r="W79">
        <v>0.76</v>
      </c>
      <c r="X79">
        <f t="shared" ca="1" si="24"/>
        <v>0.8</v>
      </c>
      <c r="Y79">
        <f t="shared" ca="1" si="5"/>
        <v>11.482235294809966</v>
      </c>
      <c r="Z79" s="16">
        <f t="shared" si="25"/>
        <v>1.9493588689617927</v>
      </c>
      <c r="AA79" s="16">
        <f t="shared" ca="1" si="7"/>
        <v>0.35740349723371206</v>
      </c>
      <c r="AB79" s="16">
        <f t="shared" ca="1" si="26"/>
        <v>0.24671081000198974</v>
      </c>
      <c r="AC79">
        <f t="shared" ca="1" si="27"/>
        <v>0.15288109735472777</v>
      </c>
      <c r="AD79">
        <f t="shared" ca="1" si="28"/>
        <v>0.25528821230979432</v>
      </c>
      <c r="AE79" s="308">
        <f t="shared" ca="1" si="11"/>
        <v>0.25528821230979432</v>
      </c>
      <c r="AJ79" s="15">
        <v>0.76</v>
      </c>
      <c r="AK79" s="15">
        <f t="shared" si="12"/>
        <v>0.15</v>
      </c>
      <c r="AL79" s="15">
        <f t="shared" si="29"/>
        <v>8.0399999999999999E-2</v>
      </c>
      <c r="AM79" s="15">
        <f t="shared" si="30"/>
        <v>0.16889999999999999</v>
      </c>
      <c r="AN79" s="184">
        <f t="shared" si="31"/>
        <v>0.63371279999999997</v>
      </c>
      <c r="AP79" s="15">
        <v>0.76</v>
      </c>
      <c r="AQ79" s="15">
        <f t="shared" si="17"/>
        <v>0.14338483366910112</v>
      </c>
      <c r="AR79" s="15">
        <f t="shared" si="18"/>
        <v>7.6854270846638206E-2</v>
      </c>
      <c r="AS79" s="15">
        <f t="shared" si="19"/>
        <v>0.1615</v>
      </c>
      <c r="AT79" s="184">
        <f t="shared" si="32"/>
        <v>0.60576536281320226</v>
      </c>
      <c r="AV79" s="15">
        <v>0.76</v>
      </c>
      <c r="AW79" s="32">
        <f t="shared" si="20"/>
        <v>2</v>
      </c>
      <c r="AX79" s="32">
        <f t="shared" si="21"/>
        <v>0.46</v>
      </c>
    </row>
    <row r="80" spans="18:50">
      <c r="R80">
        <v>0.78</v>
      </c>
      <c r="S80">
        <f t="shared" ca="1" si="22"/>
        <v>0.6</v>
      </c>
      <c r="T80">
        <f t="shared" ca="1" si="1"/>
        <v>9.0708863660349515</v>
      </c>
      <c r="U80">
        <f t="shared" ca="1" si="23"/>
        <v>1.5491933384829668</v>
      </c>
      <c r="V80">
        <f t="shared" ca="1" si="3"/>
        <v>0.34539513400278565</v>
      </c>
      <c r="W80">
        <v>0.78</v>
      </c>
      <c r="X80">
        <f t="shared" ca="1" si="24"/>
        <v>0.8</v>
      </c>
      <c r="Y80">
        <f t="shared" ca="1" si="5"/>
        <v>12.094515154713269</v>
      </c>
      <c r="Z80" s="16">
        <f t="shared" si="25"/>
        <v>1.9493588689617927</v>
      </c>
      <c r="AA80" s="16">
        <f t="shared" ca="1" si="7"/>
        <v>0.35740349723371206</v>
      </c>
      <c r="AB80" s="16">
        <f t="shared" ca="1" si="26"/>
        <v>0.24671081000198974</v>
      </c>
      <c r="AC80">
        <f t="shared" ca="1" si="27"/>
        <v>0.15288109735472777</v>
      </c>
      <c r="AD80">
        <f t="shared" ca="1" si="28"/>
        <v>0.25528821230979432</v>
      </c>
      <c r="AE80" s="308">
        <f t="shared" ca="1" si="11"/>
        <v>0.25528821230979432</v>
      </c>
      <c r="AJ80" s="15">
        <v>0.78</v>
      </c>
      <c r="AK80" s="15">
        <f t="shared" si="12"/>
        <v>0.15</v>
      </c>
      <c r="AL80" s="15">
        <f t="shared" si="29"/>
        <v>8.0399999999999999E-2</v>
      </c>
      <c r="AM80" s="15">
        <f t="shared" si="30"/>
        <v>0.16889999999999999</v>
      </c>
      <c r="AN80" s="184">
        <f t="shared" si="31"/>
        <v>0.63371279999999997</v>
      </c>
      <c r="AP80" s="15">
        <v>0.78</v>
      </c>
      <c r="AQ80" s="15">
        <f t="shared" si="17"/>
        <v>0.14153462926807447</v>
      </c>
      <c r="AR80" s="15">
        <f t="shared" si="18"/>
        <v>7.5862561287687924E-2</v>
      </c>
      <c r="AS80" s="15">
        <f t="shared" si="19"/>
        <v>0.15939999999999999</v>
      </c>
      <c r="AT80" s="184">
        <f t="shared" si="32"/>
        <v>0.59794870806955613</v>
      </c>
      <c r="AV80" s="15">
        <v>0.78</v>
      </c>
      <c r="AW80" s="32">
        <f t="shared" si="20"/>
        <v>2</v>
      </c>
      <c r="AX80" s="32">
        <f t="shared" si="21"/>
        <v>0.46</v>
      </c>
    </row>
    <row r="81" spans="4:50">
      <c r="R81">
        <v>0.8</v>
      </c>
      <c r="S81">
        <f t="shared" ca="1" si="22"/>
        <v>0.6</v>
      </c>
      <c r="T81">
        <f t="shared" ca="1" si="1"/>
        <v>9.5420237907008048</v>
      </c>
      <c r="U81">
        <f t="shared" ca="1" si="23"/>
        <v>1.5549935946951603</v>
      </c>
      <c r="V81">
        <f t="shared" ca="1" si="3"/>
        <v>0.34464391330252664</v>
      </c>
      <c r="W81">
        <v>0.8</v>
      </c>
      <c r="X81">
        <f t="shared" ca="1" si="24"/>
        <v>0.8</v>
      </c>
      <c r="Y81">
        <f t="shared" ca="1" si="5"/>
        <v>12.722698387601074</v>
      </c>
      <c r="Z81" s="16">
        <f t="shared" si="25"/>
        <v>1.96669122015557</v>
      </c>
      <c r="AA81" s="16">
        <f t="shared" ca="1" si="7"/>
        <v>0.35552278290391381</v>
      </c>
      <c r="AB81" s="16">
        <f t="shared" ca="1" si="26"/>
        <v>0.24617422378751902</v>
      </c>
      <c r="AC81">
        <f t="shared" ca="1" si="27"/>
        <v>0.15311973646745802</v>
      </c>
      <c r="AD81">
        <f t="shared" ca="1" si="28"/>
        <v>0.25394484493136704</v>
      </c>
      <c r="AE81" s="308">
        <f t="shared" ca="1" si="11"/>
        <v>0.25394484493136704</v>
      </c>
      <c r="AJ81" s="15">
        <v>0.8</v>
      </c>
      <c r="AK81" s="15">
        <f t="shared" si="12"/>
        <v>0.15</v>
      </c>
      <c r="AL81" s="15">
        <f t="shared" si="29"/>
        <v>8.0399999999999999E-2</v>
      </c>
      <c r="AM81" s="15">
        <f t="shared" si="30"/>
        <v>0.16889999999999999</v>
      </c>
      <c r="AN81" s="184">
        <f t="shared" si="31"/>
        <v>0.63371279999999997</v>
      </c>
      <c r="AP81" s="15">
        <v>0.8</v>
      </c>
      <c r="AQ81" s="15">
        <f t="shared" si="17"/>
        <v>0.13975424859373686</v>
      </c>
      <c r="AR81" s="15">
        <f t="shared" si="18"/>
        <v>7.4908277246242966E-2</v>
      </c>
      <c r="AS81" s="15">
        <f t="shared" si="19"/>
        <v>0.15740000000000001</v>
      </c>
      <c r="AT81" s="184">
        <f t="shared" si="32"/>
        <v>0.59042704125488699</v>
      </c>
      <c r="AV81" s="15">
        <v>0.8</v>
      </c>
      <c r="AW81" s="32">
        <f t="shared" si="20"/>
        <v>2</v>
      </c>
      <c r="AX81" s="32">
        <f t="shared" si="21"/>
        <v>0.46</v>
      </c>
    </row>
    <row r="82" spans="4:50">
      <c r="R82">
        <v>0.82</v>
      </c>
      <c r="S82">
        <f t="shared" ca="1" si="22"/>
        <v>0.6</v>
      </c>
      <c r="T82">
        <f t="shared" ca="1" si="1"/>
        <v>10.025088745105029</v>
      </c>
      <c r="U82">
        <f t="shared" ca="1" si="23"/>
        <v>1.560793850907354</v>
      </c>
      <c r="V82">
        <f t="shared" ca="1" si="3"/>
        <v>0.34389827600782863</v>
      </c>
      <c r="W82">
        <v>0.82</v>
      </c>
      <c r="X82">
        <f t="shared" ca="1" si="24"/>
        <v>0.8</v>
      </c>
      <c r="Y82">
        <f t="shared" ca="1" si="5"/>
        <v>13.366784993473372</v>
      </c>
      <c r="Z82" s="16">
        <f t="shared" si="25"/>
        <v>1.984023571349347</v>
      </c>
      <c r="AA82" s="16">
        <f t="shared" ca="1" si="7"/>
        <v>0.35367492826563335</v>
      </c>
      <c r="AB82" s="16">
        <f t="shared" ca="1" si="26"/>
        <v>0.2456416257198776</v>
      </c>
      <c r="AC82">
        <f t="shared" ca="1" si="27"/>
        <v>0.15335837558018828</v>
      </c>
      <c r="AD82">
        <f t="shared" ca="1" si="28"/>
        <v>0.2526249487611667</v>
      </c>
      <c r="AE82" s="308">
        <f t="shared" ca="1" si="11"/>
        <v>0.2526249487611667</v>
      </c>
      <c r="AJ82" s="15">
        <v>0.82</v>
      </c>
      <c r="AK82" s="15">
        <f t="shared" si="12"/>
        <v>0.15</v>
      </c>
      <c r="AL82" s="15">
        <f t="shared" si="29"/>
        <v>8.0399999999999999E-2</v>
      </c>
      <c r="AM82" s="15">
        <f t="shared" si="30"/>
        <v>0.16889999999999999</v>
      </c>
      <c r="AN82" s="184">
        <f t="shared" si="31"/>
        <v>0.63371279999999997</v>
      </c>
      <c r="AP82" s="15">
        <v>0.82</v>
      </c>
      <c r="AQ82" s="15">
        <f t="shared" si="17"/>
        <v>0.13803940759355818</v>
      </c>
      <c r="AR82" s="15">
        <f t="shared" si="18"/>
        <v>7.3989122470147189E-2</v>
      </c>
      <c r="AS82" s="15">
        <f t="shared" si="19"/>
        <v>0.15540000000000001</v>
      </c>
      <c r="AT82" s="184">
        <f t="shared" si="32"/>
        <v>0.58318226330970013</v>
      </c>
      <c r="AV82" s="15">
        <v>0.82</v>
      </c>
      <c r="AW82" s="32">
        <f t="shared" si="20"/>
        <v>2</v>
      </c>
      <c r="AX82" s="32">
        <f t="shared" si="21"/>
        <v>0.46</v>
      </c>
    </row>
    <row r="83" spans="4:50">
      <c r="R83">
        <v>0.84</v>
      </c>
      <c r="S83">
        <f t="shared" ca="1" si="22"/>
        <v>0.6</v>
      </c>
      <c r="T83">
        <f t="shared" ca="1" si="1"/>
        <v>10.520081229247634</v>
      </c>
      <c r="U83">
        <f t="shared" ca="1" si="23"/>
        <v>1.5665941071195475</v>
      </c>
      <c r="V83">
        <f t="shared" ca="1" si="3"/>
        <v>0.34315816010163958</v>
      </c>
      <c r="W83">
        <v>0.84</v>
      </c>
      <c r="X83">
        <f t="shared" ca="1" si="24"/>
        <v>0.8</v>
      </c>
      <c r="Y83">
        <f t="shared" ca="1" si="5"/>
        <v>14.026774972330179</v>
      </c>
      <c r="Z83" s="16">
        <f t="shared" si="25"/>
        <v>2.0013559225431243</v>
      </c>
      <c r="AA83" s="16">
        <f t="shared" ca="1" si="7"/>
        <v>0.35185907959409268</v>
      </c>
      <c r="AB83" s="16">
        <f t="shared" ca="1" si="26"/>
        <v>0.24511297150117112</v>
      </c>
      <c r="AC83">
        <f t="shared" ca="1" si="27"/>
        <v>0.1535970146929185</v>
      </c>
      <c r="AD83">
        <f t="shared" ca="1" si="28"/>
        <v>0.25132791399578047</v>
      </c>
      <c r="AE83" s="308">
        <f t="shared" ca="1" si="11"/>
        <v>0.25132791399578047</v>
      </c>
      <c r="AJ83" s="15">
        <v>0.84</v>
      </c>
      <c r="AK83" s="15">
        <f t="shared" si="12"/>
        <v>0.15</v>
      </c>
      <c r="AL83" s="15">
        <f t="shared" si="29"/>
        <v>8.0399999999999999E-2</v>
      </c>
      <c r="AM83" s="15">
        <f t="shared" si="30"/>
        <v>0.16889999999999999</v>
      </c>
      <c r="AN83" s="184">
        <f t="shared" si="31"/>
        <v>0.63371279999999997</v>
      </c>
      <c r="AP83" s="15">
        <v>0.84</v>
      </c>
      <c r="AQ83" s="15">
        <f t="shared" si="17"/>
        <v>0.13638618139749525</v>
      </c>
      <c r="AR83" s="15">
        <f t="shared" si="18"/>
        <v>7.3102993229057459E-2</v>
      </c>
      <c r="AS83" s="15">
        <f t="shared" si="19"/>
        <v>0.15359999999999999</v>
      </c>
      <c r="AT83" s="184">
        <f t="shared" si="32"/>
        <v>0.57619779263143089</v>
      </c>
      <c r="AV83" s="15">
        <v>0.84</v>
      </c>
      <c r="AW83" s="32">
        <f t="shared" si="20"/>
        <v>2</v>
      </c>
      <c r="AX83" s="32">
        <f t="shared" si="21"/>
        <v>0.46</v>
      </c>
    </row>
    <row r="84" spans="4:50">
      <c r="R84">
        <v>0.86</v>
      </c>
      <c r="S84">
        <f t="shared" ca="1" si="22"/>
        <v>0.6</v>
      </c>
      <c r="T84">
        <f t="shared" ca="1" si="1"/>
        <v>11.027001243128614</v>
      </c>
      <c r="U84">
        <f t="shared" ca="1" si="23"/>
        <v>1.5723943633317412</v>
      </c>
      <c r="V84">
        <f t="shared" ca="1" si="3"/>
        <v>0.34242350448198267</v>
      </c>
      <c r="W84">
        <v>0.86</v>
      </c>
      <c r="X84">
        <f t="shared" ca="1" si="24"/>
        <v>0.8</v>
      </c>
      <c r="Y84">
        <f t="shared" ca="1" si="5"/>
        <v>14.702668324171487</v>
      </c>
      <c r="Z84" s="16">
        <f t="shared" si="25"/>
        <v>2.0186882737369016</v>
      </c>
      <c r="AA84" s="16">
        <f t="shared" ca="1" si="7"/>
        <v>0.35007441248465776</v>
      </c>
      <c r="AB84" s="16">
        <f t="shared" ca="1" si="26"/>
        <v>0.24458821748713047</v>
      </c>
      <c r="AC84">
        <f t="shared" ca="1" si="27"/>
        <v>0.15383565380564879</v>
      </c>
      <c r="AD84">
        <f t="shared" ca="1" si="28"/>
        <v>0.25005315177475557</v>
      </c>
      <c r="AE84" s="308">
        <f t="shared" ca="1" si="11"/>
        <v>0.25005315177475557</v>
      </c>
      <c r="AJ84" s="15">
        <v>0.86</v>
      </c>
      <c r="AK84" s="15">
        <f t="shared" si="12"/>
        <v>0.15</v>
      </c>
      <c r="AL84" s="15">
        <f t="shared" si="29"/>
        <v>8.0399999999999999E-2</v>
      </c>
      <c r="AM84" s="15">
        <f t="shared" si="30"/>
        <v>0.16889999999999999</v>
      </c>
      <c r="AN84" s="184">
        <f t="shared" si="31"/>
        <v>0.63371279999999997</v>
      </c>
      <c r="AP84" s="15">
        <v>0.86</v>
      </c>
      <c r="AQ84" s="15">
        <f t="shared" si="17"/>
        <v>0.13479096650429803</v>
      </c>
      <c r="AR84" s="15">
        <f t="shared" si="18"/>
        <v>7.2247958046303754E-2</v>
      </c>
      <c r="AS84" s="15">
        <f t="shared" si="19"/>
        <v>0.15179999999999999</v>
      </c>
      <c r="AT84" s="184">
        <f t="shared" si="32"/>
        <v>0.56945840532096614</v>
      </c>
      <c r="AV84" s="15">
        <v>0.86</v>
      </c>
      <c r="AW84" s="32">
        <f t="shared" si="20"/>
        <v>2</v>
      </c>
      <c r="AX84" s="32">
        <f t="shared" si="21"/>
        <v>0.46</v>
      </c>
    </row>
    <row r="85" spans="4:50">
      <c r="R85">
        <v>0.88</v>
      </c>
      <c r="S85">
        <f t="shared" ca="1" si="22"/>
        <v>0.6</v>
      </c>
      <c r="T85">
        <f t="shared" ca="1" si="1"/>
        <v>11.545848786747971</v>
      </c>
      <c r="U85">
        <f t="shared" ca="1" si="23"/>
        <v>1.5781946195439347</v>
      </c>
      <c r="V85">
        <f t="shared" ca="1" si="3"/>
        <v>0.34169424894514056</v>
      </c>
      <c r="W85">
        <v>0.88</v>
      </c>
      <c r="X85">
        <f t="shared" ca="1" si="24"/>
        <v>0.8</v>
      </c>
      <c r="Y85">
        <f t="shared" ca="1" si="5"/>
        <v>15.394465048997295</v>
      </c>
      <c r="Z85" s="16">
        <f t="shared" si="25"/>
        <v>2.0360206249306785</v>
      </c>
      <c r="AA85" s="16">
        <f t="shared" ca="1" si="7"/>
        <v>0.34832013060484779</v>
      </c>
      <c r="AB85" s="16">
        <f t="shared" ca="1" si="26"/>
        <v>0.2440673206751004</v>
      </c>
      <c r="AC85">
        <f t="shared" ca="1" si="27"/>
        <v>0.15407429291837904</v>
      </c>
      <c r="AD85">
        <f t="shared" ca="1" si="28"/>
        <v>0.24880009328917699</v>
      </c>
      <c r="AE85" s="308">
        <f t="shared" ca="1" si="11"/>
        <v>0.24880009328917699</v>
      </c>
      <c r="AJ85" s="15">
        <v>0.88</v>
      </c>
      <c r="AK85" s="15">
        <f t="shared" si="12"/>
        <v>0.15</v>
      </c>
      <c r="AL85" s="15">
        <f t="shared" si="29"/>
        <v>8.0399999999999999E-2</v>
      </c>
      <c r="AM85" s="15">
        <f t="shared" si="30"/>
        <v>0.16889999999999999</v>
      </c>
      <c r="AN85" s="184">
        <f t="shared" si="31"/>
        <v>0.63371279999999997</v>
      </c>
      <c r="AP85" s="15">
        <v>0.88</v>
      </c>
      <c r="AQ85" s="15">
        <f t="shared" si="17"/>
        <v>0.13325044772225653</v>
      </c>
      <c r="AR85" s="15">
        <f t="shared" si="18"/>
        <v>7.1422239979129498E-2</v>
      </c>
      <c r="AS85" s="15">
        <f t="shared" si="19"/>
        <v>0.15</v>
      </c>
      <c r="AT85" s="184">
        <f t="shared" si="32"/>
        <v>0.56295009551549868</v>
      </c>
      <c r="AV85" s="15">
        <v>0.88</v>
      </c>
      <c r="AW85" s="32">
        <f t="shared" si="20"/>
        <v>2</v>
      </c>
      <c r="AX85" s="32">
        <f t="shared" si="21"/>
        <v>0.46</v>
      </c>
    </row>
    <row r="86" spans="4:50">
      <c r="R86">
        <v>0.9</v>
      </c>
      <c r="S86">
        <f t="shared" ca="1" si="22"/>
        <v>0.6</v>
      </c>
      <c r="T86">
        <f t="shared" ca="1" si="1"/>
        <v>12.076623860105705</v>
      </c>
      <c r="U86">
        <f t="shared" ca="1" si="23"/>
        <v>1.5839948757561284</v>
      </c>
      <c r="V86">
        <f t="shared" ca="1" si="3"/>
        <v>0.34097033416920941</v>
      </c>
      <c r="W86">
        <v>0.9</v>
      </c>
      <c r="X86">
        <f t="shared" ca="1" si="24"/>
        <v>0.8</v>
      </c>
      <c r="Y86">
        <f t="shared" ca="1" si="5"/>
        <v>16.102165146807607</v>
      </c>
      <c r="Z86" s="16">
        <f t="shared" si="25"/>
        <v>2.0533529761244558</v>
      </c>
      <c r="AA86" s="16">
        <f t="shared" ca="1" si="7"/>
        <v>0.34659546450954948</v>
      </c>
      <c r="AB86" s="16">
        <f t="shared" ca="1" si="26"/>
        <v>0.24355023869229245</v>
      </c>
      <c r="AC86">
        <f t="shared" ca="1" si="27"/>
        <v>0.15431293203110927</v>
      </c>
      <c r="AD86">
        <f t="shared" ca="1" si="28"/>
        <v>0.24756818893539248</v>
      </c>
      <c r="AE86" s="308">
        <f t="shared" ca="1" si="11"/>
        <v>0.24756818893539248</v>
      </c>
      <c r="AJ86" s="15">
        <v>0.9</v>
      </c>
      <c r="AK86" s="15">
        <f t="shared" si="12"/>
        <v>0.15</v>
      </c>
      <c r="AL86" s="15">
        <f t="shared" si="29"/>
        <v>8.0399999999999999E-2</v>
      </c>
      <c r="AM86" s="15">
        <f t="shared" si="30"/>
        <v>0.16889999999999999</v>
      </c>
      <c r="AN86" s="184">
        <f t="shared" si="31"/>
        <v>0.63371279999999997</v>
      </c>
      <c r="AP86" s="15">
        <v>0.9</v>
      </c>
      <c r="AQ86" s="15">
        <f t="shared" si="17"/>
        <v>0.13176156917368248</v>
      </c>
      <c r="AR86" s="15">
        <f t="shared" si="18"/>
        <v>7.0624201077093815E-2</v>
      </c>
      <c r="AS86" s="15">
        <f t="shared" si="19"/>
        <v>0.1484</v>
      </c>
      <c r="AT86" s="184">
        <f t="shared" si="32"/>
        <v>0.55665995288965342</v>
      </c>
      <c r="AV86" s="15">
        <v>0.9</v>
      </c>
      <c r="AW86" s="32">
        <f t="shared" si="20"/>
        <v>2</v>
      </c>
      <c r="AX86" s="32">
        <f t="shared" si="21"/>
        <v>0.46</v>
      </c>
    </row>
    <row r="87" spans="4:50">
      <c r="R87">
        <v>0.92</v>
      </c>
      <c r="S87">
        <f t="shared" ca="1" si="22"/>
        <v>0.6</v>
      </c>
      <c r="T87">
        <f t="shared" ca="1" si="1"/>
        <v>12.619326463201814</v>
      </c>
      <c r="U87">
        <f t="shared" ca="1" si="23"/>
        <v>1.5897951319683219</v>
      </c>
      <c r="V87">
        <f t="shared" ca="1" si="3"/>
        <v>0.34025170169801278</v>
      </c>
      <c r="W87">
        <v>0.92</v>
      </c>
      <c r="X87">
        <f t="shared" ca="1" si="24"/>
        <v>0.8</v>
      </c>
      <c r="Y87">
        <f t="shared" ca="1" si="5"/>
        <v>16.825768617602417</v>
      </c>
      <c r="Z87" s="16">
        <f t="shared" si="25"/>
        <v>2.0706853273182331</v>
      </c>
      <c r="AA87" s="16">
        <f t="shared" ca="1" si="7"/>
        <v>0.34489967051573506</v>
      </c>
      <c r="AB87" s="16">
        <f t="shared" ca="1" si="26"/>
        <v>0.24303692978429484</v>
      </c>
      <c r="AC87">
        <f t="shared" ca="1" si="27"/>
        <v>0.15455157114383952</v>
      </c>
      <c r="AD87">
        <f t="shared" ca="1" si="28"/>
        <v>0.24635690751123934</v>
      </c>
      <c r="AE87" s="308">
        <f t="shared" ca="1" si="11"/>
        <v>0.24635690751123934</v>
      </c>
      <c r="AJ87" s="15">
        <v>0.92</v>
      </c>
      <c r="AK87" s="15">
        <f t="shared" si="12"/>
        <v>0.15</v>
      </c>
      <c r="AL87" s="15">
        <f t="shared" si="29"/>
        <v>8.0399999999999999E-2</v>
      </c>
      <c r="AM87" s="15">
        <f t="shared" si="30"/>
        <v>0.16889999999999999</v>
      </c>
      <c r="AN87" s="184">
        <f t="shared" si="31"/>
        <v>0.63371279999999997</v>
      </c>
      <c r="AP87" s="15">
        <v>0.92</v>
      </c>
      <c r="AQ87" s="15">
        <f t="shared" si="17"/>
        <v>0.13032150878567172</v>
      </c>
      <c r="AR87" s="15">
        <f t="shared" si="18"/>
        <v>6.9852328709120046E-2</v>
      </c>
      <c r="AS87" s="15">
        <f t="shared" si="19"/>
        <v>0.1467</v>
      </c>
      <c r="AT87" s="184">
        <f t="shared" si="32"/>
        <v>0.55057605488528416</v>
      </c>
      <c r="AV87" s="15">
        <v>0.92</v>
      </c>
      <c r="AW87" s="32">
        <f t="shared" si="20"/>
        <v>2</v>
      </c>
      <c r="AX87" s="32">
        <f t="shared" si="21"/>
        <v>0.46</v>
      </c>
    </row>
    <row r="88" spans="4:50">
      <c r="R88">
        <v>0.94</v>
      </c>
      <c r="S88">
        <f t="shared" ca="1" si="22"/>
        <v>0.6</v>
      </c>
      <c r="T88">
        <f t="shared" ca="1" si="1"/>
        <v>13.173956596036295</v>
      </c>
      <c r="U88">
        <f t="shared" ca="1" si="23"/>
        <v>1.5955953881805154</v>
      </c>
      <c r="V88">
        <f t="shared" ca="1" si="3"/>
        <v>0.33953829392536594</v>
      </c>
      <c r="W88">
        <v>0.94</v>
      </c>
      <c r="X88">
        <f t="shared" ca="1" si="24"/>
        <v>0.8</v>
      </c>
      <c r="Y88">
        <f t="shared" ca="1" si="5"/>
        <v>17.565275461381727</v>
      </c>
      <c r="Z88" s="16">
        <f t="shared" si="25"/>
        <v>2.0880176785120104</v>
      </c>
      <c r="AA88" s="16">
        <f t="shared" ca="1" si="7"/>
        <v>0.3432320296332238</v>
      </c>
      <c r="AB88" s="16">
        <f t="shared" ca="1" si="26"/>
        <v>0.24252735280383281</v>
      </c>
      <c r="AC88">
        <f t="shared" ca="1" si="27"/>
        <v>0.15479021025656978</v>
      </c>
      <c r="AD88">
        <f t="shared" ca="1" si="28"/>
        <v>0.24516573545230272</v>
      </c>
      <c r="AE88" s="308">
        <f t="shared" ca="1" si="11"/>
        <v>0.24516573545230272</v>
      </c>
      <c r="AJ88" s="15">
        <v>0.94</v>
      </c>
      <c r="AK88" s="15">
        <f t="shared" si="12"/>
        <v>0.15</v>
      </c>
      <c r="AL88" s="15">
        <f t="shared" si="29"/>
        <v>8.0399999999999999E-2</v>
      </c>
      <c r="AM88" s="15">
        <f t="shared" si="30"/>
        <v>0.16889999999999999</v>
      </c>
      <c r="AN88" s="184">
        <f t="shared" si="31"/>
        <v>0.63371279999999997</v>
      </c>
      <c r="AP88" s="15">
        <v>0.94</v>
      </c>
      <c r="AQ88" s="15">
        <f t="shared" si="17"/>
        <v>0.12892765578234919</v>
      </c>
      <c r="AR88" s="15">
        <f t="shared" si="18"/>
        <v>6.9105223499339175E-2</v>
      </c>
      <c r="AS88" s="15">
        <f t="shared" si="19"/>
        <v>0.1452</v>
      </c>
      <c r="AT88" s="184">
        <f t="shared" si="32"/>
        <v>0.54468737162179126</v>
      </c>
      <c r="AV88" s="15">
        <v>0.94</v>
      </c>
      <c r="AW88" s="32">
        <f t="shared" si="20"/>
        <v>2</v>
      </c>
      <c r="AX88" s="32">
        <f t="shared" si="21"/>
        <v>0.46</v>
      </c>
    </row>
    <row r="89" spans="4:50">
      <c r="R89">
        <v>0.96</v>
      </c>
      <c r="S89">
        <f t="shared" ca="1" si="22"/>
        <v>0.6</v>
      </c>
      <c r="T89">
        <f t="shared" ca="1" si="1"/>
        <v>13.740514258609155</v>
      </c>
      <c r="U89">
        <f t="shared" ca="1" si="23"/>
        <v>1.6013956443927091</v>
      </c>
      <c r="V89">
        <f t="shared" ca="1" si="3"/>
        <v>0.33883005407968281</v>
      </c>
      <c r="W89">
        <v>0.96</v>
      </c>
      <c r="X89">
        <f t="shared" ca="1" si="24"/>
        <v>0.8</v>
      </c>
      <c r="Y89">
        <f t="shared" ca="1" si="5"/>
        <v>18.320685678145541</v>
      </c>
      <c r="Z89" s="16">
        <f t="shared" si="25"/>
        <v>2.1053500297057872</v>
      </c>
      <c r="AA89" s="16">
        <f t="shared" ca="1" si="7"/>
        <v>0.34159184654825975</v>
      </c>
      <c r="AB89" s="16">
        <f t="shared" ca="1" si="26"/>
        <v>0.24202146719977344</v>
      </c>
      <c r="AC89">
        <f t="shared" ca="1" si="27"/>
        <v>0.15502884936930003</v>
      </c>
      <c r="AD89">
        <f t="shared" ca="1" si="28"/>
        <v>0.24399417610589982</v>
      </c>
      <c r="AE89" s="308">
        <f t="shared" ca="1" si="11"/>
        <v>0.24399417610589982</v>
      </c>
      <c r="AJ89" s="15">
        <v>0.96</v>
      </c>
      <c r="AK89" s="15">
        <f t="shared" si="12"/>
        <v>0.15</v>
      </c>
      <c r="AL89" s="15">
        <f t="shared" si="29"/>
        <v>8.0399999999999999E-2</v>
      </c>
      <c r="AM89" s="15">
        <f t="shared" si="30"/>
        <v>0.16889999999999999</v>
      </c>
      <c r="AN89" s="184">
        <f t="shared" si="31"/>
        <v>0.63371279999999997</v>
      </c>
      <c r="AP89" s="15">
        <v>0.96</v>
      </c>
      <c r="AQ89" s="15">
        <f t="shared" si="17"/>
        <v>0.1275775907699572</v>
      </c>
      <c r="AR89" s="15">
        <f t="shared" si="18"/>
        <v>6.838158865269707E-2</v>
      </c>
      <c r="AS89" s="15">
        <f t="shared" si="19"/>
        <v>0.14369999999999999</v>
      </c>
      <c r="AT89" s="184">
        <f t="shared" si="32"/>
        <v>0.53898368176055833</v>
      </c>
      <c r="AV89" s="15">
        <v>0.96</v>
      </c>
      <c r="AW89" s="32">
        <f t="shared" si="20"/>
        <v>2</v>
      </c>
      <c r="AX89" s="32">
        <f t="shared" si="21"/>
        <v>0.46</v>
      </c>
    </row>
    <row r="90" spans="4:50">
      <c r="D90" s="294"/>
      <c r="R90">
        <v>0.98</v>
      </c>
      <c r="S90">
        <f t="shared" ca="1" si="22"/>
        <v>0.6</v>
      </c>
      <c r="T90">
        <f t="shared" ca="1" si="1"/>
        <v>14.318999450920392</v>
      </c>
      <c r="U90">
        <f t="shared" ca="1" si="23"/>
        <v>1.6071959006049026</v>
      </c>
      <c r="V90">
        <f t="shared" ca="1" si="3"/>
        <v>0.33812692620891582</v>
      </c>
      <c r="W90">
        <v>0.98</v>
      </c>
      <c r="X90">
        <f t="shared" ca="1" si="24"/>
        <v>0.8</v>
      </c>
      <c r="Y90">
        <f t="shared" ca="1" si="5"/>
        <v>19.091999267893858</v>
      </c>
      <c r="Z90" s="16">
        <f t="shared" si="25"/>
        <v>2.1226823808995645</v>
      </c>
      <c r="AA90" s="16">
        <f t="shared" ca="1" si="7"/>
        <v>0.33997844865688515</v>
      </c>
      <c r="AB90" s="16">
        <f t="shared" ca="1" si="26"/>
        <v>0.24151923300636846</v>
      </c>
      <c r="AC90">
        <f t="shared" ca="1" si="27"/>
        <v>0.15526748848203026</v>
      </c>
      <c r="AD90">
        <f t="shared" ca="1" si="28"/>
        <v>0.24284174904063224</v>
      </c>
      <c r="AE90" s="308">
        <f t="shared" ca="1" si="11"/>
        <v>0.24284174904063224</v>
      </c>
      <c r="AJ90" s="15">
        <v>0.98</v>
      </c>
      <c r="AK90" s="15">
        <f t="shared" si="12"/>
        <v>0.15</v>
      </c>
      <c r="AL90" s="15">
        <f t="shared" si="29"/>
        <v>8.0399999999999999E-2</v>
      </c>
      <c r="AM90" s="15">
        <f t="shared" si="30"/>
        <v>0.16889999999999999</v>
      </c>
      <c r="AN90" s="184">
        <f t="shared" si="31"/>
        <v>0.63371279999999997</v>
      </c>
      <c r="AP90" s="15">
        <v>0.98</v>
      </c>
      <c r="AQ90" s="15">
        <f t="shared" si="17"/>
        <v>0.12626906806902632</v>
      </c>
      <c r="AR90" s="15">
        <f t="shared" si="18"/>
        <v>6.768022048499811E-2</v>
      </c>
      <c r="AS90" s="15">
        <f t="shared" si="19"/>
        <v>0.14219999999999999</v>
      </c>
      <c r="AT90" s="184">
        <f t="shared" si="32"/>
        <v>0.53345549786275503</v>
      </c>
      <c r="AV90" s="15">
        <v>0.98</v>
      </c>
      <c r="AW90" s="32">
        <f t="shared" si="20"/>
        <v>2</v>
      </c>
      <c r="AX90" s="32">
        <f t="shared" si="21"/>
        <v>0.46</v>
      </c>
    </row>
    <row r="91" spans="4:50">
      <c r="R91">
        <v>1</v>
      </c>
      <c r="S91">
        <f t="shared" ca="1" si="22"/>
        <v>0.6</v>
      </c>
      <c r="T91">
        <f t="shared" ca="1" si="1"/>
        <v>14.909412172970004</v>
      </c>
      <c r="U91">
        <f t="shared" ca="1" si="23"/>
        <v>1.6129961568170963</v>
      </c>
      <c r="V91">
        <f t="shared" ca="1" si="3"/>
        <v>0.337428855165821</v>
      </c>
      <c r="W91">
        <v>1</v>
      </c>
      <c r="X91">
        <f t="shared" ca="1" si="24"/>
        <v>0.8</v>
      </c>
      <c r="Y91">
        <f t="shared" ca="1" si="5"/>
        <v>19.879216230626675</v>
      </c>
      <c r="Z91" s="16">
        <f t="shared" si="25"/>
        <v>2.1400147320933418</v>
      </c>
      <c r="AA91" s="16">
        <f t="shared" ca="1" si="7"/>
        <v>0.33839118514528765</v>
      </c>
      <c r="AB91" s="16">
        <f t="shared" ca="1" si="26"/>
        <v>0.2410206108327293</v>
      </c>
      <c r="AC91">
        <f t="shared" ca="1" si="27"/>
        <v>0.15550612759476054</v>
      </c>
      <c r="AD91">
        <f t="shared" ca="1" si="28"/>
        <v>0.24170798938949117</v>
      </c>
      <c r="AE91" s="308">
        <f t="shared" ca="1" si="11"/>
        <v>0.24170798938949117</v>
      </c>
      <c r="AJ91" s="15">
        <v>1</v>
      </c>
      <c r="AK91" s="15">
        <f t="shared" si="12"/>
        <v>0.15</v>
      </c>
      <c r="AL91" s="15">
        <f t="shared" si="29"/>
        <v>8.0399999999999999E-2</v>
      </c>
      <c r="AM91" s="15">
        <f t="shared" si="30"/>
        <v>0.16889999999999999</v>
      </c>
      <c r="AN91" s="184">
        <f t="shared" si="31"/>
        <v>0.63371279999999997</v>
      </c>
      <c r="AP91" s="15">
        <v>1</v>
      </c>
      <c r="AQ91" s="15">
        <f t="shared" si="17"/>
        <v>0.125</v>
      </c>
      <c r="AR91" s="15">
        <f t="shared" si="18"/>
        <v>6.7000000000000004E-2</v>
      </c>
      <c r="AS91" s="15">
        <f t="shared" si="19"/>
        <v>0.14080000000000001</v>
      </c>
      <c r="AT91" s="184">
        <f t="shared" si="32"/>
        <v>0.52809399999999995</v>
      </c>
      <c r="AV91" s="15">
        <v>1</v>
      </c>
      <c r="AW91" s="32">
        <f t="shared" si="20"/>
        <v>2</v>
      </c>
      <c r="AX91" s="32">
        <f t="shared" si="21"/>
        <v>0.46</v>
      </c>
    </row>
    <row r="92" spans="4:50">
      <c r="R92">
        <v>1.02</v>
      </c>
      <c r="S92">
        <f t="shared" ca="1" si="22"/>
        <v>0.6</v>
      </c>
      <c r="T92">
        <f t="shared" ca="1" si="1"/>
        <v>15.511752424757994</v>
      </c>
      <c r="U92">
        <f t="shared" ca="1" si="23"/>
        <v>1.6187964130292898</v>
      </c>
      <c r="V92">
        <f t="shared" ca="1" si="3"/>
        <v>0.3367357865935392</v>
      </c>
      <c r="W92">
        <v>1.02</v>
      </c>
      <c r="X92">
        <f t="shared" ca="1" si="24"/>
        <v>0.8</v>
      </c>
      <c r="Y92">
        <f t="shared" ca="1" si="5"/>
        <v>20.682336566343992</v>
      </c>
      <c r="Z92" s="16">
        <f t="shared" si="25"/>
        <v>2.1573470832871191</v>
      </c>
      <c r="AA92" s="16">
        <f t="shared" ca="1" si="7"/>
        <v>0.33682942611447886</v>
      </c>
      <c r="AB92" s="16">
        <f t="shared" ca="1" si="26"/>
        <v>0.24052556185252799</v>
      </c>
      <c r="AC92">
        <f t="shared" ca="1" si="27"/>
        <v>0.15574476670749077</v>
      </c>
      <c r="AD92">
        <f t="shared" ca="1" si="28"/>
        <v>0.24059244722462775</v>
      </c>
      <c r="AE92" s="308">
        <f t="shared" ca="1" si="11"/>
        <v>0.24059244722462775</v>
      </c>
      <c r="AJ92" s="15">
        <v>1.02</v>
      </c>
      <c r="AK92" s="15">
        <f t="shared" si="12"/>
        <v>0.15</v>
      </c>
      <c r="AL92" s="15">
        <f t="shared" si="29"/>
        <v>8.0399999999999999E-2</v>
      </c>
      <c r="AM92" s="15">
        <f t="shared" si="30"/>
        <v>0.16889999999999999</v>
      </c>
      <c r="AN92" s="184">
        <f t="shared" si="31"/>
        <v>0.63371279999999997</v>
      </c>
      <c r="AP92" s="15">
        <v>1.02</v>
      </c>
      <c r="AQ92" s="15">
        <f t="shared" si="17"/>
        <v>0.12376844287208429</v>
      </c>
      <c r="AR92" s="15">
        <f t="shared" si="18"/>
        <v>6.6339885379437177E-2</v>
      </c>
      <c r="AS92" s="15">
        <f t="shared" si="19"/>
        <v>0.1394</v>
      </c>
      <c r="AT92" s="184">
        <f t="shared" si="32"/>
        <v>0.52289097656072381</v>
      </c>
      <c r="AV92" s="15">
        <v>1.02</v>
      </c>
      <c r="AW92" s="32">
        <f t="shared" si="20"/>
        <v>2</v>
      </c>
      <c r="AX92" s="32">
        <f t="shared" si="21"/>
        <v>0.46</v>
      </c>
    </row>
    <row r="93" spans="4:50">
      <c r="R93">
        <v>1.04</v>
      </c>
      <c r="S93">
        <f t="shared" ca="1" si="22"/>
        <v>0.6</v>
      </c>
      <c r="T93">
        <f t="shared" ca="1" si="1"/>
        <v>16.126020206284359</v>
      </c>
      <c r="U93">
        <f t="shared" ca="1" si="23"/>
        <v>1.6245966692414835</v>
      </c>
      <c r="V93">
        <f t="shared" ca="1" si="3"/>
        <v>0.33604766691148724</v>
      </c>
      <c r="W93">
        <v>1.04</v>
      </c>
      <c r="X93">
        <f t="shared" ca="1" si="24"/>
        <v>0.8</v>
      </c>
      <c r="Y93">
        <f t="shared" ca="1" si="5"/>
        <v>21.501360275045812</v>
      </c>
      <c r="Z93" s="16">
        <f t="shared" si="25"/>
        <v>2.1746794344808964</v>
      </c>
      <c r="AA93" s="16">
        <f t="shared" ca="1" si="7"/>
        <v>0.33529256174683086</v>
      </c>
      <c r="AB93" s="16">
        <f t="shared" ca="1" si="26"/>
        <v>0.24003404779391946</v>
      </c>
      <c r="AC93">
        <f t="shared" ca="1" si="27"/>
        <v>0.15598340582022105</v>
      </c>
      <c r="AD93">
        <f t="shared" ca="1" si="28"/>
        <v>0.23949468696202206</v>
      </c>
      <c r="AE93" s="308">
        <f t="shared" ca="1" si="11"/>
        <v>0.24003404779391946</v>
      </c>
      <c r="AJ93" s="15">
        <v>1.04</v>
      </c>
      <c r="AK93" s="15">
        <f t="shared" si="12"/>
        <v>0.15</v>
      </c>
      <c r="AL93" s="15">
        <f t="shared" si="29"/>
        <v>8.0399999999999999E-2</v>
      </c>
      <c r="AM93" s="15">
        <f t="shared" si="30"/>
        <v>0.16889999999999999</v>
      </c>
      <c r="AN93" s="184">
        <f t="shared" si="31"/>
        <v>0.63371279999999997</v>
      </c>
      <c r="AP93" s="15">
        <v>1.04</v>
      </c>
      <c r="AQ93" s="15">
        <f t="shared" si="17"/>
        <v>0.12257258446136501</v>
      </c>
      <c r="AR93" s="15">
        <f t="shared" si="18"/>
        <v>6.5698905271291658E-2</v>
      </c>
      <c r="AS93" s="15">
        <f t="shared" si="19"/>
        <v>0.13800000000000001</v>
      </c>
      <c r="AT93" s="184">
        <f t="shared" si="32"/>
        <v>0.51783877134832079</v>
      </c>
      <c r="AV93" s="15">
        <v>1.04</v>
      </c>
      <c r="AW93" s="32">
        <f t="shared" si="20"/>
        <v>2</v>
      </c>
      <c r="AX93" s="32">
        <f t="shared" si="21"/>
        <v>0.46</v>
      </c>
    </row>
    <row r="94" spans="4:50">
      <c r="R94">
        <v>1.06</v>
      </c>
      <c r="S94">
        <f t="shared" ca="1" si="22"/>
        <v>0.6</v>
      </c>
      <c r="T94">
        <f t="shared" ca="1" si="1"/>
        <v>16.7522155175491</v>
      </c>
      <c r="U94">
        <f t="shared" ca="1" si="23"/>
        <v>1.630396925453677</v>
      </c>
      <c r="V94">
        <f t="shared" ca="1" si="3"/>
        <v>0.33536444330154902</v>
      </c>
      <c r="W94">
        <v>1.06</v>
      </c>
      <c r="X94">
        <f t="shared" ca="1" si="24"/>
        <v>0.8</v>
      </c>
      <c r="Y94">
        <f t="shared" ca="1" si="5"/>
        <v>22.336287356732136</v>
      </c>
      <c r="Z94" s="16">
        <f t="shared" si="25"/>
        <v>2.1920117856746737</v>
      </c>
      <c r="AA94" s="16">
        <f t="shared" ca="1" si="7"/>
        <v>0.33378000151215448</v>
      </c>
      <c r="AB94" s="16">
        <f t="shared" ca="1" si="26"/>
        <v>0.23954603092967788</v>
      </c>
      <c r="AC94">
        <f t="shared" ca="1" si="27"/>
        <v>0.15622204493295128</v>
      </c>
      <c r="AD94">
        <f t="shared" ca="1" si="28"/>
        <v>0.23841428679439605</v>
      </c>
      <c r="AE94" s="308">
        <f t="shared" ca="1" si="11"/>
        <v>0.23954603092967788</v>
      </c>
      <c r="AJ94" s="15">
        <v>1.06</v>
      </c>
      <c r="AK94" s="15">
        <f t="shared" si="12"/>
        <v>0.15</v>
      </c>
      <c r="AL94" s="15">
        <f t="shared" si="29"/>
        <v>8.0399999999999999E-2</v>
      </c>
      <c r="AM94" s="15">
        <f t="shared" si="30"/>
        <v>0.16889999999999999</v>
      </c>
      <c r="AN94" s="184">
        <f t="shared" si="31"/>
        <v>0.63371279999999997</v>
      </c>
      <c r="AP94" s="15">
        <v>1.06</v>
      </c>
      <c r="AQ94" s="15">
        <f t="shared" si="17"/>
        <v>0.12141073279465803</v>
      </c>
      <c r="AR94" s="15">
        <f t="shared" si="18"/>
        <v>6.5076152777936713E-2</v>
      </c>
      <c r="AS94" s="15">
        <f t="shared" si="19"/>
        <v>0.13669999999999999</v>
      </c>
      <c r="AT94" s="184">
        <f t="shared" si="32"/>
        <v>0.51293023619569711</v>
      </c>
      <c r="AV94" s="15">
        <v>1.06</v>
      </c>
      <c r="AW94" s="32">
        <f t="shared" si="20"/>
        <v>2</v>
      </c>
      <c r="AX94" s="32">
        <f t="shared" si="21"/>
        <v>0.46</v>
      </c>
    </row>
    <row r="95" spans="4:50">
      <c r="R95">
        <v>1.08</v>
      </c>
      <c r="S95">
        <f t="shared" ca="1" si="22"/>
        <v>0.6</v>
      </c>
      <c r="T95">
        <f t="shared" ca="1" si="1"/>
        <v>17.390338358552214</v>
      </c>
      <c r="U95">
        <f t="shared" ca="1" si="23"/>
        <v>1.6361971816658705</v>
      </c>
      <c r="V95">
        <f t="shared" ca="1" si="3"/>
        <v>0.33468606369456133</v>
      </c>
      <c r="W95">
        <v>1.08</v>
      </c>
      <c r="X95">
        <f t="shared" ca="1" si="24"/>
        <v>0.8</v>
      </c>
      <c r="Y95">
        <f t="shared" ca="1" si="5"/>
        <v>23.187117811402953</v>
      </c>
      <c r="Z95" s="16">
        <f t="shared" si="25"/>
        <v>2.2093441368684505</v>
      </c>
      <c r="AA95" s="16">
        <f t="shared" ca="1" si="7"/>
        <v>0.33229117341114778</v>
      </c>
      <c r="AB95" s="16">
        <f t="shared" ca="1" si="26"/>
        <v>0.2390614740675438</v>
      </c>
      <c r="AC95">
        <f t="shared" ca="1" si="27"/>
        <v>0.1564606840456815</v>
      </c>
      <c r="AD95">
        <f t="shared" ca="1" si="28"/>
        <v>0.23735083815081984</v>
      </c>
      <c r="AE95" s="308">
        <f t="shared" ca="1" si="11"/>
        <v>0.2390614740675438</v>
      </c>
      <c r="AJ95" s="15">
        <v>1.08</v>
      </c>
      <c r="AK95" s="15">
        <f t="shared" si="12"/>
        <v>0.15</v>
      </c>
      <c r="AL95" s="15">
        <f t="shared" si="29"/>
        <v>8.0399999999999999E-2</v>
      </c>
      <c r="AM95" s="15">
        <f t="shared" si="30"/>
        <v>0.16889999999999999</v>
      </c>
      <c r="AN95" s="184">
        <f t="shared" si="31"/>
        <v>0.63371279999999997</v>
      </c>
      <c r="AP95" s="15">
        <v>1.08</v>
      </c>
      <c r="AQ95" s="15">
        <f t="shared" si="17"/>
        <v>0.12028130608117202</v>
      </c>
      <c r="AR95" s="15">
        <f t="shared" si="18"/>
        <v>6.4470780059508209E-2</v>
      </c>
      <c r="AS95" s="15">
        <f t="shared" si="19"/>
        <v>0.13539999999999999</v>
      </c>
      <c r="AT95" s="184">
        <f t="shared" si="32"/>
        <v>0.50815868842904366</v>
      </c>
      <c r="AV95" s="15">
        <v>1.08</v>
      </c>
      <c r="AW95" s="32">
        <f t="shared" si="20"/>
        <v>2</v>
      </c>
      <c r="AX95" s="32">
        <f t="shared" si="21"/>
        <v>0.46</v>
      </c>
    </row>
    <row r="96" spans="4:50">
      <c r="R96">
        <v>1.1000000000000001</v>
      </c>
      <c r="S96">
        <f t="shared" ca="1" si="22"/>
        <v>0.6</v>
      </c>
      <c r="T96">
        <f t="shared" ca="1" si="1"/>
        <v>18.04038872929371</v>
      </c>
      <c r="U96">
        <f t="shared" ca="1" si="23"/>
        <v>1.6419974378780642</v>
      </c>
      <c r="V96">
        <f t="shared" ca="1" si="3"/>
        <v>0.33401247675708573</v>
      </c>
      <c r="W96">
        <v>1.1000000000000001</v>
      </c>
      <c r="X96">
        <f t="shared" ca="1" si="24"/>
        <v>0.8</v>
      </c>
      <c r="Y96">
        <f t="shared" ca="1" si="5"/>
        <v>24.05385163905828</v>
      </c>
      <c r="Z96" s="16">
        <f t="shared" si="25"/>
        <v>2.2266764880622278</v>
      </c>
      <c r="AA96" s="16">
        <f t="shared" ca="1" si="7"/>
        <v>0.33082552325417747</v>
      </c>
      <c r="AB96" s="16">
        <f t="shared" ca="1" si="26"/>
        <v>0.23858034054077554</v>
      </c>
      <c r="AC96">
        <f t="shared" ca="1" si="27"/>
        <v>0.15669932315841179</v>
      </c>
      <c r="AD96">
        <f t="shared" ca="1" si="28"/>
        <v>0.23630394518155534</v>
      </c>
      <c r="AE96" s="308">
        <f t="shared" ca="1" si="11"/>
        <v>0.23858034054077554</v>
      </c>
      <c r="AJ96" s="15">
        <v>1.1000000000000001</v>
      </c>
      <c r="AK96" s="15">
        <f t="shared" si="12"/>
        <v>0.15</v>
      </c>
      <c r="AL96" s="15">
        <f t="shared" si="29"/>
        <v>8.0399999999999999E-2</v>
      </c>
      <c r="AM96" s="15">
        <f t="shared" si="30"/>
        <v>0.16889999999999999</v>
      </c>
      <c r="AN96" s="184">
        <f t="shared" si="31"/>
        <v>0.63371279999999997</v>
      </c>
      <c r="AP96" s="15">
        <v>1.1000000000000001</v>
      </c>
      <c r="AQ96" s="15">
        <f t="shared" si="17"/>
        <v>0.11918282365569903</v>
      </c>
      <c r="AR96" s="15">
        <f t="shared" si="18"/>
        <v>6.3881993479454682E-2</v>
      </c>
      <c r="AS96" s="15">
        <f t="shared" si="19"/>
        <v>0.13420000000000001</v>
      </c>
      <c r="AT96" s="184">
        <f t="shared" si="32"/>
        <v>0.50351787260506176</v>
      </c>
      <c r="AV96" s="15">
        <v>1.1000000000000001</v>
      </c>
      <c r="AW96" s="32">
        <f t="shared" si="20"/>
        <v>2</v>
      </c>
      <c r="AX96" s="32">
        <f t="shared" si="21"/>
        <v>0.46</v>
      </c>
    </row>
    <row r="97" spans="18:50">
      <c r="R97">
        <v>1.1200000000000001</v>
      </c>
      <c r="S97">
        <f t="shared" ca="1" si="22"/>
        <v>0.6</v>
      </c>
      <c r="T97">
        <f t="shared" ca="1" si="1"/>
        <v>18.702366629773575</v>
      </c>
      <c r="U97">
        <f t="shared" ca="1" si="23"/>
        <v>1.6477976940902577</v>
      </c>
      <c r="V97">
        <f t="shared" ca="1" si="3"/>
        <v>0.33334363187845939</v>
      </c>
      <c r="W97">
        <v>1.1200000000000001</v>
      </c>
      <c r="X97">
        <f t="shared" ca="1" si="24"/>
        <v>0.8</v>
      </c>
      <c r="Y97">
        <f t="shared" ca="1" si="5"/>
        <v>24.936488839698104</v>
      </c>
      <c r="Z97" s="16">
        <f t="shared" si="25"/>
        <v>2.2440088392560051</v>
      </c>
      <c r="AA97" s="16">
        <f t="shared" ca="1" si="7"/>
        <v>0.32938251397348489</v>
      </c>
      <c r="AB97" s="16">
        <f t="shared" ca="1" si="26"/>
        <v>0.23810259419889956</v>
      </c>
      <c r="AC97">
        <f t="shared" ca="1" si="27"/>
        <v>0.15693796227114201</v>
      </c>
      <c r="AD97">
        <f t="shared" ca="1" si="28"/>
        <v>0.23527322426677494</v>
      </c>
      <c r="AE97" s="308">
        <f t="shared" ca="1" si="11"/>
        <v>0.23810259419889956</v>
      </c>
      <c r="AJ97" s="15">
        <v>1.1200000000000001</v>
      </c>
      <c r="AK97" s="15">
        <f t="shared" si="12"/>
        <v>0.15</v>
      </c>
      <c r="AL97" s="15">
        <f t="shared" si="29"/>
        <v>8.0399999999999999E-2</v>
      </c>
      <c r="AM97" s="15">
        <f t="shared" si="30"/>
        <v>0.16889999999999999</v>
      </c>
      <c r="AN97" s="184">
        <f t="shared" si="31"/>
        <v>0.63371279999999997</v>
      </c>
      <c r="AP97" s="15">
        <v>1.1200000000000001</v>
      </c>
      <c r="AQ97" s="15">
        <f t="shared" si="17"/>
        <v>0.11811389781538349</v>
      </c>
      <c r="AR97" s="15">
        <f t="shared" si="18"/>
        <v>6.3309049229045553E-2</v>
      </c>
      <c r="AS97" s="15">
        <f t="shared" si="19"/>
        <v>0.13300000000000001</v>
      </c>
      <c r="AT97" s="184">
        <f t="shared" si="32"/>
        <v>0.49900192602333704</v>
      </c>
      <c r="AV97" s="15">
        <v>1.1200000000000001</v>
      </c>
      <c r="AW97" s="32">
        <f t="shared" si="20"/>
        <v>2</v>
      </c>
      <c r="AX97" s="32">
        <f t="shared" si="21"/>
        <v>0.46</v>
      </c>
    </row>
    <row r="98" spans="18:50">
      <c r="R98">
        <v>1.1399999999999999</v>
      </c>
      <c r="S98">
        <f t="shared" ca="1" si="22"/>
        <v>0.6</v>
      </c>
      <c r="T98">
        <f t="shared" ca="1" si="1"/>
        <v>19.376272059991816</v>
      </c>
      <c r="U98">
        <f t="shared" ca="1" si="23"/>
        <v>1.6535979503024512</v>
      </c>
      <c r="V98">
        <f t="shared" ca="1" si="3"/>
        <v>0.33267947915811924</v>
      </c>
      <c r="W98">
        <v>1.1399999999999999</v>
      </c>
      <c r="X98">
        <f t="shared" ca="1" si="24"/>
        <v>0.8</v>
      </c>
      <c r="Y98">
        <f t="shared" ca="1" si="5"/>
        <v>25.83502941332242</v>
      </c>
      <c r="Z98" s="16">
        <f t="shared" si="25"/>
        <v>2.261341190449782</v>
      </c>
      <c r="AA98" s="16">
        <f t="shared" ca="1" si="7"/>
        <v>0.32796162496702119</v>
      </c>
      <c r="AB98" s="16">
        <f t="shared" ca="1" si="26"/>
        <v>0.23762819939865659</v>
      </c>
      <c r="AC98">
        <f t="shared" ca="1" si="27"/>
        <v>0.15717660138387229</v>
      </c>
      <c r="AD98">
        <f t="shared" ca="1" si="28"/>
        <v>0.23425830354787228</v>
      </c>
      <c r="AE98" s="308">
        <f t="shared" ca="1" si="11"/>
        <v>0.23762819939865659</v>
      </c>
      <c r="AJ98" s="15">
        <v>1.1399999999999999</v>
      </c>
      <c r="AK98" s="15">
        <f t="shared" si="12"/>
        <v>0.15</v>
      </c>
      <c r="AL98" s="15">
        <f t="shared" si="29"/>
        <v>8.0399999999999999E-2</v>
      </c>
      <c r="AM98" s="15">
        <f t="shared" si="30"/>
        <v>0.16889999999999999</v>
      </c>
      <c r="AN98" s="184">
        <f t="shared" si="31"/>
        <v>0.63371279999999997</v>
      </c>
      <c r="AP98" s="15">
        <v>1.1399999999999999</v>
      </c>
      <c r="AQ98" s="15">
        <f t="shared" si="17"/>
        <v>0.11707322644771175</v>
      </c>
      <c r="AR98" s="15">
        <f t="shared" si="18"/>
        <v>6.2751249375973497E-2</v>
      </c>
      <c r="AS98" s="15">
        <f t="shared" si="19"/>
        <v>0.1318</v>
      </c>
      <c r="AT98" s="184">
        <f t="shared" si="32"/>
        <v>0.4946053475814231</v>
      </c>
      <c r="AV98" s="15">
        <v>1.1399999999999999</v>
      </c>
      <c r="AW98" s="32">
        <f t="shared" si="20"/>
        <v>2</v>
      </c>
      <c r="AX98" s="32">
        <f t="shared" si="21"/>
        <v>0.46</v>
      </c>
    </row>
    <row r="99" spans="18:50">
      <c r="R99">
        <v>1.1599999999999999</v>
      </c>
      <c r="S99">
        <f t="shared" ca="1" si="22"/>
        <v>0.6</v>
      </c>
      <c r="T99">
        <f t="shared" ca="1" si="1"/>
        <v>20.06210501994844</v>
      </c>
      <c r="U99">
        <f t="shared" ca="1" si="23"/>
        <v>1.6593982065146449</v>
      </c>
      <c r="V99">
        <f t="shared" ca="1" si="3"/>
        <v>0.33201996939319123</v>
      </c>
      <c r="W99">
        <v>1.1599999999999999</v>
      </c>
      <c r="X99">
        <f t="shared" ca="1" si="24"/>
        <v>0.8</v>
      </c>
      <c r="Y99">
        <f t="shared" ca="1" si="5"/>
        <v>26.749473359931251</v>
      </c>
      <c r="Z99" s="16">
        <f t="shared" si="25"/>
        <v>2.2786735416435593</v>
      </c>
      <c r="AA99" s="16">
        <f t="shared" ca="1" si="7"/>
        <v>0.3265623514722289</v>
      </c>
      <c r="AB99" s="16">
        <f t="shared" ca="1" si="26"/>
        <v>0.23715712099513658</v>
      </c>
      <c r="AC99">
        <f t="shared" ca="1" si="27"/>
        <v>0.15741524049660252</v>
      </c>
      <c r="AD99">
        <f t="shared" ca="1" si="28"/>
        <v>0.2332588224801635</v>
      </c>
      <c r="AE99" s="308">
        <f t="shared" ca="1" si="11"/>
        <v>0.23715712099513658</v>
      </c>
      <c r="AJ99" s="15">
        <v>1.1599999999999999</v>
      </c>
      <c r="AK99" s="15">
        <f t="shared" si="12"/>
        <v>0.15</v>
      </c>
      <c r="AL99" s="15">
        <f t="shared" si="29"/>
        <v>8.0399999999999999E-2</v>
      </c>
      <c r="AM99" s="15">
        <f t="shared" si="30"/>
        <v>0.16889999999999999</v>
      </c>
      <c r="AN99" s="184">
        <f t="shared" si="31"/>
        <v>0.63371279999999997</v>
      </c>
      <c r="AP99" s="15">
        <v>1.1599999999999999</v>
      </c>
      <c r="AQ99" s="15">
        <f t="shared" si="17"/>
        <v>0.11605958636065743</v>
      </c>
      <c r="AR99" s="15">
        <f t="shared" si="18"/>
        <v>6.2207938289312384E-2</v>
      </c>
      <c r="AS99" s="15">
        <f t="shared" si="19"/>
        <v>0.13070000000000001</v>
      </c>
      <c r="AT99" s="184">
        <f t="shared" si="32"/>
        <v>0.49032296959636018</v>
      </c>
      <c r="AV99" s="15">
        <v>1.1599999999999999</v>
      </c>
      <c r="AW99" s="32">
        <f t="shared" si="20"/>
        <v>2</v>
      </c>
      <c r="AX99" s="32">
        <f t="shared" si="21"/>
        <v>0.46</v>
      </c>
    </row>
    <row r="100" spans="18:50">
      <c r="R100">
        <v>1.18</v>
      </c>
      <c r="S100">
        <f t="shared" ca="1" si="22"/>
        <v>0.6</v>
      </c>
      <c r="T100">
        <f t="shared" ca="1" si="1"/>
        <v>20.759865509643429</v>
      </c>
      <c r="U100">
        <f t="shared" ca="1" si="23"/>
        <v>1.6651984627268384</v>
      </c>
      <c r="V100">
        <f t="shared" ca="1" si="3"/>
        <v>0.33136505406633976</v>
      </c>
      <c r="W100">
        <v>1.18</v>
      </c>
      <c r="X100">
        <f t="shared" ca="1" si="24"/>
        <v>0.8</v>
      </c>
      <c r="Y100">
        <f t="shared" ca="1" si="5"/>
        <v>27.679820679524575</v>
      </c>
      <c r="Z100" s="16">
        <f t="shared" si="25"/>
        <v>2.2960058928373366</v>
      </c>
      <c r="AA100" s="16">
        <f t="shared" ca="1" si="7"/>
        <v>0.32518420396818731</v>
      </c>
      <c r="AB100" s="16">
        <f t="shared" ca="1" si="26"/>
        <v>0.23668932433309983</v>
      </c>
      <c r="AC100">
        <f t="shared" ca="1" si="27"/>
        <v>0.15765387960933275</v>
      </c>
      <c r="AD100">
        <f t="shared" ca="1" si="28"/>
        <v>0.23227443140584808</v>
      </c>
      <c r="AE100" s="308">
        <f t="shared" ca="1" si="11"/>
        <v>0.23668932433309983</v>
      </c>
      <c r="AJ100" s="15">
        <v>1.18</v>
      </c>
      <c r="AK100" s="15">
        <f t="shared" si="12"/>
        <v>0.15</v>
      </c>
      <c r="AL100" s="15">
        <f t="shared" si="29"/>
        <v>8.0399999999999999E-2</v>
      </c>
      <c r="AM100" s="15">
        <f t="shared" si="30"/>
        <v>0.16889999999999999</v>
      </c>
      <c r="AN100" s="184">
        <f t="shared" si="31"/>
        <v>0.63371279999999997</v>
      </c>
      <c r="AP100" s="15">
        <v>1.18</v>
      </c>
      <c r="AQ100" s="15">
        <f t="shared" si="17"/>
        <v>0.11507182723729044</v>
      </c>
      <c r="AR100" s="15">
        <f t="shared" si="18"/>
        <v>6.1678499399187681E-2</v>
      </c>
      <c r="AS100" s="15">
        <f t="shared" si="19"/>
        <v>0.12959999999999999</v>
      </c>
      <c r="AT100" s="184">
        <f t="shared" si="32"/>
        <v>0.48614993226439723</v>
      </c>
      <c r="AV100" s="15">
        <v>1.18</v>
      </c>
      <c r="AW100" s="32">
        <f t="shared" si="20"/>
        <v>2</v>
      </c>
      <c r="AX100" s="32">
        <f t="shared" si="21"/>
        <v>0.46</v>
      </c>
    </row>
    <row r="101" spans="18:50">
      <c r="R101">
        <v>1.2</v>
      </c>
      <c r="S101">
        <f t="shared" ca="1" si="22"/>
        <v>0.6</v>
      </c>
      <c r="T101">
        <f t="shared" ca="1" si="1"/>
        <v>21.469553529076805</v>
      </c>
      <c r="U101">
        <f t="shared" ca="1" si="23"/>
        <v>1.6709987189390321</v>
      </c>
      <c r="V101">
        <f t="shared" ca="1" si="3"/>
        <v>0.33071468533386927</v>
      </c>
      <c r="W101">
        <v>1.2</v>
      </c>
      <c r="X101">
        <f t="shared" ca="1" si="24"/>
        <v>0.8</v>
      </c>
      <c r="Y101">
        <f t="shared" ca="1" si="5"/>
        <v>28.626071372102409</v>
      </c>
      <c r="Z101" s="16">
        <f t="shared" si="25"/>
        <v>2.3133382440311139</v>
      </c>
      <c r="AA101" s="16">
        <f t="shared" ca="1" si="7"/>
        <v>0.32382670760463372</v>
      </c>
      <c r="AB101" s="16">
        <f t="shared" ca="1" si="26"/>
        <v>0.23622477523847807</v>
      </c>
      <c r="AC101">
        <f t="shared" ca="1" si="27"/>
        <v>0.15789251872206303</v>
      </c>
      <c r="AD101">
        <f t="shared" ca="1" si="28"/>
        <v>0.23130479114616695</v>
      </c>
      <c r="AE101" s="308">
        <f t="shared" ca="1" si="11"/>
        <v>0.23622477523847807</v>
      </c>
      <c r="AJ101" s="15">
        <v>1.2</v>
      </c>
      <c r="AK101" s="15">
        <f t="shared" si="12"/>
        <v>0.15</v>
      </c>
      <c r="AL101" s="15">
        <f t="shared" si="29"/>
        <v>8.0399999999999999E-2</v>
      </c>
      <c r="AM101" s="15">
        <f t="shared" si="30"/>
        <v>0.16889999999999999</v>
      </c>
      <c r="AN101" s="184">
        <f t="shared" si="31"/>
        <v>0.63371279999999997</v>
      </c>
      <c r="AP101" s="15">
        <v>1.2</v>
      </c>
      <c r="AQ101" s="15">
        <f t="shared" si="17"/>
        <v>0.11410886614690961</v>
      </c>
      <c r="AR101" s="15">
        <f t="shared" si="18"/>
        <v>6.1162352254743556E-2</v>
      </c>
      <c r="AS101" s="15">
        <f t="shared" si="19"/>
        <v>0.1285</v>
      </c>
      <c r="AT101" s="184">
        <f t="shared" si="32"/>
        <v>0.48208166047188866</v>
      </c>
      <c r="AV101" s="15">
        <v>1.2</v>
      </c>
      <c r="AW101" s="32">
        <f t="shared" si="20"/>
        <v>2</v>
      </c>
      <c r="AX101" s="32">
        <f t="shared" si="21"/>
        <v>0.46</v>
      </c>
    </row>
    <row r="102" spans="18:50">
      <c r="R102">
        <v>1.22</v>
      </c>
      <c r="S102">
        <f t="shared" ca="1" si="22"/>
        <v>0.6</v>
      </c>
      <c r="T102">
        <f t="shared" ca="1" si="1"/>
        <v>22.191169078248556</v>
      </c>
      <c r="U102">
        <f t="shared" ca="1" si="23"/>
        <v>1.6767989751512256</v>
      </c>
      <c r="V102">
        <f t="shared" ca="1" si="3"/>
        <v>0.33006881601407323</v>
      </c>
      <c r="W102">
        <v>1.22</v>
      </c>
      <c r="X102">
        <f t="shared" ca="1" si="24"/>
        <v>0.8</v>
      </c>
      <c r="Y102">
        <f t="shared" ca="1" si="5"/>
        <v>29.58822543766474</v>
      </c>
      <c r="Z102" s="16">
        <f t="shared" si="25"/>
        <v>2.3306705952248912</v>
      </c>
      <c r="AA102" s="16">
        <f t="shared" ca="1" si="7"/>
        <v>0.32248940165646156</v>
      </c>
      <c r="AB102" s="16">
        <f t="shared" ca="1" si="26"/>
        <v>0.23576344001005231</v>
      </c>
      <c r="AC102">
        <f t="shared" ca="1" si="27"/>
        <v>0.15813115783479326</v>
      </c>
      <c r="AD102">
        <f t="shared" ca="1" si="28"/>
        <v>0.23034957261175826</v>
      </c>
      <c r="AE102" s="308">
        <f t="shared" ca="1" si="11"/>
        <v>0.23576344001005231</v>
      </c>
      <c r="AJ102" s="15">
        <v>1.22</v>
      </c>
      <c r="AK102" s="15">
        <f t="shared" si="12"/>
        <v>0.15</v>
      </c>
      <c r="AL102" s="15">
        <f t="shared" si="29"/>
        <v>8.0399999999999999E-2</v>
      </c>
      <c r="AM102" s="15">
        <f t="shared" si="30"/>
        <v>0.16889999999999999</v>
      </c>
      <c r="AN102" s="184">
        <f t="shared" si="31"/>
        <v>0.63371279999999997</v>
      </c>
      <c r="AP102" s="15">
        <v>1.22</v>
      </c>
      <c r="AQ102" s="15">
        <f t="shared" si="17"/>
        <v>0.11316968255314816</v>
      </c>
      <c r="AR102" s="15">
        <f t="shared" si="18"/>
        <v>6.0658949848487416E-2</v>
      </c>
      <c r="AS102" s="15">
        <f t="shared" si="19"/>
        <v>0.12740000000000001</v>
      </c>
      <c r="AT102" s="184">
        <f t="shared" si="32"/>
        <v>0.47811384270577778</v>
      </c>
      <c r="AV102" s="15">
        <v>1.22</v>
      </c>
      <c r="AW102" s="32">
        <f t="shared" si="20"/>
        <v>2</v>
      </c>
      <c r="AX102" s="32">
        <f t="shared" si="21"/>
        <v>0.46</v>
      </c>
    </row>
    <row r="103" spans="18:50">
      <c r="R103">
        <v>1.24</v>
      </c>
      <c r="S103">
        <f t="shared" ca="1" si="22"/>
        <v>0.6</v>
      </c>
      <c r="T103">
        <f t="shared" ca="1" si="1"/>
        <v>22.924712157158684</v>
      </c>
      <c r="U103">
        <f t="shared" ca="1" si="23"/>
        <v>1.6825992313634193</v>
      </c>
      <c r="V103">
        <f t="shared" ca="1" si="3"/>
        <v>0.32942739957582456</v>
      </c>
      <c r="W103">
        <v>1.24</v>
      </c>
      <c r="X103">
        <f t="shared" ca="1" si="24"/>
        <v>0.8</v>
      </c>
      <c r="Y103">
        <f t="shared" ca="1" si="5"/>
        <v>30.566282876211577</v>
      </c>
      <c r="Z103" s="16">
        <f t="shared" si="25"/>
        <v>2.348002946418668</v>
      </c>
      <c r="AA103" s="16">
        <f t="shared" ca="1" si="7"/>
        <v>0.32117183900237911</v>
      </c>
      <c r="AB103" s="16">
        <f t="shared" ca="1" si="26"/>
        <v>0.23530528541130327</v>
      </c>
      <c r="AC103">
        <f t="shared" ca="1" si="27"/>
        <v>0.15836979694752354</v>
      </c>
      <c r="AD103">
        <f t="shared" ca="1" si="28"/>
        <v>0.2294084564302708</v>
      </c>
      <c r="AE103" s="308">
        <f t="shared" ca="1" si="11"/>
        <v>0.23530528541130327</v>
      </c>
      <c r="AJ103" s="15">
        <v>1.24</v>
      </c>
      <c r="AK103" s="15">
        <f t="shared" si="12"/>
        <v>0.15</v>
      </c>
      <c r="AL103" s="15">
        <f t="shared" si="29"/>
        <v>8.0399999999999999E-2</v>
      </c>
      <c r="AM103" s="15">
        <f t="shared" si="30"/>
        <v>0.16889999999999999</v>
      </c>
      <c r="AN103" s="184">
        <f t="shared" si="31"/>
        <v>0.63371279999999997</v>
      </c>
      <c r="AP103" s="15">
        <v>1.24</v>
      </c>
      <c r="AQ103" s="15">
        <f t="shared" si="17"/>
        <v>0.11225331376673431</v>
      </c>
      <c r="AR103" s="15">
        <f t="shared" si="18"/>
        <v>6.0167776178969595E-2</v>
      </c>
      <c r="AS103" s="15">
        <f t="shared" si="19"/>
        <v>0.12640000000000001</v>
      </c>
      <c r="AT103" s="184">
        <f t="shared" si="32"/>
        <v>0.47424241184263832</v>
      </c>
      <c r="AV103" s="15">
        <v>1.24</v>
      </c>
      <c r="AW103" s="32">
        <f t="shared" si="20"/>
        <v>2</v>
      </c>
      <c r="AX103" s="32">
        <f t="shared" si="21"/>
        <v>0.46</v>
      </c>
    </row>
    <row r="104" spans="18:50">
      <c r="R104">
        <v>1.26</v>
      </c>
      <c r="S104">
        <f t="shared" ca="1" si="22"/>
        <v>0.6</v>
      </c>
      <c r="T104">
        <f t="shared" ca="1" si="1"/>
        <v>23.670182765807184</v>
      </c>
      <c r="U104">
        <f t="shared" ca="1" si="23"/>
        <v>1.6883994875756128</v>
      </c>
      <c r="V104">
        <f t="shared" ca="1" si="3"/>
        <v>0.32879039012740019</v>
      </c>
      <c r="W104">
        <v>1.26</v>
      </c>
      <c r="X104">
        <f t="shared" ca="1" si="24"/>
        <v>0.8</v>
      </c>
      <c r="Y104">
        <f t="shared" ca="1" si="5"/>
        <v>31.560243687742911</v>
      </c>
      <c r="Z104" s="16">
        <f t="shared" si="25"/>
        <v>2.3653352976124453</v>
      </c>
      <c r="AA104" s="16">
        <f t="shared" ca="1" si="7"/>
        <v>0.31987358562648932</v>
      </c>
      <c r="AB104" s="16">
        <f t="shared" ca="1" si="26"/>
        <v>0.23485027866242872</v>
      </c>
      <c r="AC104">
        <f t="shared" ca="1" si="27"/>
        <v>0.15860843606025379</v>
      </c>
      <c r="AD104">
        <f t="shared" ca="1" si="28"/>
        <v>0.22848113259034952</v>
      </c>
      <c r="AE104" s="308">
        <f t="shared" ca="1" si="11"/>
        <v>0.23485027866242872</v>
      </c>
      <c r="AJ104" s="15">
        <v>1.26</v>
      </c>
      <c r="AK104" s="15">
        <f t="shared" si="12"/>
        <v>0.15</v>
      </c>
      <c r="AL104" s="15">
        <f t="shared" si="29"/>
        <v>8.0399999999999999E-2</v>
      </c>
      <c r="AM104" s="15">
        <f t="shared" si="30"/>
        <v>0.16889999999999999</v>
      </c>
      <c r="AN104" s="184">
        <f t="shared" si="31"/>
        <v>0.63371279999999997</v>
      </c>
      <c r="AP104" s="15">
        <v>1.26</v>
      </c>
      <c r="AQ104" s="15">
        <f t="shared" si="17"/>
        <v>0.11135885079684349</v>
      </c>
      <c r="AR104" s="15">
        <f t="shared" si="18"/>
        <v>5.9688344027108112E-2</v>
      </c>
      <c r="AS104" s="15">
        <f t="shared" si="19"/>
        <v>0.12540000000000001</v>
      </c>
      <c r="AT104" s="184">
        <f t="shared" si="32"/>
        <v>0.4704635276216661</v>
      </c>
      <c r="AV104" s="15">
        <v>1.26</v>
      </c>
      <c r="AW104" s="32">
        <f t="shared" si="20"/>
        <v>2</v>
      </c>
      <c r="AX104" s="32">
        <f t="shared" si="21"/>
        <v>0.46</v>
      </c>
    </row>
    <row r="105" spans="18:50">
      <c r="R105">
        <v>1.28</v>
      </c>
      <c r="S105">
        <f t="shared" ref="S105:S136" ca="1" si="33">IF(R105&lt;=0.2*$S$38,$S$34*(0.4+3*R105/$S$38),IF(R105&lt;=$S$38,$S$34,IF(R105&lt;=2.5*$S$38,$S$34*$S$38/R105,0.4*$S$34)))</f>
        <v>0.6</v>
      </c>
      <c r="T105">
        <f t="shared" ref="T105:T168" ca="1" si="34">R105^2/(4*PI()^2)*(S105*981)</f>
        <v>24.427580904194055</v>
      </c>
      <c r="U105">
        <f t="shared" ref="U105:U136" ca="1" si="35">IF(R105&gt;$S$38,$U$32,IF(R105&gt;0.6*$S$38,SQRT(2*$U$32-1)+($U$32-SQRT(2*$U$32-1))*(R105-0.6*$S$38)/0.4/$S$38,IF(R105&gt;0.2*$S$38,SQRT(2*$U$32-1),SQRT(2*$U$32-1)+(SQRT(2*$U$32-1)-1)*(R105-0.2*$S$38)/0.2/$S$38)))</f>
        <v>1.6941997437878062</v>
      </c>
      <c r="V105">
        <f t="shared" ref="V105:V168" ca="1" si="36">IF(S105/U105&lt;=0.3,S105/U105,IF(S105/U105&lt;0.8,0.52*S105/U105+0.144,0.7*S105/U105))</f>
        <v>0.32815774240553608</v>
      </c>
      <c r="W105">
        <v>1.28</v>
      </c>
      <c r="X105">
        <f t="shared" ref="X105:X136" ca="1" si="37">IF(W105&lt;=0.2*$X$38,$X$34*(0.4+3*W105/$X$38),IF(W105&lt;=$X$38,$X$34,IF(W105&lt;=2.5*$X$38,$X$34*$X$38/W105,0.4*$X$34)))</f>
        <v>0.8</v>
      </c>
      <c r="Y105">
        <f t="shared" ref="Y105:Y168" ca="1" si="38">W105^2/(4*PI()^2)*(X105*981)</f>
        <v>32.570107872258745</v>
      </c>
      <c r="Z105" s="16">
        <f t="shared" ref="Z105:Z136" si="39">IF(W105&gt;$X$38,$S$32,IF(W105&gt;0.6*$X$38,SQRT(2*$S$32-1)+($S$32-SQRT(2*$S$32-1))*(W105-0.6*$X$38)/0.4/$X$38,IF(W105&gt;0.2*$X$38,SQRT(2*$S$32-1),SQRT(2*$S$32-1)+(SQRT(2*$S$32-1)-1)*(W105-0.2*$X$38)/0.2/$X$38)))</f>
        <v>2.3826676488062226</v>
      </c>
      <c r="AA105" s="16">
        <f t="shared" ref="AA105:AA168" ca="1" si="40">IF(X105/Z105&lt;=0.3,X105/Z105,IF(X105/Z105&lt;0.8,0.52*X105/Z105+0.144,0.7*X105/Z105))</f>
        <v>0.31859422014162431</v>
      </c>
      <c r="AB105" s="16">
        <f t="shared" ref="AB105:AB136" ca="1" si="41">$W$32/1.4/$Y$32*V105</f>
        <v>0.23439838743252578</v>
      </c>
      <c r="AC105">
        <f t="shared" ref="AC105:AC136" ca="1" si="42">$W$32*U105/3.5/$Y$32*V105</f>
        <v>0.15884707517298405</v>
      </c>
      <c r="AD105">
        <f t="shared" ref="AD105:AD136" ca="1" si="43">$W$32/1.4/$Y$32*AA105</f>
        <v>0.22756730010116022</v>
      </c>
      <c r="AE105" s="308">
        <f t="shared" ref="AE105:AE168" ca="1" si="44">MAX(AB105:AD105)</f>
        <v>0.23439838743252578</v>
      </c>
      <c r="AJ105" s="15">
        <v>1.28</v>
      </c>
      <c r="AK105" s="15">
        <f t="shared" ref="AK105:AK168" si="45">IF(0.248/AJ105&lt;=0.0625,0.0625,IF(0.248/AJ105&gt;=0.15,0.15,0.248/AJ105))</f>
        <v>0.15</v>
      </c>
      <c r="AL105" s="15">
        <f t="shared" ref="AL105:AL136" si="46">$AK$35*$AK$36*AK105*$AK$37</f>
        <v>8.0399999999999999E-2</v>
      </c>
      <c r="AM105" s="15">
        <f t="shared" ref="AM105:AM136" si="47">ROUND(AK$33*$AK$35*AM$39*AK105*$AK$37,4)</f>
        <v>0.16889999999999999</v>
      </c>
      <c r="AN105" s="184">
        <f t="shared" ref="AN105:AN136" si="48">IF(AJ105&lt;=AN$38,AL105*AK$38*AK$33*AK$34*(0.4+3*AJ105/AN$37),AL105*AK$38*AK$33*AK$34)</f>
        <v>0.63371279999999997</v>
      </c>
      <c r="AP105" s="15">
        <v>1.28</v>
      </c>
      <c r="AQ105" s="15">
        <f t="shared" si="17"/>
        <v>0.11048543456039805</v>
      </c>
      <c r="AR105" s="15">
        <f t="shared" si="18"/>
        <v>5.922019292437336E-2</v>
      </c>
      <c r="AS105" s="15">
        <f t="shared" si="19"/>
        <v>0.1244</v>
      </c>
      <c r="AT105" s="184">
        <f t="shared" ref="AT105:AT136" si="49">IF(AP105&lt;=AT$38,AR105*AQ$38*AQ$33*AQ$34*(0.4+3*AP105/AT$37),AR105*AQ$38*AQ$33*AQ$34)</f>
        <v>0.46677356062991077</v>
      </c>
      <c r="AV105" s="15">
        <v>1.28</v>
      </c>
      <c r="AW105" s="32">
        <f t="shared" si="20"/>
        <v>2</v>
      </c>
      <c r="AX105" s="32">
        <f t="shared" si="21"/>
        <v>0.46</v>
      </c>
    </row>
    <row r="106" spans="18:50">
      <c r="R106">
        <v>1.3</v>
      </c>
      <c r="S106">
        <f t="shared" ca="1" si="33"/>
        <v>0.6</v>
      </c>
      <c r="T106">
        <f t="shared" ca="1" si="34"/>
        <v>25.19690657231931</v>
      </c>
      <c r="U106">
        <f t="shared" ca="1" si="35"/>
        <v>1.7</v>
      </c>
      <c r="V106">
        <f t="shared" ca="1" si="36"/>
        <v>0.32752941176470585</v>
      </c>
      <c r="W106">
        <v>1.3</v>
      </c>
      <c r="X106">
        <f t="shared" ca="1" si="37"/>
        <v>0.8</v>
      </c>
      <c r="Y106">
        <f t="shared" ca="1" si="38"/>
        <v>33.595875429759083</v>
      </c>
      <c r="Z106" s="16">
        <f t="shared" si="39"/>
        <v>2.4</v>
      </c>
      <c r="AA106" s="16">
        <f t="shared" ca="1" si="40"/>
        <v>0.31733333333333336</v>
      </c>
      <c r="AB106" s="16">
        <f t="shared" ca="1" si="41"/>
        <v>0.23394957983193276</v>
      </c>
      <c r="AC106">
        <f t="shared" ca="1" si="42"/>
        <v>0.15908571428571427</v>
      </c>
      <c r="AD106">
        <f t="shared" ca="1" si="43"/>
        <v>0.22666666666666668</v>
      </c>
      <c r="AE106" s="308">
        <f t="shared" ca="1" si="44"/>
        <v>0.23394957983193276</v>
      </c>
      <c r="AJ106" s="15">
        <v>1.3</v>
      </c>
      <c r="AK106" s="15">
        <f t="shared" si="45"/>
        <v>0.15</v>
      </c>
      <c r="AL106" s="15">
        <f t="shared" si="46"/>
        <v>8.0399999999999999E-2</v>
      </c>
      <c r="AM106" s="15">
        <f t="shared" si="47"/>
        <v>0.16889999999999999</v>
      </c>
      <c r="AN106" s="184">
        <f t="shared" si="48"/>
        <v>0.63371279999999997</v>
      </c>
      <c r="AP106" s="15">
        <v>1.3</v>
      </c>
      <c r="AQ106" s="15">
        <f t="shared" ref="AQ106:AQ169" si="50">IF(1/(8*SQRT(AP106))&lt;=0.15,1/(8*SQRT(AP106)),0.15)</f>
        <v>0.10963225241337865</v>
      </c>
      <c r="AR106" s="15">
        <f t="shared" ref="AR106:AR169" si="51">$AQ$35*$AQ$36*AQ106*$AQ$37</f>
        <v>5.8762887293570959E-2</v>
      </c>
      <c r="AS106" s="15">
        <f t="shared" ref="AS106:AS169" si="52">ROUND(AQ$33*$AQ$35*AS$39*AQ106*$AQ$37,4)</f>
        <v>0.1234</v>
      </c>
      <c r="AT106" s="184">
        <f t="shared" si="49"/>
        <v>0.46316907764792625</v>
      </c>
      <c r="AV106" s="15">
        <v>1.3</v>
      </c>
      <c r="AW106" s="32">
        <f t="shared" ref="AW106:AW169" si="53">IF(AV106&lt;=0.03,1,IF(AV106&lt;0.2,5.882*AV106+0.824,IF(AV106&lt;1.65,2,IF(AV106&lt;3.3,3.3/AV106,1))))</f>
        <v>2</v>
      </c>
      <c r="AX106" s="32">
        <f t="shared" ref="AX106:AX169" si="54">$AW$34*AW106</f>
        <v>0.46</v>
      </c>
    </row>
    <row r="107" spans="18:50">
      <c r="R107">
        <v>1.32</v>
      </c>
      <c r="S107">
        <f t="shared" ca="1" si="33"/>
        <v>0.59090909090909094</v>
      </c>
      <c r="T107">
        <f t="shared" ca="1" si="34"/>
        <v>25.584551288816531</v>
      </c>
      <c r="U107">
        <f t="shared" ca="1" si="35"/>
        <v>1.7</v>
      </c>
      <c r="V107">
        <f t="shared" ca="1" si="36"/>
        <v>0.32474866310160433</v>
      </c>
      <c r="W107">
        <v>1.32</v>
      </c>
      <c r="X107">
        <f t="shared" ca="1" si="37"/>
        <v>0.78787878787878785</v>
      </c>
      <c r="Y107">
        <f t="shared" ca="1" si="38"/>
        <v>34.112735051755365</v>
      </c>
      <c r="Z107" s="16">
        <f t="shared" si="39"/>
        <v>2.4</v>
      </c>
      <c r="AA107" s="16">
        <f t="shared" ca="1" si="40"/>
        <v>0.31470707070707071</v>
      </c>
      <c r="AB107" s="16">
        <f t="shared" ca="1" si="41"/>
        <v>0.23196333078686024</v>
      </c>
      <c r="AC107">
        <f t="shared" ca="1" si="42"/>
        <v>0.15773506493506495</v>
      </c>
      <c r="AD107">
        <f t="shared" ca="1" si="43"/>
        <v>0.22479076479076479</v>
      </c>
      <c r="AE107" s="308">
        <f t="shared" ca="1" si="44"/>
        <v>0.23196333078686024</v>
      </c>
      <c r="AJ107" s="15">
        <v>1.32</v>
      </c>
      <c r="AK107" s="15">
        <f t="shared" si="45"/>
        <v>0.15</v>
      </c>
      <c r="AL107" s="15">
        <f t="shared" si="46"/>
        <v>8.0399999999999999E-2</v>
      </c>
      <c r="AM107" s="15">
        <f t="shared" si="47"/>
        <v>0.16889999999999999</v>
      </c>
      <c r="AN107" s="184">
        <f t="shared" si="48"/>
        <v>0.63371279999999997</v>
      </c>
      <c r="AP107" s="15">
        <v>1.32</v>
      </c>
      <c r="AQ107" s="15">
        <f t="shared" si="50"/>
        <v>0.10879853497231115</v>
      </c>
      <c r="AR107" s="15">
        <f t="shared" si="51"/>
        <v>5.8316014745158781E-2</v>
      </c>
      <c r="AS107" s="15">
        <f t="shared" si="52"/>
        <v>0.1225</v>
      </c>
      <c r="AT107" s="184">
        <f t="shared" si="49"/>
        <v>0.45964682822134151</v>
      </c>
      <c r="AV107" s="15">
        <v>1.32</v>
      </c>
      <c r="AW107" s="32">
        <f t="shared" si="53"/>
        <v>2</v>
      </c>
      <c r="AX107" s="32">
        <f t="shared" si="54"/>
        <v>0.46</v>
      </c>
    </row>
    <row r="108" spans="18:50">
      <c r="R108">
        <v>1.34</v>
      </c>
      <c r="S108">
        <f t="shared" ca="1" si="33"/>
        <v>0.58208955223880599</v>
      </c>
      <c r="T108">
        <f t="shared" ca="1" si="34"/>
        <v>25.972196005313755</v>
      </c>
      <c r="U108">
        <f t="shared" ca="1" si="35"/>
        <v>1.7</v>
      </c>
      <c r="V108">
        <f t="shared" ca="1" si="36"/>
        <v>0.32205092186128181</v>
      </c>
      <c r="W108">
        <v>1.34</v>
      </c>
      <c r="X108">
        <f t="shared" ca="1" si="37"/>
        <v>0.77611940298507465</v>
      </c>
      <c r="Y108">
        <f t="shared" ca="1" si="38"/>
        <v>34.629594673751669</v>
      </c>
      <c r="Z108" s="16">
        <f t="shared" si="39"/>
        <v>2.4</v>
      </c>
      <c r="AA108" s="16">
        <f t="shared" ca="1" si="40"/>
        <v>0.31215920398009955</v>
      </c>
      <c r="AB108" s="16">
        <f t="shared" ca="1" si="41"/>
        <v>0.23003637275805844</v>
      </c>
      <c r="AC108">
        <f t="shared" ca="1" si="42"/>
        <v>0.15642473347547975</v>
      </c>
      <c r="AD108">
        <f t="shared" ca="1" si="43"/>
        <v>0.22297085998578539</v>
      </c>
      <c r="AE108" s="308">
        <f t="shared" ca="1" si="44"/>
        <v>0.23003637275805844</v>
      </c>
      <c r="AJ108" s="15">
        <v>1.34</v>
      </c>
      <c r="AK108" s="15">
        <f t="shared" si="45"/>
        <v>0.15</v>
      </c>
      <c r="AL108" s="15">
        <f t="shared" si="46"/>
        <v>8.0399999999999999E-2</v>
      </c>
      <c r="AM108" s="15">
        <f t="shared" si="47"/>
        <v>0.16889999999999999</v>
      </c>
      <c r="AN108" s="184">
        <f t="shared" si="48"/>
        <v>0.63371279999999997</v>
      </c>
      <c r="AP108" s="15">
        <v>1.34</v>
      </c>
      <c r="AQ108" s="15">
        <f t="shared" si="50"/>
        <v>0.10798355319767</v>
      </c>
      <c r="AR108" s="15">
        <f t="shared" si="51"/>
        <v>5.7879184513951125E-2</v>
      </c>
      <c r="AS108" s="15">
        <f t="shared" si="52"/>
        <v>0.1216</v>
      </c>
      <c r="AT108" s="184">
        <f t="shared" si="49"/>
        <v>0.45620373233896272</v>
      </c>
      <c r="AV108" s="15">
        <v>1.34</v>
      </c>
      <c r="AW108" s="32">
        <f t="shared" si="53"/>
        <v>2</v>
      </c>
      <c r="AX108" s="32">
        <f t="shared" si="54"/>
        <v>0.46</v>
      </c>
    </row>
    <row r="109" spans="18:50">
      <c r="R109">
        <v>1.36</v>
      </c>
      <c r="S109">
        <f t="shared" ca="1" si="33"/>
        <v>0.57352941176470584</v>
      </c>
      <c r="T109">
        <f t="shared" ca="1" si="34"/>
        <v>26.359840721810972</v>
      </c>
      <c r="U109">
        <f t="shared" ca="1" si="35"/>
        <v>1.7</v>
      </c>
      <c r="V109">
        <f t="shared" ca="1" si="36"/>
        <v>0.31943252595155708</v>
      </c>
      <c r="W109">
        <v>1.36</v>
      </c>
      <c r="X109">
        <f t="shared" ca="1" si="37"/>
        <v>0.76470588235294112</v>
      </c>
      <c r="Y109">
        <f t="shared" ca="1" si="38"/>
        <v>35.146454295747958</v>
      </c>
      <c r="Z109" s="16">
        <f t="shared" si="39"/>
        <v>2.4</v>
      </c>
      <c r="AA109" s="16">
        <f t="shared" ca="1" si="40"/>
        <v>0.3096862745098039</v>
      </c>
      <c r="AB109" s="16">
        <f t="shared" ca="1" si="41"/>
        <v>0.22816608996539792</v>
      </c>
      <c r="AC109">
        <f t="shared" ca="1" si="42"/>
        <v>0.15515294117647058</v>
      </c>
      <c r="AD109">
        <f t="shared" ca="1" si="43"/>
        <v>0.22120448179271707</v>
      </c>
      <c r="AE109" s="308">
        <f t="shared" ca="1" si="44"/>
        <v>0.22816608996539792</v>
      </c>
      <c r="AJ109" s="15">
        <v>1.36</v>
      </c>
      <c r="AK109" s="15">
        <f t="shared" si="45"/>
        <v>0.15</v>
      </c>
      <c r="AL109" s="15">
        <f t="shared" si="46"/>
        <v>8.0399999999999999E-2</v>
      </c>
      <c r="AM109" s="15">
        <f t="shared" si="47"/>
        <v>0.16889999999999999</v>
      </c>
      <c r="AN109" s="184">
        <f t="shared" si="48"/>
        <v>0.63371279999999997</v>
      </c>
      <c r="AP109" s="15">
        <v>1.36</v>
      </c>
      <c r="AQ109" s="15">
        <f t="shared" si="50"/>
        <v>0.10718661571406801</v>
      </c>
      <c r="AR109" s="15">
        <f t="shared" si="51"/>
        <v>5.7452026022740459E-2</v>
      </c>
      <c r="AS109" s="15">
        <f t="shared" si="52"/>
        <v>0.1207</v>
      </c>
      <c r="AT109" s="184">
        <f t="shared" si="49"/>
        <v>0.45283686911124027</v>
      </c>
      <c r="AV109" s="15">
        <v>1.36</v>
      </c>
      <c r="AW109" s="32">
        <f t="shared" si="53"/>
        <v>2</v>
      </c>
      <c r="AX109" s="32">
        <f t="shared" si="54"/>
        <v>0.46</v>
      </c>
    </row>
    <row r="110" spans="18:50">
      <c r="R110">
        <v>1.38</v>
      </c>
      <c r="S110">
        <f t="shared" ca="1" si="33"/>
        <v>0.56521739130434789</v>
      </c>
      <c r="T110">
        <f t="shared" ca="1" si="34"/>
        <v>26.747485438308182</v>
      </c>
      <c r="U110">
        <f t="shared" ca="1" si="35"/>
        <v>1.7</v>
      </c>
      <c r="V110">
        <f t="shared" ca="1" si="36"/>
        <v>0.3168900255754476</v>
      </c>
      <c r="W110">
        <v>1.38</v>
      </c>
      <c r="X110">
        <f t="shared" ca="1" si="37"/>
        <v>0.75362318840579723</v>
      </c>
      <c r="Y110">
        <f t="shared" ca="1" si="38"/>
        <v>35.663313917744247</v>
      </c>
      <c r="Z110" s="16">
        <f t="shared" si="39"/>
        <v>2.4</v>
      </c>
      <c r="AA110" s="16">
        <f t="shared" ca="1" si="40"/>
        <v>0.30728502415458936</v>
      </c>
      <c r="AB110" s="16">
        <f t="shared" ca="1" si="41"/>
        <v>0.22635001826817686</v>
      </c>
      <c r="AC110">
        <f t="shared" ca="1" si="42"/>
        <v>0.15391801242236025</v>
      </c>
      <c r="AD110">
        <f t="shared" ca="1" si="43"/>
        <v>0.21948930296756383</v>
      </c>
      <c r="AE110" s="308">
        <f t="shared" ca="1" si="44"/>
        <v>0.22635001826817686</v>
      </c>
      <c r="AJ110" s="15">
        <v>1.38</v>
      </c>
      <c r="AK110" s="15">
        <f t="shared" si="45"/>
        <v>0.15</v>
      </c>
      <c r="AL110" s="15">
        <f t="shared" si="46"/>
        <v>8.0399999999999999E-2</v>
      </c>
      <c r="AM110" s="15">
        <f t="shared" si="47"/>
        <v>0.16889999999999999</v>
      </c>
      <c r="AN110" s="184">
        <f t="shared" si="48"/>
        <v>0.63371279999999997</v>
      </c>
      <c r="AP110" s="15">
        <v>1.38</v>
      </c>
      <c r="AQ110" s="15">
        <f t="shared" si="50"/>
        <v>0.10640706634484356</v>
      </c>
      <c r="AR110" s="15">
        <f t="shared" si="51"/>
        <v>5.7034187560836155E-2</v>
      </c>
      <c r="AS110" s="15">
        <f t="shared" si="52"/>
        <v>0.1198</v>
      </c>
      <c r="AT110" s="184">
        <f t="shared" si="49"/>
        <v>0.44954346635451059</v>
      </c>
      <c r="AV110" s="15">
        <v>1.38</v>
      </c>
      <c r="AW110" s="32">
        <f t="shared" si="53"/>
        <v>2</v>
      </c>
      <c r="AX110" s="32">
        <f t="shared" si="54"/>
        <v>0.46</v>
      </c>
    </row>
    <row r="111" spans="18:50">
      <c r="R111">
        <v>1.4</v>
      </c>
      <c r="S111">
        <f t="shared" ca="1" si="33"/>
        <v>0.55714285714285716</v>
      </c>
      <c r="T111">
        <f t="shared" ca="1" si="34"/>
        <v>27.135130154805402</v>
      </c>
      <c r="U111">
        <f t="shared" ca="1" si="35"/>
        <v>1.7</v>
      </c>
      <c r="V111">
        <f t="shared" ca="1" si="36"/>
        <v>0.31442016806722695</v>
      </c>
      <c r="W111">
        <v>1.4</v>
      </c>
      <c r="X111">
        <f t="shared" ca="1" si="37"/>
        <v>0.74285714285714288</v>
      </c>
      <c r="Y111">
        <f t="shared" ca="1" si="38"/>
        <v>36.180173539740537</v>
      </c>
      <c r="Z111" s="16">
        <f t="shared" si="39"/>
        <v>2.4</v>
      </c>
      <c r="AA111" s="16">
        <f t="shared" ca="1" si="40"/>
        <v>0.30495238095238097</v>
      </c>
      <c r="AB111" s="16">
        <f t="shared" ca="1" si="41"/>
        <v>0.22458583433373353</v>
      </c>
      <c r="AC111">
        <f t="shared" ca="1" si="42"/>
        <v>0.1527183673469388</v>
      </c>
      <c r="AD111">
        <f t="shared" ca="1" si="43"/>
        <v>0.21782312925170069</v>
      </c>
      <c r="AE111" s="308">
        <f t="shared" ca="1" si="44"/>
        <v>0.22458583433373353</v>
      </c>
      <c r="AJ111" s="15">
        <v>1.4</v>
      </c>
      <c r="AK111" s="15">
        <f t="shared" si="45"/>
        <v>0.15</v>
      </c>
      <c r="AL111" s="15">
        <f t="shared" si="46"/>
        <v>8.0399999999999999E-2</v>
      </c>
      <c r="AM111" s="15">
        <f t="shared" si="47"/>
        <v>0.16889999999999999</v>
      </c>
      <c r="AN111" s="184">
        <f t="shared" si="48"/>
        <v>0.63371279999999997</v>
      </c>
      <c r="AP111" s="15">
        <v>1.4</v>
      </c>
      <c r="AQ111" s="15">
        <f t="shared" si="50"/>
        <v>0.10564428184106457</v>
      </c>
      <c r="AR111" s="15">
        <f t="shared" si="51"/>
        <v>5.6625335066810611E-2</v>
      </c>
      <c r="AS111" s="15">
        <f t="shared" si="52"/>
        <v>0.11899999999999999</v>
      </c>
      <c r="AT111" s="184">
        <f t="shared" si="49"/>
        <v>0.44632089099660122</v>
      </c>
      <c r="AV111" s="15">
        <v>1.4</v>
      </c>
      <c r="AW111" s="32">
        <f t="shared" si="53"/>
        <v>2</v>
      </c>
      <c r="AX111" s="32">
        <f t="shared" si="54"/>
        <v>0.46</v>
      </c>
    </row>
    <row r="112" spans="18:50">
      <c r="R112">
        <v>1.42</v>
      </c>
      <c r="S112">
        <f t="shared" ca="1" si="33"/>
        <v>0.54929577464788737</v>
      </c>
      <c r="T112">
        <f t="shared" ca="1" si="34"/>
        <v>27.522774871302627</v>
      </c>
      <c r="U112">
        <f t="shared" ca="1" si="35"/>
        <v>1.7</v>
      </c>
      <c r="V112">
        <f t="shared" ca="1" si="36"/>
        <v>0.31201988400994202</v>
      </c>
      <c r="W112">
        <v>1.42</v>
      </c>
      <c r="X112">
        <f t="shared" ca="1" si="37"/>
        <v>0.73239436619718312</v>
      </c>
      <c r="Y112">
        <f t="shared" ca="1" si="38"/>
        <v>36.69703316173684</v>
      </c>
      <c r="Z112" s="16">
        <f t="shared" si="39"/>
        <v>2.4</v>
      </c>
      <c r="AA112" s="16">
        <f t="shared" ca="1" si="40"/>
        <v>0.30268544600938968</v>
      </c>
      <c r="AB112" s="16">
        <f t="shared" ca="1" si="41"/>
        <v>0.22287134572138717</v>
      </c>
      <c r="AC112">
        <f t="shared" ca="1" si="42"/>
        <v>0.15155251509054327</v>
      </c>
      <c r="AD112">
        <f t="shared" ca="1" si="43"/>
        <v>0.21620389000670692</v>
      </c>
      <c r="AE112" s="308">
        <f t="shared" ca="1" si="44"/>
        <v>0.22287134572138717</v>
      </c>
      <c r="AJ112" s="15">
        <v>1.42</v>
      </c>
      <c r="AK112" s="15">
        <f t="shared" si="45"/>
        <v>0.15</v>
      </c>
      <c r="AL112" s="15">
        <f t="shared" si="46"/>
        <v>8.0399999999999999E-2</v>
      </c>
      <c r="AM112" s="15">
        <f t="shared" si="47"/>
        <v>0.16889999999999999</v>
      </c>
      <c r="AN112" s="184">
        <f t="shared" si="48"/>
        <v>0.63371279999999997</v>
      </c>
      <c r="AP112" s="15">
        <v>1.42</v>
      </c>
      <c r="AQ112" s="15">
        <f t="shared" si="50"/>
        <v>0.10489766978708615</v>
      </c>
      <c r="AR112" s="15">
        <f t="shared" si="51"/>
        <v>5.6225151005878174E-2</v>
      </c>
      <c r="AS112" s="15">
        <f t="shared" si="52"/>
        <v>0.1181</v>
      </c>
      <c r="AT112" s="184">
        <f t="shared" si="49"/>
        <v>0.44316664022833174</v>
      </c>
      <c r="AV112" s="15">
        <v>1.42</v>
      </c>
      <c r="AW112" s="32">
        <f t="shared" si="53"/>
        <v>2</v>
      </c>
      <c r="AX112" s="32">
        <f t="shared" si="54"/>
        <v>0.46</v>
      </c>
    </row>
    <row r="113" spans="18:50">
      <c r="R113">
        <v>1.44</v>
      </c>
      <c r="S113">
        <f t="shared" ca="1" si="33"/>
        <v>0.54166666666666674</v>
      </c>
      <c r="T113">
        <f t="shared" ca="1" si="34"/>
        <v>27.910419587799851</v>
      </c>
      <c r="U113">
        <f t="shared" ca="1" si="35"/>
        <v>1.7</v>
      </c>
      <c r="V113">
        <f t="shared" ca="1" si="36"/>
        <v>0.30968627450980396</v>
      </c>
      <c r="W113">
        <v>1.44</v>
      </c>
      <c r="X113">
        <f t="shared" ca="1" si="37"/>
        <v>0.72222222222222232</v>
      </c>
      <c r="Y113">
        <f t="shared" ca="1" si="38"/>
        <v>37.213892783733129</v>
      </c>
      <c r="Z113" s="16">
        <f t="shared" si="39"/>
        <v>2.4</v>
      </c>
      <c r="AA113" s="16">
        <f t="shared" ca="1" si="40"/>
        <v>0.30048148148148152</v>
      </c>
      <c r="AB113" s="16">
        <f t="shared" ca="1" si="41"/>
        <v>0.22120448179271712</v>
      </c>
      <c r="AC113">
        <f t="shared" ca="1" si="42"/>
        <v>0.15041904761904765</v>
      </c>
      <c r="AD113">
        <f t="shared" ca="1" si="43"/>
        <v>0.21462962962962967</v>
      </c>
      <c r="AE113" s="308">
        <f t="shared" ca="1" si="44"/>
        <v>0.22120448179271712</v>
      </c>
      <c r="AJ113" s="15">
        <v>1.44</v>
      </c>
      <c r="AK113" s="15">
        <f t="shared" si="45"/>
        <v>0.15</v>
      </c>
      <c r="AL113" s="15">
        <f t="shared" si="46"/>
        <v>8.0399999999999999E-2</v>
      </c>
      <c r="AM113" s="15">
        <f t="shared" si="47"/>
        <v>0.16889999999999999</v>
      </c>
      <c r="AN113" s="184">
        <f t="shared" si="48"/>
        <v>0.63371279999999997</v>
      </c>
      <c r="AP113" s="15">
        <v>1.44</v>
      </c>
      <c r="AQ113" s="15">
        <f t="shared" si="50"/>
        <v>0.10416666666666667</v>
      </c>
      <c r="AR113" s="15">
        <f t="shared" si="51"/>
        <v>5.5833333333333339E-2</v>
      </c>
      <c r="AS113" s="15">
        <f t="shared" si="52"/>
        <v>0.1173</v>
      </c>
      <c r="AT113" s="184">
        <f t="shared" si="49"/>
        <v>0.44007833333333335</v>
      </c>
      <c r="AV113" s="15">
        <v>1.44</v>
      </c>
      <c r="AW113" s="32">
        <f t="shared" si="53"/>
        <v>2</v>
      </c>
      <c r="AX113" s="32">
        <f t="shared" si="54"/>
        <v>0.46</v>
      </c>
    </row>
    <row r="114" spans="18:50">
      <c r="R114">
        <v>1.46</v>
      </c>
      <c r="S114">
        <f t="shared" ca="1" si="33"/>
        <v>0.53424657534246578</v>
      </c>
      <c r="T114">
        <f t="shared" ca="1" si="34"/>
        <v>28.298064304297061</v>
      </c>
      <c r="U114">
        <f t="shared" ca="1" si="35"/>
        <v>1.7</v>
      </c>
      <c r="V114">
        <f t="shared" ca="1" si="36"/>
        <v>0.30741659951651895</v>
      </c>
      <c r="W114">
        <v>1.46</v>
      </c>
      <c r="X114">
        <f t="shared" ca="1" si="37"/>
        <v>0.71232876712328774</v>
      </c>
      <c r="Y114">
        <f t="shared" ca="1" si="38"/>
        <v>37.730752405729419</v>
      </c>
      <c r="Z114" s="16">
        <f t="shared" si="39"/>
        <v>2.4</v>
      </c>
      <c r="AA114" s="16">
        <f t="shared" ca="1" si="40"/>
        <v>0.29680365296803657</v>
      </c>
      <c r="AB114" s="16">
        <f t="shared" ca="1" si="41"/>
        <v>0.21958328536894212</v>
      </c>
      <c r="AC114">
        <f t="shared" ca="1" si="42"/>
        <v>0.14931663405088064</v>
      </c>
      <c r="AD114">
        <f t="shared" ca="1" si="43"/>
        <v>0.21200260926288328</v>
      </c>
      <c r="AE114" s="308">
        <f t="shared" ca="1" si="44"/>
        <v>0.21958328536894212</v>
      </c>
      <c r="AJ114" s="15">
        <v>1.46</v>
      </c>
      <c r="AK114" s="15">
        <f t="shared" si="45"/>
        <v>0.15</v>
      </c>
      <c r="AL114" s="15">
        <f t="shared" si="46"/>
        <v>8.0399999999999999E-2</v>
      </c>
      <c r="AM114" s="15">
        <f t="shared" si="47"/>
        <v>0.16889999999999999</v>
      </c>
      <c r="AN114" s="184">
        <f t="shared" si="48"/>
        <v>0.63371279999999997</v>
      </c>
      <c r="AP114" s="15">
        <v>1.46</v>
      </c>
      <c r="AQ114" s="15">
        <f t="shared" si="50"/>
        <v>0.10345073607529599</v>
      </c>
      <c r="AR114" s="15">
        <f t="shared" si="51"/>
        <v>5.5449594536358657E-2</v>
      </c>
      <c r="AS114" s="15">
        <f t="shared" si="52"/>
        <v>0.11650000000000001</v>
      </c>
      <c r="AT114" s="184">
        <f t="shared" si="49"/>
        <v>0.43705370413557887</v>
      </c>
      <c r="AV114" s="15">
        <v>1.46</v>
      </c>
      <c r="AW114" s="32">
        <f t="shared" si="53"/>
        <v>2</v>
      </c>
      <c r="AX114" s="32">
        <f t="shared" si="54"/>
        <v>0.46</v>
      </c>
    </row>
    <row r="115" spans="18:50">
      <c r="R115">
        <v>1.48</v>
      </c>
      <c r="S115">
        <f t="shared" ca="1" si="33"/>
        <v>0.52702702702702708</v>
      </c>
      <c r="T115">
        <f t="shared" ca="1" si="34"/>
        <v>28.685709020794288</v>
      </c>
      <c r="U115">
        <f t="shared" ca="1" si="35"/>
        <v>1.7</v>
      </c>
      <c r="V115">
        <f t="shared" ca="1" si="36"/>
        <v>0.30520826709062004</v>
      </c>
      <c r="W115">
        <v>1.48</v>
      </c>
      <c r="X115">
        <f t="shared" ca="1" si="37"/>
        <v>0.70270270270270274</v>
      </c>
      <c r="Y115">
        <f t="shared" ca="1" si="38"/>
        <v>38.247612027725715</v>
      </c>
      <c r="Z115" s="16">
        <f t="shared" si="39"/>
        <v>2.4</v>
      </c>
      <c r="AA115" s="16">
        <f t="shared" ca="1" si="40"/>
        <v>0.2927927927927928</v>
      </c>
      <c r="AB115" s="16">
        <f t="shared" ca="1" si="41"/>
        <v>0.21800590506472861</v>
      </c>
      <c r="AC115">
        <f t="shared" ca="1" si="42"/>
        <v>0.14824401544401544</v>
      </c>
      <c r="AD115">
        <f t="shared" ca="1" si="43"/>
        <v>0.20913770913770915</v>
      </c>
      <c r="AE115" s="308">
        <f t="shared" ca="1" si="44"/>
        <v>0.21800590506472861</v>
      </c>
      <c r="AJ115" s="15">
        <v>1.48</v>
      </c>
      <c r="AK115" s="15">
        <f t="shared" si="45"/>
        <v>0.15</v>
      </c>
      <c r="AL115" s="15">
        <f t="shared" si="46"/>
        <v>8.0399999999999999E-2</v>
      </c>
      <c r="AM115" s="15">
        <f t="shared" si="47"/>
        <v>0.16889999999999999</v>
      </c>
      <c r="AN115" s="184">
        <f t="shared" si="48"/>
        <v>0.63371279999999997</v>
      </c>
      <c r="AP115" s="15">
        <v>1.48</v>
      </c>
      <c r="AQ115" s="15">
        <f t="shared" si="50"/>
        <v>0.10274936706584832</v>
      </c>
      <c r="AR115" s="15">
        <f t="shared" si="51"/>
        <v>5.5073660747294702E-2</v>
      </c>
      <c r="AS115" s="15">
        <f t="shared" si="52"/>
        <v>0.1157</v>
      </c>
      <c r="AT115" s="184">
        <f t="shared" si="49"/>
        <v>0.4340905940101768</v>
      </c>
      <c r="AV115" s="15">
        <v>1.48</v>
      </c>
      <c r="AW115" s="32">
        <f t="shared" si="53"/>
        <v>2</v>
      </c>
      <c r="AX115" s="32">
        <f t="shared" si="54"/>
        <v>0.46</v>
      </c>
    </row>
    <row r="116" spans="18:50">
      <c r="R116">
        <v>1.5</v>
      </c>
      <c r="S116">
        <f t="shared" ca="1" si="33"/>
        <v>0.52</v>
      </c>
      <c r="T116">
        <f t="shared" ca="1" si="34"/>
        <v>29.073353737291509</v>
      </c>
      <c r="U116">
        <f t="shared" ca="1" si="35"/>
        <v>1.7</v>
      </c>
      <c r="V116">
        <f t="shared" ca="1" si="36"/>
        <v>0.30305882352941177</v>
      </c>
      <c r="W116">
        <v>1.5</v>
      </c>
      <c r="X116">
        <f t="shared" ca="1" si="37"/>
        <v>0.69333333333333336</v>
      </c>
      <c r="Y116">
        <f t="shared" ca="1" si="38"/>
        <v>38.764471649722005</v>
      </c>
      <c r="Z116" s="16">
        <f t="shared" si="39"/>
        <v>2.4</v>
      </c>
      <c r="AA116" s="16">
        <f t="shared" ca="1" si="40"/>
        <v>0.28888888888888892</v>
      </c>
      <c r="AB116" s="16">
        <f t="shared" ca="1" si="41"/>
        <v>0.21647058823529414</v>
      </c>
      <c r="AC116">
        <f t="shared" ca="1" si="42"/>
        <v>0.1472</v>
      </c>
      <c r="AD116">
        <f t="shared" ca="1" si="43"/>
        <v>0.20634920634920637</v>
      </c>
      <c r="AE116" s="308">
        <f t="shared" ca="1" si="44"/>
        <v>0.21647058823529414</v>
      </c>
      <c r="AJ116" s="15">
        <v>1.5</v>
      </c>
      <c r="AK116" s="15">
        <f t="shared" si="45"/>
        <v>0.15</v>
      </c>
      <c r="AL116" s="15">
        <f t="shared" si="46"/>
        <v>8.0399999999999999E-2</v>
      </c>
      <c r="AM116" s="15">
        <f t="shared" si="47"/>
        <v>0.16889999999999999</v>
      </c>
      <c r="AN116" s="184">
        <f t="shared" si="48"/>
        <v>0.63371279999999997</v>
      </c>
      <c r="AP116" s="15">
        <v>1.5</v>
      </c>
      <c r="AQ116" s="15">
        <f t="shared" si="50"/>
        <v>0.10206207261596577</v>
      </c>
      <c r="AR116" s="15">
        <f t="shared" si="51"/>
        <v>5.4705270922157656E-2</v>
      </c>
      <c r="AS116" s="15">
        <f t="shared" si="52"/>
        <v>0.1149</v>
      </c>
      <c r="AT116" s="184">
        <f t="shared" si="49"/>
        <v>0.43118694540844665</v>
      </c>
      <c r="AV116" s="15">
        <v>1.5</v>
      </c>
      <c r="AW116" s="32">
        <f t="shared" si="53"/>
        <v>2</v>
      </c>
      <c r="AX116" s="32">
        <f t="shared" si="54"/>
        <v>0.46</v>
      </c>
    </row>
    <row r="117" spans="18:50">
      <c r="R117">
        <v>1.52</v>
      </c>
      <c r="S117">
        <f t="shared" ca="1" si="33"/>
        <v>0.51315789473684215</v>
      </c>
      <c r="T117">
        <f t="shared" ca="1" si="34"/>
        <v>29.460998453788729</v>
      </c>
      <c r="U117">
        <f t="shared" ca="1" si="35"/>
        <v>1.7</v>
      </c>
      <c r="V117">
        <f t="shared" ca="1" si="36"/>
        <v>0.30096594427244583</v>
      </c>
      <c r="W117">
        <v>1.52</v>
      </c>
      <c r="X117">
        <f t="shared" ca="1" si="37"/>
        <v>0.68421052631578949</v>
      </c>
      <c r="Y117">
        <f t="shared" ca="1" si="38"/>
        <v>39.281331271718301</v>
      </c>
      <c r="Z117" s="16">
        <f t="shared" si="39"/>
        <v>2.4</v>
      </c>
      <c r="AA117" s="16">
        <f t="shared" ca="1" si="40"/>
        <v>0.28508771929824561</v>
      </c>
      <c r="AB117" s="16">
        <f t="shared" ca="1" si="41"/>
        <v>0.21497567448031846</v>
      </c>
      <c r="AC117">
        <f t="shared" ca="1" si="42"/>
        <v>0.14618345864661655</v>
      </c>
      <c r="AD117">
        <f t="shared" ca="1" si="43"/>
        <v>0.20363408521303258</v>
      </c>
      <c r="AE117" s="308">
        <f t="shared" ca="1" si="44"/>
        <v>0.21497567448031846</v>
      </c>
      <c r="AJ117" s="15">
        <v>1.52</v>
      </c>
      <c r="AK117" s="15">
        <f t="shared" si="45"/>
        <v>0.15</v>
      </c>
      <c r="AL117" s="15">
        <f t="shared" si="46"/>
        <v>8.0399999999999999E-2</v>
      </c>
      <c r="AM117" s="15">
        <f t="shared" si="47"/>
        <v>0.16889999999999999</v>
      </c>
      <c r="AN117" s="184">
        <f t="shared" si="48"/>
        <v>0.63371279999999997</v>
      </c>
      <c r="AP117" s="15">
        <v>1.52</v>
      </c>
      <c r="AQ117" s="15">
        <f t="shared" si="50"/>
        <v>0.10138838820672659</v>
      </c>
      <c r="AR117" s="15">
        <f t="shared" si="51"/>
        <v>5.4344176078805456E-2</v>
      </c>
      <c r="AS117" s="15">
        <f t="shared" si="52"/>
        <v>0.1142</v>
      </c>
      <c r="AT117" s="184">
        <f t="shared" si="49"/>
        <v>0.42834079585314461</v>
      </c>
      <c r="AV117" s="15">
        <v>1.52</v>
      </c>
      <c r="AW117" s="32">
        <f t="shared" si="53"/>
        <v>2</v>
      </c>
      <c r="AX117" s="32">
        <f t="shared" si="54"/>
        <v>0.46</v>
      </c>
    </row>
    <row r="118" spans="18:50">
      <c r="R118">
        <v>1.54</v>
      </c>
      <c r="S118">
        <f t="shared" ca="1" si="33"/>
        <v>0.50649350649350655</v>
      </c>
      <c r="T118">
        <f t="shared" ca="1" si="34"/>
        <v>29.84864317028595</v>
      </c>
      <c r="U118">
        <f t="shared" ca="1" si="35"/>
        <v>1.7</v>
      </c>
      <c r="V118">
        <f t="shared" ca="1" si="36"/>
        <v>0.29793735676088623</v>
      </c>
      <c r="W118">
        <v>1.54</v>
      </c>
      <c r="X118">
        <f t="shared" ca="1" si="37"/>
        <v>0.67532467532467533</v>
      </c>
      <c r="Y118">
        <f t="shared" ca="1" si="38"/>
        <v>39.798190893714597</v>
      </c>
      <c r="Z118" s="16">
        <f t="shared" si="39"/>
        <v>2.4</v>
      </c>
      <c r="AA118" s="16">
        <f t="shared" ca="1" si="40"/>
        <v>0.2813852813852814</v>
      </c>
      <c r="AB118" s="16">
        <f t="shared" ca="1" si="41"/>
        <v>0.2128123976863473</v>
      </c>
      <c r="AC118">
        <f t="shared" ca="1" si="42"/>
        <v>0.14471243042671617</v>
      </c>
      <c r="AD118">
        <f t="shared" ca="1" si="43"/>
        <v>0.20098948670377242</v>
      </c>
      <c r="AE118" s="308">
        <f t="shared" ca="1" si="44"/>
        <v>0.2128123976863473</v>
      </c>
      <c r="AJ118" s="15">
        <v>1.54</v>
      </c>
      <c r="AK118" s="15">
        <f t="shared" si="45"/>
        <v>0.15</v>
      </c>
      <c r="AL118" s="15">
        <f t="shared" si="46"/>
        <v>8.0399999999999999E-2</v>
      </c>
      <c r="AM118" s="15">
        <f t="shared" si="47"/>
        <v>0.16889999999999999</v>
      </c>
      <c r="AN118" s="184">
        <f t="shared" si="48"/>
        <v>0.63371279999999997</v>
      </c>
      <c r="AP118" s="15">
        <v>1.54</v>
      </c>
      <c r="AQ118" s="15">
        <f t="shared" si="50"/>
        <v>0.10072787050317253</v>
      </c>
      <c r="AR118" s="15">
        <f t="shared" si="51"/>
        <v>5.3990138589700476E-2</v>
      </c>
      <c r="AS118" s="15">
        <f t="shared" si="52"/>
        <v>0.1134</v>
      </c>
      <c r="AT118" s="184">
        <f t="shared" si="49"/>
        <v>0.4255502723640191</v>
      </c>
      <c r="AV118" s="15">
        <v>1.54</v>
      </c>
      <c r="AW118" s="32">
        <f t="shared" si="53"/>
        <v>2</v>
      </c>
      <c r="AX118" s="32">
        <f t="shared" si="54"/>
        <v>0.46</v>
      </c>
    </row>
    <row r="119" spans="18:50">
      <c r="R119">
        <v>1.56</v>
      </c>
      <c r="S119">
        <f t="shared" ca="1" si="33"/>
        <v>0.5</v>
      </c>
      <c r="T119">
        <f t="shared" ca="1" si="34"/>
        <v>30.23628788678317</v>
      </c>
      <c r="U119">
        <f t="shared" ca="1" si="35"/>
        <v>1.7</v>
      </c>
      <c r="V119">
        <f t="shared" ca="1" si="36"/>
        <v>0.29411764705882354</v>
      </c>
      <c r="W119">
        <v>1.56</v>
      </c>
      <c r="X119">
        <f t="shared" ca="1" si="37"/>
        <v>0.66666666666666663</v>
      </c>
      <c r="Y119">
        <f t="shared" ca="1" si="38"/>
        <v>40.315050515710894</v>
      </c>
      <c r="Z119" s="16">
        <f t="shared" si="39"/>
        <v>2.4</v>
      </c>
      <c r="AA119" s="16">
        <f t="shared" ca="1" si="40"/>
        <v>0.27777777777777779</v>
      </c>
      <c r="AB119" s="16">
        <f t="shared" ca="1" si="41"/>
        <v>0.21008403361344538</v>
      </c>
      <c r="AC119">
        <f t="shared" ca="1" si="42"/>
        <v>0.14285714285714285</v>
      </c>
      <c r="AD119">
        <f t="shared" ca="1" si="43"/>
        <v>0.19841269841269843</v>
      </c>
      <c r="AE119" s="308">
        <f t="shared" ca="1" si="44"/>
        <v>0.21008403361344538</v>
      </c>
      <c r="AJ119" s="15">
        <v>1.56</v>
      </c>
      <c r="AK119" s="15">
        <f t="shared" si="45"/>
        <v>0.15</v>
      </c>
      <c r="AL119" s="15">
        <f t="shared" si="46"/>
        <v>8.0399999999999999E-2</v>
      </c>
      <c r="AM119" s="15">
        <f t="shared" si="47"/>
        <v>0.16889999999999999</v>
      </c>
      <c r="AN119" s="184">
        <f t="shared" si="48"/>
        <v>0.63371279999999997</v>
      </c>
      <c r="AP119" s="15">
        <v>1.56</v>
      </c>
      <c r="AQ119" s="15">
        <f t="shared" si="50"/>
        <v>0.10008009612817946</v>
      </c>
      <c r="AR119" s="15">
        <f t="shared" si="51"/>
        <v>5.3642931524704195E-2</v>
      </c>
      <c r="AS119" s="15">
        <f t="shared" si="52"/>
        <v>0.11269999999999999</v>
      </c>
      <c r="AT119" s="184">
        <f t="shared" si="49"/>
        <v>0.42281358627771842</v>
      </c>
      <c r="AV119" s="15">
        <v>1.56</v>
      </c>
      <c r="AW119" s="32">
        <f t="shared" si="53"/>
        <v>2</v>
      </c>
      <c r="AX119" s="32">
        <f t="shared" si="54"/>
        <v>0.46</v>
      </c>
    </row>
    <row r="120" spans="18:50">
      <c r="R120">
        <v>1.58</v>
      </c>
      <c r="S120">
        <f t="shared" ca="1" si="33"/>
        <v>0.49367088607594939</v>
      </c>
      <c r="T120">
        <f t="shared" ca="1" si="34"/>
        <v>30.623932603280394</v>
      </c>
      <c r="U120">
        <f t="shared" ca="1" si="35"/>
        <v>1.7</v>
      </c>
      <c r="V120">
        <f t="shared" ca="1" si="36"/>
        <v>0.29039463886820555</v>
      </c>
      <c r="W120">
        <v>1.58</v>
      </c>
      <c r="X120">
        <f t="shared" ca="1" si="37"/>
        <v>0.65822784810126578</v>
      </c>
      <c r="Y120">
        <f t="shared" ca="1" si="38"/>
        <v>40.831910137707183</v>
      </c>
      <c r="Z120" s="16">
        <f t="shared" si="39"/>
        <v>2.4</v>
      </c>
      <c r="AA120" s="16">
        <f t="shared" ca="1" si="40"/>
        <v>0.27426160337552741</v>
      </c>
      <c r="AB120" s="16">
        <f t="shared" ca="1" si="41"/>
        <v>0.20742474204871825</v>
      </c>
      <c r="AC120">
        <f t="shared" ca="1" si="42"/>
        <v>0.1410488245931284</v>
      </c>
      <c r="AD120">
        <f t="shared" ca="1" si="43"/>
        <v>0.19590114526823388</v>
      </c>
      <c r="AE120" s="308">
        <f t="shared" ca="1" si="44"/>
        <v>0.20742474204871825</v>
      </c>
      <c r="AJ120" s="15">
        <v>1.58</v>
      </c>
      <c r="AK120" s="15">
        <f t="shared" si="45"/>
        <v>0.15</v>
      </c>
      <c r="AL120" s="15">
        <f t="shared" si="46"/>
        <v>8.0399999999999999E-2</v>
      </c>
      <c r="AM120" s="15">
        <f t="shared" si="47"/>
        <v>0.16889999999999999</v>
      </c>
      <c r="AN120" s="184">
        <f t="shared" si="48"/>
        <v>0.63371279999999997</v>
      </c>
      <c r="AP120" s="15">
        <v>1.58</v>
      </c>
      <c r="AQ120" s="15">
        <f t="shared" si="50"/>
        <v>9.9444660521966252E-2</v>
      </c>
      <c r="AR120" s="15">
        <f t="shared" si="51"/>
        <v>5.3302338039773911E-2</v>
      </c>
      <c r="AS120" s="15">
        <f t="shared" si="52"/>
        <v>0.112</v>
      </c>
      <c r="AT120" s="184">
        <f t="shared" si="49"/>
        <v>0.42012902842949795</v>
      </c>
      <c r="AV120" s="15">
        <v>1.58</v>
      </c>
      <c r="AW120" s="32">
        <f t="shared" si="53"/>
        <v>2</v>
      </c>
      <c r="AX120" s="32">
        <f t="shared" si="54"/>
        <v>0.46</v>
      </c>
    </row>
    <row r="121" spans="18:50">
      <c r="R121">
        <v>1.6</v>
      </c>
      <c r="S121">
        <f t="shared" ca="1" si="33"/>
        <v>0.48749999999999999</v>
      </c>
      <c r="T121">
        <f t="shared" ca="1" si="34"/>
        <v>31.011577319777615</v>
      </c>
      <c r="U121">
        <f t="shared" ca="1" si="35"/>
        <v>1.7</v>
      </c>
      <c r="V121">
        <f t="shared" ca="1" si="36"/>
        <v>0.28676470588235292</v>
      </c>
      <c r="W121">
        <v>1.6</v>
      </c>
      <c r="X121">
        <f t="shared" ca="1" si="37"/>
        <v>0.65</v>
      </c>
      <c r="Y121">
        <f t="shared" ca="1" si="38"/>
        <v>41.348769759703487</v>
      </c>
      <c r="Z121" s="16">
        <f t="shared" si="39"/>
        <v>2.4</v>
      </c>
      <c r="AA121" s="16">
        <f t="shared" ca="1" si="40"/>
        <v>0.27083333333333337</v>
      </c>
      <c r="AB121" s="16">
        <f t="shared" ca="1" si="41"/>
        <v>0.20483193277310924</v>
      </c>
      <c r="AC121">
        <f t="shared" ca="1" si="42"/>
        <v>0.13928571428571426</v>
      </c>
      <c r="AD121">
        <f t="shared" ca="1" si="43"/>
        <v>0.19345238095238099</v>
      </c>
      <c r="AE121" s="308">
        <f t="shared" ca="1" si="44"/>
        <v>0.20483193277310924</v>
      </c>
      <c r="AJ121" s="15">
        <v>1.6</v>
      </c>
      <c r="AK121" s="15">
        <f t="shared" si="45"/>
        <v>0.15</v>
      </c>
      <c r="AL121" s="15">
        <f t="shared" si="46"/>
        <v>8.0399999999999999E-2</v>
      </c>
      <c r="AM121" s="15">
        <f t="shared" si="47"/>
        <v>0.16889999999999999</v>
      </c>
      <c r="AN121" s="184">
        <f t="shared" si="48"/>
        <v>0.63371279999999997</v>
      </c>
      <c r="AP121" s="15">
        <v>1.6</v>
      </c>
      <c r="AQ121" s="15">
        <f t="shared" si="50"/>
        <v>9.8821176880261846E-2</v>
      </c>
      <c r="AR121" s="15">
        <f t="shared" si="51"/>
        <v>5.2968150807820351E-2</v>
      </c>
      <c r="AS121" s="15">
        <f t="shared" si="52"/>
        <v>0.1113</v>
      </c>
      <c r="AT121" s="184">
        <f t="shared" si="49"/>
        <v>0.41749496466723995</v>
      </c>
      <c r="AV121" s="15">
        <v>1.6</v>
      </c>
      <c r="AW121" s="32">
        <f t="shared" si="53"/>
        <v>2</v>
      </c>
      <c r="AX121" s="32">
        <f t="shared" si="54"/>
        <v>0.46</v>
      </c>
    </row>
    <row r="122" spans="18:50">
      <c r="R122">
        <v>1.62</v>
      </c>
      <c r="S122">
        <f t="shared" ca="1" si="33"/>
        <v>0.48148148148148145</v>
      </c>
      <c r="T122">
        <f t="shared" ca="1" si="34"/>
        <v>31.399222036274836</v>
      </c>
      <c r="U122">
        <f t="shared" ca="1" si="35"/>
        <v>1.7</v>
      </c>
      <c r="V122">
        <f t="shared" ca="1" si="36"/>
        <v>0.28322440087145967</v>
      </c>
      <c r="W122">
        <v>1.62</v>
      </c>
      <c r="X122">
        <f t="shared" ca="1" si="37"/>
        <v>0.64197530864197527</v>
      </c>
      <c r="Y122">
        <f t="shared" ca="1" si="38"/>
        <v>41.865629381699776</v>
      </c>
      <c r="Z122" s="16">
        <f t="shared" si="39"/>
        <v>2.4</v>
      </c>
      <c r="AA122" s="16">
        <f t="shared" ca="1" si="40"/>
        <v>0.26748971193415638</v>
      </c>
      <c r="AB122" s="16">
        <f t="shared" ca="1" si="41"/>
        <v>0.20230314347961406</v>
      </c>
      <c r="AC122">
        <f t="shared" ca="1" si="42"/>
        <v>0.13756613756613756</v>
      </c>
      <c r="AD122">
        <f t="shared" ca="1" si="43"/>
        <v>0.19106407995296884</v>
      </c>
      <c r="AE122" s="308">
        <f t="shared" ca="1" si="44"/>
        <v>0.20230314347961406</v>
      </c>
      <c r="AJ122" s="15">
        <v>1.62</v>
      </c>
      <c r="AK122" s="15">
        <f t="shared" si="45"/>
        <v>0.15</v>
      </c>
      <c r="AL122" s="15">
        <f t="shared" si="46"/>
        <v>8.0399999999999999E-2</v>
      </c>
      <c r="AM122" s="15">
        <f t="shared" si="47"/>
        <v>0.16889999999999999</v>
      </c>
      <c r="AN122" s="184">
        <f t="shared" si="48"/>
        <v>0.63371279999999997</v>
      </c>
      <c r="AP122" s="15">
        <v>1.62</v>
      </c>
      <c r="AQ122" s="15">
        <f t="shared" si="50"/>
        <v>9.8209275164798271E-2</v>
      </c>
      <c r="AR122" s="15">
        <f t="shared" si="51"/>
        <v>5.2640171488331874E-2</v>
      </c>
      <c r="AS122" s="15">
        <f t="shared" si="52"/>
        <v>0.1106</v>
      </c>
      <c r="AT122" s="184">
        <f t="shared" si="49"/>
        <v>0.41490983167103179</v>
      </c>
      <c r="AV122" s="15">
        <v>1.62</v>
      </c>
      <c r="AW122" s="32">
        <f t="shared" si="53"/>
        <v>2</v>
      </c>
      <c r="AX122" s="32">
        <f t="shared" si="54"/>
        <v>0.46</v>
      </c>
    </row>
    <row r="123" spans="18:50">
      <c r="R123">
        <v>1.64</v>
      </c>
      <c r="S123">
        <f t="shared" ca="1" si="33"/>
        <v>0.47560975609756101</v>
      </c>
      <c r="T123">
        <f t="shared" ca="1" si="34"/>
        <v>31.786866752772045</v>
      </c>
      <c r="U123">
        <f t="shared" ca="1" si="35"/>
        <v>1.7</v>
      </c>
      <c r="V123">
        <f t="shared" ca="1" si="36"/>
        <v>0.27977044476327118</v>
      </c>
      <c r="W123">
        <v>1.64</v>
      </c>
      <c r="X123">
        <f t="shared" ca="1" si="37"/>
        <v>0.63414634146341464</v>
      </c>
      <c r="Y123">
        <f t="shared" ca="1" si="38"/>
        <v>42.382489003696058</v>
      </c>
      <c r="Z123" s="16">
        <f t="shared" si="39"/>
        <v>2.4</v>
      </c>
      <c r="AA123" s="16">
        <f t="shared" ca="1" si="40"/>
        <v>0.26422764227642276</v>
      </c>
      <c r="AB123" s="16">
        <f t="shared" ca="1" si="41"/>
        <v>0.19983603197376512</v>
      </c>
      <c r="AC123">
        <f t="shared" ca="1" si="42"/>
        <v>0.13588850174216027</v>
      </c>
      <c r="AD123">
        <f t="shared" ca="1" si="43"/>
        <v>0.18873403019744484</v>
      </c>
      <c r="AE123" s="308">
        <f t="shared" ca="1" si="44"/>
        <v>0.19983603197376512</v>
      </c>
      <c r="AJ123" s="15">
        <v>1.64</v>
      </c>
      <c r="AK123" s="15">
        <f t="shared" si="45"/>
        <v>0.15</v>
      </c>
      <c r="AL123" s="15">
        <f t="shared" si="46"/>
        <v>8.0399999999999999E-2</v>
      </c>
      <c r="AM123" s="15">
        <f t="shared" si="47"/>
        <v>0.16889999999999999</v>
      </c>
      <c r="AN123" s="184">
        <f t="shared" si="48"/>
        <v>0.63371279999999997</v>
      </c>
      <c r="AP123" s="15">
        <v>1.64</v>
      </c>
      <c r="AQ123" s="15">
        <f t="shared" si="50"/>
        <v>9.7608601180378785E-2</v>
      </c>
      <c r="AR123" s="15">
        <f t="shared" si="51"/>
        <v>5.231821023268303E-2</v>
      </c>
      <c r="AS123" s="15">
        <f t="shared" si="52"/>
        <v>0.1099</v>
      </c>
      <c r="AT123" s="184">
        <f t="shared" si="49"/>
        <v>0.41237213305400766</v>
      </c>
      <c r="AV123" s="15">
        <v>1.64</v>
      </c>
      <c r="AW123" s="32">
        <f t="shared" si="53"/>
        <v>2</v>
      </c>
      <c r="AX123" s="32">
        <f t="shared" si="54"/>
        <v>0.46</v>
      </c>
    </row>
    <row r="124" spans="18:50">
      <c r="R124">
        <v>1.66</v>
      </c>
      <c r="S124">
        <f t="shared" ca="1" si="33"/>
        <v>0.46987951807228917</v>
      </c>
      <c r="T124">
        <f t="shared" ca="1" si="34"/>
        <v>32.174511469269262</v>
      </c>
      <c r="U124">
        <f t="shared" ca="1" si="35"/>
        <v>1.7</v>
      </c>
      <c r="V124">
        <f t="shared" ca="1" si="36"/>
        <v>0.27639971651311129</v>
      </c>
      <c r="W124">
        <v>1.66</v>
      </c>
      <c r="X124">
        <f t="shared" ca="1" si="37"/>
        <v>0.62650602409638556</v>
      </c>
      <c r="Y124">
        <f t="shared" ca="1" si="38"/>
        <v>42.899348625692355</v>
      </c>
      <c r="Z124" s="16">
        <f t="shared" si="39"/>
        <v>2.4</v>
      </c>
      <c r="AA124" s="16">
        <f t="shared" ca="1" si="40"/>
        <v>0.26104417670682734</v>
      </c>
      <c r="AB124" s="16">
        <f t="shared" ca="1" si="41"/>
        <v>0.19742836893793664</v>
      </c>
      <c r="AC124">
        <f t="shared" ca="1" si="42"/>
        <v>0.13425129087779691</v>
      </c>
      <c r="AD124">
        <f t="shared" ca="1" si="43"/>
        <v>0.18646012621916239</v>
      </c>
      <c r="AE124" s="308">
        <f t="shared" ca="1" si="44"/>
        <v>0.19742836893793664</v>
      </c>
      <c r="AJ124" s="15">
        <v>1.66</v>
      </c>
      <c r="AK124" s="15">
        <f t="shared" si="45"/>
        <v>0.14939759036144579</v>
      </c>
      <c r="AL124" s="15">
        <f t="shared" si="46"/>
        <v>8.0077108433734945E-2</v>
      </c>
      <c r="AM124" s="15">
        <f t="shared" si="47"/>
        <v>0.16819999999999999</v>
      </c>
      <c r="AN124" s="184">
        <f t="shared" si="48"/>
        <v>0.63116776867469881</v>
      </c>
      <c r="AP124" s="15">
        <v>1.66</v>
      </c>
      <c r="AQ124" s="15">
        <f t="shared" si="50"/>
        <v>9.7018815713291601E-2</v>
      </c>
      <c r="AR124" s="15">
        <f t="shared" si="51"/>
        <v>5.2002085222324301E-2</v>
      </c>
      <c r="AS124" s="15">
        <f t="shared" si="52"/>
        <v>0.10920000000000001</v>
      </c>
      <c r="AT124" s="184">
        <f t="shared" si="49"/>
        <v>0.4098804357223601</v>
      </c>
      <c r="AV124" s="15">
        <v>1.66</v>
      </c>
      <c r="AW124" s="32">
        <f t="shared" si="53"/>
        <v>1.9879518072289157</v>
      </c>
      <c r="AX124" s="32">
        <f t="shared" si="54"/>
        <v>0.45722891566265061</v>
      </c>
    </row>
    <row r="125" spans="18:50">
      <c r="R125">
        <v>1.68</v>
      </c>
      <c r="S125">
        <f t="shared" ca="1" si="33"/>
        <v>0.4642857142857143</v>
      </c>
      <c r="T125">
        <f t="shared" ca="1" si="34"/>
        <v>32.562156185766483</v>
      </c>
      <c r="U125">
        <f t="shared" ca="1" si="35"/>
        <v>1.7</v>
      </c>
      <c r="V125">
        <f t="shared" ca="1" si="36"/>
        <v>0.27310924369747902</v>
      </c>
      <c r="W125">
        <v>1.68</v>
      </c>
      <c r="X125">
        <f t="shared" ca="1" si="37"/>
        <v>0.61904761904761907</v>
      </c>
      <c r="Y125">
        <f t="shared" ca="1" si="38"/>
        <v>43.416208247688651</v>
      </c>
      <c r="Z125" s="16">
        <f t="shared" si="39"/>
        <v>2.4</v>
      </c>
      <c r="AA125" s="16">
        <f t="shared" ca="1" si="40"/>
        <v>0.25793650793650796</v>
      </c>
      <c r="AB125" s="16">
        <f t="shared" ca="1" si="41"/>
        <v>0.19507803121248501</v>
      </c>
      <c r="AC125">
        <f t="shared" ca="1" si="42"/>
        <v>0.1326530612244898</v>
      </c>
      <c r="AD125">
        <f t="shared" ca="1" si="43"/>
        <v>0.1842403628117914</v>
      </c>
      <c r="AE125" s="308">
        <f t="shared" ca="1" si="44"/>
        <v>0.19507803121248501</v>
      </c>
      <c r="AJ125" s="15">
        <v>1.68</v>
      </c>
      <c r="AK125" s="15">
        <f t="shared" si="45"/>
        <v>0.14761904761904762</v>
      </c>
      <c r="AL125" s="15">
        <f t="shared" si="46"/>
        <v>7.9123809523809527E-2</v>
      </c>
      <c r="AM125" s="15">
        <f t="shared" si="47"/>
        <v>0.16619999999999999</v>
      </c>
      <c r="AN125" s="184">
        <f t="shared" si="48"/>
        <v>0.62365386666666667</v>
      </c>
      <c r="AP125" s="15">
        <v>1.68</v>
      </c>
      <c r="AQ125" s="15">
        <f t="shared" si="50"/>
        <v>9.6439593726307449E-2</v>
      </c>
      <c r="AR125" s="15">
        <f t="shared" si="51"/>
        <v>5.1691622237300797E-2</v>
      </c>
      <c r="AS125" s="15">
        <f t="shared" si="52"/>
        <v>0.1086</v>
      </c>
      <c r="AT125" s="184">
        <f t="shared" si="49"/>
        <v>0.40743336647440487</v>
      </c>
      <c r="AV125" s="15">
        <v>1.68</v>
      </c>
      <c r="AW125" s="32">
        <f t="shared" si="53"/>
        <v>1.9642857142857142</v>
      </c>
      <c r="AX125" s="32">
        <f t="shared" si="54"/>
        <v>0.45178571428571429</v>
      </c>
    </row>
    <row r="126" spans="18:50">
      <c r="R126">
        <v>1.7</v>
      </c>
      <c r="S126">
        <f t="shared" ca="1" si="33"/>
        <v>0.45882352941176474</v>
      </c>
      <c r="T126">
        <f t="shared" ca="1" si="34"/>
        <v>32.949800902263711</v>
      </c>
      <c r="U126">
        <f t="shared" ca="1" si="35"/>
        <v>1.7</v>
      </c>
      <c r="V126">
        <f t="shared" ca="1" si="36"/>
        <v>0.26989619377162632</v>
      </c>
      <c r="W126">
        <v>1.7</v>
      </c>
      <c r="X126">
        <f t="shared" ca="1" si="37"/>
        <v>0.61176470588235299</v>
      </c>
      <c r="Y126">
        <f t="shared" ca="1" si="38"/>
        <v>43.933067869684947</v>
      </c>
      <c r="Z126" s="16">
        <f t="shared" si="39"/>
        <v>2.4</v>
      </c>
      <c r="AA126" s="16">
        <f t="shared" ca="1" si="40"/>
        <v>0.25490196078431376</v>
      </c>
      <c r="AB126" s="16">
        <f t="shared" ca="1" si="41"/>
        <v>0.19278299555116166</v>
      </c>
      <c r="AC126">
        <f t="shared" ca="1" si="42"/>
        <v>0.13109243697478992</v>
      </c>
      <c r="AD126">
        <f t="shared" ca="1" si="43"/>
        <v>0.18207282913165268</v>
      </c>
      <c r="AE126" s="308">
        <f t="shared" ca="1" si="44"/>
        <v>0.19278299555116166</v>
      </c>
      <c r="AJ126" s="15">
        <v>1.7</v>
      </c>
      <c r="AK126" s="15">
        <f t="shared" si="45"/>
        <v>0.14588235294117646</v>
      </c>
      <c r="AL126" s="15">
        <f t="shared" si="46"/>
        <v>7.819294117647059E-2</v>
      </c>
      <c r="AM126" s="15">
        <f t="shared" si="47"/>
        <v>0.1643</v>
      </c>
      <c r="AN126" s="184">
        <f t="shared" si="48"/>
        <v>0.61631676235294108</v>
      </c>
      <c r="AP126" s="15">
        <v>1.7</v>
      </c>
      <c r="AQ126" s="15">
        <f t="shared" si="50"/>
        <v>9.5870623605921301E-2</v>
      </c>
      <c r="AR126" s="15">
        <f t="shared" si="51"/>
        <v>5.138665425277382E-2</v>
      </c>
      <c r="AS126" s="15">
        <f t="shared" si="52"/>
        <v>0.108</v>
      </c>
      <c r="AT126" s="184">
        <f t="shared" si="49"/>
        <v>0.40502960882036326</v>
      </c>
      <c r="AV126" s="15">
        <v>1.7</v>
      </c>
      <c r="AW126" s="32">
        <f t="shared" si="53"/>
        <v>1.9411764705882353</v>
      </c>
      <c r="AX126" s="32">
        <f t="shared" si="54"/>
        <v>0.44647058823529412</v>
      </c>
    </row>
    <row r="127" spans="18:50">
      <c r="R127">
        <v>1.72</v>
      </c>
      <c r="S127">
        <f t="shared" ca="1" si="33"/>
        <v>0.45348837209302328</v>
      </c>
      <c r="T127">
        <f t="shared" ca="1" si="34"/>
        <v>33.337445618760931</v>
      </c>
      <c r="U127">
        <f t="shared" ca="1" si="35"/>
        <v>1.7</v>
      </c>
      <c r="V127">
        <f t="shared" ca="1" si="36"/>
        <v>0.26675786593707251</v>
      </c>
      <c r="W127">
        <v>1.72</v>
      </c>
      <c r="X127">
        <f t="shared" ca="1" si="37"/>
        <v>0.60465116279069775</v>
      </c>
      <c r="Y127">
        <f t="shared" ca="1" si="38"/>
        <v>44.449927491681244</v>
      </c>
      <c r="Z127" s="16">
        <f t="shared" si="39"/>
        <v>2.4</v>
      </c>
      <c r="AA127" s="16">
        <f t="shared" ca="1" si="40"/>
        <v>0.25193798449612409</v>
      </c>
      <c r="AB127" s="16">
        <f t="shared" ca="1" si="41"/>
        <v>0.19054133281219465</v>
      </c>
      <c r="AC127">
        <f t="shared" ca="1" si="42"/>
        <v>0.12956810631229237</v>
      </c>
      <c r="AD127">
        <f t="shared" ca="1" si="43"/>
        <v>0.17995570321151722</v>
      </c>
      <c r="AE127" s="308">
        <f t="shared" ca="1" si="44"/>
        <v>0.19054133281219465</v>
      </c>
      <c r="AJ127" s="15">
        <v>1.72</v>
      </c>
      <c r="AK127" s="15">
        <f t="shared" si="45"/>
        <v>0.14418604651162792</v>
      </c>
      <c r="AL127" s="15">
        <f t="shared" si="46"/>
        <v>7.7283720930232572E-2</v>
      </c>
      <c r="AM127" s="15">
        <f t="shared" si="47"/>
        <v>0.16239999999999999</v>
      </c>
      <c r="AN127" s="184">
        <f t="shared" si="48"/>
        <v>0.60915028837209306</v>
      </c>
      <c r="AP127" s="15">
        <v>1.72</v>
      </c>
      <c r="AQ127" s="15">
        <f t="shared" si="50"/>
        <v>9.5311606457877923E-2</v>
      </c>
      <c r="AR127" s="15">
        <f t="shared" si="51"/>
        <v>5.1087021061422572E-2</v>
      </c>
      <c r="AS127" s="15">
        <f t="shared" si="52"/>
        <v>0.10730000000000001</v>
      </c>
      <c r="AT127" s="184">
        <f t="shared" si="49"/>
        <v>0.40266790000613273</v>
      </c>
      <c r="AV127" s="15">
        <v>1.72</v>
      </c>
      <c r="AW127" s="32">
        <f t="shared" si="53"/>
        <v>1.9186046511627906</v>
      </c>
      <c r="AX127" s="32">
        <f t="shared" si="54"/>
        <v>0.44127906976744186</v>
      </c>
    </row>
    <row r="128" spans="18:50">
      <c r="R128">
        <v>1.74</v>
      </c>
      <c r="S128">
        <f t="shared" ca="1" si="33"/>
        <v>0.44827586206896552</v>
      </c>
      <c r="T128">
        <f t="shared" ca="1" si="34"/>
        <v>33.725090335258152</v>
      </c>
      <c r="U128">
        <f t="shared" ca="1" si="35"/>
        <v>1.7</v>
      </c>
      <c r="V128">
        <f t="shared" ca="1" si="36"/>
        <v>0.26369168356997974</v>
      </c>
      <c r="W128">
        <v>1.74</v>
      </c>
      <c r="X128">
        <f t="shared" ca="1" si="37"/>
        <v>0.5977011494252874</v>
      </c>
      <c r="Y128">
        <f t="shared" ca="1" si="38"/>
        <v>44.96678711367754</v>
      </c>
      <c r="Z128" s="16">
        <f t="shared" si="39"/>
        <v>2.4</v>
      </c>
      <c r="AA128" s="16">
        <f t="shared" ca="1" si="40"/>
        <v>0.24904214559386975</v>
      </c>
      <c r="AB128" s="16">
        <f t="shared" ca="1" si="41"/>
        <v>0.18835120254998552</v>
      </c>
      <c r="AC128">
        <f t="shared" ca="1" si="42"/>
        <v>0.12807881773399016</v>
      </c>
      <c r="AD128">
        <f t="shared" ca="1" si="43"/>
        <v>0.17788724685276411</v>
      </c>
      <c r="AE128" s="308">
        <f t="shared" ca="1" si="44"/>
        <v>0.18835120254998552</v>
      </c>
      <c r="AJ128" s="15">
        <v>1.74</v>
      </c>
      <c r="AK128" s="15">
        <f t="shared" si="45"/>
        <v>0.14252873563218391</v>
      </c>
      <c r="AL128" s="15">
        <f t="shared" si="46"/>
        <v>7.6395402298850584E-2</v>
      </c>
      <c r="AM128" s="15">
        <f t="shared" si="47"/>
        <v>0.1605</v>
      </c>
      <c r="AN128" s="184">
        <f t="shared" si="48"/>
        <v>0.60214856091954028</v>
      </c>
      <c r="AP128" s="15">
        <v>1.74</v>
      </c>
      <c r="AQ128" s="15">
        <f t="shared" si="50"/>
        <v>9.4762255447362928E-2</v>
      </c>
      <c r="AR128" s="15">
        <f t="shared" si="51"/>
        <v>5.0792568919786535E-2</v>
      </c>
      <c r="AS128" s="15">
        <f t="shared" si="52"/>
        <v>0.1067</v>
      </c>
      <c r="AT128" s="184">
        <f t="shared" si="49"/>
        <v>0.40034702822575741</v>
      </c>
      <c r="AV128" s="15">
        <v>1.74</v>
      </c>
      <c r="AW128" s="32">
        <f t="shared" si="53"/>
        <v>1.896551724137931</v>
      </c>
      <c r="AX128" s="32">
        <f t="shared" si="54"/>
        <v>0.43620689655172418</v>
      </c>
    </row>
    <row r="129" spans="18:50">
      <c r="R129">
        <v>1.76</v>
      </c>
      <c r="S129">
        <f t="shared" ca="1" si="33"/>
        <v>0.44318181818181818</v>
      </c>
      <c r="T129">
        <f t="shared" ca="1" si="34"/>
        <v>34.112735051755365</v>
      </c>
      <c r="U129">
        <f t="shared" ca="1" si="35"/>
        <v>1.7</v>
      </c>
      <c r="V129">
        <f t="shared" ca="1" si="36"/>
        <v>0.26069518716577539</v>
      </c>
      <c r="W129">
        <v>1.76</v>
      </c>
      <c r="X129">
        <f t="shared" ca="1" si="37"/>
        <v>0.59090909090909094</v>
      </c>
      <c r="Y129">
        <f t="shared" ca="1" si="38"/>
        <v>45.48364673567383</v>
      </c>
      <c r="Z129" s="16">
        <f t="shared" si="39"/>
        <v>2.4</v>
      </c>
      <c r="AA129" s="16">
        <f t="shared" ca="1" si="40"/>
        <v>0.24621212121212124</v>
      </c>
      <c r="AB129" s="16">
        <f t="shared" ca="1" si="41"/>
        <v>0.18621084797555384</v>
      </c>
      <c r="AC129">
        <f t="shared" ca="1" si="42"/>
        <v>0.12662337662337661</v>
      </c>
      <c r="AD129">
        <f t="shared" ca="1" si="43"/>
        <v>0.17586580086580089</v>
      </c>
      <c r="AE129" s="308">
        <f t="shared" ca="1" si="44"/>
        <v>0.18621084797555384</v>
      </c>
      <c r="AJ129" s="15">
        <v>1.76</v>
      </c>
      <c r="AK129" s="15">
        <f t="shared" si="45"/>
        <v>0.1409090909090909</v>
      </c>
      <c r="AL129" s="15">
        <f t="shared" si="46"/>
        <v>7.5527272727272721E-2</v>
      </c>
      <c r="AM129" s="15">
        <f t="shared" si="47"/>
        <v>0.15870000000000001</v>
      </c>
      <c r="AN129" s="184">
        <f t="shared" si="48"/>
        <v>0.59530596363636357</v>
      </c>
      <c r="AP129" s="15">
        <v>1.76</v>
      </c>
      <c r="AQ129" s="15">
        <f t="shared" si="50"/>
        <v>9.4222295180551141E-2</v>
      </c>
      <c r="AR129" s="15">
        <f t="shared" si="51"/>
        <v>5.0503150216775414E-2</v>
      </c>
      <c r="AS129" s="15">
        <f t="shared" si="52"/>
        <v>0.1061</v>
      </c>
      <c r="AT129" s="184">
        <f t="shared" si="49"/>
        <v>0.39806583000862383</v>
      </c>
      <c r="AV129" s="15">
        <v>1.76</v>
      </c>
      <c r="AW129" s="32">
        <f t="shared" si="53"/>
        <v>1.875</v>
      </c>
      <c r="AX129" s="32">
        <f t="shared" si="54"/>
        <v>0.43125000000000002</v>
      </c>
    </row>
    <row r="130" spans="18:50">
      <c r="R130">
        <v>1.78</v>
      </c>
      <c r="S130">
        <f t="shared" ca="1" si="33"/>
        <v>0.43820224719101125</v>
      </c>
      <c r="T130">
        <f t="shared" ca="1" si="34"/>
        <v>34.500379768252593</v>
      </c>
      <c r="U130">
        <f t="shared" ca="1" si="35"/>
        <v>1.7</v>
      </c>
      <c r="V130">
        <f t="shared" ca="1" si="36"/>
        <v>0.25776602775941837</v>
      </c>
      <c r="W130">
        <v>1.78</v>
      </c>
      <c r="X130">
        <f t="shared" ca="1" si="37"/>
        <v>0.5842696629213483</v>
      </c>
      <c r="Y130">
        <f t="shared" ca="1" si="38"/>
        <v>46.000506357670112</v>
      </c>
      <c r="Z130" s="16">
        <f t="shared" si="39"/>
        <v>2.4</v>
      </c>
      <c r="AA130" s="16">
        <f t="shared" ca="1" si="40"/>
        <v>0.24344569288389514</v>
      </c>
      <c r="AB130" s="16">
        <f t="shared" ca="1" si="41"/>
        <v>0.18411859125672742</v>
      </c>
      <c r="AC130">
        <f t="shared" ca="1" si="42"/>
        <v>0.12520064205457462</v>
      </c>
      <c r="AD130">
        <f t="shared" ca="1" si="43"/>
        <v>0.17388978063135369</v>
      </c>
      <c r="AE130" s="308">
        <f t="shared" ca="1" si="44"/>
        <v>0.18411859125672742</v>
      </c>
      <c r="AJ130" s="15">
        <v>1.78</v>
      </c>
      <c r="AK130" s="15">
        <f t="shared" si="45"/>
        <v>0.1393258426966292</v>
      </c>
      <c r="AL130" s="15">
        <f t="shared" si="46"/>
        <v>7.4678651685393255E-2</v>
      </c>
      <c r="AM130" s="15">
        <f t="shared" si="47"/>
        <v>0.15690000000000001</v>
      </c>
      <c r="AN130" s="184">
        <f t="shared" si="48"/>
        <v>0.58861713258426962</v>
      </c>
      <c r="AP130" s="15">
        <v>1.78</v>
      </c>
      <c r="AQ130" s="15">
        <f t="shared" si="50"/>
        <v>9.3691461124482692E-2</v>
      </c>
      <c r="AR130" s="15">
        <f t="shared" si="51"/>
        <v>5.0218623162722728E-2</v>
      </c>
      <c r="AS130" s="15">
        <f t="shared" si="52"/>
        <v>0.1055</v>
      </c>
      <c r="AT130" s="184">
        <f t="shared" si="49"/>
        <v>0.3958231877685805</v>
      </c>
      <c r="AV130" s="15">
        <v>1.78</v>
      </c>
      <c r="AW130" s="32">
        <f t="shared" si="53"/>
        <v>1.8539325842696628</v>
      </c>
      <c r="AX130" s="32">
        <f t="shared" si="54"/>
        <v>0.42640449438202244</v>
      </c>
    </row>
    <row r="131" spans="18:50">
      <c r="R131">
        <v>1.8</v>
      </c>
      <c r="S131">
        <f t="shared" ca="1" si="33"/>
        <v>0.43333333333333335</v>
      </c>
      <c r="T131">
        <f t="shared" ca="1" si="34"/>
        <v>34.888024484749813</v>
      </c>
      <c r="U131">
        <f t="shared" ca="1" si="35"/>
        <v>1.7</v>
      </c>
      <c r="V131">
        <f t="shared" ca="1" si="36"/>
        <v>0.25490196078431376</v>
      </c>
      <c r="W131">
        <v>1.8</v>
      </c>
      <c r="X131">
        <f t="shared" ca="1" si="37"/>
        <v>0.57777777777777783</v>
      </c>
      <c r="Y131">
        <f t="shared" ca="1" si="38"/>
        <v>46.517365979666423</v>
      </c>
      <c r="Z131" s="16">
        <f t="shared" si="39"/>
        <v>2.4</v>
      </c>
      <c r="AA131" s="16">
        <f t="shared" ca="1" si="40"/>
        <v>0.24074074074074078</v>
      </c>
      <c r="AB131" s="16">
        <f t="shared" ca="1" si="41"/>
        <v>0.18207282913165268</v>
      </c>
      <c r="AC131">
        <f t="shared" ca="1" si="42"/>
        <v>0.12380952380952383</v>
      </c>
      <c r="AD131">
        <f t="shared" ca="1" si="43"/>
        <v>0.171957671957672</v>
      </c>
      <c r="AE131" s="308">
        <f t="shared" ca="1" si="44"/>
        <v>0.18207282913165268</v>
      </c>
      <c r="AJ131" s="15">
        <v>1.8</v>
      </c>
      <c r="AK131" s="15">
        <f t="shared" si="45"/>
        <v>0.13777777777777778</v>
      </c>
      <c r="AL131" s="15">
        <f t="shared" si="46"/>
        <v>7.3848888888888894E-2</v>
      </c>
      <c r="AM131" s="15">
        <f t="shared" si="47"/>
        <v>0.15509999999999999</v>
      </c>
      <c r="AN131" s="184">
        <f t="shared" si="48"/>
        <v>0.58207694222222217</v>
      </c>
      <c r="AP131" s="15">
        <v>1.8</v>
      </c>
      <c r="AQ131" s="15">
        <f t="shared" si="50"/>
        <v>9.3169499062491237E-2</v>
      </c>
      <c r="AR131" s="15">
        <f t="shared" si="51"/>
        <v>4.9938851497495308E-2</v>
      </c>
      <c r="AS131" s="15">
        <f t="shared" si="52"/>
        <v>0.10489999999999999</v>
      </c>
      <c r="AT131" s="184">
        <f t="shared" si="49"/>
        <v>0.39361802750325803</v>
      </c>
      <c r="AV131" s="15">
        <v>1.8</v>
      </c>
      <c r="AW131" s="32">
        <f t="shared" si="53"/>
        <v>1.8333333333333333</v>
      </c>
      <c r="AX131" s="32">
        <f t="shared" si="54"/>
        <v>0.42166666666666669</v>
      </c>
    </row>
    <row r="132" spans="18:50">
      <c r="R132">
        <v>1.82</v>
      </c>
      <c r="S132">
        <f t="shared" ca="1" si="33"/>
        <v>0.42857142857142855</v>
      </c>
      <c r="T132">
        <f t="shared" ca="1" si="34"/>
        <v>35.275669201247034</v>
      </c>
      <c r="U132">
        <f t="shared" ca="1" si="35"/>
        <v>1.7</v>
      </c>
      <c r="V132">
        <f t="shared" ca="1" si="36"/>
        <v>0.25210084033613445</v>
      </c>
      <c r="W132">
        <v>1.82</v>
      </c>
      <c r="X132">
        <f t="shared" ca="1" si="37"/>
        <v>0.5714285714285714</v>
      </c>
      <c r="Y132">
        <f t="shared" ca="1" si="38"/>
        <v>47.034225601662712</v>
      </c>
      <c r="Z132" s="16">
        <f t="shared" si="39"/>
        <v>2.4</v>
      </c>
      <c r="AA132" s="16">
        <f t="shared" ca="1" si="40"/>
        <v>0.23809523809523808</v>
      </c>
      <c r="AB132" s="16">
        <f t="shared" ca="1" si="41"/>
        <v>0.18007202881152462</v>
      </c>
      <c r="AC132">
        <f t="shared" ca="1" si="42"/>
        <v>0.12244897959183673</v>
      </c>
      <c r="AD132">
        <f t="shared" ca="1" si="43"/>
        <v>0.17006802721088435</v>
      </c>
      <c r="AE132" s="308">
        <f t="shared" ca="1" si="44"/>
        <v>0.18007202881152462</v>
      </c>
      <c r="AJ132" s="15">
        <v>1.82</v>
      </c>
      <c r="AK132" s="15">
        <f t="shared" si="45"/>
        <v>0.13626373626373625</v>
      </c>
      <c r="AL132" s="15">
        <f t="shared" si="46"/>
        <v>7.3037362637362629E-2</v>
      </c>
      <c r="AM132" s="15">
        <f t="shared" si="47"/>
        <v>0.15340000000000001</v>
      </c>
      <c r="AN132" s="184">
        <f t="shared" si="48"/>
        <v>0.57568049230769225</v>
      </c>
      <c r="AP132" s="15">
        <v>1.82</v>
      </c>
      <c r="AQ132" s="15">
        <f t="shared" si="50"/>
        <v>9.2656164582637646E-2</v>
      </c>
      <c r="AR132" s="15">
        <f t="shared" si="51"/>
        <v>4.9663704216293784E-2</v>
      </c>
      <c r="AS132" s="15">
        <f t="shared" si="52"/>
        <v>0.1043</v>
      </c>
      <c r="AT132" s="184">
        <f t="shared" si="49"/>
        <v>0.39144931663282756</v>
      </c>
      <c r="AV132" s="15">
        <v>1.82</v>
      </c>
      <c r="AW132" s="32">
        <f t="shared" si="53"/>
        <v>1.813186813186813</v>
      </c>
      <c r="AX132" s="32">
        <f t="shared" si="54"/>
        <v>0.41703296703296699</v>
      </c>
    </row>
    <row r="133" spans="18:50">
      <c r="R133">
        <v>1.84</v>
      </c>
      <c r="S133">
        <f t="shared" ca="1" si="33"/>
        <v>0.42391304347826086</v>
      </c>
      <c r="T133">
        <f t="shared" ca="1" si="34"/>
        <v>35.663313917744254</v>
      </c>
      <c r="U133">
        <f t="shared" ca="1" si="35"/>
        <v>1.7</v>
      </c>
      <c r="V133">
        <f t="shared" ca="1" si="36"/>
        <v>0.2493606138107417</v>
      </c>
      <c r="W133">
        <v>1.84</v>
      </c>
      <c r="X133">
        <f t="shared" ca="1" si="37"/>
        <v>0.56521739130434778</v>
      </c>
      <c r="Y133">
        <f t="shared" ca="1" si="38"/>
        <v>47.551085223659001</v>
      </c>
      <c r="Z133" s="16">
        <f t="shared" si="39"/>
        <v>2.4</v>
      </c>
      <c r="AA133" s="16">
        <f t="shared" ca="1" si="40"/>
        <v>0.23550724637681159</v>
      </c>
      <c r="AB133" s="16">
        <f t="shared" ca="1" si="41"/>
        <v>0.17811472415052979</v>
      </c>
      <c r="AC133">
        <f t="shared" ca="1" si="42"/>
        <v>0.12111801242236025</v>
      </c>
      <c r="AD133">
        <f t="shared" ca="1" si="43"/>
        <v>0.16821946169772256</v>
      </c>
      <c r="AE133" s="308">
        <f t="shared" ca="1" si="44"/>
        <v>0.17811472415052979</v>
      </c>
      <c r="AJ133" s="15">
        <v>1.84</v>
      </c>
      <c r="AK133" s="15">
        <f t="shared" si="45"/>
        <v>0.13478260869565217</v>
      </c>
      <c r="AL133" s="15">
        <f t="shared" si="46"/>
        <v>7.2243478260869576E-2</v>
      </c>
      <c r="AM133" s="15">
        <f t="shared" si="47"/>
        <v>0.15179999999999999</v>
      </c>
      <c r="AN133" s="184">
        <f t="shared" si="48"/>
        <v>0.56942309565217397</v>
      </c>
      <c r="AP133" s="15">
        <v>1.84</v>
      </c>
      <c r="AQ133" s="15">
        <f t="shared" si="50"/>
        <v>9.2151222596810703E-2</v>
      </c>
      <c r="AR133" s="15">
        <f t="shared" si="51"/>
        <v>4.9393055311890539E-2</v>
      </c>
      <c r="AS133" s="15">
        <f t="shared" si="52"/>
        <v>0.1038</v>
      </c>
      <c r="AT133" s="184">
        <f t="shared" si="49"/>
        <v>0.38931606196832119</v>
      </c>
      <c r="AV133" s="15">
        <v>1.84</v>
      </c>
      <c r="AW133" s="32">
        <f t="shared" si="53"/>
        <v>1.793478260869565</v>
      </c>
      <c r="AX133" s="32">
        <f t="shared" si="54"/>
        <v>0.41249999999999998</v>
      </c>
    </row>
    <row r="134" spans="18:50">
      <c r="R134">
        <v>1.86</v>
      </c>
      <c r="S134">
        <f t="shared" ca="1" si="33"/>
        <v>0.41935483870967744</v>
      </c>
      <c r="T134">
        <f t="shared" ca="1" si="34"/>
        <v>36.050958634241475</v>
      </c>
      <c r="U134">
        <f t="shared" ca="1" si="35"/>
        <v>1.7</v>
      </c>
      <c r="V134">
        <f t="shared" ca="1" si="36"/>
        <v>0.24667931688804556</v>
      </c>
      <c r="W134">
        <v>1.86</v>
      </c>
      <c r="X134">
        <f t="shared" ca="1" si="37"/>
        <v>0.55913978494623651</v>
      </c>
      <c r="Y134">
        <f t="shared" ca="1" si="38"/>
        <v>48.067944845655298</v>
      </c>
      <c r="Z134" s="16">
        <f t="shared" si="39"/>
        <v>2.4</v>
      </c>
      <c r="AA134" s="16">
        <f t="shared" ca="1" si="40"/>
        <v>0.23297491039426521</v>
      </c>
      <c r="AB134" s="16">
        <f t="shared" ca="1" si="41"/>
        <v>0.1761995120628897</v>
      </c>
      <c r="AC134">
        <f t="shared" ca="1" si="42"/>
        <v>0.11981566820276499</v>
      </c>
      <c r="AD134">
        <f t="shared" ca="1" si="43"/>
        <v>0.166410650281618</v>
      </c>
      <c r="AE134" s="308">
        <f t="shared" ca="1" si="44"/>
        <v>0.1761995120628897</v>
      </c>
      <c r="AJ134" s="15">
        <v>1.86</v>
      </c>
      <c r="AK134" s="15">
        <f t="shared" si="45"/>
        <v>0.13333333333333333</v>
      </c>
      <c r="AL134" s="15">
        <f t="shared" si="46"/>
        <v>7.1466666666666664E-2</v>
      </c>
      <c r="AM134" s="15">
        <f t="shared" si="47"/>
        <v>0.15010000000000001</v>
      </c>
      <c r="AN134" s="184">
        <f t="shared" si="48"/>
        <v>0.56330026666666655</v>
      </c>
      <c r="AP134" s="15">
        <v>1.86</v>
      </c>
      <c r="AQ134" s="15">
        <f t="shared" si="50"/>
        <v>9.16544468883458E-2</v>
      </c>
      <c r="AR134" s="15">
        <f t="shared" si="51"/>
        <v>4.9126783532153349E-2</v>
      </c>
      <c r="AS134" s="15">
        <f t="shared" si="52"/>
        <v>0.1032</v>
      </c>
      <c r="AT134" s="184">
        <f t="shared" si="49"/>
        <v>0.38721730780043268</v>
      </c>
      <c r="AV134" s="15">
        <v>1.86</v>
      </c>
      <c r="AW134" s="32">
        <f t="shared" si="53"/>
        <v>1.7741935483870965</v>
      </c>
      <c r="AX134" s="32">
        <f t="shared" si="54"/>
        <v>0.40806451612903222</v>
      </c>
    </row>
    <row r="135" spans="18:50">
      <c r="R135">
        <v>1.88</v>
      </c>
      <c r="S135">
        <f t="shared" ca="1" si="33"/>
        <v>0.41489361702127664</v>
      </c>
      <c r="T135">
        <f t="shared" ca="1" si="34"/>
        <v>36.438603350738688</v>
      </c>
      <c r="U135">
        <f t="shared" ca="1" si="35"/>
        <v>1.7</v>
      </c>
      <c r="V135">
        <f t="shared" ca="1" si="36"/>
        <v>0.24405506883604508</v>
      </c>
      <c r="W135">
        <v>1.88</v>
      </c>
      <c r="X135">
        <f t="shared" ca="1" si="37"/>
        <v>0.55319148936170215</v>
      </c>
      <c r="Y135">
        <f t="shared" ca="1" si="38"/>
        <v>48.58480446765158</v>
      </c>
      <c r="Z135" s="16">
        <f t="shared" si="39"/>
        <v>2.4</v>
      </c>
      <c r="AA135" s="16">
        <f t="shared" ca="1" si="40"/>
        <v>0.23049645390070925</v>
      </c>
      <c r="AB135" s="16">
        <f t="shared" ca="1" si="41"/>
        <v>0.17432504916860364</v>
      </c>
      <c r="AC135">
        <f t="shared" ca="1" si="42"/>
        <v>0.11854103343465047</v>
      </c>
      <c r="AD135">
        <f t="shared" ca="1" si="43"/>
        <v>0.16464032421479233</v>
      </c>
      <c r="AE135" s="308">
        <f t="shared" ca="1" si="44"/>
        <v>0.17432504916860364</v>
      </c>
      <c r="AJ135" s="15">
        <v>1.88</v>
      </c>
      <c r="AK135" s="15">
        <f t="shared" si="45"/>
        <v>0.13191489361702127</v>
      </c>
      <c r="AL135" s="15">
        <f t="shared" si="46"/>
        <v>7.0706382978723406E-2</v>
      </c>
      <c r="AM135" s="15">
        <f t="shared" si="47"/>
        <v>0.14849999999999999</v>
      </c>
      <c r="AN135" s="184">
        <f t="shared" si="48"/>
        <v>0.55730771063829787</v>
      </c>
      <c r="AP135" s="15">
        <v>1.88</v>
      </c>
      <c r="AQ135" s="15">
        <f t="shared" si="50"/>
        <v>9.1165619686184099E-2</v>
      </c>
      <c r="AR135" s="15">
        <f t="shared" si="51"/>
        <v>4.8864772151794682E-2</v>
      </c>
      <c r="AS135" s="15">
        <f t="shared" si="52"/>
        <v>0.1027</v>
      </c>
      <c r="AT135" s="184">
        <f t="shared" si="49"/>
        <v>0.38515213410044563</v>
      </c>
      <c r="AV135" s="15">
        <v>1.88</v>
      </c>
      <c r="AW135" s="32">
        <f t="shared" si="53"/>
        <v>1.7553191489361701</v>
      </c>
      <c r="AX135" s="32">
        <f t="shared" si="54"/>
        <v>0.40372340425531916</v>
      </c>
    </row>
    <row r="136" spans="18:50">
      <c r="R136">
        <v>1.9</v>
      </c>
      <c r="S136">
        <f t="shared" ca="1" si="33"/>
        <v>0.41052631578947374</v>
      </c>
      <c r="T136">
        <f t="shared" ca="1" si="34"/>
        <v>36.826248067235916</v>
      </c>
      <c r="U136">
        <f t="shared" ca="1" si="35"/>
        <v>1.7</v>
      </c>
      <c r="V136">
        <f t="shared" ca="1" si="36"/>
        <v>0.24148606811145515</v>
      </c>
      <c r="W136">
        <v>1.9</v>
      </c>
      <c r="X136">
        <f t="shared" ca="1" si="37"/>
        <v>0.54736842105263162</v>
      </c>
      <c r="Y136">
        <f t="shared" ca="1" si="38"/>
        <v>49.101664089647883</v>
      </c>
      <c r="Z136" s="16">
        <f t="shared" si="39"/>
        <v>2.4</v>
      </c>
      <c r="AA136" s="16">
        <f t="shared" ca="1" si="40"/>
        <v>0.22807017543859651</v>
      </c>
      <c r="AB136" s="16">
        <f t="shared" ca="1" si="41"/>
        <v>0.1724900486510394</v>
      </c>
      <c r="AC136">
        <f t="shared" ca="1" si="42"/>
        <v>0.11729323308270678</v>
      </c>
      <c r="AD136">
        <f t="shared" ca="1" si="43"/>
        <v>0.16290726817042608</v>
      </c>
      <c r="AE136" s="308">
        <f t="shared" ca="1" si="44"/>
        <v>0.1724900486510394</v>
      </c>
      <c r="AJ136" s="15">
        <v>1.9</v>
      </c>
      <c r="AK136" s="15">
        <f t="shared" si="45"/>
        <v>0.13052631578947368</v>
      </c>
      <c r="AL136" s="15">
        <f t="shared" si="46"/>
        <v>6.9962105263157895E-2</v>
      </c>
      <c r="AM136" s="15">
        <f t="shared" si="47"/>
        <v>0.14699999999999999</v>
      </c>
      <c r="AN136" s="184">
        <f t="shared" si="48"/>
        <v>0.55144131368421045</v>
      </c>
      <c r="AP136" s="15">
        <v>1.9</v>
      </c>
      <c r="AQ136" s="15">
        <f t="shared" si="50"/>
        <v>9.0684531263751464E-2</v>
      </c>
      <c r="AR136" s="15">
        <f t="shared" si="51"/>
        <v>4.8606908757370788E-2</v>
      </c>
      <c r="AS136" s="15">
        <f t="shared" si="52"/>
        <v>0.1021</v>
      </c>
      <c r="AT136" s="184">
        <f t="shared" si="49"/>
        <v>0.38311965482559651</v>
      </c>
      <c r="AV136" s="15">
        <v>1.9</v>
      </c>
      <c r="AW136" s="32">
        <f t="shared" si="53"/>
        <v>1.736842105263158</v>
      </c>
      <c r="AX136" s="32">
        <f t="shared" si="54"/>
        <v>0.39947368421052637</v>
      </c>
    </row>
    <row r="137" spans="18:50">
      <c r="R137">
        <v>1.92</v>
      </c>
      <c r="S137">
        <f t="shared" ref="S137:S168" ca="1" si="55">IF(R137&lt;=0.2*$S$38,$S$34*(0.4+3*R137/$S$38),IF(R137&lt;=$S$38,$S$34,IF(R137&lt;=2.5*$S$38,$S$34*$S$38/R137,0.4*$S$34)))</f>
        <v>0.40625000000000006</v>
      </c>
      <c r="T137">
        <f t="shared" ca="1" si="34"/>
        <v>37.213892783733129</v>
      </c>
      <c r="U137">
        <f t="shared" ref="U137:U168" ca="1" si="56">IF(R137&gt;$S$38,$U$32,IF(R137&gt;0.6*$S$38,SQRT(2*$U$32-1)+($U$32-SQRT(2*$U$32-1))*(R137-0.6*$S$38)/0.4/$S$38,IF(R137&gt;0.2*$S$38,SQRT(2*$U$32-1),SQRT(2*$U$32-1)+(SQRT(2*$U$32-1)-1)*(R137-0.2*$S$38)/0.2/$S$38)))</f>
        <v>1.7</v>
      </c>
      <c r="V137">
        <f t="shared" ca="1" si="36"/>
        <v>0.23897058823529416</v>
      </c>
      <c r="W137">
        <v>1.92</v>
      </c>
      <c r="X137">
        <f t="shared" ref="X137:X168" ca="1" si="57">IF(W137&lt;=0.2*$X$38,$X$34*(0.4+3*W137/$X$38),IF(W137&lt;=$X$38,$X$34,IF(W137&lt;=2.5*$X$38,$X$34*$X$38/W137,0.4*$X$34)))</f>
        <v>0.54166666666666674</v>
      </c>
      <c r="Y137">
        <f t="shared" ca="1" si="38"/>
        <v>49.61852371164418</v>
      </c>
      <c r="Z137" s="16">
        <f t="shared" ref="Z137:Z168" si="58">IF(W137&gt;$X$38,$S$32,IF(W137&gt;0.6*$X$38,SQRT(2*$S$32-1)+($S$32-SQRT(2*$S$32-1))*(W137-0.6*$X$38)/0.4/$X$38,IF(W137&gt;0.2*$X$38,SQRT(2*$S$32-1),SQRT(2*$S$32-1)+(SQRT(2*$S$32-1)-1)*(W137-0.2*$X$38)/0.2/$X$38)))</f>
        <v>2.4</v>
      </c>
      <c r="AA137" s="16">
        <f t="shared" ca="1" si="40"/>
        <v>0.22569444444444448</v>
      </c>
      <c r="AB137" s="16">
        <f t="shared" ref="AB137:AB168" ca="1" si="59">$W$32/1.4/$Y$32*V137</f>
        <v>0.1706932773109244</v>
      </c>
      <c r="AC137">
        <f t="shared" ref="AC137:AC168" ca="1" si="60">$W$32*U137/3.5/$Y$32*V137</f>
        <v>0.11607142857142859</v>
      </c>
      <c r="AD137">
        <f t="shared" ref="AD137:AD168" ca="1" si="61">$W$32/1.4/$Y$32*AA137</f>
        <v>0.1612103174603175</v>
      </c>
      <c r="AE137" s="308">
        <f t="shared" ca="1" si="44"/>
        <v>0.1706932773109244</v>
      </c>
      <c r="AJ137" s="15">
        <v>1.92</v>
      </c>
      <c r="AK137" s="15">
        <f t="shared" si="45"/>
        <v>0.12916666666666668</v>
      </c>
      <c r="AL137" s="15">
        <f t="shared" ref="AL137:AL168" si="62">$AK$35*$AK$36*AK137*$AK$37</f>
        <v>6.9233333333333341E-2</v>
      </c>
      <c r="AM137" s="15">
        <f t="shared" ref="AM137:AM168" si="63">ROUND(AK$33*$AK$35*AM$39*AK137*$AK$37,4)</f>
        <v>0.1454</v>
      </c>
      <c r="AN137" s="184">
        <f t="shared" ref="AN137:AN168" si="64">IF(AJ137&lt;=AN$38,AL137*AK$38*AK$33*AK$34*(0.4+3*AJ137/AN$37),AL137*AK$38*AK$33*AK$34)</f>
        <v>0.54569713333333336</v>
      </c>
      <c r="AP137" s="15">
        <v>1.92</v>
      </c>
      <c r="AQ137" s="15">
        <f t="shared" si="50"/>
        <v>9.021097956087902E-2</v>
      </c>
      <c r="AR137" s="15">
        <f t="shared" si="51"/>
        <v>4.8353085044631157E-2</v>
      </c>
      <c r="AS137" s="15">
        <f t="shared" si="52"/>
        <v>0.1016</v>
      </c>
      <c r="AT137" s="184">
        <f t="shared" ref="AT137:AT168" si="65">IF(AP137&lt;=AT$38,AR137*AQ$38*AQ$33*AQ$34*(0.4+3*AP137/AT$37),AR137*AQ$38*AQ$33*AQ$34)</f>
        <v>0.38111901632178274</v>
      </c>
      <c r="AV137" s="15">
        <v>1.92</v>
      </c>
      <c r="AW137" s="32">
        <f t="shared" si="53"/>
        <v>1.71875</v>
      </c>
      <c r="AX137" s="32">
        <f t="shared" si="54"/>
        <v>0.39531250000000001</v>
      </c>
    </row>
    <row r="138" spans="18:50">
      <c r="R138">
        <v>1.94</v>
      </c>
      <c r="S138">
        <f t="shared" ca="1" si="55"/>
        <v>0.40206185567010311</v>
      </c>
      <c r="T138">
        <f t="shared" ca="1" si="34"/>
        <v>37.60153750023035</v>
      </c>
      <c r="U138">
        <f t="shared" ca="1" si="56"/>
        <v>1.7</v>
      </c>
      <c r="V138">
        <f t="shared" ca="1" si="36"/>
        <v>0.23650697392359007</v>
      </c>
      <c r="W138">
        <v>1.94</v>
      </c>
      <c r="X138">
        <f t="shared" ca="1" si="57"/>
        <v>0.53608247422680411</v>
      </c>
      <c r="Y138">
        <f t="shared" ca="1" si="38"/>
        <v>50.135383333640462</v>
      </c>
      <c r="Z138" s="16">
        <f t="shared" si="58"/>
        <v>2.4</v>
      </c>
      <c r="AA138" s="16">
        <f t="shared" ca="1" si="40"/>
        <v>0.22336769759450173</v>
      </c>
      <c r="AB138" s="16">
        <f t="shared" ca="1" si="59"/>
        <v>0.16893355280256434</v>
      </c>
      <c r="AC138">
        <f t="shared" ca="1" si="60"/>
        <v>0.11487481590574375</v>
      </c>
      <c r="AD138">
        <f t="shared" ca="1" si="61"/>
        <v>0.1595483554246441</v>
      </c>
      <c r="AE138" s="308">
        <f t="shared" ca="1" si="44"/>
        <v>0.16893355280256434</v>
      </c>
      <c r="AJ138" s="15">
        <v>1.94</v>
      </c>
      <c r="AK138" s="15">
        <f t="shared" si="45"/>
        <v>0.12783505154639174</v>
      </c>
      <c r="AL138" s="15">
        <f t="shared" si="62"/>
        <v>6.851958762886598E-2</v>
      </c>
      <c r="AM138" s="15">
        <f t="shared" si="63"/>
        <v>0.1439</v>
      </c>
      <c r="AN138" s="184">
        <f t="shared" si="64"/>
        <v>0.54007138969072155</v>
      </c>
      <c r="AP138" s="15">
        <v>1.94</v>
      </c>
      <c r="AQ138" s="15">
        <f t="shared" si="50"/>
        <v>8.9744769827217269E-2</v>
      </c>
      <c r="AR138" s="15">
        <f t="shared" si="51"/>
        <v>4.8103196627388461E-2</v>
      </c>
      <c r="AS138" s="15">
        <f t="shared" si="52"/>
        <v>0.1011</v>
      </c>
      <c r="AT138" s="184">
        <f t="shared" si="65"/>
        <v>0.3791493958170758</v>
      </c>
      <c r="AV138" s="15">
        <v>1.94</v>
      </c>
      <c r="AW138" s="32">
        <f t="shared" si="53"/>
        <v>1.7010309278350515</v>
      </c>
      <c r="AX138" s="32">
        <f t="shared" si="54"/>
        <v>0.39123711340206185</v>
      </c>
    </row>
    <row r="139" spans="18:50">
      <c r="R139">
        <v>1.96</v>
      </c>
      <c r="S139">
        <f t="shared" ca="1" si="55"/>
        <v>0.39795918367346939</v>
      </c>
      <c r="T139">
        <f t="shared" ca="1" si="34"/>
        <v>37.989182216727571</v>
      </c>
      <c r="U139">
        <f t="shared" ca="1" si="56"/>
        <v>1.7</v>
      </c>
      <c r="V139">
        <f t="shared" ca="1" si="36"/>
        <v>0.23409363745498199</v>
      </c>
      <c r="W139">
        <v>1.96</v>
      </c>
      <c r="X139">
        <f t="shared" ca="1" si="57"/>
        <v>0.53061224489795922</v>
      </c>
      <c r="Y139">
        <f t="shared" ca="1" si="38"/>
        <v>50.652242955636758</v>
      </c>
      <c r="Z139" s="16">
        <f t="shared" si="58"/>
        <v>2.4</v>
      </c>
      <c r="AA139" s="16">
        <f t="shared" ca="1" si="40"/>
        <v>0.22108843537414968</v>
      </c>
      <c r="AB139" s="16">
        <f t="shared" ca="1" si="59"/>
        <v>0.16720974103927286</v>
      </c>
      <c r="AC139">
        <f t="shared" ca="1" si="60"/>
        <v>0.11370262390670553</v>
      </c>
      <c r="AD139">
        <f t="shared" ca="1" si="61"/>
        <v>0.1579203109815355</v>
      </c>
      <c r="AE139" s="308">
        <f t="shared" ca="1" si="44"/>
        <v>0.16720974103927286</v>
      </c>
      <c r="AJ139" s="15">
        <v>1.96</v>
      </c>
      <c r="AK139" s="15">
        <f t="shared" si="45"/>
        <v>0.12653061224489795</v>
      </c>
      <c r="AL139" s="15">
        <f t="shared" si="62"/>
        <v>6.7820408163265303E-2</v>
      </c>
      <c r="AM139" s="15">
        <f t="shared" si="63"/>
        <v>0.14249999999999999</v>
      </c>
      <c r="AN139" s="184">
        <f t="shared" si="64"/>
        <v>0.53456045714285705</v>
      </c>
      <c r="AP139" s="15">
        <v>1.96</v>
      </c>
      <c r="AQ139" s="15">
        <f t="shared" si="50"/>
        <v>8.9285714285714288E-2</v>
      </c>
      <c r="AR139" s="15">
        <f t="shared" si="51"/>
        <v>4.7857142857142862E-2</v>
      </c>
      <c r="AS139" s="15">
        <f t="shared" si="52"/>
        <v>0.10050000000000001</v>
      </c>
      <c r="AT139" s="184">
        <f t="shared" si="65"/>
        <v>0.37721000000000005</v>
      </c>
      <c r="AV139" s="15">
        <v>1.96</v>
      </c>
      <c r="AW139" s="32">
        <f t="shared" si="53"/>
        <v>1.6836734693877551</v>
      </c>
      <c r="AX139" s="32">
        <f t="shared" si="54"/>
        <v>0.38724489795918371</v>
      </c>
    </row>
    <row r="140" spans="18:50">
      <c r="R140">
        <v>1.98</v>
      </c>
      <c r="S140">
        <f t="shared" ca="1" si="55"/>
        <v>0.39393939393939398</v>
      </c>
      <c r="T140">
        <f t="shared" ca="1" si="34"/>
        <v>38.376826933224791</v>
      </c>
      <c r="U140">
        <f t="shared" ca="1" si="56"/>
        <v>1.7</v>
      </c>
      <c r="V140">
        <f t="shared" ca="1" si="36"/>
        <v>0.23172905525846704</v>
      </c>
      <c r="W140">
        <v>1.98</v>
      </c>
      <c r="X140">
        <f t="shared" ca="1" si="57"/>
        <v>0.5252525252525253</v>
      </c>
      <c r="Y140">
        <f t="shared" ca="1" si="38"/>
        <v>51.169102577633062</v>
      </c>
      <c r="Z140" s="16">
        <f t="shared" si="58"/>
        <v>2.4</v>
      </c>
      <c r="AA140" s="16">
        <f t="shared" ca="1" si="40"/>
        <v>0.21885521885521889</v>
      </c>
      <c r="AB140" s="16">
        <f t="shared" ca="1" si="59"/>
        <v>0.16552075375604788</v>
      </c>
      <c r="AC140">
        <f t="shared" ca="1" si="60"/>
        <v>0.11255411255411256</v>
      </c>
      <c r="AD140">
        <f t="shared" ca="1" si="61"/>
        <v>0.15632515632515634</v>
      </c>
      <c r="AE140" s="308">
        <f t="shared" ca="1" si="44"/>
        <v>0.16552075375604788</v>
      </c>
      <c r="AJ140" s="15">
        <v>1.98</v>
      </c>
      <c r="AK140" s="15">
        <f t="shared" si="45"/>
        <v>0.12525252525252525</v>
      </c>
      <c r="AL140" s="15">
        <f t="shared" si="62"/>
        <v>6.7135353535353534E-2</v>
      </c>
      <c r="AM140" s="15">
        <f t="shared" si="63"/>
        <v>0.14099999999999999</v>
      </c>
      <c r="AN140" s="184">
        <f t="shared" si="64"/>
        <v>0.52916085656565648</v>
      </c>
      <c r="AP140" s="15">
        <v>1.98</v>
      </c>
      <c r="AQ140" s="15">
        <f t="shared" si="50"/>
        <v>8.883363181483768E-2</v>
      </c>
      <c r="AR140" s="15">
        <f t="shared" si="51"/>
        <v>4.7614826652752996E-2</v>
      </c>
      <c r="AS140" s="15">
        <f t="shared" si="52"/>
        <v>0.1</v>
      </c>
      <c r="AT140" s="184">
        <f t="shared" si="65"/>
        <v>0.37530006367699908</v>
      </c>
      <c r="AV140" s="15">
        <v>1.98</v>
      </c>
      <c r="AW140" s="32">
        <f t="shared" si="53"/>
        <v>1.6666666666666665</v>
      </c>
      <c r="AX140" s="32">
        <f t="shared" si="54"/>
        <v>0.3833333333333333</v>
      </c>
    </row>
    <row r="141" spans="18:50">
      <c r="R141">
        <v>2</v>
      </c>
      <c r="S141">
        <f t="shared" ca="1" si="55"/>
        <v>0.39</v>
      </c>
      <c r="T141">
        <f t="shared" ca="1" si="34"/>
        <v>38.764471649722012</v>
      </c>
      <c r="U141">
        <f t="shared" ca="1" si="56"/>
        <v>1.7</v>
      </c>
      <c r="V141">
        <f t="shared" ca="1" si="36"/>
        <v>0.22941176470588237</v>
      </c>
      <c r="W141">
        <v>2</v>
      </c>
      <c r="X141">
        <f t="shared" ca="1" si="57"/>
        <v>0.52</v>
      </c>
      <c r="Y141">
        <f t="shared" ca="1" si="38"/>
        <v>51.685962199629344</v>
      </c>
      <c r="Z141" s="16">
        <f t="shared" si="58"/>
        <v>2.4</v>
      </c>
      <c r="AA141" s="16">
        <f t="shared" ca="1" si="40"/>
        <v>0.21666666666666667</v>
      </c>
      <c r="AB141" s="16">
        <f t="shared" ca="1" si="59"/>
        <v>0.16386554621848742</v>
      </c>
      <c r="AC141">
        <f t="shared" ca="1" si="60"/>
        <v>0.11142857142857143</v>
      </c>
      <c r="AD141">
        <f t="shared" ca="1" si="61"/>
        <v>0.15476190476190477</v>
      </c>
      <c r="AE141" s="308">
        <f t="shared" ca="1" si="44"/>
        <v>0.16386554621848742</v>
      </c>
      <c r="AJ141" s="15">
        <v>2</v>
      </c>
      <c r="AK141" s="15">
        <f t="shared" si="45"/>
        <v>0.124</v>
      </c>
      <c r="AL141" s="15">
        <f t="shared" si="62"/>
        <v>6.6464000000000009E-2</v>
      </c>
      <c r="AM141" s="15">
        <f t="shared" si="63"/>
        <v>0.1396</v>
      </c>
      <c r="AN141" s="184">
        <f t="shared" si="64"/>
        <v>0.52386924800000001</v>
      </c>
      <c r="AP141" s="15">
        <v>2</v>
      </c>
      <c r="AQ141" s="15">
        <f t="shared" si="50"/>
        <v>8.8388347648318433E-2</v>
      </c>
      <c r="AR141" s="15">
        <f t="shared" si="51"/>
        <v>4.7376154339498683E-2</v>
      </c>
      <c r="AS141" s="15">
        <f t="shared" si="52"/>
        <v>9.9500000000000005E-2</v>
      </c>
      <c r="AT141" s="184">
        <f t="shared" si="65"/>
        <v>0.37341884850392859</v>
      </c>
      <c r="AV141" s="15">
        <v>2</v>
      </c>
      <c r="AW141" s="32">
        <f t="shared" si="53"/>
        <v>1.65</v>
      </c>
      <c r="AX141" s="32">
        <f t="shared" si="54"/>
        <v>0.3795</v>
      </c>
    </row>
    <row r="142" spans="18:50">
      <c r="R142">
        <v>2.02</v>
      </c>
      <c r="S142">
        <f t="shared" ca="1" si="55"/>
        <v>0.38613861386138615</v>
      </c>
      <c r="T142">
        <f t="shared" ca="1" si="34"/>
        <v>39.152116366219232</v>
      </c>
      <c r="U142">
        <f t="shared" ca="1" si="56"/>
        <v>1.7</v>
      </c>
      <c r="V142">
        <f t="shared" ca="1" si="36"/>
        <v>0.22714036109493305</v>
      </c>
      <c r="W142">
        <v>2.02</v>
      </c>
      <c r="X142">
        <f t="shared" ca="1" si="57"/>
        <v>0.51485148514851486</v>
      </c>
      <c r="Y142">
        <f t="shared" ca="1" si="38"/>
        <v>52.202821821625641</v>
      </c>
      <c r="Z142" s="16">
        <f t="shared" si="58"/>
        <v>2.4</v>
      </c>
      <c r="AA142" s="16">
        <f t="shared" ca="1" si="40"/>
        <v>0.21452145214521454</v>
      </c>
      <c r="AB142" s="16">
        <f t="shared" ca="1" si="59"/>
        <v>0.16224311506780933</v>
      </c>
      <c r="AC142">
        <f t="shared" ca="1" si="60"/>
        <v>0.11032531824611033</v>
      </c>
      <c r="AD142">
        <f t="shared" ca="1" si="61"/>
        <v>0.15322960867515326</v>
      </c>
      <c r="AE142" s="308">
        <f t="shared" ca="1" si="44"/>
        <v>0.16224311506780933</v>
      </c>
      <c r="AJ142" s="15">
        <v>2.02</v>
      </c>
      <c r="AK142" s="15">
        <f t="shared" si="45"/>
        <v>0.12277227722772277</v>
      </c>
      <c r="AL142" s="15">
        <f t="shared" si="62"/>
        <v>6.5805940594059406E-2</v>
      </c>
      <c r="AM142" s="15">
        <f t="shared" si="63"/>
        <v>0.13819999999999999</v>
      </c>
      <c r="AN142" s="184">
        <f t="shared" si="64"/>
        <v>0.51868242376237617</v>
      </c>
      <c r="AP142" s="15">
        <v>2.02</v>
      </c>
      <c r="AQ142" s="15">
        <f t="shared" si="50"/>
        <v>8.7949693091286488E-2</v>
      </c>
      <c r="AR142" s="15">
        <f t="shared" si="51"/>
        <v>4.7141035496929558E-2</v>
      </c>
      <c r="AS142" s="15">
        <f t="shared" si="52"/>
        <v>9.9000000000000005E-2</v>
      </c>
      <c r="AT142" s="184">
        <f t="shared" si="65"/>
        <v>0.37156564178679874</v>
      </c>
      <c r="AV142" s="15">
        <v>2.02</v>
      </c>
      <c r="AW142" s="32">
        <f t="shared" si="53"/>
        <v>1.6336633663366336</v>
      </c>
      <c r="AX142" s="32">
        <f t="shared" si="54"/>
        <v>0.37574257425742574</v>
      </c>
    </row>
    <row r="143" spans="18:50">
      <c r="R143">
        <v>2.04</v>
      </c>
      <c r="S143">
        <f t="shared" ca="1" si="55"/>
        <v>0.38235294117647062</v>
      </c>
      <c r="T143">
        <f t="shared" ca="1" si="34"/>
        <v>39.539761082716453</v>
      </c>
      <c r="U143">
        <f t="shared" ca="1" si="56"/>
        <v>1.7</v>
      </c>
      <c r="V143">
        <f t="shared" ca="1" si="36"/>
        <v>0.22491349480968861</v>
      </c>
      <c r="W143">
        <v>2.04</v>
      </c>
      <c r="X143">
        <f t="shared" ca="1" si="57"/>
        <v>0.50980392156862742</v>
      </c>
      <c r="Y143">
        <f t="shared" ca="1" si="38"/>
        <v>52.71968144362193</v>
      </c>
      <c r="Z143" s="16">
        <f t="shared" si="58"/>
        <v>2.4</v>
      </c>
      <c r="AA143" s="16">
        <f t="shared" ca="1" si="40"/>
        <v>0.21241830065359477</v>
      </c>
      <c r="AB143" s="16">
        <f t="shared" ca="1" si="59"/>
        <v>0.16065249629263473</v>
      </c>
      <c r="AC143">
        <f t="shared" ca="1" si="60"/>
        <v>0.10924369747899161</v>
      </c>
      <c r="AD143">
        <f t="shared" ca="1" si="61"/>
        <v>0.15172735760971054</v>
      </c>
      <c r="AE143" s="308">
        <f t="shared" ca="1" si="44"/>
        <v>0.16065249629263473</v>
      </c>
      <c r="AJ143" s="15">
        <v>2.04</v>
      </c>
      <c r="AK143" s="15">
        <f t="shared" si="45"/>
        <v>0.12156862745098039</v>
      </c>
      <c r="AL143" s="15">
        <f t="shared" si="62"/>
        <v>6.5160784313725489E-2</v>
      </c>
      <c r="AM143" s="15">
        <f t="shared" si="63"/>
        <v>0.13689999999999999</v>
      </c>
      <c r="AN143" s="184">
        <f t="shared" si="64"/>
        <v>0.51359730196078424</v>
      </c>
      <c r="AP143" s="15">
        <v>2.04</v>
      </c>
      <c r="AQ143" s="15">
        <f t="shared" si="50"/>
        <v>8.7517505251750616E-2</v>
      </c>
      <c r="AR143" s="15">
        <f t="shared" si="51"/>
        <v>4.6909382814938332E-2</v>
      </c>
      <c r="AS143" s="15">
        <f t="shared" si="52"/>
        <v>9.8500000000000004E-2</v>
      </c>
      <c r="AT143" s="184">
        <f t="shared" si="65"/>
        <v>0.36973975534734393</v>
      </c>
      <c r="AV143" s="15">
        <v>2.04</v>
      </c>
      <c r="AW143" s="32">
        <f t="shared" si="53"/>
        <v>1.6176470588235292</v>
      </c>
      <c r="AX143" s="32">
        <f t="shared" si="54"/>
        <v>0.37205882352941172</v>
      </c>
    </row>
    <row r="144" spans="18:50">
      <c r="R144">
        <v>2.06</v>
      </c>
      <c r="S144">
        <f t="shared" ca="1" si="55"/>
        <v>0.37864077669902912</v>
      </c>
      <c r="T144">
        <f t="shared" ca="1" si="34"/>
        <v>39.927405799213673</v>
      </c>
      <c r="U144">
        <f t="shared" ca="1" si="56"/>
        <v>1.7</v>
      </c>
      <c r="V144">
        <f t="shared" ca="1" si="36"/>
        <v>0.22272986864648772</v>
      </c>
      <c r="W144">
        <v>2.06</v>
      </c>
      <c r="X144">
        <f t="shared" ca="1" si="57"/>
        <v>0.50485436893203883</v>
      </c>
      <c r="Y144">
        <f t="shared" ca="1" si="38"/>
        <v>53.236541065618226</v>
      </c>
      <c r="Z144" s="16">
        <f t="shared" si="58"/>
        <v>2.4</v>
      </c>
      <c r="AA144" s="16">
        <f t="shared" ca="1" si="40"/>
        <v>0.21035598705501618</v>
      </c>
      <c r="AB144" s="16">
        <f t="shared" ca="1" si="59"/>
        <v>0.15909276331891981</v>
      </c>
      <c r="AC144">
        <f t="shared" ca="1" si="60"/>
        <v>0.10818307905686546</v>
      </c>
      <c r="AD144">
        <f t="shared" ca="1" si="61"/>
        <v>0.15025427646786871</v>
      </c>
      <c r="AE144" s="308">
        <f t="shared" ca="1" si="44"/>
        <v>0.15909276331891981</v>
      </c>
      <c r="AJ144" s="15">
        <v>2.06</v>
      </c>
      <c r="AK144" s="15">
        <f t="shared" si="45"/>
        <v>0.12038834951456311</v>
      </c>
      <c r="AL144" s="15">
        <f t="shared" si="62"/>
        <v>6.4528155339805826E-2</v>
      </c>
      <c r="AM144" s="15">
        <f t="shared" si="63"/>
        <v>0.1356</v>
      </c>
      <c r="AN144" s="184">
        <f t="shared" si="64"/>
        <v>0.50861092038834943</v>
      </c>
      <c r="AP144" s="15">
        <v>2.06</v>
      </c>
      <c r="AQ144" s="15">
        <f t="shared" si="50"/>
        <v>8.70916267864522E-2</v>
      </c>
      <c r="AR144" s="15">
        <f t="shared" si="51"/>
        <v>4.6681111957538379E-2</v>
      </c>
      <c r="AS144" s="15">
        <f t="shared" si="52"/>
        <v>9.8100000000000007E-2</v>
      </c>
      <c r="AT144" s="184">
        <f t="shared" si="65"/>
        <v>0.36794052444931752</v>
      </c>
      <c r="AV144" s="15">
        <v>2.06</v>
      </c>
      <c r="AW144" s="32">
        <f t="shared" si="53"/>
        <v>1.6019417475728155</v>
      </c>
      <c r="AX144" s="32">
        <f t="shared" si="54"/>
        <v>0.36844660194174755</v>
      </c>
    </row>
    <row r="145" spans="18:50">
      <c r="R145">
        <v>2.08</v>
      </c>
      <c r="S145">
        <f t="shared" ca="1" si="55"/>
        <v>0.375</v>
      </c>
      <c r="T145">
        <f t="shared" ca="1" si="34"/>
        <v>40.315050515710894</v>
      </c>
      <c r="U145">
        <f t="shared" ca="1" si="56"/>
        <v>1.7</v>
      </c>
      <c r="V145">
        <f t="shared" ca="1" si="36"/>
        <v>0.22058823529411764</v>
      </c>
      <c r="W145">
        <v>2.08</v>
      </c>
      <c r="X145">
        <f t="shared" ca="1" si="57"/>
        <v>0.5</v>
      </c>
      <c r="Y145">
        <f t="shared" ca="1" si="38"/>
        <v>53.75340068761453</v>
      </c>
      <c r="Z145" s="16">
        <f t="shared" si="58"/>
        <v>2.4</v>
      </c>
      <c r="AA145" s="16">
        <f t="shared" ca="1" si="40"/>
        <v>0.20833333333333334</v>
      </c>
      <c r="AB145" s="16">
        <f t="shared" ca="1" si="59"/>
        <v>0.15756302521008403</v>
      </c>
      <c r="AC145">
        <f t="shared" ca="1" si="60"/>
        <v>0.10714285714285714</v>
      </c>
      <c r="AD145">
        <f t="shared" ca="1" si="61"/>
        <v>0.14880952380952381</v>
      </c>
      <c r="AE145" s="308">
        <f t="shared" ca="1" si="44"/>
        <v>0.15756302521008403</v>
      </c>
      <c r="AJ145" s="15">
        <v>2.08</v>
      </c>
      <c r="AK145" s="15">
        <f t="shared" si="45"/>
        <v>0.11923076923076922</v>
      </c>
      <c r="AL145" s="15">
        <f t="shared" si="62"/>
        <v>6.3907692307692304E-2</v>
      </c>
      <c r="AM145" s="15">
        <f t="shared" si="63"/>
        <v>0.1343</v>
      </c>
      <c r="AN145" s="184">
        <f t="shared" si="64"/>
        <v>0.50372043076923068</v>
      </c>
      <c r="AP145" s="15">
        <v>2.08</v>
      </c>
      <c r="AQ145" s="15">
        <f t="shared" si="50"/>
        <v>8.6671905660192047E-2</v>
      </c>
      <c r="AR145" s="15">
        <f t="shared" si="51"/>
        <v>4.6456141433862938E-2</v>
      </c>
      <c r="AS145" s="15">
        <f t="shared" si="52"/>
        <v>9.7600000000000006E-2</v>
      </c>
      <c r="AT145" s="184">
        <f t="shared" si="65"/>
        <v>0.36616730678170761</v>
      </c>
      <c r="AV145" s="15">
        <v>2.08</v>
      </c>
      <c r="AW145" s="32">
        <f t="shared" si="53"/>
        <v>1.5865384615384615</v>
      </c>
      <c r="AX145" s="32">
        <f t="shared" si="54"/>
        <v>0.36490384615384613</v>
      </c>
    </row>
    <row r="146" spans="18:50">
      <c r="R146">
        <v>2.1</v>
      </c>
      <c r="S146">
        <f t="shared" ca="1" si="55"/>
        <v>0.37142857142857144</v>
      </c>
      <c r="T146">
        <f t="shared" ca="1" si="34"/>
        <v>40.702695232208107</v>
      </c>
      <c r="U146">
        <f t="shared" ca="1" si="56"/>
        <v>1.7</v>
      </c>
      <c r="V146">
        <f t="shared" ca="1" si="36"/>
        <v>0.21848739495798319</v>
      </c>
      <c r="W146">
        <v>2.1</v>
      </c>
      <c r="X146">
        <f t="shared" ca="1" si="57"/>
        <v>0.49523809523809526</v>
      </c>
      <c r="Y146">
        <f t="shared" ca="1" si="38"/>
        <v>54.270260309610812</v>
      </c>
      <c r="Z146" s="16">
        <f t="shared" si="58"/>
        <v>2.4</v>
      </c>
      <c r="AA146" s="16">
        <f t="shared" ca="1" si="40"/>
        <v>0.20634920634920637</v>
      </c>
      <c r="AB146" s="16">
        <f t="shared" ca="1" si="59"/>
        <v>0.15606242496998801</v>
      </c>
      <c r="AC146">
        <f t="shared" ca="1" si="60"/>
        <v>0.10612244897959183</v>
      </c>
      <c r="AD146">
        <f t="shared" ca="1" si="61"/>
        <v>0.14739229024943312</v>
      </c>
      <c r="AE146" s="308">
        <f t="shared" ca="1" si="44"/>
        <v>0.15606242496998801</v>
      </c>
      <c r="AJ146" s="15">
        <v>2.1</v>
      </c>
      <c r="AK146" s="15">
        <f t="shared" si="45"/>
        <v>0.11809523809523809</v>
      </c>
      <c r="AL146" s="15">
        <f t="shared" si="62"/>
        <v>6.3299047619047616E-2</v>
      </c>
      <c r="AM146" s="15">
        <f t="shared" si="63"/>
        <v>0.13300000000000001</v>
      </c>
      <c r="AN146" s="184">
        <f t="shared" si="64"/>
        <v>0.49892309333333329</v>
      </c>
      <c r="AP146" s="15">
        <v>2.1</v>
      </c>
      <c r="AQ146" s="15">
        <f t="shared" si="50"/>
        <v>8.6258194917794268E-2</v>
      </c>
      <c r="AR146" s="15">
        <f t="shared" si="51"/>
        <v>4.6234392475937733E-2</v>
      </c>
      <c r="AS146" s="15">
        <f t="shared" si="52"/>
        <v>9.7100000000000006E-2</v>
      </c>
      <c r="AT146" s="184">
        <f t="shared" si="65"/>
        <v>0.36441948149534115</v>
      </c>
      <c r="AV146" s="15">
        <v>2.1</v>
      </c>
      <c r="AW146" s="32">
        <f t="shared" si="53"/>
        <v>1.5714285714285712</v>
      </c>
      <c r="AX146" s="32">
        <f t="shared" si="54"/>
        <v>0.36142857142857138</v>
      </c>
    </row>
    <row r="147" spans="18:50">
      <c r="R147">
        <v>2.12</v>
      </c>
      <c r="S147">
        <f t="shared" ca="1" si="55"/>
        <v>0.36792452830188677</v>
      </c>
      <c r="T147">
        <f t="shared" ca="1" si="34"/>
        <v>41.090339948705335</v>
      </c>
      <c r="U147">
        <f t="shared" ca="1" si="56"/>
        <v>1.7</v>
      </c>
      <c r="V147">
        <f t="shared" ca="1" si="36"/>
        <v>0.21642619311875694</v>
      </c>
      <c r="W147">
        <v>2.12</v>
      </c>
      <c r="X147">
        <f t="shared" ca="1" si="57"/>
        <v>0.49056603773584906</v>
      </c>
      <c r="Y147">
        <f t="shared" ca="1" si="38"/>
        <v>54.787119931607123</v>
      </c>
      <c r="Z147" s="16">
        <f t="shared" si="58"/>
        <v>2.4</v>
      </c>
      <c r="AA147" s="16">
        <f t="shared" ca="1" si="40"/>
        <v>0.20440251572327045</v>
      </c>
      <c r="AB147" s="16">
        <f t="shared" ca="1" si="59"/>
        <v>0.15459013794196924</v>
      </c>
      <c r="AC147">
        <f t="shared" ca="1" si="60"/>
        <v>0.10512129380053908</v>
      </c>
      <c r="AD147">
        <f t="shared" ca="1" si="61"/>
        <v>0.14600179694519319</v>
      </c>
      <c r="AE147" s="308">
        <f t="shared" ca="1" si="44"/>
        <v>0.15459013794196924</v>
      </c>
      <c r="AJ147" s="15">
        <v>2.12</v>
      </c>
      <c r="AK147" s="15">
        <f t="shared" si="45"/>
        <v>0.11698113207547169</v>
      </c>
      <c r="AL147" s="15">
        <f t="shared" si="62"/>
        <v>6.2701886792452824E-2</v>
      </c>
      <c r="AM147" s="15">
        <f t="shared" si="63"/>
        <v>0.13170000000000001</v>
      </c>
      <c r="AN147" s="184">
        <f t="shared" si="64"/>
        <v>0.49421627169811311</v>
      </c>
      <c r="AP147" s="15">
        <v>2.12</v>
      </c>
      <c r="AQ147" s="15">
        <f t="shared" si="50"/>
        <v>8.5850352467930643E-2</v>
      </c>
      <c r="AR147" s="15">
        <f t="shared" si="51"/>
        <v>4.601578892281083E-2</v>
      </c>
      <c r="AS147" s="15">
        <f t="shared" si="52"/>
        <v>9.6699999999999994E-2</v>
      </c>
      <c r="AT147" s="184">
        <f t="shared" si="65"/>
        <v>0.36269644828959491</v>
      </c>
      <c r="AV147" s="15">
        <v>2.12</v>
      </c>
      <c r="AW147" s="32">
        <f t="shared" si="53"/>
        <v>1.5566037735849054</v>
      </c>
      <c r="AX147" s="32">
        <f t="shared" si="54"/>
        <v>0.35801886792452825</v>
      </c>
    </row>
    <row r="148" spans="18:50">
      <c r="R148">
        <v>2.14</v>
      </c>
      <c r="S148">
        <f t="shared" ca="1" si="55"/>
        <v>0.3644859813084112</v>
      </c>
      <c r="T148">
        <f t="shared" ca="1" si="34"/>
        <v>41.477984665202555</v>
      </c>
      <c r="U148">
        <f t="shared" ca="1" si="56"/>
        <v>1.7</v>
      </c>
      <c r="V148">
        <f t="shared" ca="1" si="36"/>
        <v>0.21440351841671249</v>
      </c>
      <c r="W148">
        <v>2.14</v>
      </c>
      <c r="X148">
        <f t="shared" ca="1" si="57"/>
        <v>0.48598130841121495</v>
      </c>
      <c r="Y148">
        <f t="shared" ca="1" si="38"/>
        <v>55.303979553603405</v>
      </c>
      <c r="Z148" s="16">
        <f t="shared" si="58"/>
        <v>2.4</v>
      </c>
      <c r="AA148" s="16">
        <f t="shared" ca="1" si="40"/>
        <v>0.20249221183800623</v>
      </c>
      <c r="AB148" s="16">
        <f t="shared" ca="1" si="59"/>
        <v>0.15314537029765177</v>
      </c>
      <c r="AC148">
        <f t="shared" ca="1" si="60"/>
        <v>0.1041388518024032</v>
      </c>
      <c r="AD148">
        <f t="shared" ca="1" si="61"/>
        <v>0.14463729417000445</v>
      </c>
      <c r="AE148" s="308">
        <f t="shared" ca="1" si="44"/>
        <v>0.15314537029765177</v>
      </c>
      <c r="AJ148" s="15">
        <v>2.14</v>
      </c>
      <c r="AK148" s="15">
        <f t="shared" si="45"/>
        <v>0.11588785046728971</v>
      </c>
      <c r="AL148" s="15">
        <f t="shared" si="62"/>
        <v>6.2115887850467288E-2</v>
      </c>
      <c r="AM148" s="15">
        <f t="shared" si="63"/>
        <v>0.1305</v>
      </c>
      <c r="AN148" s="184">
        <f t="shared" si="64"/>
        <v>0.48959742803738315</v>
      </c>
      <c r="AP148" s="15">
        <v>2.14</v>
      </c>
      <c r="AQ148" s="15">
        <f t="shared" si="50"/>
        <v>8.5448240878082893E-2</v>
      </c>
      <c r="AR148" s="15">
        <f t="shared" si="51"/>
        <v>4.5800257110652436E-2</v>
      </c>
      <c r="AS148" s="15">
        <f t="shared" si="52"/>
        <v>9.6199999999999994E-2</v>
      </c>
      <c r="AT148" s="184">
        <f t="shared" si="65"/>
        <v>0.36099762654616241</v>
      </c>
      <c r="AV148" s="15">
        <v>2.14</v>
      </c>
      <c r="AW148" s="32">
        <f t="shared" si="53"/>
        <v>1.542056074766355</v>
      </c>
      <c r="AX148" s="32">
        <f t="shared" si="54"/>
        <v>0.35467289719626166</v>
      </c>
    </row>
    <row r="149" spans="18:50">
      <c r="R149">
        <v>2.16</v>
      </c>
      <c r="S149">
        <f t="shared" ca="1" si="55"/>
        <v>0.3611111111111111</v>
      </c>
      <c r="T149">
        <f t="shared" ca="1" si="34"/>
        <v>41.865629381699776</v>
      </c>
      <c r="U149">
        <f t="shared" ca="1" si="56"/>
        <v>1.7</v>
      </c>
      <c r="V149">
        <f t="shared" ca="1" si="36"/>
        <v>0.21241830065359477</v>
      </c>
      <c r="W149">
        <v>2.16</v>
      </c>
      <c r="X149">
        <f t="shared" ca="1" si="57"/>
        <v>0.48148148148148145</v>
      </c>
      <c r="Y149">
        <f t="shared" ca="1" si="38"/>
        <v>55.820839175599694</v>
      </c>
      <c r="Z149" s="16">
        <f t="shared" si="58"/>
        <v>2.4</v>
      </c>
      <c r="AA149" s="16">
        <f t="shared" ca="1" si="40"/>
        <v>0.20061728395061729</v>
      </c>
      <c r="AB149" s="16">
        <f t="shared" ca="1" si="59"/>
        <v>0.15172735760971054</v>
      </c>
      <c r="AC149">
        <f t="shared" ca="1" si="60"/>
        <v>0.10317460317460317</v>
      </c>
      <c r="AD149">
        <f t="shared" ca="1" si="61"/>
        <v>0.14329805996472664</v>
      </c>
      <c r="AE149" s="308">
        <f t="shared" ca="1" si="44"/>
        <v>0.15172735760971054</v>
      </c>
      <c r="AJ149" s="15">
        <v>2.16</v>
      </c>
      <c r="AK149" s="15">
        <f t="shared" si="45"/>
        <v>0.1148148148148148</v>
      </c>
      <c r="AL149" s="15">
        <f t="shared" si="62"/>
        <v>6.1540740740740736E-2</v>
      </c>
      <c r="AM149" s="15">
        <f t="shared" si="63"/>
        <v>0.1293</v>
      </c>
      <c r="AN149" s="184">
        <f t="shared" si="64"/>
        <v>0.48506411851851844</v>
      </c>
      <c r="AP149" s="15">
        <v>2.16</v>
      </c>
      <c r="AQ149" s="15">
        <f t="shared" si="50"/>
        <v>8.5051727179971462E-2</v>
      </c>
      <c r="AR149" s="15">
        <f t="shared" si="51"/>
        <v>4.5587725768464704E-2</v>
      </c>
      <c r="AS149" s="15">
        <f t="shared" si="52"/>
        <v>9.5799999999999996E-2</v>
      </c>
      <c r="AT149" s="184">
        <f t="shared" si="65"/>
        <v>0.35932245450703876</v>
      </c>
      <c r="AV149" s="15">
        <v>2.16</v>
      </c>
      <c r="AW149" s="32">
        <f t="shared" si="53"/>
        <v>1.5277777777777777</v>
      </c>
      <c r="AX149" s="32">
        <f t="shared" si="54"/>
        <v>0.35138888888888886</v>
      </c>
    </row>
    <row r="150" spans="18:50">
      <c r="R150">
        <v>2.1800000000000002</v>
      </c>
      <c r="S150">
        <f t="shared" ca="1" si="55"/>
        <v>0.35779816513761464</v>
      </c>
      <c r="T150">
        <f t="shared" ca="1" si="34"/>
        <v>42.253274098196989</v>
      </c>
      <c r="U150">
        <f t="shared" ca="1" si="56"/>
        <v>1.7</v>
      </c>
      <c r="V150">
        <f t="shared" ca="1" si="36"/>
        <v>0.21046950890447921</v>
      </c>
      <c r="W150">
        <v>2.1800000000000002</v>
      </c>
      <c r="X150">
        <f t="shared" ca="1" si="57"/>
        <v>0.47706422018348621</v>
      </c>
      <c r="Y150">
        <f t="shared" ca="1" si="38"/>
        <v>56.337698797595991</v>
      </c>
      <c r="Z150" s="16">
        <f t="shared" si="58"/>
        <v>2.4</v>
      </c>
      <c r="AA150" s="16">
        <f t="shared" ca="1" si="40"/>
        <v>0.19877675840978593</v>
      </c>
      <c r="AB150" s="16">
        <f t="shared" ca="1" si="59"/>
        <v>0.15033536350319945</v>
      </c>
      <c r="AC150">
        <f t="shared" ca="1" si="60"/>
        <v>0.10222804718217561</v>
      </c>
      <c r="AD150">
        <f t="shared" ca="1" si="61"/>
        <v>0.1419833988641328</v>
      </c>
      <c r="AE150" s="308">
        <f t="shared" ca="1" si="44"/>
        <v>0.15033536350319945</v>
      </c>
      <c r="AJ150" s="15">
        <v>2.1800000000000002</v>
      </c>
      <c r="AK150" s="15">
        <f t="shared" si="45"/>
        <v>0.11376146788990825</v>
      </c>
      <c r="AL150" s="15">
        <f t="shared" si="62"/>
        <v>6.0976146788990826E-2</v>
      </c>
      <c r="AM150" s="15">
        <f t="shared" si="63"/>
        <v>0.12809999999999999</v>
      </c>
      <c r="AN150" s="184">
        <f t="shared" si="64"/>
        <v>0.48061398899082564</v>
      </c>
      <c r="AP150" s="15">
        <v>2.1800000000000002</v>
      </c>
      <c r="AQ150" s="15">
        <f t="shared" si="50"/>
        <v>8.4660682684824545E-2</v>
      </c>
      <c r="AR150" s="15">
        <f t="shared" si="51"/>
        <v>4.5378125919065961E-2</v>
      </c>
      <c r="AS150" s="15">
        <f t="shared" si="52"/>
        <v>9.5299999999999996E-2</v>
      </c>
      <c r="AT150" s="184">
        <f t="shared" si="65"/>
        <v>0.3576703884940779</v>
      </c>
      <c r="AV150" s="15">
        <v>2.1800000000000002</v>
      </c>
      <c r="AW150" s="32">
        <f t="shared" si="53"/>
        <v>1.5137614678899081</v>
      </c>
      <c r="AX150" s="32">
        <f t="shared" si="54"/>
        <v>0.34816513761467888</v>
      </c>
    </row>
    <row r="151" spans="18:50">
      <c r="R151">
        <v>2.2000000000000002</v>
      </c>
      <c r="S151">
        <f t="shared" ca="1" si="55"/>
        <v>0.35454545454545455</v>
      </c>
      <c r="T151">
        <f t="shared" ca="1" si="34"/>
        <v>42.640918814694217</v>
      </c>
      <c r="U151">
        <f t="shared" ca="1" si="56"/>
        <v>1.7</v>
      </c>
      <c r="V151">
        <f t="shared" ca="1" si="36"/>
        <v>0.20855614973262032</v>
      </c>
      <c r="W151">
        <v>2.2000000000000002</v>
      </c>
      <c r="X151">
        <f t="shared" ca="1" si="57"/>
        <v>0.47272727272727272</v>
      </c>
      <c r="Y151">
        <f t="shared" ca="1" si="38"/>
        <v>56.854558419592294</v>
      </c>
      <c r="Z151" s="16">
        <f t="shared" si="58"/>
        <v>2.4</v>
      </c>
      <c r="AA151" s="16">
        <f t="shared" ca="1" si="40"/>
        <v>0.19696969696969696</v>
      </c>
      <c r="AB151" s="16">
        <f t="shared" ca="1" si="59"/>
        <v>0.14896867838044309</v>
      </c>
      <c r="AC151">
        <f t="shared" ca="1" si="60"/>
        <v>0.1012987012987013</v>
      </c>
      <c r="AD151">
        <f t="shared" ca="1" si="61"/>
        <v>0.1406926406926407</v>
      </c>
      <c r="AE151" s="308">
        <f t="shared" ca="1" si="44"/>
        <v>0.14896867838044309</v>
      </c>
      <c r="AJ151" s="15">
        <v>2.2000000000000002</v>
      </c>
      <c r="AK151" s="15">
        <f t="shared" si="45"/>
        <v>0.11272727272727272</v>
      </c>
      <c r="AL151" s="15">
        <f t="shared" si="62"/>
        <v>6.0421818181818181E-2</v>
      </c>
      <c r="AM151" s="15">
        <f t="shared" si="63"/>
        <v>0.12690000000000001</v>
      </c>
      <c r="AN151" s="184">
        <f t="shared" si="64"/>
        <v>0.47624477090909084</v>
      </c>
      <c r="AP151" s="15">
        <v>2.2000000000000002</v>
      </c>
      <c r="AQ151" s="15">
        <f t="shared" si="50"/>
        <v>8.4274982807905255E-2</v>
      </c>
      <c r="AR151" s="15">
        <f t="shared" si="51"/>
        <v>4.5171390785037221E-2</v>
      </c>
      <c r="AS151" s="15">
        <f t="shared" si="52"/>
        <v>9.4899999999999998E-2</v>
      </c>
      <c r="AT151" s="184">
        <f t="shared" si="65"/>
        <v>0.35604090216766332</v>
      </c>
      <c r="AV151" s="15">
        <v>2.2000000000000002</v>
      </c>
      <c r="AW151" s="32">
        <f t="shared" si="53"/>
        <v>1.4999999999999998</v>
      </c>
      <c r="AX151" s="32">
        <f t="shared" si="54"/>
        <v>0.34499999999999997</v>
      </c>
    </row>
    <row r="152" spans="18:50">
      <c r="R152">
        <v>2.2200000000000002</v>
      </c>
      <c r="S152">
        <f t="shared" ca="1" si="55"/>
        <v>0.35135135135135132</v>
      </c>
      <c r="T152">
        <f t="shared" ca="1" si="34"/>
        <v>43.028563531191431</v>
      </c>
      <c r="U152">
        <f t="shared" ca="1" si="56"/>
        <v>1.7</v>
      </c>
      <c r="V152">
        <f t="shared" ca="1" si="36"/>
        <v>0.2066772655007949</v>
      </c>
      <c r="W152">
        <v>2.2200000000000002</v>
      </c>
      <c r="X152">
        <f t="shared" ca="1" si="57"/>
        <v>0.46846846846846846</v>
      </c>
      <c r="Y152">
        <f t="shared" ca="1" si="38"/>
        <v>57.371418041588583</v>
      </c>
      <c r="Z152" s="16">
        <f t="shared" si="58"/>
        <v>2.4</v>
      </c>
      <c r="AA152" s="16">
        <f t="shared" ca="1" si="40"/>
        <v>0.19519519519519521</v>
      </c>
      <c r="AB152" s="16">
        <f t="shared" ca="1" si="59"/>
        <v>0.14762661821485351</v>
      </c>
      <c r="AC152">
        <f t="shared" ca="1" si="60"/>
        <v>0.10038610038610038</v>
      </c>
      <c r="AD152">
        <f t="shared" ca="1" si="61"/>
        <v>0.13942513942513943</v>
      </c>
      <c r="AE152" s="308">
        <f t="shared" ca="1" si="44"/>
        <v>0.14762661821485351</v>
      </c>
      <c r="AJ152" s="15">
        <v>2.2200000000000002</v>
      </c>
      <c r="AK152" s="15">
        <f t="shared" si="45"/>
        <v>0.11171171171171169</v>
      </c>
      <c r="AL152" s="15">
        <f t="shared" si="62"/>
        <v>5.9877477477477473E-2</v>
      </c>
      <c r="AM152" s="15">
        <f t="shared" si="63"/>
        <v>0.1258</v>
      </c>
      <c r="AN152" s="184">
        <f t="shared" si="64"/>
        <v>0.47195427747747737</v>
      </c>
      <c r="AP152" s="15">
        <v>2.2200000000000002</v>
      </c>
      <c r="AQ152" s="15">
        <f t="shared" si="50"/>
        <v>8.3894506901753041E-2</v>
      </c>
      <c r="AR152" s="15">
        <f t="shared" si="51"/>
        <v>4.4967455699339631E-2</v>
      </c>
      <c r="AS152" s="15">
        <f t="shared" si="52"/>
        <v>9.4500000000000001E-2</v>
      </c>
      <c r="AT152" s="184">
        <f t="shared" si="65"/>
        <v>0.35443348582219497</v>
      </c>
      <c r="AV152" s="15">
        <v>2.2200000000000002</v>
      </c>
      <c r="AW152" s="32">
        <f t="shared" si="53"/>
        <v>1.4864864864864862</v>
      </c>
      <c r="AX152" s="32">
        <f t="shared" si="54"/>
        <v>0.34189189189189184</v>
      </c>
    </row>
    <row r="153" spans="18:50">
      <c r="R153">
        <v>2.2400000000000002</v>
      </c>
      <c r="S153">
        <f t="shared" ca="1" si="55"/>
        <v>0.3482142857142857</v>
      </c>
      <c r="T153">
        <f t="shared" ca="1" si="34"/>
        <v>43.416208247688658</v>
      </c>
      <c r="U153">
        <f t="shared" ca="1" si="56"/>
        <v>1.7</v>
      </c>
      <c r="V153">
        <f t="shared" ca="1" si="36"/>
        <v>0.20483193277310924</v>
      </c>
      <c r="W153">
        <v>2.2400000000000002</v>
      </c>
      <c r="X153">
        <f t="shared" ca="1" si="57"/>
        <v>0.46428571428571425</v>
      </c>
      <c r="Y153">
        <f t="shared" ca="1" si="38"/>
        <v>57.888277663584873</v>
      </c>
      <c r="Z153" s="16">
        <f t="shared" si="58"/>
        <v>2.4</v>
      </c>
      <c r="AA153" s="16">
        <f t="shared" ca="1" si="40"/>
        <v>0.19345238095238093</v>
      </c>
      <c r="AB153" s="16">
        <f t="shared" ca="1" si="59"/>
        <v>0.14630852340936373</v>
      </c>
      <c r="AC153">
        <f t="shared" ca="1" si="60"/>
        <v>9.9489795918367346E-2</v>
      </c>
      <c r="AD153">
        <f t="shared" ca="1" si="61"/>
        <v>0.13818027210884354</v>
      </c>
      <c r="AE153" s="308">
        <f t="shared" ca="1" si="44"/>
        <v>0.14630852340936373</v>
      </c>
      <c r="AJ153" s="15">
        <v>2.2400000000000002</v>
      </c>
      <c r="AK153" s="15">
        <f t="shared" si="45"/>
        <v>0.11071428571428571</v>
      </c>
      <c r="AL153" s="15">
        <f t="shared" si="62"/>
        <v>5.9342857142857142E-2</v>
      </c>
      <c r="AM153" s="15">
        <f t="shared" si="63"/>
        <v>0.12470000000000001</v>
      </c>
      <c r="AN153" s="184">
        <f t="shared" si="64"/>
        <v>0.46774039999999995</v>
      </c>
      <c r="AP153" s="15">
        <v>2.2400000000000002</v>
      </c>
      <c r="AQ153" s="15">
        <f t="shared" si="50"/>
        <v>8.3519138097632617E-2</v>
      </c>
      <c r="AR153" s="15">
        <f t="shared" si="51"/>
        <v>4.4766258020331087E-2</v>
      </c>
      <c r="AS153" s="15">
        <f t="shared" si="52"/>
        <v>9.4E-2</v>
      </c>
      <c r="AT153" s="184">
        <f t="shared" si="65"/>
        <v>0.3528476457162496</v>
      </c>
      <c r="AV153" s="15">
        <v>2.2400000000000002</v>
      </c>
      <c r="AW153" s="32">
        <f t="shared" si="53"/>
        <v>1.4732142857142856</v>
      </c>
      <c r="AX153" s="32">
        <f t="shared" si="54"/>
        <v>0.33883928571428568</v>
      </c>
    </row>
    <row r="154" spans="18:50">
      <c r="R154">
        <v>2.2599999999999998</v>
      </c>
      <c r="S154">
        <f t="shared" ca="1" si="55"/>
        <v>0.3451327433628319</v>
      </c>
      <c r="T154">
        <f t="shared" ca="1" si="34"/>
        <v>43.803852964185864</v>
      </c>
      <c r="U154">
        <f t="shared" ca="1" si="56"/>
        <v>1.7</v>
      </c>
      <c r="V154">
        <f t="shared" ca="1" si="36"/>
        <v>0.20301926080166582</v>
      </c>
      <c r="W154">
        <v>2.2599999999999998</v>
      </c>
      <c r="X154">
        <f t="shared" ca="1" si="57"/>
        <v>0.46017699115044253</v>
      </c>
      <c r="Y154">
        <f t="shared" ca="1" si="38"/>
        <v>58.405137285581155</v>
      </c>
      <c r="Z154" s="16">
        <f t="shared" si="58"/>
        <v>2.4</v>
      </c>
      <c r="AA154" s="16">
        <f t="shared" ca="1" si="40"/>
        <v>0.19174041297935107</v>
      </c>
      <c r="AB154" s="16">
        <f t="shared" ca="1" si="59"/>
        <v>0.14501375771547559</v>
      </c>
      <c r="AC154">
        <f t="shared" ca="1" si="60"/>
        <v>9.8609355246523395E-2</v>
      </c>
      <c r="AD154">
        <f t="shared" ca="1" si="61"/>
        <v>0.13695743784239361</v>
      </c>
      <c r="AE154" s="308">
        <f t="shared" ca="1" si="44"/>
        <v>0.14501375771547559</v>
      </c>
      <c r="AJ154" s="15">
        <v>2.2599999999999998</v>
      </c>
      <c r="AK154" s="15">
        <f t="shared" si="45"/>
        <v>0.1097345132743363</v>
      </c>
      <c r="AL154" s="15">
        <f t="shared" si="62"/>
        <v>5.881769911504426E-2</v>
      </c>
      <c r="AM154" s="15">
        <f t="shared" si="63"/>
        <v>0.1236</v>
      </c>
      <c r="AN154" s="184">
        <f t="shared" si="64"/>
        <v>0.46360110442477881</v>
      </c>
      <c r="AP154" s="15">
        <v>2.2599999999999998</v>
      </c>
      <c r="AQ154" s="15">
        <f t="shared" si="50"/>
        <v>8.314876315471742E-2</v>
      </c>
      <c r="AR154" s="15">
        <f t="shared" si="51"/>
        <v>4.4567737050928542E-2</v>
      </c>
      <c r="AS154" s="15">
        <f t="shared" si="52"/>
        <v>9.3600000000000003E-2</v>
      </c>
      <c r="AT154" s="184">
        <f t="shared" si="65"/>
        <v>0.35128290343541874</v>
      </c>
      <c r="AV154" s="15">
        <v>2.2599999999999998</v>
      </c>
      <c r="AW154" s="32">
        <f t="shared" si="53"/>
        <v>1.4601769911504425</v>
      </c>
      <c r="AX154" s="32">
        <f t="shared" si="54"/>
        <v>0.3358407079646018</v>
      </c>
    </row>
    <row r="155" spans="18:50">
      <c r="R155">
        <v>2.2799999999999998</v>
      </c>
      <c r="S155">
        <f t="shared" ca="1" si="55"/>
        <v>0.3421052631578948</v>
      </c>
      <c r="T155">
        <f t="shared" ca="1" si="34"/>
        <v>44.191497680683092</v>
      </c>
      <c r="U155">
        <f t="shared" ca="1" si="56"/>
        <v>1.7</v>
      </c>
      <c r="V155">
        <f t="shared" ca="1" si="36"/>
        <v>0.2012383900928793</v>
      </c>
      <c r="W155">
        <v>2.2799999999999998</v>
      </c>
      <c r="X155">
        <f t="shared" ca="1" si="57"/>
        <v>0.45614035087719301</v>
      </c>
      <c r="Y155">
        <f t="shared" ca="1" si="38"/>
        <v>58.921996907577451</v>
      </c>
      <c r="Z155" s="16">
        <f t="shared" si="58"/>
        <v>2.4</v>
      </c>
      <c r="AA155" s="16">
        <f t="shared" ca="1" si="40"/>
        <v>0.19005847953216376</v>
      </c>
      <c r="AB155" s="16">
        <f t="shared" ca="1" si="59"/>
        <v>0.14374170720919952</v>
      </c>
      <c r="AC155">
        <f t="shared" ca="1" si="60"/>
        <v>9.7744360902255661E-2</v>
      </c>
      <c r="AD155">
        <f t="shared" ca="1" si="61"/>
        <v>0.13575605680868841</v>
      </c>
      <c r="AE155" s="308">
        <f t="shared" ca="1" si="44"/>
        <v>0.14374170720919952</v>
      </c>
      <c r="AJ155" s="15">
        <v>2.2799999999999998</v>
      </c>
      <c r="AK155" s="15">
        <f t="shared" si="45"/>
        <v>0.10877192982456141</v>
      </c>
      <c r="AL155" s="15">
        <f t="shared" si="62"/>
        <v>5.8301754385964917E-2</v>
      </c>
      <c r="AM155" s="15">
        <f t="shared" si="63"/>
        <v>0.1225</v>
      </c>
      <c r="AN155" s="184">
        <f t="shared" si="64"/>
        <v>0.45953442807017547</v>
      </c>
      <c r="AP155" s="15">
        <v>2.2799999999999998</v>
      </c>
      <c r="AQ155" s="15">
        <f t="shared" si="50"/>
        <v>8.2783272316565237E-2</v>
      </c>
      <c r="AR155" s="15">
        <f t="shared" si="51"/>
        <v>4.4371833961678972E-2</v>
      </c>
      <c r="AS155" s="15">
        <f t="shared" si="52"/>
        <v>9.3200000000000005E-2</v>
      </c>
      <c r="AT155" s="184">
        <f t="shared" si="65"/>
        <v>0.34973879528595364</v>
      </c>
      <c r="AV155" s="15">
        <v>2.2799999999999998</v>
      </c>
      <c r="AW155" s="32">
        <f t="shared" si="53"/>
        <v>1.4473684210526316</v>
      </c>
      <c r="AX155" s="32">
        <f t="shared" si="54"/>
        <v>0.3328947368421053</v>
      </c>
    </row>
    <row r="156" spans="18:50">
      <c r="R156">
        <v>2.2999999999999998</v>
      </c>
      <c r="S156">
        <f t="shared" ca="1" si="55"/>
        <v>0.33913043478260874</v>
      </c>
      <c r="T156">
        <f t="shared" ca="1" si="34"/>
        <v>44.579142397180306</v>
      </c>
      <c r="U156">
        <f t="shared" ca="1" si="56"/>
        <v>1.7</v>
      </c>
      <c r="V156">
        <f t="shared" ca="1" si="36"/>
        <v>0.19948849104859337</v>
      </c>
      <c r="W156">
        <v>2.2999999999999998</v>
      </c>
      <c r="X156">
        <f t="shared" ca="1" si="57"/>
        <v>0.45217391304347831</v>
      </c>
      <c r="Y156">
        <f t="shared" ca="1" si="38"/>
        <v>59.438856529573748</v>
      </c>
      <c r="Z156" s="16">
        <f t="shared" si="58"/>
        <v>2.4</v>
      </c>
      <c r="AA156" s="16">
        <f t="shared" ca="1" si="40"/>
        <v>0.18840579710144931</v>
      </c>
      <c r="AB156" s="16">
        <f t="shared" ca="1" si="59"/>
        <v>0.14249177932042384</v>
      </c>
      <c r="AC156">
        <f t="shared" ca="1" si="60"/>
        <v>9.6894409937888212E-2</v>
      </c>
      <c r="AD156">
        <f t="shared" ca="1" si="61"/>
        <v>0.13457556935817808</v>
      </c>
      <c r="AE156" s="308">
        <f t="shared" ca="1" si="44"/>
        <v>0.14249177932042384</v>
      </c>
      <c r="AJ156" s="15">
        <v>2.2999999999999998</v>
      </c>
      <c r="AK156" s="15">
        <f t="shared" si="45"/>
        <v>0.10782608695652175</v>
      </c>
      <c r="AL156" s="15">
        <f t="shared" si="62"/>
        <v>5.7794782608695659E-2</v>
      </c>
      <c r="AM156" s="15">
        <f t="shared" si="63"/>
        <v>0.12139999999999999</v>
      </c>
      <c r="AN156" s="184">
        <f t="shared" si="64"/>
        <v>0.45553847652173918</v>
      </c>
      <c r="AP156" s="15">
        <v>2.2999999999999998</v>
      </c>
      <c r="AQ156" s="15">
        <f t="shared" si="50"/>
        <v>8.2422559174473387E-2</v>
      </c>
      <c r="AR156" s="15">
        <f t="shared" si="51"/>
        <v>4.417849171751774E-2</v>
      </c>
      <c r="AS156" s="15">
        <f t="shared" si="52"/>
        <v>9.2799999999999994E-2</v>
      </c>
      <c r="AT156" s="184">
        <f t="shared" si="65"/>
        <v>0.34821487171747484</v>
      </c>
      <c r="AV156" s="15">
        <v>2.2999999999999998</v>
      </c>
      <c r="AW156" s="32">
        <f t="shared" si="53"/>
        <v>1.4347826086956521</v>
      </c>
      <c r="AX156" s="32">
        <f t="shared" si="54"/>
        <v>0.33</v>
      </c>
    </row>
    <row r="157" spans="18:50">
      <c r="R157">
        <v>2.3199999999999998</v>
      </c>
      <c r="S157">
        <f t="shared" ca="1" si="55"/>
        <v>0.3362068965517242</v>
      </c>
      <c r="T157">
        <f t="shared" ca="1" si="34"/>
        <v>44.96678711367754</v>
      </c>
      <c r="U157">
        <f t="shared" ca="1" si="56"/>
        <v>1.7</v>
      </c>
      <c r="V157">
        <f t="shared" ca="1" si="36"/>
        <v>0.19776876267748483</v>
      </c>
      <c r="W157">
        <v>2.3199999999999998</v>
      </c>
      <c r="X157">
        <f t="shared" ca="1" si="57"/>
        <v>0.44827586206896558</v>
      </c>
      <c r="Y157">
        <f t="shared" ca="1" si="38"/>
        <v>59.955716151570051</v>
      </c>
      <c r="Z157" s="16">
        <f t="shared" si="58"/>
        <v>2.4</v>
      </c>
      <c r="AA157" s="16">
        <f t="shared" ca="1" si="40"/>
        <v>0.18678160919540232</v>
      </c>
      <c r="AB157" s="16">
        <f t="shared" ca="1" si="59"/>
        <v>0.14126340191248918</v>
      </c>
      <c r="AC157">
        <f t="shared" ca="1" si="60"/>
        <v>9.6059113300492632E-2</v>
      </c>
      <c r="AD157">
        <f t="shared" ca="1" si="61"/>
        <v>0.1334154351395731</v>
      </c>
      <c r="AE157" s="308">
        <f t="shared" ca="1" si="44"/>
        <v>0.14126340191248918</v>
      </c>
      <c r="AJ157" s="15">
        <v>2.3199999999999998</v>
      </c>
      <c r="AK157" s="15">
        <f t="shared" si="45"/>
        <v>0.10689655172413794</v>
      </c>
      <c r="AL157" s="15">
        <f t="shared" si="62"/>
        <v>5.7296551724137938E-2</v>
      </c>
      <c r="AM157" s="15">
        <f t="shared" si="63"/>
        <v>0.12039999999999999</v>
      </c>
      <c r="AN157" s="184">
        <f t="shared" si="64"/>
        <v>0.45161142068965521</v>
      </c>
      <c r="AP157" s="15">
        <v>2.3199999999999998</v>
      </c>
      <c r="AQ157" s="15">
        <f t="shared" si="50"/>
        <v>8.2066520537326604E-2</v>
      </c>
      <c r="AR157" s="15">
        <f t="shared" si="51"/>
        <v>4.3987655008007061E-2</v>
      </c>
      <c r="AS157" s="15">
        <f t="shared" si="52"/>
        <v>9.2399999999999996E-2</v>
      </c>
      <c r="AT157" s="184">
        <f t="shared" si="65"/>
        <v>0.34671069677311162</v>
      </c>
      <c r="AV157" s="15">
        <v>2.3199999999999998</v>
      </c>
      <c r="AW157" s="32">
        <f t="shared" si="53"/>
        <v>1.4224137931034484</v>
      </c>
      <c r="AX157" s="32">
        <f t="shared" si="54"/>
        <v>0.32715517241379316</v>
      </c>
    </row>
    <row r="158" spans="18:50">
      <c r="R158">
        <v>2.34</v>
      </c>
      <c r="S158">
        <f t="shared" ca="1" si="55"/>
        <v>0.33333333333333337</v>
      </c>
      <c r="T158">
        <f t="shared" ca="1" si="34"/>
        <v>45.354431830174747</v>
      </c>
      <c r="U158">
        <f t="shared" ca="1" si="56"/>
        <v>1.7</v>
      </c>
      <c r="V158">
        <f t="shared" ca="1" si="36"/>
        <v>0.19607843137254904</v>
      </c>
      <c r="W158">
        <v>2.34</v>
      </c>
      <c r="X158">
        <f t="shared" ca="1" si="57"/>
        <v>0.44444444444444448</v>
      </c>
      <c r="Y158">
        <f t="shared" ca="1" si="38"/>
        <v>60.472575773566327</v>
      </c>
      <c r="Z158" s="16">
        <f t="shared" si="58"/>
        <v>2.4</v>
      </c>
      <c r="AA158" s="16">
        <f t="shared" ca="1" si="40"/>
        <v>0.1851851851851852</v>
      </c>
      <c r="AB158" s="16">
        <f t="shared" ca="1" si="59"/>
        <v>0.14005602240896362</v>
      </c>
      <c r="AC158">
        <f t="shared" ca="1" si="60"/>
        <v>9.5238095238095247E-2</v>
      </c>
      <c r="AD158">
        <f t="shared" ca="1" si="61"/>
        <v>0.1322751322751323</v>
      </c>
      <c r="AE158" s="308">
        <f t="shared" ca="1" si="44"/>
        <v>0.14005602240896362</v>
      </c>
      <c r="AJ158" s="15">
        <v>2.34</v>
      </c>
      <c r="AK158" s="15">
        <f t="shared" si="45"/>
        <v>0.10598290598290599</v>
      </c>
      <c r="AL158" s="15">
        <f t="shared" si="62"/>
        <v>5.6806837606837614E-2</v>
      </c>
      <c r="AM158" s="15">
        <f t="shared" si="63"/>
        <v>0.1193</v>
      </c>
      <c r="AN158" s="184">
        <f t="shared" si="64"/>
        <v>0.44775149401709402</v>
      </c>
      <c r="AP158" s="15">
        <v>2.34</v>
      </c>
      <c r="AQ158" s="15">
        <f t="shared" si="50"/>
        <v>8.1715056307576681E-2</v>
      </c>
      <c r="AR158" s="15">
        <f t="shared" si="51"/>
        <v>4.3799270180861105E-2</v>
      </c>
      <c r="AS158" s="15">
        <f t="shared" si="52"/>
        <v>9.1999999999999998E-2</v>
      </c>
      <c r="AT158" s="184">
        <f t="shared" si="65"/>
        <v>0.34522584756554719</v>
      </c>
      <c r="AV158" s="15">
        <v>2.34</v>
      </c>
      <c r="AW158" s="32">
        <f t="shared" si="53"/>
        <v>1.4102564102564104</v>
      </c>
      <c r="AX158" s="32">
        <f t="shared" si="54"/>
        <v>0.32435897435897437</v>
      </c>
    </row>
    <row r="159" spans="18:50">
      <c r="R159">
        <v>2.36</v>
      </c>
      <c r="S159">
        <f t="shared" ca="1" si="55"/>
        <v>0.33050847457627119</v>
      </c>
      <c r="T159">
        <f t="shared" ca="1" si="34"/>
        <v>45.74207654667196</v>
      </c>
      <c r="U159">
        <f t="shared" ca="1" si="56"/>
        <v>1.7</v>
      </c>
      <c r="V159">
        <f t="shared" ca="1" si="36"/>
        <v>0.19441674975074777</v>
      </c>
      <c r="W159">
        <v>2.36</v>
      </c>
      <c r="X159">
        <f t="shared" ca="1" si="57"/>
        <v>0.44067796610169496</v>
      </c>
      <c r="Y159">
        <f t="shared" ca="1" si="38"/>
        <v>60.98943539556263</v>
      </c>
      <c r="Z159" s="16">
        <f t="shared" si="58"/>
        <v>2.4</v>
      </c>
      <c r="AA159" s="16">
        <f t="shared" ca="1" si="40"/>
        <v>0.18361581920903958</v>
      </c>
      <c r="AB159" s="16">
        <f t="shared" ca="1" si="59"/>
        <v>0.13886910696481983</v>
      </c>
      <c r="AC159">
        <f t="shared" ca="1" si="60"/>
        <v>9.4430992736077482E-2</v>
      </c>
      <c r="AD159">
        <f t="shared" ca="1" si="61"/>
        <v>0.13115415657788543</v>
      </c>
      <c r="AE159" s="308">
        <f t="shared" ca="1" si="44"/>
        <v>0.13886910696481983</v>
      </c>
      <c r="AJ159" s="15">
        <v>2.36</v>
      </c>
      <c r="AK159" s="15">
        <f t="shared" si="45"/>
        <v>0.10508474576271187</v>
      </c>
      <c r="AL159" s="15">
        <f t="shared" si="62"/>
        <v>5.6325423728813565E-2</v>
      </c>
      <c r="AM159" s="15">
        <f t="shared" si="63"/>
        <v>0.1183</v>
      </c>
      <c r="AN159" s="184">
        <f t="shared" si="64"/>
        <v>0.44395698983050852</v>
      </c>
      <c r="AP159" s="15">
        <v>2.36</v>
      </c>
      <c r="AQ159" s="15">
        <f t="shared" si="50"/>
        <v>8.1368069363014911E-2</v>
      </c>
      <c r="AR159" s="15">
        <f t="shared" si="51"/>
        <v>4.3613285178575996E-2</v>
      </c>
      <c r="AS159" s="15">
        <f t="shared" si="52"/>
        <v>9.1600000000000001E-2</v>
      </c>
      <c r="AT159" s="184">
        <f t="shared" si="65"/>
        <v>0.34375991377753601</v>
      </c>
      <c r="AV159" s="15">
        <v>2.36</v>
      </c>
      <c r="AW159" s="32">
        <f t="shared" si="53"/>
        <v>1.3983050847457628</v>
      </c>
      <c r="AX159" s="32">
        <f t="shared" si="54"/>
        <v>0.32161016949152543</v>
      </c>
    </row>
    <row r="160" spans="18:50">
      <c r="R160">
        <v>2.38</v>
      </c>
      <c r="S160">
        <f t="shared" ca="1" si="55"/>
        <v>0.32773109243697479</v>
      </c>
      <c r="T160">
        <f t="shared" ca="1" si="34"/>
        <v>46.129721263169188</v>
      </c>
      <c r="U160">
        <f t="shared" ca="1" si="56"/>
        <v>1.7</v>
      </c>
      <c r="V160">
        <f t="shared" ca="1" si="36"/>
        <v>0.19278299555116166</v>
      </c>
      <c r="W160">
        <v>2.38</v>
      </c>
      <c r="X160">
        <f t="shared" ca="1" si="57"/>
        <v>0.43697478991596644</v>
      </c>
      <c r="Y160">
        <f t="shared" ca="1" si="38"/>
        <v>61.506295017558926</v>
      </c>
      <c r="Z160" s="16">
        <f t="shared" si="58"/>
        <v>2.4</v>
      </c>
      <c r="AA160" s="16">
        <f t="shared" ca="1" si="40"/>
        <v>0.18207282913165268</v>
      </c>
      <c r="AB160" s="16">
        <f t="shared" ca="1" si="59"/>
        <v>0.13770213967940118</v>
      </c>
      <c r="AC160">
        <f t="shared" ca="1" si="60"/>
        <v>9.3637454981992801E-2</v>
      </c>
      <c r="AD160">
        <f t="shared" ca="1" si="61"/>
        <v>0.13005202080832334</v>
      </c>
      <c r="AE160" s="308">
        <f t="shared" ca="1" si="44"/>
        <v>0.13770213967940118</v>
      </c>
      <c r="AJ160" s="15">
        <v>2.38</v>
      </c>
      <c r="AK160" s="15">
        <f t="shared" si="45"/>
        <v>0.10420168067226891</v>
      </c>
      <c r="AL160" s="15">
        <f t="shared" si="62"/>
        <v>5.5852100840336143E-2</v>
      </c>
      <c r="AM160" s="15">
        <f t="shared" si="63"/>
        <v>0.1173</v>
      </c>
      <c r="AN160" s="184">
        <f t="shared" si="64"/>
        <v>0.44022625882352939</v>
      </c>
      <c r="AP160" s="15">
        <v>2.38</v>
      </c>
      <c r="AQ160" s="15">
        <f t="shared" si="50"/>
        <v>8.1025465444020547E-2</v>
      </c>
      <c r="AR160" s="15">
        <f t="shared" si="51"/>
        <v>4.3429649477995019E-2</v>
      </c>
      <c r="AS160" s="15">
        <f t="shared" si="52"/>
        <v>9.1200000000000003E-2</v>
      </c>
      <c r="AT160" s="184">
        <f t="shared" si="65"/>
        <v>0.34231249718555673</v>
      </c>
      <c r="AV160" s="15">
        <v>2.38</v>
      </c>
      <c r="AW160" s="32">
        <f t="shared" si="53"/>
        <v>1.3865546218487395</v>
      </c>
      <c r="AX160" s="32">
        <f t="shared" si="54"/>
        <v>0.31890756302521006</v>
      </c>
    </row>
    <row r="161" spans="18:50">
      <c r="R161">
        <v>2.4</v>
      </c>
      <c r="S161">
        <f t="shared" ca="1" si="55"/>
        <v>0.32500000000000001</v>
      </c>
      <c r="T161">
        <f t="shared" ca="1" si="34"/>
        <v>46.517365979666408</v>
      </c>
      <c r="U161">
        <f t="shared" ca="1" si="56"/>
        <v>1.7</v>
      </c>
      <c r="V161">
        <f t="shared" ca="1" si="36"/>
        <v>0.19117647058823531</v>
      </c>
      <c r="W161">
        <v>2.4</v>
      </c>
      <c r="X161">
        <f t="shared" ca="1" si="57"/>
        <v>0.43333333333333335</v>
      </c>
      <c r="Y161">
        <f t="shared" ca="1" si="38"/>
        <v>62.023154639555216</v>
      </c>
      <c r="Z161" s="16">
        <f t="shared" si="58"/>
        <v>2.4</v>
      </c>
      <c r="AA161" s="16">
        <f t="shared" ca="1" si="40"/>
        <v>0.18055555555555558</v>
      </c>
      <c r="AB161" s="16">
        <f t="shared" ca="1" si="59"/>
        <v>0.13655462184873951</v>
      </c>
      <c r="AC161">
        <f t="shared" ca="1" si="60"/>
        <v>9.285714285714286E-2</v>
      </c>
      <c r="AD161">
        <f t="shared" ca="1" si="61"/>
        <v>0.12896825396825398</v>
      </c>
      <c r="AE161" s="308">
        <f t="shared" ca="1" si="44"/>
        <v>0.13655462184873951</v>
      </c>
      <c r="AJ161" s="15">
        <v>2.4</v>
      </c>
      <c r="AK161" s="15">
        <f t="shared" si="45"/>
        <v>0.10333333333333333</v>
      </c>
      <c r="AL161" s="15">
        <f t="shared" si="62"/>
        <v>5.5386666666666667E-2</v>
      </c>
      <c r="AM161" s="15">
        <f t="shared" si="63"/>
        <v>0.1164</v>
      </c>
      <c r="AN161" s="184">
        <f t="shared" si="64"/>
        <v>0.43655770666666666</v>
      </c>
      <c r="AP161" s="15">
        <v>2.4</v>
      </c>
      <c r="AQ161" s="15">
        <f t="shared" si="50"/>
        <v>8.068715304598785E-2</v>
      </c>
      <c r="AR161" s="15">
        <f t="shared" si="51"/>
        <v>4.324831403264949E-2</v>
      </c>
      <c r="AS161" s="15">
        <f t="shared" si="52"/>
        <v>9.0899999999999995E-2</v>
      </c>
      <c r="AT161" s="184">
        <f t="shared" si="65"/>
        <v>0.34088321120534326</v>
      </c>
      <c r="AV161" s="15">
        <v>2.4</v>
      </c>
      <c r="AW161" s="32">
        <f t="shared" si="53"/>
        <v>1.375</v>
      </c>
      <c r="AX161" s="32">
        <f t="shared" si="54"/>
        <v>0.31625000000000003</v>
      </c>
    </row>
    <row r="162" spans="18:50">
      <c r="R162">
        <v>2.42</v>
      </c>
      <c r="S162">
        <f t="shared" ca="1" si="55"/>
        <v>0.3223140495867769</v>
      </c>
      <c r="T162">
        <f t="shared" ca="1" si="34"/>
        <v>46.905010696163643</v>
      </c>
      <c r="U162">
        <f t="shared" ca="1" si="56"/>
        <v>1.7</v>
      </c>
      <c r="V162">
        <f t="shared" ca="1" si="36"/>
        <v>0.18959649975692758</v>
      </c>
      <c r="W162">
        <v>2.42</v>
      </c>
      <c r="X162">
        <f t="shared" ca="1" si="57"/>
        <v>0.42975206611570249</v>
      </c>
      <c r="Y162">
        <f t="shared" ca="1" si="38"/>
        <v>62.540014261551512</v>
      </c>
      <c r="Z162" s="16">
        <f t="shared" si="58"/>
        <v>2.4</v>
      </c>
      <c r="AA162" s="16">
        <f t="shared" ca="1" si="40"/>
        <v>0.1790633608815427</v>
      </c>
      <c r="AB162" s="16">
        <f t="shared" ca="1" si="59"/>
        <v>0.13542607125494827</v>
      </c>
      <c r="AC162">
        <f t="shared" ca="1" si="60"/>
        <v>9.2089728453364827E-2</v>
      </c>
      <c r="AD162">
        <f t="shared" ca="1" si="61"/>
        <v>0.12790240062967337</v>
      </c>
      <c r="AE162" s="308">
        <f t="shared" ca="1" si="44"/>
        <v>0.13542607125494827</v>
      </c>
      <c r="AJ162" s="15">
        <v>2.42</v>
      </c>
      <c r="AK162" s="15">
        <f t="shared" si="45"/>
        <v>0.10247933884297521</v>
      </c>
      <c r="AL162" s="15">
        <f t="shared" si="62"/>
        <v>5.4928925619834715E-2</v>
      </c>
      <c r="AM162" s="15">
        <f t="shared" si="63"/>
        <v>0.1154</v>
      </c>
      <c r="AN162" s="184">
        <f t="shared" si="64"/>
        <v>0.43294979173553716</v>
      </c>
      <c r="AP162" s="15">
        <v>2.42</v>
      </c>
      <c r="AQ162" s="15">
        <f t="shared" si="50"/>
        <v>8.0353043316653119E-2</v>
      </c>
      <c r="AR162" s="15">
        <f t="shared" si="51"/>
        <v>4.3069231217726073E-2</v>
      </c>
      <c r="AS162" s="15">
        <f t="shared" si="52"/>
        <v>9.0499999999999997E-2</v>
      </c>
      <c r="AT162" s="184">
        <f t="shared" si="65"/>
        <v>0.33947168045811688</v>
      </c>
      <c r="AV162" s="15">
        <v>2.42</v>
      </c>
      <c r="AW162" s="32">
        <f t="shared" si="53"/>
        <v>1.3636363636363635</v>
      </c>
      <c r="AX162" s="32">
        <f t="shared" si="54"/>
        <v>0.3136363636363636</v>
      </c>
    </row>
    <row r="163" spans="18:50">
      <c r="R163">
        <v>2.44</v>
      </c>
      <c r="S163">
        <f t="shared" ca="1" si="55"/>
        <v>0.31967213114754101</v>
      </c>
      <c r="T163">
        <f t="shared" ca="1" si="34"/>
        <v>47.292655412660856</v>
      </c>
      <c r="U163">
        <f t="shared" ca="1" si="56"/>
        <v>1.7</v>
      </c>
      <c r="V163">
        <f t="shared" ca="1" si="36"/>
        <v>0.18804243008678884</v>
      </c>
      <c r="W163">
        <v>2.44</v>
      </c>
      <c r="X163">
        <f t="shared" ca="1" si="57"/>
        <v>0.42622950819672134</v>
      </c>
      <c r="Y163">
        <f t="shared" ca="1" si="38"/>
        <v>63.056873883547809</v>
      </c>
      <c r="Z163" s="16">
        <f t="shared" si="58"/>
        <v>2.4</v>
      </c>
      <c r="AA163" s="16">
        <f t="shared" ca="1" si="40"/>
        <v>0.17759562841530058</v>
      </c>
      <c r="AB163" s="16">
        <f t="shared" ca="1" si="59"/>
        <v>0.13431602149056346</v>
      </c>
      <c r="AC163">
        <f t="shared" ca="1" si="60"/>
        <v>9.1334894613583142E-2</v>
      </c>
      <c r="AD163">
        <f t="shared" ca="1" si="61"/>
        <v>0.12685402029664328</v>
      </c>
      <c r="AE163" s="308">
        <f t="shared" ca="1" si="44"/>
        <v>0.13431602149056346</v>
      </c>
      <c r="AJ163" s="15">
        <v>2.44</v>
      </c>
      <c r="AK163" s="15">
        <f t="shared" si="45"/>
        <v>0.10163934426229508</v>
      </c>
      <c r="AL163" s="15">
        <f t="shared" si="62"/>
        <v>5.4478688524590167E-2</v>
      </c>
      <c r="AM163" s="15">
        <f t="shared" si="63"/>
        <v>0.1144</v>
      </c>
      <c r="AN163" s="184">
        <f t="shared" si="64"/>
        <v>0.42940102295081967</v>
      </c>
      <c r="AP163" s="15">
        <v>2.44</v>
      </c>
      <c r="AQ163" s="15">
        <f t="shared" si="50"/>
        <v>8.0023049958059991E-2</v>
      </c>
      <c r="AR163" s="15">
        <f t="shared" si="51"/>
        <v>4.289235477752016E-2</v>
      </c>
      <c r="AS163" s="15">
        <f t="shared" si="52"/>
        <v>9.01E-2</v>
      </c>
      <c r="AT163" s="184">
        <f t="shared" si="65"/>
        <v>0.33807754035641385</v>
      </c>
      <c r="AV163" s="15">
        <v>2.44</v>
      </c>
      <c r="AW163" s="32">
        <f t="shared" si="53"/>
        <v>1.3524590163934427</v>
      </c>
      <c r="AX163" s="32">
        <f t="shared" si="54"/>
        <v>0.31106557377049182</v>
      </c>
    </row>
    <row r="164" spans="18:50">
      <c r="R164">
        <v>2.46</v>
      </c>
      <c r="S164">
        <f t="shared" ca="1" si="55"/>
        <v>0.31707317073170732</v>
      </c>
      <c r="T164">
        <f t="shared" ca="1" si="34"/>
        <v>47.68030012915807</v>
      </c>
      <c r="U164">
        <f t="shared" ca="1" si="56"/>
        <v>1.7</v>
      </c>
      <c r="V164">
        <f t="shared" ca="1" si="36"/>
        <v>0.18651362984218078</v>
      </c>
      <c r="W164">
        <v>2.46</v>
      </c>
      <c r="X164">
        <f t="shared" ca="1" si="57"/>
        <v>0.42276422764227645</v>
      </c>
      <c r="Y164">
        <f t="shared" ca="1" si="38"/>
        <v>63.573733505544091</v>
      </c>
      <c r="Z164" s="16">
        <f t="shared" si="58"/>
        <v>2.4</v>
      </c>
      <c r="AA164" s="16">
        <f t="shared" ca="1" si="40"/>
        <v>0.17615176151761519</v>
      </c>
      <c r="AB164" s="16">
        <f t="shared" ca="1" si="59"/>
        <v>0.13322402131584343</v>
      </c>
      <c r="AC164">
        <f t="shared" ca="1" si="60"/>
        <v>9.0592334494773524E-2</v>
      </c>
      <c r="AD164">
        <f t="shared" ca="1" si="61"/>
        <v>0.12582268679829656</v>
      </c>
      <c r="AE164" s="308">
        <f t="shared" ca="1" si="44"/>
        <v>0.13322402131584343</v>
      </c>
      <c r="AJ164" s="15">
        <v>2.46</v>
      </c>
      <c r="AK164" s="15">
        <f t="shared" si="45"/>
        <v>0.1008130081300813</v>
      </c>
      <c r="AL164" s="15">
        <f t="shared" si="62"/>
        <v>5.4035772357723583E-2</v>
      </c>
      <c r="AM164" s="15">
        <f t="shared" si="63"/>
        <v>0.1135</v>
      </c>
      <c r="AN164" s="184">
        <f t="shared" si="64"/>
        <v>0.42590995772357726</v>
      </c>
      <c r="AP164" s="15">
        <v>2.46</v>
      </c>
      <c r="AQ164" s="15">
        <f t="shared" si="50"/>
        <v>7.9697089132917287E-2</v>
      </c>
      <c r="AR164" s="15">
        <f t="shared" si="51"/>
        <v>4.271763977524367E-2</v>
      </c>
      <c r="AS164" s="15">
        <f t="shared" si="52"/>
        <v>8.9700000000000002E-2</v>
      </c>
      <c r="AT164" s="184">
        <f t="shared" si="65"/>
        <v>0.33670043670847055</v>
      </c>
      <c r="AV164" s="15">
        <v>2.46</v>
      </c>
      <c r="AW164" s="32">
        <f t="shared" si="53"/>
        <v>1.3414634146341462</v>
      </c>
      <c r="AX164" s="32">
        <f t="shared" si="54"/>
        <v>0.30853658536585366</v>
      </c>
    </row>
    <row r="165" spans="18:50">
      <c r="R165">
        <v>2.48</v>
      </c>
      <c r="S165">
        <f t="shared" ca="1" si="55"/>
        <v>0.31451612903225806</v>
      </c>
      <c r="T165">
        <f t="shared" ca="1" si="34"/>
        <v>48.067944845655305</v>
      </c>
      <c r="U165">
        <f t="shared" ca="1" si="56"/>
        <v>1.7</v>
      </c>
      <c r="V165">
        <f t="shared" ca="1" si="36"/>
        <v>0.18500948766603417</v>
      </c>
      <c r="W165">
        <v>2.48</v>
      </c>
      <c r="X165">
        <f t="shared" ca="1" si="57"/>
        <v>0.41935483870967744</v>
      </c>
      <c r="Y165">
        <f t="shared" ca="1" si="38"/>
        <v>64.090593127540401</v>
      </c>
      <c r="Z165" s="16">
        <f t="shared" si="58"/>
        <v>2.4</v>
      </c>
      <c r="AA165" s="16">
        <f t="shared" ca="1" si="40"/>
        <v>0.17473118279569894</v>
      </c>
      <c r="AB165" s="16">
        <f t="shared" ca="1" si="59"/>
        <v>0.13214963404716726</v>
      </c>
      <c r="AC165">
        <f t="shared" ca="1" si="60"/>
        <v>8.9861751152073746E-2</v>
      </c>
      <c r="AD165">
        <f t="shared" ca="1" si="61"/>
        <v>0.12480798771121353</v>
      </c>
      <c r="AE165" s="308">
        <f t="shared" ca="1" si="44"/>
        <v>0.13214963404716726</v>
      </c>
      <c r="AJ165" s="15">
        <v>2.48</v>
      </c>
      <c r="AK165" s="15">
        <f t="shared" si="45"/>
        <v>0.1</v>
      </c>
      <c r="AL165" s="15">
        <f t="shared" si="62"/>
        <v>5.3600000000000009E-2</v>
      </c>
      <c r="AM165" s="15">
        <f t="shared" si="63"/>
        <v>0.11260000000000001</v>
      </c>
      <c r="AN165" s="184">
        <f t="shared" si="64"/>
        <v>0.42247520000000005</v>
      </c>
      <c r="AP165" s="15">
        <v>2.48</v>
      </c>
      <c r="AQ165" s="15">
        <f t="shared" si="50"/>
        <v>7.9375079375119062E-2</v>
      </c>
      <c r="AR165" s="15">
        <f t="shared" si="51"/>
        <v>4.2545042545063819E-2</v>
      </c>
      <c r="AS165" s="15">
        <f t="shared" si="52"/>
        <v>8.9399999999999993E-2</v>
      </c>
      <c r="AT165" s="184">
        <f t="shared" si="65"/>
        <v>0.33534002534019297</v>
      </c>
      <c r="AV165" s="15">
        <v>2.48</v>
      </c>
      <c r="AW165" s="32">
        <f t="shared" si="53"/>
        <v>1.3306451612903225</v>
      </c>
      <c r="AX165" s="32">
        <f t="shared" si="54"/>
        <v>0.30604838709677418</v>
      </c>
    </row>
    <row r="166" spans="18:50">
      <c r="R166">
        <v>2.5</v>
      </c>
      <c r="S166">
        <f t="shared" ca="1" si="55"/>
        <v>0.312</v>
      </c>
      <c r="T166">
        <f t="shared" ca="1" si="34"/>
        <v>48.455589562152511</v>
      </c>
      <c r="U166">
        <f t="shared" ca="1" si="56"/>
        <v>1.7</v>
      </c>
      <c r="V166">
        <f t="shared" ca="1" si="36"/>
        <v>0.18352941176470589</v>
      </c>
      <c r="W166">
        <v>2.5</v>
      </c>
      <c r="X166">
        <f t="shared" ca="1" si="57"/>
        <v>0.41600000000000004</v>
      </c>
      <c r="Y166">
        <f t="shared" ca="1" si="38"/>
        <v>64.607452749536691</v>
      </c>
      <c r="Z166" s="16">
        <f t="shared" si="58"/>
        <v>2.4</v>
      </c>
      <c r="AA166" s="16">
        <f t="shared" ca="1" si="40"/>
        <v>0.17333333333333337</v>
      </c>
      <c r="AB166" s="16">
        <f t="shared" ca="1" si="59"/>
        <v>0.13109243697478992</v>
      </c>
      <c r="AC166">
        <f t="shared" ca="1" si="60"/>
        <v>8.9142857142857149E-2</v>
      </c>
      <c r="AD166">
        <f t="shared" ca="1" si="61"/>
        <v>0.12380952380952384</v>
      </c>
      <c r="AE166" s="308">
        <f t="shared" ca="1" si="44"/>
        <v>0.13109243697478992</v>
      </c>
      <c r="AJ166" s="15">
        <v>2.5</v>
      </c>
      <c r="AK166" s="15">
        <f t="shared" si="45"/>
        <v>9.9199999999999997E-2</v>
      </c>
      <c r="AL166" s="15">
        <f t="shared" si="62"/>
        <v>5.3171200000000002E-2</v>
      </c>
      <c r="AM166" s="15">
        <f t="shared" si="63"/>
        <v>0.11169999999999999</v>
      </c>
      <c r="AN166" s="184">
        <f t="shared" si="64"/>
        <v>0.41909539840000004</v>
      </c>
      <c r="AP166" s="15">
        <v>2.5</v>
      </c>
      <c r="AQ166" s="15">
        <f t="shared" si="50"/>
        <v>7.9056941504209485E-2</v>
      </c>
      <c r="AR166" s="15">
        <f t="shared" si="51"/>
        <v>4.2374520646256283E-2</v>
      </c>
      <c r="AS166" s="15">
        <f t="shared" si="52"/>
        <v>8.8999999999999996E-2</v>
      </c>
      <c r="AT166" s="184">
        <f t="shared" si="65"/>
        <v>0.33399597173379203</v>
      </c>
      <c r="AV166" s="15">
        <v>2.5</v>
      </c>
      <c r="AW166" s="32">
        <f t="shared" si="53"/>
        <v>1.3199999999999998</v>
      </c>
      <c r="AX166" s="32">
        <f t="shared" si="54"/>
        <v>0.30359999999999998</v>
      </c>
    </row>
    <row r="167" spans="18:50">
      <c r="R167">
        <v>2.52</v>
      </c>
      <c r="S167">
        <f t="shared" ca="1" si="55"/>
        <v>0.30952380952380953</v>
      </c>
      <c r="T167">
        <f t="shared" ca="1" si="34"/>
        <v>48.843234278649746</v>
      </c>
      <c r="U167">
        <f t="shared" ca="1" si="56"/>
        <v>1.7</v>
      </c>
      <c r="V167">
        <f t="shared" ca="1" si="36"/>
        <v>0.18207282913165268</v>
      </c>
      <c r="W167">
        <v>2.52</v>
      </c>
      <c r="X167">
        <f t="shared" ca="1" si="57"/>
        <v>0.41269841269841273</v>
      </c>
      <c r="Y167">
        <f t="shared" ca="1" si="38"/>
        <v>65.124312371532994</v>
      </c>
      <c r="Z167" s="16">
        <f t="shared" si="58"/>
        <v>2.4</v>
      </c>
      <c r="AA167" s="16">
        <f t="shared" ca="1" si="40"/>
        <v>0.17195767195767198</v>
      </c>
      <c r="AB167" s="16">
        <f t="shared" ca="1" si="59"/>
        <v>0.13005202080832334</v>
      </c>
      <c r="AC167">
        <f t="shared" ca="1" si="60"/>
        <v>8.8435374149659879E-2</v>
      </c>
      <c r="AD167">
        <f t="shared" ca="1" si="61"/>
        <v>0.12282690854119427</v>
      </c>
      <c r="AE167" s="308">
        <f t="shared" ca="1" si="44"/>
        <v>0.13005202080832334</v>
      </c>
      <c r="AJ167" s="15">
        <v>2.52</v>
      </c>
      <c r="AK167" s="15">
        <f t="shared" si="45"/>
        <v>9.841269841269841E-2</v>
      </c>
      <c r="AL167" s="15">
        <f t="shared" si="62"/>
        <v>5.2749206349206351E-2</v>
      </c>
      <c r="AM167" s="15">
        <f t="shared" si="63"/>
        <v>0.1108</v>
      </c>
      <c r="AN167" s="184">
        <f t="shared" si="64"/>
        <v>0.41576924444444446</v>
      </c>
      <c r="AP167" s="15">
        <v>2.52</v>
      </c>
      <c r="AQ167" s="15">
        <f t="shared" si="50"/>
        <v>7.8742598543589004E-2</v>
      </c>
      <c r="AR167" s="15">
        <f t="shared" si="51"/>
        <v>4.2206032819363706E-2</v>
      </c>
      <c r="AS167" s="15">
        <f t="shared" si="52"/>
        <v>8.8700000000000001E-2</v>
      </c>
      <c r="AT167" s="184">
        <f t="shared" si="65"/>
        <v>0.33266795068222471</v>
      </c>
      <c r="AV167" s="15">
        <v>2.52</v>
      </c>
      <c r="AW167" s="32">
        <f t="shared" si="53"/>
        <v>1.3095238095238095</v>
      </c>
      <c r="AX167" s="32">
        <f t="shared" si="54"/>
        <v>0.30119047619047623</v>
      </c>
    </row>
    <row r="168" spans="18:50">
      <c r="R168">
        <v>2.54</v>
      </c>
      <c r="S168">
        <f t="shared" ca="1" si="55"/>
        <v>0.30708661417322836</v>
      </c>
      <c r="T168">
        <f t="shared" ca="1" si="34"/>
        <v>49.230878995146959</v>
      </c>
      <c r="U168">
        <f t="shared" ca="1" si="56"/>
        <v>1.7</v>
      </c>
      <c r="V168">
        <f t="shared" ca="1" si="36"/>
        <v>0.18063918480778138</v>
      </c>
      <c r="W168">
        <v>2.54</v>
      </c>
      <c r="X168">
        <f t="shared" ca="1" si="57"/>
        <v>0.40944881889763779</v>
      </c>
      <c r="Y168">
        <f t="shared" ca="1" si="38"/>
        <v>65.641171993529284</v>
      </c>
      <c r="Z168" s="16">
        <f t="shared" si="58"/>
        <v>2.4</v>
      </c>
      <c r="AA168" s="16">
        <f t="shared" ca="1" si="40"/>
        <v>0.17060367454068243</v>
      </c>
      <c r="AB168" s="16">
        <f t="shared" ca="1" si="59"/>
        <v>0.12902798914841526</v>
      </c>
      <c r="AC168">
        <f t="shared" ca="1" si="60"/>
        <v>8.7739032620922378E-2</v>
      </c>
      <c r="AD168">
        <f t="shared" ca="1" si="61"/>
        <v>0.12185976752905887</v>
      </c>
      <c r="AE168" s="308">
        <f t="shared" ca="1" si="44"/>
        <v>0.12902798914841526</v>
      </c>
      <c r="AJ168" s="15">
        <v>2.54</v>
      </c>
      <c r="AK168" s="15">
        <f t="shared" si="45"/>
        <v>9.763779527559055E-2</v>
      </c>
      <c r="AL168" s="15">
        <f t="shared" si="62"/>
        <v>5.233385826771654E-2</v>
      </c>
      <c r="AM168" s="15">
        <f t="shared" si="63"/>
        <v>0.1099</v>
      </c>
      <c r="AN168" s="184">
        <f t="shared" si="64"/>
        <v>0.4124954708661418</v>
      </c>
      <c r="AP168" s="15">
        <v>2.54</v>
      </c>
      <c r="AQ168" s="15">
        <f t="shared" si="50"/>
        <v>7.8431975642269822E-2</v>
      </c>
      <c r="AR168" s="15">
        <f t="shared" si="51"/>
        <v>4.2039538944256626E-2</v>
      </c>
      <c r="AS168" s="15">
        <f t="shared" si="52"/>
        <v>8.8300000000000003E-2</v>
      </c>
      <c r="AT168" s="184">
        <f t="shared" si="65"/>
        <v>0.33135564595863071</v>
      </c>
      <c r="AV168" s="15">
        <v>2.54</v>
      </c>
      <c r="AW168" s="32">
        <f t="shared" si="53"/>
        <v>1.2992125984251968</v>
      </c>
      <c r="AX168" s="32">
        <f t="shared" si="54"/>
        <v>0.29881889763779529</v>
      </c>
    </row>
    <row r="169" spans="18:50">
      <c r="R169">
        <v>2.56</v>
      </c>
      <c r="S169">
        <f t="shared" ref="S169:S200" ca="1" si="66">IF(R169&lt;=0.2*$S$38,$S$34*(0.4+3*R169/$S$38),IF(R169&lt;=$S$38,$S$34,IF(R169&lt;=2.5*$S$38,$S$34*$S$38/R169,0.4*$S$34)))</f>
        <v>0.3046875</v>
      </c>
      <c r="T169">
        <f t="shared" ref="T169:T218" ca="1" si="67">R169^2/(4*PI()^2)*(S169*981)</f>
        <v>49.618523711644173</v>
      </c>
      <c r="U169">
        <f t="shared" ref="U169:U200" ca="1" si="68">IF(R169&gt;$S$38,$U$32,IF(R169&gt;0.6*$S$38,SQRT(2*$U$32-1)+($U$32-SQRT(2*$U$32-1))*(R169-0.6*$S$38)/0.4/$S$38,IF(R169&gt;0.2*$S$38,SQRT(2*$U$32-1),SQRT(2*$U$32-1)+(SQRT(2*$U$32-1)-1)*(R169-0.2*$S$38)/0.2/$S$38)))</f>
        <v>1.7</v>
      </c>
      <c r="V169">
        <f t="shared" ref="V169:V218" ca="1" si="69">IF(S169/U169&lt;=0.3,S169/U169,IF(S169/U169&lt;0.8,0.52*S169/U169+0.144,0.7*S169/U169))</f>
        <v>0.17922794117647059</v>
      </c>
      <c r="W169">
        <v>2.56</v>
      </c>
      <c r="X169">
        <f t="shared" ref="X169:X200" ca="1" si="70">IF(W169&lt;=0.2*$X$38,$X$34*(0.4+3*W169/$X$38),IF(W169&lt;=$X$38,$X$34,IF(W169&lt;=2.5*$X$38,$X$34*$X$38/W169,0.4*$X$34)))</f>
        <v>0.40625</v>
      </c>
      <c r="Y169">
        <f t="shared" ref="Y169:Y218" ca="1" si="71">W169^2/(4*PI()^2)*(X169*981)</f>
        <v>66.158031615525559</v>
      </c>
      <c r="Z169" s="16">
        <f t="shared" ref="Z169:Z200" si="72">IF(W169&gt;$X$38,$S$32,IF(W169&gt;0.6*$X$38,SQRT(2*$S$32-1)+($S$32-SQRT(2*$S$32-1))*(W169-0.6*$X$38)/0.4/$X$38,IF(W169&gt;0.2*$X$38,SQRT(2*$S$32-1),SQRT(2*$S$32-1)+(SQRT(2*$S$32-1)-1)*(W169-0.2*$X$38)/0.2/$X$38)))</f>
        <v>2.4</v>
      </c>
      <c r="AA169" s="16">
        <f t="shared" ref="AA169:AA218" ca="1" si="73">IF(X169/Z169&lt;=0.3,X169/Z169,IF(X169/Z169&lt;0.8,0.52*X169/Z169+0.144,0.7*X169/Z169))</f>
        <v>0.16927083333333334</v>
      </c>
      <c r="AB169" s="16">
        <f t="shared" ref="AB169:AB200" ca="1" si="74">$W$32/1.4/$Y$32*V169</f>
        <v>0.12801995798319329</v>
      </c>
      <c r="AC169">
        <f t="shared" ref="AC169:AC200" ca="1" si="75">$W$32*U169/3.5/$Y$32*V169</f>
        <v>8.7053571428571425E-2</v>
      </c>
      <c r="AD169">
        <f t="shared" ref="AD169:AD200" ca="1" si="76">$W$32/1.4/$Y$32*AA169</f>
        <v>0.12090773809523811</v>
      </c>
      <c r="AE169" s="308">
        <f t="shared" ref="AE169:AE218" ca="1" si="77">MAX(AB169:AD169)</f>
        <v>0.12801995798319329</v>
      </c>
      <c r="AJ169" s="15">
        <v>2.56</v>
      </c>
      <c r="AK169" s="15">
        <f t="shared" ref="AK169:AK218" si="78">IF(0.248/AJ169&lt;=0.0625,0.0625,IF(0.248/AJ169&gt;=0.15,0.15,0.248/AJ169))</f>
        <v>9.6875000000000003E-2</v>
      </c>
      <c r="AL169" s="15">
        <f t="shared" ref="AL169:AL200" si="79">$AK$35*$AK$36*AK169*$AK$37</f>
        <v>5.1925000000000006E-2</v>
      </c>
      <c r="AM169" s="15">
        <f t="shared" ref="AM169:AM200" si="80">ROUND(AK$33*$AK$35*AM$39*AK169*$AK$37,4)</f>
        <v>0.1091</v>
      </c>
      <c r="AN169" s="184">
        <f t="shared" ref="AN169:AN200" si="81">IF(AJ169&lt;=AN$38,AL169*AK$38*AK$33*AK$34*(0.4+3*AJ169/AN$37),AL169*AK$38*AK$33*AK$34)</f>
        <v>0.40927284999999997</v>
      </c>
      <c r="AP169" s="15">
        <v>2.56</v>
      </c>
      <c r="AQ169" s="15">
        <f t="shared" si="50"/>
        <v>7.8125E-2</v>
      </c>
      <c r="AR169" s="15">
        <f t="shared" si="51"/>
        <v>4.1875000000000002E-2</v>
      </c>
      <c r="AS169" s="15">
        <f t="shared" si="52"/>
        <v>8.7999999999999995E-2</v>
      </c>
      <c r="AT169" s="184">
        <f t="shared" ref="AT169:AT200" si="82">IF(AP169&lt;=AT$38,AR169*AQ$38*AQ$33*AQ$34*(0.4+3*AP169/AT$37),AR169*AQ$38*AQ$33*AQ$34)</f>
        <v>0.33005874999999996</v>
      </c>
      <c r="AV169" s="15">
        <v>2.56</v>
      </c>
      <c r="AW169" s="32">
        <f t="shared" si="53"/>
        <v>1.2890625</v>
      </c>
      <c r="AX169" s="32">
        <f t="shared" si="54"/>
        <v>0.29648437500000002</v>
      </c>
    </row>
    <row r="170" spans="18:50">
      <c r="R170">
        <v>2.58</v>
      </c>
      <c r="S170">
        <f t="shared" ca="1" si="66"/>
        <v>0.30232558139534882</v>
      </c>
      <c r="T170">
        <f t="shared" ca="1" si="67"/>
        <v>50.006168428141393</v>
      </c>
      <c r="U170">
        <f t="shared" ca="1" si="68"/>
        <v>1.7</v>
      </c>
      <c r="V170">
        <f t="shared" ca="1" si="69"/>
        <v>0.17783857729138167</v>
      </c>
      <c r="W170">
        <v>2.58</v>
      </c>
      <c r="X170">
        <f t="shared" ca="1" si="70"/>
        <v>0.40310077519379844</v>
      </c>
      <c r="Y170">
        <f t="shared" ca="1" si="71"/>
        <v>66.674891237521862</v>
      </c>
      <c r="Z170" s="16">
        <f t="shared" si="72"/>
        <v>2.4</v>
      </c>
      <c r="AA170" s="16">
        <f t="shared" ca="1" si="73"/>
        <v>0.16795865633074936</v>
      </c>
      <c r="AB170" s="16">
        <f t="shared" ca="1" si="74"/>
        <v>0.12702755520812978</v>
      </c>
      <c r="AC170">
        <f t="shared" ca="1" si="75"/>
        <v>8.6378737541528236E-2</v>
      </c>
      <c r="AD170">
        <f t="shared" ca="1" si="76"/>
        <v>0.11997046880767812</v>
      </c>
      <c r="AE170" s="308">
        <f t="shared" ca="1" si="77"/>
        <v>0.12702755520812978</v>
      </c>
      <c r="AJ170" s="15">
        <v>2.58</v>
      </c>
      <c r="AK170" s="15">
        <f t="shared" si="78"/>
        <v>9.6124031007751937E-2</v>
      </c>
      <c r="AL170" s="15">
        <f t="shared" si="79"/>
        <v>5.1522480620155041E-2</v>
      </c>
      <c r="AM170" s="15">
        <f t="shared" si="80"/>
        <v>0.1082</v>
      </c>
      <c r="AN170" s="184">
        <f t="shared" si="81"/>
        <v>0.40610019224806199</v>
      </c>
      <c r="AP170" s="15">
        <v>2.58</v>
      </c>
      <c r="AQ170" s="15">
        <f t="shared" ref="AQ170:AQ218" si="83">IF(1/(8*SQRT(AP170))&lt;=0.15,1/(8*SQRT(AP170)),0.15)</f>
        <v>7.7821600795586296E-2</v>
      </c>
      <c r="AR170" s="15">
        <f t="shared" ref="AR170:AR218" si="84">$AQ$35*$AQ$36*AQ170*$AQ$37</f>
        <v>4.1712378026434259E-2</v>
      </c>
      <c r="AS170" s="15">
        <f t="shared" ref="AS170:AS218" si="85">ROUND(AQ$33*$AQ$35*AS$39*AQ170*$AQ$37,4)</f>
        <v>8.7599999999999997E-2</v>
      </c>
      <c r="AT170" s="184">
        <f t="shared" si="82"/>
        <v>0.32877696360435482</v>
      </c>
      <c r="AV170" s="15">
        <v>2.58</v>
      </c>
      <c r="AW170" s="32">
        <f t="shared" ref="AW170:AW218" si="86">IF(AV170&lt;=0.03,1,IF(AV170&lt;0.2,5.882*AV170+0.824,IF(AV170&lt;1.65,2,IF(AV170&lt;3.3,3.3/AV170,1))))</f>
        <v>1.2790697674418603</v>
      </c>
      <c r="AX170" s="32">
        <f t="shared" ref="AX170:AX218" si="87">$AW$34*AW170</f>
        <v>0.29418604651162789</v>
      </c>
    </row>
    <row r="171" spans="18:50">
      <c r="R171">
        <v>2.6</v>
      </c>
      <c r="S171">
        <f t="shared" ca="1" si="66"/>
        <v>0.3</v>
      </c>
      <c r="T171">
        <f t="shared" ca="1" si="67"/>
        <v>50.393813144638621</v>
      </c>
      <c r="U171">
        <f t="shared" ca="1" si="68"/>
        <v>1.7</v>
      </c>
      <c r="V171">
        <f t="shared" ca="1" si="69"/>
        <v>0.17647058823529413</v>
      </c>
      <c r="W171">
        <v>2.6</v>
      </c>
      <c r="X171">
        <f t="shared" ca="1" si="70"/>
        <v>0.4</v>
      </c>
      <c r="Y171">
        <f t="shared" ca="1" si="71"/>
        <v>67.191750859518166</v>
      </c>
      <c r="Z171" s="16">
        <f t="shared" si="72"/>
        <v>2.4</v>
      </c>
      <c r="AA171" s="16">
        <f t="shared" ca="1" si="73"/>
        <v>0.16666666666666669</v>
      </c>
      <c r="AB171" s="16">
        <f t="shared" ca="1" si="74"/>
        <v>0.12605042016806725</v>
      </c>
      <c r="AC171">
        <f t="shared" ca="1" si="75"/>
        <v>8.5714285714285715E-2</v>
      </c>
      <c r="AD171">
        <f t="shared" ca="1" si="76"/>
        <v>0.11904761904761907</v>
      </c>
      <c r="AE171" s="308">
        <f t="shared" ca="1" si="77"/>
        <v>0.12605042016806725</v>
      </c>
      <c r="AJ171" s="15">
        <v>2.6</v>
      </c>
      <c r="AK171" s="15">
        <f t="shared" si="78"/>
        <v>9.5384615384615387E-2</v>
      </c>
      <c r="AL171" s="15">
        <f t="shared" si="79"/>
        <v>5.1126153846153849E-2</v>
      </c>
      <c r="AM171" s="15">
        <f t="shared" si="80"/>
        <v>0.1074</v>
      </c>
      <c r="AN171" s="184">
        <f t="shared" si="81"/>
        <v>0.40297634461538462</v>
      </c>
      <c r="AP171" s="15">
        <v>2.6</v>
      </c>
      <c r="AQ171" s="15">
        <f t="shared" si="83"/>
        <v>7.7521709118255275E-2</v>
      </c>
      <c r="AR171" s="15">
        <f t="shared" si="84"/>
        <v>4.1551636087384831E-2</v>
      </c>
      <c r="AS171" s="15">
        <f t="shared" si="85"/>
        <v>8.7300000000000003E-2</v>
      </c>
      <c r="AT171" s="184">
        <f t="shared" si="82"/>
        <v>0.32750999564076722</v>
      </c>
      <c r="AV171" s="15">
        <v>2.6</v>
      </c>
      <c r="AW171" s="32">
        <f t="shared" si="86"/>
        <v>1.2692307692307692</v>
      </c>
      <c r="AX171" s="32">
        <f t="shared" si="87"/>
        <v>0.2919230769230769</v>
      </c>
    </row>
    <row r="172" spans="18:50">
      <c r="R172">
        <v>2.62</v>
      </c>
      <c r="S172">
        <f t="shared" ca="1" si="66"/>
        <v>0.29770992366412213</v>
      </c>
      <c r="T172">
        <f t="shared" ca="1" si="67"/>
        <v>50.781457861135841</v>
      </c>
      <c r="U172">
        <f t="shared" ca="1" si="68"/>
        <v>1.7</v>
      </c>
      <c r="V172">
        <f t="shared" ca="1" si="69"/>
        <v>0.17512348450830714</v>
      </c>
      <c r="W172">
        <v>2.62</v>
      </c>
      <c r="X172">
        <f t="shared" ca="1" si="70"/>
        <v>0.39694656488549618</v>
      </c>
      <c r="Y172">
        <f t="shared" ca="1" si="71"/>
        <v>67.708610481514455</v>
      </c>
      <c r="Z172" s="16">
        <f t="shared" si="72"/>
        <v>2.4</v>
      </c>
      <c r="AA172" s="16">
        <f t="shared" ca="1" si="73"/>
        <v>0.16539440203562342</v>
      </c>
      <c r="AB172" s="16">
        <f t="shared" ca="1" si="74"/>
        <v>0.12508820322021938</v>
      </c>
      <c r="AC172">
        <f t="shared" ca="1" si="75"/>
        <v>8.5059978189749183E-2</v>
      </c>
      <c r="AD172">
        <f t="shared" ca="1" si="76"/>
        <v>0.11813885859687387</v>
      </c>
      <c r="AE172" s="308">
        <f t="shared" ca="1" si="77"/>
        <v>0.12508820322021938</v>
      </c>
      <c r="AJ172" s="15">
        <v>2.62</v>
      </c>
      <c r="AK172" s="15">
        <f t="shared" si="78"/>
        <v>9.465648854961832E-2</v>
      </c>
      <c r="AL172" s="15">
        <f t="shared" si="79"/>
        <v>5.0735877862595424E-2</v>
      </c>
      <c r="AM172" s="15">
        <f t="shared" si="80"/>
        <v>0.1066</v>
      </c>
      <c r="AN172" s="184">
        <f t="shared" si="81"/>
        <v>0.39990018931297711</v>
      </c>
      <c r="AP172" s="15">
        <v>2.62</v>
      </c>
      <c r="AQ172" s="15">
        <f t="shared" si="83"/>
        <v>7.7225257901901934E-2</v>
      </c>
      <c r="AR172" s="15">
        <f t="shared" si="84"/>
        <v>4.1392738235419439E-2</v>
      </c>
      <c r="AS172" s="15">
        <f t="shared" si="85"/>
        <v>8.6999999999999994E-2</v>
      </c>
      <c r="AT172" s="184">
        <f t="shared" si="82"/>
        <v>0.32625756277157597</v>
      </c>
      <c r="AV172" s="15">
        <v>2.62</v>
      </c>
      <c r="AW172" s="32">
        <f t="shared" si="86"/>
        <v>1.2595419847328244</v>
      </c>
      <c r="AX172" s="32">
        <f t="shared" si="87"/>
        <v>0.28969465648854964</v>
      </c>
    </row>
    <row r="173" spans="18:50">
      <c r="R173">
        <v>2.64</v>
      </c>
      <c r="S173">
        <f t="shared" ca="1" si="66"/>
        <v>0.29545454545454547</v>
      </c>
      <c r="T173">
        <f t="shared" ca="1" si="67"/>
        <v>51.169102577633062</v>
      </c>
      <c r="U173">
        <f t="shared" ca="1" si="68"/>
        <v>1.7</v>
      </c>
      <c r="V173">
        <f t="shared" ca="1" si="69"/>
        <v>0.17379679144385027</v>
      </c>
      <c r="W173">
        <v>2.64</v>
      </c>
      <c r="X173">
        <f t="shared" ca="1" si="70"/>
        <v>0.39393939393939392</v>
      </c>
      <c r="Y173">
        <f t="shared" ca="1" si="71"/>
        <v>68.22547010351073</v>
      </c>
      <c r="Z173" s="16">
        <f t="shared" si="72"/>
        <v>2.4</v>
      </c>
      <c r="AA173" s="16">
        <f t="shared" ca="1" si="73"/>
        <v>0.16414141414141414</v>
      </c>
      <c r="AB173" s="16">
        <f t="shared" ca="1" si="74"/>
        <v>0.12414056531703591</v>
      </c>
      <c r="AC173">
        <f t="shared" ca="1" si="75"/>
        <v>8.4415584415584416E-2</v>
      </c>
      <c r="AD173">
        <f t="shared" ca="1" si="76"/>
        <v>0.11724386724386725</v>
      </c>
      <c r="AE173" s="308">
        <f t="shared" ca="1" si="77"/>
        <v>0.12414056531703591</v>
      </c>
      <c r="AJ173" s="15">
        <v>2.64</v>
      </c>
      <c r="AK173" s="15">
        <f t="shared" si="78"/>
        <v>9.3939393939393934E-2</v>
      </c>
      <c r="AL173" s="15">
        <f t="shared" si="79"/>
        <v>5.0351515151515154E-2</v>
      </c>
      <c r="AM173" s="15">
        <f t="shared" si="80"/>
        <v>0.10580000000000001</v>
      </c>
      <c r="AN173" s="184">
        <f t="shared" si="81"/>
        <v>0.39687064242424236</v>
      </c>
      <c r="AP173" s="15">
        <v>2.64</v>
      </c>
      <c r="AQ173" s="15">
        <f t="shared" si="83"/>
        <v>7.6932181862082963E-2</v>
      </c>
      <c r="AR173" s="15">
        <f t="shared" si="84"/>
        <v>4.1235649478076473E-2</v>
      </c>
      <c r="AS173" s="15">
        <f t="shared" si="85"/>
        <v>8.6599999999999996E-2</v>
      </c>
      <c r="AT173" s="184">
        <f t="shared" si="82"/>
        <v>0.32501938918619871</v>
      </c>
      <c r="AV173" s="15">
        <v>2.64</v>
      </c>
      <c r="AW173" s="32">
        <f t="shared" si="86"/>
        <v>1.2499999999999998</v>
      </c>
      <c r="AX173" s="32">
        <f t="shared" si="87"/>
        <v>0.28749999999999998</v>
      </c>
    </row>
    <row r="174" spans="18:50">
      <c r="R174">
        <v>2.66</v>
      </c>
      <c r="S174">
        <f t="shared" ca="1" si="66"/>
        <v>0.2932330827067669</v>
      </c>
      <c r="T174">
        <f t="shared" ca="1" si="67"/>
        <v>51.556747294130275</v>
      </c>
      <c r="U174">
        <f t="shared" ca="1" si="68"/>
        <v>1.7</v>
      </c>
      <c r="V174">
        <f t="shared" ca="1" si="69"/>
        <v>0.17249004865103937</v>
      </c>
      <c r="W174">
        <v>2.66</v>
      </c>
      <c r="X174">
        <f t="shared" ca="1" si="70"/>
        <v>0.39097744360902253</v>
      </c>
      <c r="Y174">
        <f t="shared" ca="1" si="71"/>
        <v>68.742329725507034</v>
      </c>
      <c r="Z174" s="16">
        <f t="shared" si="72"/>
        <v>2.4</v>
      </c>
      <c r="AA174" s="16">
        <f t="shared" ca="1" si="73"/>
        <v>0.16290726817042606</v>
      </c>
      <c r="AB174" s="16">
        <f t="shared" ca="1" si="74"/>
        <v>0.12320717760788527</v>
      </c>
      <c r="AC174">
        <f t="shared" ca="1" si="75"/>
        <v>8.3780880773361974E-2</v>
      </c>
      <c r="AD174">
        <f t="shared" ca="1" si="76"/>
        <v>0.11636233440744718</v>
      </c>
      <c r="AE174" s="308">
        <f t="shared" ca="1" si="77"/>
        <v>0.12320717760788527</v>
      </c>
      <c r="AJ174" s="15">
        <v>2.66</v>
      </c>
      <c r="AK174" s="15">
        <f t="shared" si="78"/>
        <v>9.3233082706766918E-2</v>
      </c>
      <c r="AL174" s="15">
        <f t="shared" si="79"/>
        <v>4.9972932330827072E-2</v>
      </c>
      <c r="AM174" s="15">
        <f t="shared" si="80"/>
        <v>0.105</v>
      </c>
      <c r="AN174" s="184">
        <f t="shared" si="81"/>
        <v>0.39388665263157896</v>
      </c>
      <c r="AP174" s="15">
        <v>2.66</v>
      </c>
      <c r="AQ174" s="15">
        <f t="shared" si="83"/>
        <v>7.6642417435620724E-2</v>
      </c>
      <c r="AR174" s="15">
        <f t="shared" si="84"/>
        <v>4.1080335745492712E-2</v>
      </c>
      <c r="AS174" s="15">
        <f t="shared" si="85"/>
        <v>8.6300000000000002E-2</v>
      </c>
      <c r="AT174" s="184">
        <f t="shared" si="82"/>
        <v>0.32379520634597353</v>
      </c>
      <c r="AV174" s="15">
        <v>2.66</v>
      </c>
      <c r="AW174" s="32">
        <f t="shared" si="86"/>
        <v>1.2406015037593983</v>
      </c>
      <c r="AX174" s="32">
        <f t="shared" si="87"/>
        <v>0.28533834586466161</v>
      </c>
    </row>
    <row r="175" spans="18:50">
      <c r="R175">
        <v>2.68</v>
      </c>
      <c r="S175">
        <f t="shared" ca="1" si="66"/>
        <v>0.29104477611940299</v>
      </c>
      <c r="T175">
        <f t="shared" ca="1" si="67"/>
        <v>51.94439201062751</v>
      </c>
      <c r="U175">
        <f t="shared" ca="1" si="68"/>
        <v>1.7</v>
      </c>
      <c r="V175">
        <f t="shared" ca="1" si="69"/>
        <v>0.17120280948200176</v>
      </c>
      <c r="W175">
        <v>2.68</v>
      </c>
      <c r="X175">
        <f t="shared" ca="1" si="70"/>
        <v>0.38805970149253732</v>
      </c>
      <c r="Y175">
        <f t="shared" ca="1" si="71"/>
        <v>69.259189347503337</v>
      </c>
      <c r="Z175" s="16">
        <f t="shared" si="72"/>
        <v>2.4</v>
      </c>
      <c r="AA175" s="16">
        <f t="shared" ca="1" si="73"/>
        <v>0.16169154228855723</v>
      </c>
      <c r="AB175" s="16">
        <f t="shared" ca="1" si="74"/>
        <v>0.12228772105857269</v>
      </c>
      <c r="AC175">
        <f t="shared" ca="1" si="75"/>
        <v>8.3155650319829424E-2</v>
      </c>
      <c r="AD175">
        <f t="shared" ca="1" si="76"/>
        <v>0.11549395877754087</v>
      </c>
      <c r="AE175" s="308">
        <f t="shared" ca="1" si="77"/>
        <v>0.12228772105857269</v>
      </c>
      <c r="AJ175" s="15">
        <v>2.68</v>
      </c>
      <c r="AK175" s="15">
        <f t="shared" si="78"/>
        <v>9.2537313432835819E-2</v>
      </c>
      <c r="AL175" s="15">
        <f t="shared" si="79"/>
        <v>4.9600000000000005E-2</v>
      </c>
      <c r="AM175" s="15">
        <f t="shared" si="80"/>
        <v>0.1042</v>
      </c>
      <c r="AN175" s="184">
        <f t="shared" si="81"/>
        <v>0.39094720000000005</v>
      </c>
      <c r="AP175" s="15">
        <v>2.68</v>
      </c>
      <c r="AQ175" s="15">
        <f t="shared" si="83"/>
        <v>7.6355902722690758E-2</v>
      </c>
      <c r="AR175" s="15">
        <f t="shared" si="84"/>
        <v>4.0926763859362246E-2</v>
      </c>
      <c r="AS175" s="15">
        <f t="shared" si="85"/>
        <v>8.5999999999999993E-2</v>
      </c>
      <c r="AT175" s="184">
        <f t="shared" si="82"/>
        <v>0.32258475273949316</v>
      </c>
      <c r="AV175" s="15">
        <v>2.68</v>
      </c>
      <c r="AW175" s="32">
        <f t="shared" si="86"/>
        <v>1.2313432835820894</v>
      </c>
      <c r="AX175" s="32">
        <f t="shared" si="87"/>
        <v>0.28320895522388057</v>
      </c>
    </row>
    <row r="176" spans="18:50">
      <c r="R176">
        <v>2.7</v>
      </c>
      <c r="S176">
        <f t="shared" ca="1" si="66"/>
        <v>0.28888888888888886</v>
      </c>
      <c r="T176">
        <f t="shared" ca="1" si="67"/>
        <v>52.332036727124716</v>
      </c>
      <c r="U176">
        <f t="shared" ca="1" si="68"/>
        <v>1.7</v>
      </c>
      <c r="V176">
        <f t="shared" ca="1" si="69"/>
        <v>0.1699346405228758</v>
      </c>
      <c r="W176">
        <v>2.7</v>
      </c>
      <c r="X176">
        <f t="shared" ca="1" si="70"/>
        <v>0.38518518518518519</v>
      </c>
      <c r="Y176">
        <f t="shared" ca="1" si="71"/>
        <v>69.776048969499627</v>
      </c>
      <c r="Z176" s="16">
        <f t="shared" si="72"/>
        <v>2.4</v>
      </c>
      <c r="AA176" s="16">
        <f t="shared" ca="1" si="73"/>
        <v>0.16049382716049385</v>
      </c>
      <c r="AB176" s="16">
        <f t="shared" ca="1" si="74"/>
        <v>0.12138188608776843</v>
      </c>
      <c r="AC176">
        <f t="shared" ca="1" si="75"/>
        <v>8.2539682539682524E-2</v>
      </c>
      <c r="AD176">
        <f t="shared" ca="1" si="76"/>
        <v>0.11463844797178133</v>
      </c>
      <c r="AE176" s="308">
        <f t="shared" ca="1" si="77"/>
        <v>0.12138188608776843</v>
      </c>
      <c r="AJ176" s="15">
        <v>2.7</v>
      </c>
      <c r="AK176" s="15">
        <f t="shared" si="78"/>
        <v>9.1851851851851851E-2</v>
      </c>
      <c r="AL176" s="15">
        <f t="shared" si="79"/>
        <v>4.9232592592592599E-2</v>
      </c>
      <c r="AM176" s="15">
        <f t="shared" si="80"/>
        <v>0.10340000000000001</v>
      </c>
      <c r="AN176" s="184">
        <f t="shared" si="81"/>
        <v>0.38805129481481487</v>
      </c>
      <c r="AP176" s="15">
        <v>2.7</v>
      </c>
      <c r="AQ176" s="15">
        <f t="shared" si="83"/>
        <v>7.6072577431273061E-2</v>
      </c>
      <c r="AR176" s="15">
        <f t="shared" si="84"/>
        <v>4.0774901503162361E-2</v>
      </c>
      <c r="AS176" s="15">
        <f t="shared" si="85"/>
        <v>8.5699999999999998E-2</v>
      </c>
      <c r="AT176" s="184">
        <f t="shared" si="82"/>
        <v>0.3213877736479257</v>
      </c>
      <c r="AV176" s="15">
        <v>2.7</v>
      </c>
      <c r="AW176" s="32">
        <f t="shared" si="86"/>
        <v>1.2222222222222221</v>
      </c>
      <c r="AX176" s="32">
        <f t="shared" si="87"/>
        <v>0.28111111111111109</v>
      </c>
    </row>
    <row r="177" spans="18:50">
      <c r="R177">
        <v>2.72</v>
      </c>
      <c r="S177">
        <f t="shared" ca="1" si="66"/>
        <v>0.28676470588235292</v>
      </c>
      <c r="T177">
        <f t="shared" ca="1" si="67"/>
        <v>52.719681443621944</v>
      </c>
      <c r="U177">
        <f t="shared" ca="1" si="68"/>
        <v>1.7</v>
      </c>
      <c r="V177">
        <f t="shared" ca="1" si="69"/>
        <v>0.16868512110726644</v>
      </c>
      <c r="W177">
        <v>2.72</v>
      </c>
      <c r="X177">
        <f t="shared" ca="1" si="70"/>
        <v>0.38235294117647056</v>
      </c>
      <c r="Y177">
        <f t="shared" ca="1" si="71"/>
        <v>70.292908591495916</v>
      </c>
      <c r="Z177" s="16">
        <f t="shared" si="72"/>
        <v>2.4</v>
      </c>
      <c r="AA177" s="16">
        <f t="shared" ca="1" si="73"/>
        <v>0.15931372549019607</v>
      </c>
      <c r="AB177" s="16">
        <f t="shared" ca="1" si="74"/>
        <v>0.12048937221947603</v>
      </c>
      <c r="AC177">
        <f t="shared" ca="1" si="75"/>
        <v>8.1932773109243698E-2</v>
      </c>
      <c r="AD177">
        <f t="shared" ca="1" si="76"/>
        <v>0.11379551820728291</v>
      </c>
      <c r="AE177" s="308">
        <f t="shared" ca="1" si="77"/>
        <v>0.12048937221947603</v>
      </c>
      <c r="AJ177" s="15">
        <v>2.72</v>
      </c>
      <c r="AK177" s="15">
        <f t="shared" si="78"/>
        <v>9.1176470588235289E-2</v>
      </c>
      <c r="AL177" s="15">
        <f t="shared" si="79"/>
        <v>4.8870588235294117E-2</v>
      </c>
      <c r="AM177" s="15">
        <f t="shared" si="80"/>
        <v>0.1027</v>
      </c>
      <c r="AN177" s="184">
        <f t="shared" si="81"/>
        <v>0.38519797647058818</v>
      </c>
      <c r="AP177" s="15">
        <v>2.72</v>
      </c>
      <c r="AQ177" s="15">
        <f t="shared" si="83"/>
        <v>7.5792382823854046E-2</v>
      </c>
      <c r="AR177" s="15">
        <f t="shared" si="84"/>
        <v>4.062471719358577E-2</v>
      </c>
      <c r="AS177" s="15">
        <f t="shared" si="85"/>
        <v>8.5300000000000001E-2</v>
      </c>
      <c r="AT177" s="184">
        <f t="shared" si="82"/>
        <v>0.32020402091984301</v>
      </c>
      <c r="AV177" s="15">
        <v>2.72</v>
      </c>
      <c r="AW177" s="32">
        <f t="shared" si="86"/>
        <v>1.213235294117647</v>
      </c>
      <c r="AX177" s="32">
        <f t="shared" si="87"/>
        <v>0.27904411764705883</v>
      </c>
    </row>
    <row r="178" spans="18:50">
      <c r="R178">
        <v>2.74</v>
      </c>
      <c r="S178">
        <f t="shared" ca="1" si="66"/>
        <v>0.28467153284671531</v>
      </c>
      <c r="T178">
        <f t="shared" ca="1" si="67"/>
        <v>53.107326160119165</v>
      </c>
      <c r="U178">
        <f t="shared" ca="1" si="68"/>
        <v>1.7</v>
      </c>
      <c r="V178">
        <f t="shared" ca="1" si="69"/>
        <v>0.167453842851009</v>
      </c>
      <c r="W178">
        <v>2.74</v>
      </c>
      <c r="X178">
        <f t="shared" ca="1" si="70"/>
        <v>0.37956204379562042</v>
      </c>
      <c r="Y178">
        <f t="shared" ca="1" si="71"/>
        <v>70.80976821349222</v>
      </c>
      <c r="Z178" s="16">
        <f t="shared" si="72"/>
        <v>2.4</v>
      </c>
      <c r="AA178" s="16">
        <f t="shared" ca="1" si="73"/>
        <v>0.15815085158150852</v>
      </c>
      <c r="AB178" s="16">
        <f t="shared" ca="1" si="74"/>
        <v>0.11960988775072072</v>
      </c>
      <c r="AC178">
        <f t="shared" ca="1" si="75"/>
        <v>8.1334723670490092E-2</v>
      </c>
      <c r="AD178">
        <f t="shared" ca="1" si="76"/>
        <v>0.1129648939867918</v>
      </c>
      <c r="AE178" s="308">
        <f t="shared" ca="1" si="77"/>
        <v>0.11960988775072072</v>
      </c>
      <c r="AJ178" s="15">
        <v>2.74</v>
      </c>
      <c r="AK178" s="15">
        <f t="shared" si="78"/>
        <v>9.0510948905109481E-2</v>
      </c>
      <c r="AL178" s="15">
        <f t="shared" si="79"/>
        <v>4.8513868613138687E-2</v>
      </c>
      <c r="AM178" s="15">
        <f t="shared" si="80"/>
        <v>0.1019</v>
      </c>
      <c r="AN178" s="184">
        <f t="shared" si="81"/>
        <v>0.38238631240875909</v>
      </c>
      <c r="AP178" s="15">
        <v>2.74</v>
      </c>
      <c r="AQ178" s="15">
        <f t="shared" si="83"/>
        <v>7.5515261666272121E-2</v>
      </c>
      <c r="AR178" s="15">
        <f t="shared" si="84"/>
        <v>4.0476180253121857E-2</v>
      </c>
      <c r="AS178" s="15">
        <f t="shared" si="85"/>
        <v>8.5000000000000006E-2</v>
      </c>
      <c r="AT178" s="184">
        <f t="shared" si="82"/>
        <v>0.31903325275510647</v>
      </c>
      <c r="AV178" s="15">
        <v>2.74</v>
      </c>
      <c r="AW178" s="32">
        <f t="shared" si="86"/>
        <v>1.2043795620437954</v>
      </c>
      <c r="AX178" s="32">
        <f t="shared" si="87"/>
        <v>0.27700729927007295</v>
      </c>
    </row>
    <row r="179" spans="18:50">
      <c r="R179">
        <v>2.76</v>
      </c>
      <c r="S179">
        <f t="shared" ca="1" si="66"/>
        <v>0.28260869565217395</v>
      </c>
      <c r="T179">
        <f t="shared" ca="1" si="67"/>
        <v>53.494970876616364</v>
      </c>
      <c r="U179">
        <f t="shared" ca="1" si="68"/>
        <v>1.7</v>
      </c>
      <c r="V179">
        <f t="shared" ca="1" si="69"/>
        <v>0.16624040920716115</v>
      </c>
      <c r="W179">
        <v>2.76</v>
      </c>
      <c r="X179">
        <f t="shared" ca="1" si="70"/>
        <v>0.37681159420289861</v>
      </c>
      <c r="Y179">
        <f t="shared" ca="1" si="71"/>
        <v>71.326627835488495</v>
      </c>
      <c r="Z179" s="16">
        <f t="shared" si="72"/>
        <v>2.4</v>
      </c>
      <c r="AA179" s="16">
        <f t="shared" ca="1" si="73"/>
        <v>0.15700483091787443</v>
      </c>
      <c r="AB179" s="16">
        <f t="shared" ca="1" si="74"/>
        <v>0.11874314943368654</v>
      </c>
      <c r="AC179">
        <f t="shared" ca="1" si="75"/>
        <v>8.0745341614906846E-2</v>
      </c>
      <c r="AD179">
        <f t="shared" ca="1" si="76"/>
        <v>0.11214630779848174</v>
      </c>
      <c r="AE179" s="308">
        <f t="shared" ca="1" si="77"/>
        <v>0.11874314943368654</v>
      </c>
      <c r="AJ179" s="15">
        <v>2.76</v>
      </c>
      <c r="AK179" s="15">
        <f t="shared" si="78"/>
        <v>8.9855072463768115E-2</v>
      </c>
      <c r="AL179" s="15">
        <f t="shared" si="79"/>
        <v>4.8162318840579713E-2</v>
      </c>
      <c r="AM179" s="15">
        <f t="shared" si="80"/>
        <v>0.1012</v>
      </c>
      <c r="AN179" s="184">
        <f t="shared" si="81"/>
        <v>0.37961539710144926</v>
      </c>
      <c r="AP179" s="15">
        <v>2.76</v>
      </c>
      <c r="AQ179" s="15">
        <f t="shared" si="83"/>
        <v>7.5241158178605758E-2</v>
      </c>
      <c r="AR179" s="15">
        <f t="shared" si="84"/>
        <v>4.0329260783732689E-2</v>
      </c>
      <c r="AS179" s="15">
        <f t="shared" si="85"/>
        <v>8.4699999999999998E-2</v>
      </c>
      <c r="AT179" s="184">
        <f t="shared" si="82"/>
        <v>0.317875233497381</v>
      </c>
      <c r="AV179" s="15">
        <v>2.76</v>
      </c>
      <c r="AW179" s="32">
        <f t="shared" si="86"/>
        <v>1.1956521739130435</v>
      </c>
      <c r="AX179" s="32">
        <f t="shared" si="87"/>
        <v>0.27500000000000002</v>
      </c>
    </row>
    <row r="180" spans="18:50">
      <c r="R180">
        <v>2.78</v>
      </c>
      <c r="S180">
        <f t="shared" ca="1" si="66"/>
        <v>0.28057553956834536</v>
      </c>
      <c r="T180">
        <f t="shared" ca="1" si="67"/>
        <v>53.882615593113592</v>
      </c>
      <c r="U180">
        <f t="shared" ca="1" si="68"/>
        <v>1.7</v>
      </c>
      <c r="V180">
        <f t="shared" ca="1" si="69"/>
        <v>0.16504443504020316</v>
      </c>
      <c r="W180">
        <v>2.78</v>
      </c>
      <c r="X180">
        <f t="shared" ca="1" si="70"/>
        <v>0.37410071942446049</v>
      </c>
      <c r="Y180">
        <f t="shared" ca="1" si="71"/>
        <v>71.843487457484798</v>
      </c>
      <c r="Z180" s="16">
        <f t="shared" si="72"/>
        <v>2.4</v>
      </c>
      <c r="AA180" s="16">
        <f t="shared" ca="1" si="73"/>
        <v>0.15587529976019188</v>
      </c>
      <c r="AB180" s="16">
        <f t="shared" ca="1" si="74"/>
        <v>0.11788888217157369</v>
      </c>
      <c r="AC180">
        <f t="shared" ca="1" si="75"/>
        <v>8.0164439876670102E-2</v>
      </c>
      <c r="AD180">
        <f t="shared" ca="1" si="76"/>
        <v>0.11133949982870849</v>
      </c>
      <c r="AE180" s="308">
        <f t="shared" ca="1" si="77"/>
        <v>0.11788888217157369</v>
      </c>
      <c r="AJ180" s="15">
        <v>2.78</v>
      </c>
      <c r="AK180" s="15">
        <f t="shared" si="78"/>
        <v>8.9208633093525183E-2</v>
      </c>
      <c r="AL180" s="15">
        <f t="shared" si="79"/>
        <v>4.7815827338129502E-2</v>
      </c>
      <c r="AM180" s="15">
        <f t="shared" si="80"/>
        <v>0.1004</v>
      </c>
      <c r="AN180" s="184">
        <f t="shared" si="81"/>
        <v>0.3768843510791367</v>
      </c>
      <c r="AP180" s="15">
        <v>2.78</v>
      </c>
      <c r="AQ180" s="15">
        <f t="shared" si="83"/>
        <v>7.4970017988008397E-2</v>
      </c>
      <c r="AR180" s="15">
        <f t="shared" si="84"/>
        <v>4.0183929641572504E-2</v>
      </c>
      <c r="AS180" s="15">
        <f t="shared" si="85"/>
        <v>8.4400000000000003E-2</v>
      </c>
      <c r="AT180" s="184">
        <f t="shared" si="82"/>
        <v>0.31672973343487448</v>
      </c>
      <c r="AV180" s="15">
        <v>2.78</v>
      </c>
      <c r="AW180" s="32">
        <f t="shared" si="86"/>
        <v>1.1870503597122302</v>
      </c>
      <c r="AX180" s="32">
        <f t="shared" si="87"/>
        <v>0.27302158273381294</v>
      </c>
    </row>
    <row r="181" spans="18:50">
      <c r="R181">
        <v>2.8</v>
      </c>
      <c r="S181">
        <f t="shared" ca="1" si="66"/>
        <v>0.27857142857142858</v>
      </c>
      <c r="T181">
        <f t="shared" ca="1" si="67"/>
        <v>54.270260309610805</v>
      </c>
      <c r="U181">
        <f t="shared" ca="1" si="68"/>
        <v>1.7</v>
      </c>
      <c r="V181">
        <f t="shared" ca="1" si="69"/>
        <v>0.1638655462184874</v>
      </c>
      <c r="W181">
        <v>2.8</v>
      </c>
      <c r="X181">
        <f t="shared" ca="1" si="70"/>
        <v>0.37142857142857144</v>
      </c>
      <c r="Y181">
        <f t="shared" ca="1" si="71"/>
        <v>72.360347079481073</v>
      </c>
      <c r="Z181" s="16">
        <f t="shared" si="72"/>
        <v>2.4</v>
      </c>
      <c r="AA181" s="16">
        <f t="shared" ca="1" si="73"/>
        <v>0.15476190476190477</v>
      </c>
      <c r="AB181" s="16">
        <f t="shared" ca="1" si="74"/>
        <v>0.11704681872749099</v>
      </c>
      <c r="AC181">
        <f t="shared" ca="1" si="75"/>
        <v>7.9591836734693874E-2</v>
      </c>
      <c r="AD181">
        <f t="shared" ca="1" si="76"/>
        <v>0.11054421768707484</v>
      </c>
      <c r="AE181" s="308">
        <f t="shared" ca="1" si="77"/>
        <v>0.11704681872749099</v>
      </c>
      <c r="AJ181" s="15">
        <v>2.8</v>
      </c>
      <c r="AK181" s="15">
        <f t="shared" si="78"/>
        <v>8.8571428571428579E-2</v>
      </c>
      <c r="AL181" s="15">
        <f t="shared" si="79"/>
        <v>4.7474285714285719E-2</v>
      </c>
      <c r="AM181" s="15">
        <f t="shared" si="80"/>
        <v>9.9699999999999997E-2</v>
      </c>
      <c r="AN181" s="184">
        <f t="shared" si="81"/>
        <v>0.37419231999999997</v>
      </c>
      <c r="AP181" s="15">
        <v>2.8</v>
      </c>
      <c r="AQ181" s="15">
        <f t="shared" si="83"/>
        <v>7.4701788083399598E-2</v>
      </c>
      <c r="AR181" s="15">
        <f t="shared" si="84"/>
        <v>4.0040158412702184E-2</v>
      </c>
      <c r="AS181" s="15">
        <f t="shared" si="85"/>
        <v>8.4099999999999994E-2</v>
      </c>
      <c r="AT181" s="184">
        <f t="shared" si="82"/>
        <v>0.31559652860891857</v>
      </c>
      <c r="AV181" s="15">
        <v>2.8</v>
      </c>
      <c r="AW181" s="32">
        <f t="shared" si="86"/>
        <v>1.1785714285714286</v>
      </c>
      <c r="AX181" s="32">
        <f t="shared" si="87"/>
        <v>0.27107142857142857</v>
      </c>
    </row>
    <row r="182" spans="18:50">
      <c r="R182">
        <v>2.82</v>
      </c>
      <c r="S182">
        <f t="shared" ca="1" si="66"/>
        <v>0.27659574468085107</v>
      </c>
      <c r="T182">
        <f t="shared" ca="1" si="67"/>
        <v>54.657905026108025</v>
      </c>
      <c r="U182">
        <f t="shared" ca="1" si="68"/>
        <v>1.7</v>
      </c>
      <c r="V182">
        <f t="shared" ca="1" si="69"/>
        <v>0.16270337922403005</v>
      </c>
      <c r="W182">
        <v>2.82</v>
      </c>
      <c r="X182">
        <f t="shared" ca="1" si="70"/>
        <v>0.36879432624113478</v>
      </c>
      <c r="Y182">
        <f t="shared" ca="1" si="71"/>
        <v>72.877206701477377</v>
      </c>
      <c r="Z182" s="16">
        <f t="shared" si="72"/>
        <v>2.4</v>
      </c>
      <c r="AA182" s="16">
        <f t="shared" ca="1" si="73"/>
        <v>0.15366430260047284</v>
      </c>
      <c r="AB182" s="16">
        <f t="shared" ca="1" si="74"/>
        <v>0.11621669944573576</v>
      </c>
      <c r="AC182">
        <f t="shared" ca="1" si="75"/>
        <v>7.9027355623100315E-2</v>
      </c>
      <c r="AD182">
        <f t="shared" ca="1" si="76"/>
        <v>0.10976021614319489</v>
      </c>
      <c r="AE182" s="308">
        <f t="shared" ca="1" si="77"/>
        <v>0.11621669944573576</v>
      </c>
      <c r="AJ182" s="15">
        <v>2.82</v>
      </c>
      <c r="AK182" s="15">
        <f t="shared" si="78"/>
        <v>8.794326241134752E-2</v>
      </c>
      <c r="AL182" s="15">
        <f t="shared" si="79"/>
        <v>4.7137588652482271E-2</v>
      </c>
      <c r="AM182" s="15">
        <f t="shared" si="80"/>
        <v>9.9000000000000005E-2</v>
      </c>
      <c r="AN182" s="184">
        <f t="shared" si="81"/>
        <v>0.37153847375886523</v>
      </c>
      <c r="AP182" s="15">
        <v>2.82</v>
      </c>
      <c r="AQ182" s="15">
        <f t="shared" si="83"/>
        <v>7.4436416771926708E-2</v>
      </c>
      <c r="AR182" s="15">
        <f t="shared" si="84"/>
        <v>3.989791938975272E-2</v>
      </c>
      <c r="AS182" s="15">
        <f t="shared" si="85"/>
        <v>8.3799999999999999E-2</v>
      </c>
      <c r="AT182" s="184">
        <f t="shared" si="82"/>
        <v>0.31447540063003088</v>
      </c>
      <c r="AV182" s="15">
        <v>2.82</v>
      </c>
      <c r="AW182" s="32">
        <f t="shared" si="86"/>
        <v>1.1702127659574468</v>
      </c>
      <c r="AX182" s="32">
        <f t="shared" si="87"/>
        <v>0.26914893617021279</v>
      </c>
    </row>
    <row r="183" spans="18:50">
      <c r="R183">
        <v>2.84</v>
      </c>
      <c r="S183">
        <f t="shared" ca="1" si="66"/>
        <v>0.27464788732394368</v>
      </c>
      <c r="T183">
        <f t="shared" ca="1" si="67"/>
        <v>55.045549742605253</v>
      </c>
      <c r="U183">
        <f t="shared" ca="1" si="68"/>
        <v>1.7</v>
      </c>
      <c r="V183">
        <f t="shared" ca="1" si="69"/>
        <v>0.1615575807787904</v>
      </c>
      <c r="W183">
        <v>2.84</v>
      </c>
      <c r="X183">
        <f t="shared" ca="1" si="70"/>
        <v>0.36619718309859156</v>
      </c>
      <c r="Y183">
        <f t="shared" ca="1" si="71"/>
        <v>73.39406632347368</v>
      </c>
      <c r="Z183" s="16">
        <f t="shared" si="72"/>
        <v>2.4</v>
      </c>
      <c r="AA183" s="16">
        <f t="shared" ca="1" si="73"/>
        <v>0.15258215962441316</v>
      </c>
      <c r="AB183" s="16">
        <f t="shared" ca="1" si="74"/>
        <v>0.11539827198485028</v>
      </c>
      <c r="AC183">
        <f t="shared" ca="1" si="75"/>
        <v>7.847082494969819E-2</v>
      </c>
      <c r="AD183">
        <f t="shared" ca="1" si="76"/>
        <v>0.10898725687458083</v>
      </c>
      <c r="AE183" s="308">
        <f t="shared" ca="1" si="77"/>
        <v>0.11539827198485028</v>
      </c>
      <c r="AJ183" s="15">
        <v>2.84</v>
      </c>
      <c r="AK183" s="15">
        <f t="shared" si="78"/>
        <v>8.732394366197184E-2</v>
      </c>
      <c r="AL183" s="15">
        <f t="shared" si="79"/>
        <v>4.6805633802816909E-2</v>
      </c>
      <c r="AM183" s="15">
        <f t="shared" si="80"/>
        <v>9.8299999999999998E-2</v>
      </c>
      <c r="AN183" s="184">
        <f t="shared" si="81"/>
        <v>0.36892200563380284</v>
      </c>
      <c r="AP183" s="15">
        <v>2.84</v>
      </c>
      <c r="AQ183" s="15">
        <f t="shared" si="83"/>
        <v>7.4173853637115844E-2</v>
      </c>
      <c r="AR183" s="15">
        <f t="shared" si="84"/>
        <v>3.9757185549494096E-2</v>
      </c>
      <c r="AS183" s="15">
        <f t="shared" si="85"/>
        <v>8.3500000000000005E-2</v>
      </c>
      <c r="AT183" s="184">
        <f t="shared" si="82"/>
        <v>0.31336613650111245</v>
      </c>
      <c r="AV183" s="15">
        <v>2.84</v>
      </c>
      <c r="AW183" s="32">
        <f t="shared" si="86"/>
        <v>1.1619718309859155</v>
      </c>
      <c r="AX183" s="32">
        <f t="shared" si="87"/>
        <v>0.2672535211267606</v>
      </c>
    </row>
    <row r="184" spans="18:50">
      <c r="R184">
        <v>2.86</v>
      </c>
      <c r="S184">
        <f t="shared" ca="1" si="66"/>
        <v>0.27272727272727276</v>
      </c>
      <c r="T184">
        <f t="shared" ca="1" si="67"/>
        <v>55.433194459102467</v>
      </c>
      <c r="U184">
        <f t="shared" ca="1" si="68"/>
        <v>1.7</v>
      </c>
      <c r="V184">
        <f t="shared" ca="1" si="69"/>
        <v>0.16042780748663105</v>
      </c>
      <c r="W184">
        <v>2.86</v>
      </c>
      <c r="X184">
        <f t="shared" ca="1" si="70"/>
        <v>0.36363636363636365</v>
      </c>
      <c r="Y184">
        <f t="shared" ca="1" si="71"/>
        <v>73.910925945469955</v>
      </c>
      <c r="Z184" s="16">
        <f t="shared" si="72"/>
        <v>2.4</v>
      </c>
      <c r="AA184" s="16">
        <f t="shared" ca="1" si="73"/>
        <v>0.15151515151515152</v>
      </c>
      <c r="AB184" s="16">
        <f t="shared" ca="1" si="74"/>
        <v>0.11459129106187932</v>
      </c>
      <c r="AC184">
        <f t="shared" ca="1" si="75"/>
        <v>7.7922077922077934E-2</v>
      </c>
      <c r="AD184">
        <f t="shared" ca="1" si="76"/>
        <v>0.10822510822510822</v>
      </c>
      <c r="AE184" s="308">
        <f t="shared" ca="1" si="77"/>
        <v>0.11459129106187932</v>
      </c>
      <c r="AJ184" s="15">
        <v>2.86</v>
      </c>
      <c r="AK184" s="15">
        <f t="shared" si="78"/>
        <v>8.6713286713286722E-2</v>
      </c>
      <c r="AL184" s="15">
        <f t="shared" si="79"/>
        <v>4.6478321678321687E-2</v>
      </c>
      <c r="AM184" s="15">
        <f t="shared" si="80"/>
        <v>9.7600000000000006E-2</v>
      </c>
      <c r="AN184" s="184">
        <f t="shared" si="81"/>
        <v>0.36634213146853151</v>
      </c>
      <c r="AP184" s="15">
        <v>2.86</v>
      </c>
      <c r="AQ184" s="15">
        <f t="shared" si="83"/>
        <v>7.3914049498635323E-2</v>
      </c>
      <c r="AR184" s="15">
        <f t="shared" si="84"/>
        <v>3.9617930531268539E-2</v>
      </c>
      <c r="AS184" s="15">
        <f t="shared" si="85"/>
        <v>8.3199999999999996E-2</v>
      </c>
      <c r="AT184" s="184">
        <f t="shared" si="82"/>
        <v>0.31226852844745862</v>
      </c>
      <c r="AV184" s="15">
        <v>2.86</v>
      </c>
      <c r="AW184" s="32">
        <f t="shared" si="86"/>
        <v>1.1538461538461537</v>
      </c>
      <c r="AX184" s="32">
        <f t="shared" si="87"/>
        <v>0.26538461538461539</v>
      </c>
    </row>
    <row r="185" spans="18:50">
      <c r="R185">
        <v>2.88</v>
      </c>
      <c r="S185">
        <f t="shared" ca="1" si="66"/>
        <v>0.27083333333333337</v>
      </c>
      <c r="T185">
        <f t="shared" ca="1" si="67"/>
        <v>55.820839175599701</v>
      </c>
      <c r="U185">
        <f t="shared" ca="1" si="68"/>
        <v>1.7</v>
      </c>
      <c r="V185">
        <f t="shared" ca="1" si="69"/>
        <v>0.1593137254901961</v>
      </c>
      <c r="W185">
        <v>2.88</v>
      </c>
      <c r="X185">
        <f t="shared" ca="1" si="70"/>
        <v>0.36111111111111116</v>
      </c>
      <c r="Y185">
        <f t="shared" ca="1" si="71"/>
        <v>74.427785567466259</v>
      </c>
      <c r="Z185" s="16">
        <f t="shared" si="72"/>
        <v>2.4</v>
      </c>
      <c r="AA185" s="16">
        <f t="shared" ca="1" si="73"/>
        <v>0.15046296296296299</v>
      </c>
      <c r="AB185" s="16">
        <f t="shared" ca="1" si="74"/>
        <v>0.11379551820728293</v>
      </c>
      <c r="AC185">
        <f t="shared" ca="1" si="75"/>
        <v>7.7380952380952384E-2</v>
      </c>
      <c r="AD185">
        <f t="shared" ca="1" si="76"/>
        <v>0.107473544973545</v>
      </c>
      <c r="AE185" s="308">
        <f t="shared" ca="1" si="77"/>
        <v>0.11379551820728293</v>
      </c>
      <c r="AJ185" s="15">
        <v>2.88</v>
      </c>
      <c r="AK185" s="15">
        <f t="shared" si="78"/>
        <v>8.611111111111111E-2</v>
      </c>
      <c r="AL185" s="15">
        <f t="shared" si="79"/>
        <v>4.6155555555555561E-2</v>
      </c>
      <c r="AM185" s="15">
        <f t="shared" si="80"/>
        <v>9.7000000000000003E-2</v>
      </c>
      <c r="AN185" s="184">
        <f t="shared" si="81"/>
        <v>0.36379808888888887</v>
      </c>
      <c r="AP185" s="15">
        <v>2.88</v>
      </c>
      <c r="AQ185" s="15">
        <f t="shared" si="83"/>
        <v>7.3656956373598703E-2</v>
      </c>
      <c r="AR185" s="15">
        <f t="shared" si="84"/>
        <v>3.9480128616248909E-2</v>
      </c>
      <c r="AS185" s="15">
        <f t="shared" si="85"/>
        <v>8.2900000000000001E-2</v>
      </c>
      <c r="AT185" s="184">
        <f t="shared" si="82"/>
        <v>0.3111823737532739</v>
      </c>
      <c r="AV185" s="15">
        <v>2.88</v>
      </c>
      <c r="AW185" s="32">
        <f t="shared" si="86"/>
        <v>1.1458333333333333</v>
      </c>
      <c r="AX185" s="32">
        <f t="shared" si="87"/>
        <v>0.26354166666666667</v>
      </c>
    </row>
    <row r="186" spans="18:50">
      <c r="R186">
        <v>2.9</v>
      </c>
      <c r="S186">
        <f t="shared" ca="1" si="66"/>
        <v>0.26896551724137935</v>
      </c>
      <c r="T186">
        <f t="shared" ca="1" si="67"/>
        <v>56.208483892096922</v>
      </c>
      <c r="U186">
        <f t="shared" ca="1" si="68"/>
        <v>1.7</v>
      </c>
      <c r="V186">
        <f t="shared" ca="1" si="69"/>
        <v>0.15821501014198786</v>
      </c>
      <c r="W186">
        <v>2.9</v>
      </c>
      <c r="X186">
        <f t="shared" ca="1" si="70"/>
        <v>0.35862068965517246</v>
      </c>
      <c r="Y186">
        <f t="shared" ca="1" si="71"/>
        <v>74.944645189462577</v>
      </c>
      <c r="Z186" s="16">
        <f t="shared" si="72"/>
        <v>2.4</v>
      </c>
      <c r="AA186" s="16">
        <f t="shared" ca="1" si="73"/>
        <v>0.14942528735632188</v>
      </c>
      <c r="AB186" s="16">
        <f t="shared" ca="1" si="74"/>
        <v>0.11301072152999132</v>
      </c>
      <c r="AC186">
        <f t="shared" ca="1" si="75"/>
        <v>7.6847290640394098E-2</v>
      </c>
      <c r="AD186">
        <f t="shared" ca="1" si="76"/>
        <v>0.10673234811165849</v>
      </c>
      <c r="AE186" s="308">
        <f t="shared" ca="1" si="77"/>
        <v>0.11301072152999132</v>
      </c>
      <c r="AJ186" s="15">
        <v>2.9</v>
      </c>
      <c r="AK186" s="15">
        <f t="shared" si="78"/>
        <v>8.5517241379310341E-2</v>
      </c>
      <c r="AL186" s="15">
        <f t="shared" si="79"/>
        <v>4.5837241379310348E-2</v>
      </c>
      <c r="AM186" s="15">
        <f t="shared" si="80"/>
        <v>9.6299999999999997E-2</v>
      </c>
      <c r="AN186" s="184">
        <f t="shared" si="81"/>
        <v>0.36128913655172412</v>
      </c>
      <c r="AP186" s="15">
        <v>2.9</v>
      </c>
      <c r="AQ186" s="15">
        <f t="shared" si="83"/>
        <v>7.3402527439337936E-2</v>
      </c>
      <c r="AR186" s="15">
        <f t="shared" si="84"/>
        <v>3.9343754707485135E-2</v>
      </c>
      <c r="AS186" s="15">
        <f t="shared" si="85"/>
        <v>8.2699999999999996E-2</v>
      </c>
      <c r="AT186" s="184">
        <f t="shared" si="82"/>
        <v>0.3101074746043978</v>
      </c>
      <c r="AV186" s="15">
        <v>2.9</v>
      </c>
      <c r="AW186" s="32">
        <f t="shared" si="86"/>
        <v>1.1379310344827587</v>
      </c>
      <c r="AX186" s="32">
        <f t="shared" si="87"/>
        <v>0.2617241379310345</v>
      </c>
    </row>
    <row r="187" spans="18:50">
      <c r="R187">
        <v>2.92</v>
      </c>
      <c r="S187">
        <f t="shared" ca="1" si="66"/>
        <v>0.26712328767123289</v>
      </c>
      <c r="T187">
        <f t="shared" ca="1" si="67"/>
        <v>56.596128608594121</v>
      </c>
      <c r="U187">
        <f t="shared" ca="1" si="68"/>
        <v>1.7</v>
      </c>
      <c r="V187">
        <f t="shared" ca="1" si="69"/>
        <v>0.15713134568896053</v>
      </c>
      <c r="W187">
        <v>2.92</v>
      </c>
      <c r="X187">
        <f t="shared" ca="1" si="70"/>
        <v>0.35616438356164387</v>
      </c>
      <c r="Y187">
        <f t="shared" ca="1" si="71"/>
        <v>75.461504811458838</v>
      </c>
      <c r="Z187" s="16">
        <f t="shared" si="72"/>
        <v>2.4</v>
      </c>
      <c r="AA187" s="16">
        <f t="shared" ca="1" si="73"/>
        <v>0.14840182648401828</v>
      </c>
      <c r="AB187" s="16">
        <f t="shared" ca="1" si="74"/>
        <v>0.11223667549211466</v>
      </c>
      <c r="AC187">
        <f t="shared" ca="1" si="75"/>
        <v>7.6320939334637974E-2</v>
      </c>
      <c r="AD187">
        <f t="shared" ca="1" si="76"/>
        <v>0.10600130463144164</v>
      </c>
      <c r="AE187" s="308">
        <f t="shared" ca="1" si="77"/>
        <v>0.11223667549211466</v>
      </c>
      <c r="AJ187" s="15">
        <v>2.92</v>
      </c>
      <c r="AK187" s="15">
        <f t="shared" si="78"/>
        <v>8.4931506849315067E-2</v>
      </c>
      <c r="AL187" s="15">
        <f t="shared" si="79"/>
        <v>4.5523287671232877E-2</v>
      </c>
      <c r="AM187" s="15">
        <f t="shared" si="80"/>
        <v>9.5600000000000004E-2</v>
      </c>
      <c r="AN187" s="184">
        <f t="shared" si="81"/>
        <v>0.35881455342465751</v>
      </c>
      <c r="AP187" s="15">
        <v>2.92</v>
      </c>
      <c r="AQ187" s="15">
        <f t="shared" si="83"/>
        <v>7.3150716997581605E-2</v>
      </c>
      <c r="AR187" s="15">
        <f t="shared" si="84"/>
        <v>3.9208784310703744E-2</v>
      </c>
      <c r="AS187" s="15">
        <f t="shared" si="85"/>
        <v>8.2400000000000001E-2</v>
      </c>
      <c r="AT187" s="184">
        <f t="shared" si="82"/>
        <v>0.30904363793696688</v>
      </c>
      <c r="AV187" s="15">
        <v>2.92</v>
      </c>
      <c r="AW187" s="32">
        <f t="shared" si="86"/>
        <v>1.1301369863013699</v>
      </c>
      <c r="AX187" s="32">
        <f t="shared" si="87"/>
        <v>0.2599315068493151</v>
      </c>
    </row>
    <row r="188" spans="18:50">
      <c r="R188">
        <v>2.94</v>
      </c>
      <c r="S188">
        <f t="shared" ca="1" si="66"/>
        <v>0.26530612244897961</v>
      </c>
      <c r="T188">
        <f t="shared" ca="1" si="67"/>
        <v>56.983773325091349</v>
      </c>
      <c r="U188">
        <f t="shared" ca="1" si="68"/>
        <v>1.7</v>
      </c>
      <c r="V188">
        <f t="shared" ca="1" si="69"/>
        <v>0.15606242496998801</v>
      </c>
      <c r="W188">
        <v>2.94</v>
      </c>
      <c r="X188">
        <f t="shared" ca="1" si="70"/>
        <v>0.35374149659863946</v>
      </c>
      <c r="Y188">
        <f t="shared" ca="1" si="71"/>
        <v>75.978364433455127</v>
      </c>
      <c r="Z188" s="16">
        <f t="shared" si="72"/>
        <v>2.4</v>
      </c>
      <c r="AA188" s="16">
        <f t="shared" ca="1" si="73"/>
        <v>0.14739229024943312</v>
      </c>
      <c r="AB188" s="16">
        <f t="shared" ca="1" si="74"/>
        <v>0.11147316069284859</v>
      </c>
      <c r="AC188">
        <f t="shared" ca="1" si="75"/>
        <v>7.5801749271137031E-2</v>
      </c>
      <c r="AD188">
        <f t="shared" ca="1" si="76"/>
        <v>0.10528020732102367</v>
      </c>
      <c r="AE188" s="308">
        <f t="shared" ca="1" si="77"/>
        <v>0.11147316069284859</v>
      </c>
      <c r="AJ188" s="15">
        <v>2.94</v>
      </c>
      <c r="AK188" s="15">
        <f t="shared" si="78"/>
        <v>8.4353741496598647E-2</v>
      </c>
      <c r="AL188" s="15">
        <f t="shared" si="79"/>
        <v>4.5213605442176875E-2</v>
      </c>
      <c r="AM188" s="15">
        <f t="shared" si="80"/>
        <v>9.5000000000000001E-2</v>
      </c>
      <c r="AN188" s="184">
        <f t="shared" si="81"/>
        <v>0.35637363809523809</v>
      </c>
      <c r="AP188" s="15">
        <v>2.94</v>
      </c>
      <c r="AQ188" s="15">
        <f t="shared" si="83"/>
        <v>7.2901480439975533E-2</v>
      </c>
      <c r="AR188" s="15">
        <f t="shared" si="84"/>
        <v>3.9075193515826889E-2</v>
      </c>
      <c r="AS188" s="15">
        <f t="shared" si="85"/>
        <v>8.2100000000000006E-2</v>
      </c>
      <c r="AT188" s="184">
        <f t="shared" si="82"/>
        <v>0.30799067529174751</v>
      </c>
      <c r="AV188" s="15">
        <v>2.94</v>
      </c>
      <c r="AW188" s="32">
        <f t="shared" si="86"/>
        <v>1.1224489795918366</v>
      </c>
      <c r="AX188" s="32">
        <f t="shared" si="87"/>
        <v>0.25816326530612244</v>
      </c>
    </row>
    <row r="189" spans="18:50">
      <c r="R189">
        <v>2.96</v>
      </c>
      <c r="S189">
        <f t="shared" ca="1" si="66"/>
        <v>0.26351351351351354</v>
      </c>
      <c r="T189">
        <f t="shared" ca="1" si="67"/>
        <v>57.371418041588576</v>
      </c>
      <c r="U189">
        <f t="shared" ca="1" si="68"/>
        <v>1.7</v>
      </c>
      <c r="V189">
        <f t="shared" ca="1" si="69"/>
        <v>0.15500794912559621</v>
      </c>
      <c r="W189">
        <v>2.96</v>
      </c>
      <c r="X189">
        <f t="shared" ca="1" si="70"/>
        <v>0.35135135135135137</v>
      </c>
      <c r="Y189">
        <f t="shared" ca="1" si="71"/>
        <v>76.49522405545143</v>
      </c>
      <c r="Z189" s="16">
        <f t="shared" si="72"/>
        <v>2.4</v>
      </c>
      <c r="AA189" s="16">
        <f t="shared" ca="1" si="73"/>
        <v>0.1463963963963964</v>
      </c>
      <c r="AB189" s="16">
        <f t="shared" ca="1" si="74"/>
        <v>0.11071996366114015</v>
      </c>
      <c r="AC189">
        <f t="shared" ca="1" si="75"/>
        <v>7.5289575289575306E-2</v>
      </c>
      <c r="AD189">
        <f t="shared" ca="1" si="76"/>
        <v>0.10456885456885458</v>
      </c>
      <c r="AE189" s="308">
        <f t="shared" ca="1" si="77"/>
        <v>0.11071996366114015</v>
      </c>
      <c r="AJ189" s="15">
        <v>2.96</v>
      </c>
      <c r="AK189" s="15">
        <f t="shared" si="78"/>
        <v>8.3783783783783788E-2</v>
      </c>
      <c r="AL189" s="15">
        <f t="shared" si="79"/>
        <v>4.4908108108108115E-2</v>
      </c>
      <c r="AM189" s="15">
        <f t="shared" si="80"/>
        <v>9.4299999999999995E-2</v>
      </c>
      <c r="AN189" s="184">
        <f t="shared" si="81"/>
        <v>0.35396570810810812</v>
      </c>
      <c r="AP189" s="15">
        <v>2.96</v>
      </c>
      <c r="AQ189" s="15">
        <f t="shared" si="83"/>
        <v>7.2654774214887058E-2</v>
      </c>
      <c r="AR189" s="15">
        <f t="shared" si="84"/>
        <v>3.8942958979179466E-2</v>
      </c>
      <c r="AS189" s="15">
        <f t="shared" si="85"/>
        <v>8.1799999999999998E-2</v>
      </c>
      <c r="AT189" s="184">
        <f t="shared" si="82"/>
        <v>0.30694840267389251</v>
      </c>
      <c r="AV189" s="15">
        <v>2.96</v>
      </c>
      <c r="AW189" s="32">
        <f t="shared" si="86"/>
        <v>1.1148648648648649</v>
      </c>
      <c r="AX189" s="32">
        <f t="shared" si="87"/>
        <v>0.25641891891891894</v>
      </c>
    </row>
    <row r="190" spans="18:50">
      <c r="R190">
        <v>2.98</v>
      </c>
      <c r="S190">
        <f t="shared" ca="1" si="66"/>
        <v>0.26174496644295303</v>
      </c>
      <c r="T190">
        <f t="shared" ca="1" si="67"/>
        <v>57.75906275808579</v>
      </c>
      <c r="U190">
        <f t="shared" ca="1" si="68"/>
        <v>1.7</v>
      </c>
      <c r="V190">
        <f t="shared" ca="1" si="69"/>
        <v>0.15396762731938413</v>
      </c>
      <c r="W190">
        <v>2.98</v>
      </c>
      <c r="X190">
        <f t="shared" ca="1" si="70"/>
        <v>0.34899328859060402</v>
      </c>
      <c r="Y190">
        <f t="shared" ca="1" si="71"/>
        <v>77.01208367744772</v>
      </c>
      <c r="Z190" s="16">
        <f t="shared" si="72"/>
        <v>2.4</v>
      </c>
      <c r="AA190" s="16">
        <f t="shared" ca="1" si="73"/>
        <v>0.14541387024608501</v>
      </c>
      <c r="AB190" s="16">
        <f t="shared" ca="1" si="74"/>
        <v>0.10997687665670294</v>
      </c>
      <c r="AC190">
        <f t="shared" ca="1" si="75"/>
        <v>7.4784276126557997E-2</v>
      </c>
      <c r="AD190">
        <f t="shared" ca="1" si="76"/>
        <v>0.10386705017577501</v>
      </c>
      <c r="AE190" s="308">
        <f t="shared" ca="1" si="77"/>
        <v>0.10997687665670294</v>
      </c>
      <c r="AJ190" s="15">
        <v>2.98</v>
      </c>
      <c r="AK190" s="15">
        <f t="shared" si="78"/>
        <v>8.3221476510067116E-2</v>
      </c>
      <c r="AL190" s="15">
        <f t="shared" si="79"/>
        <v>4.4606711409395976E-2</v>
      </c>
      <c r="AM190" s="15">
        <f t="shared" si="80"/>
        <v>9.3700000000000006E-2</v>
      </c>
      <c r="AN190" s="184">
        <f t="shared" si="81"/>
        <v>0.35159009932885904</v>
      </c>
      <c r="AP190" s="15">
        <v>2.98</v>
      </c>
      <c r="AQ190" s="15">
        <f t="shared" si="83"/>
        <v>7.2410555795436538E-2</v>
      </c>
      <c r="AR190" s="15">
        <f t="shared" si="84"/>
        <v>3.8812057906353989E-2</v>
      </c>
      <c r="AS190" s="15">
        <f t="shared" si="85"/>
        <v>8.1500000000000003E-2</v>
      </c>
      <c r="AT190" s="184">
        <f t="shared" si="82"/>
        <v>0.30591664041788214</v>
      </c>
      <c r="AV190" s="15">
        <v>2.98</v>
      </c>
      <c r="AW190" s="32">
        <f t="shared" si="86"/>
        <v>1.1073825503355703</v>
      </c>
      <c r="AX190" s="32">
        <f t="shared" si="87"/>
        <v>0.25469798657718118</v>
      </c>
    </row>
    <row r="191" spans="18:50">
      <c r="R191">
        <v>3</v>
      </c>
      <c r="S191">
        <f t="shared" ca="1" si="66"/>
        <v>0.26</v>
      </c>
      <c r="T191">
        <f t="shared" ca="1" si="67"/>
        <v>58.146707474583017</v>
      </c>
      <c r="U191">
        <f t="shared" ca="1" si="68"/>
        <v>1.7</v>
      </c>
      <c r="V191">
        <f t="shared" ca="1" si="69"/>
        <v>0.15294117647058825</v>
      </c>
      <c r="W191">
        <v>3</v>
      </c>
      <c r="X191">
        <f t="shared" ca="1" si="70"/>
        <v>0.34666666666666668</v>
      </c>
      <c r="Y191">
        <f t="shared" ca="1" si="71"/>
        <v>77.528943299444009</v>
      </c>
      <c r="Z191" s="16">
        <f t="shared" si="72"/>
        <v>2.4</v>
      </c>
      <c r="AA191" s="16">
        <f t="shared" ca="1" si="73"/>
        <v>0.14444444444444446</v>
      </c>
      <c r="AB191" s="16">
        <f t="shared" ca="1" si="74"/>
        <v>0.10924369747899161</v>
      </c>
      <c r="AC191">
        <f t="shared" ca="1" si="75"/>
        <v>7.4285714285714288E-2</v>
      </c>
      <c r="AD191">
        <f t="shared" ca="1" si="76"/>
        <v>0.10317460317460318</v>
      </c>
      <c r="AE191" s="308">
        <f t="shared" ca="1" si="77"/>
        <v>0.10924369747899161</v>
      </c>
      <c r="AJ191" s="15">
        <v>3</v>
      </c>
      <c r="AK191" s="15">
        <f t="shared" si="78"/>
        <v>8.2666666666666666E-2</v>
      </c>
      <c r="AL191" s="15">
        <f t="shared" si="79"/>
        <v>4.4309333333333333E-2</v>
      </c>
      <c r="AM191" s="15">
        <f t="shared" si="80"/>
        <v>9.3100000000000002E-2</v>
      </c>
      <c r="AN191" s="184">
        <f t="shared" si="81"/>
        <v>0.3492461653333333</v>
      </c>
      <c r="AP191" s="15">
        <v>3</v>
      </c>
      <c r="AQ191" s="15">
        <f t="shared" si="83"/>
        <v>7.216878364870323E-2</v>
      </c>
      <c r="AR191" s="15">
        <f t="shared" si="84"/>
        <v>3.8682468035704937E-2</v>
      </c>
      <c r="AS191" s="15">
        <f t="shared" si="85"/>
        <v>8.1299999999999997E-2</v>
      </c>
      <c r="AT191" s="184">
        <f t="shared" si="82"/>
        <v>0.30489521305742628</v>
      </c>
      <c r="AV191" s="15">
        <v>3</v>
      </c>
      <c r="AW191" s="32">
        <f t="shared" si="86"/>
        <v>1.0999999999999999</v>
      </c>
      <c r="AX191" s="32">
        <f t="shared" si="87"/>
        <v>0.253</v>
      </c>
    </row>
    <row r="192" spans="18:50">
      <c r="R192">
        <v>3.02</v>
      </c>
      <c r="S192">
        <f t="shared" ca="1" si="66"/>
        <v>0.25827814569536423</v>
      </c>
      <c r="T192">
        <f t="shared" ca="1" si="67"/>
        <v>58.534352191080231</v>
      </c>
      <c r="U192">
        <f t="shared" ca="1" si="68"/>
        <v>1.7</v>
      </c>
      <c r="V192">
        <f t="shared" ca="1" si="69"/>
        <v>0.15192832099727308</v>
      </c>
      <c r="W192">
        <v>3.02</v>
      </c>
      <c r="X192">
        <f t="shared" ca="1" si="70"/>
        <v>0.3443708609271523</v>
      </c>
      <c r="Y192">
        <f t="shared" ca="1" si="71"/>
        <v>78.045802921440313</v>
      </c>
      <c r="Z192" s="16">
        <f t="shared" si="72"/>
        <v>2.4</v>
      </c>
      <c r="AA192" s="16">
        <f t="shared" ca="1" si="73"/>
        <v>0.14348785871964681</v>
      </c>
      <c r="AB192" s="16">
        <f t="shared" ca="1" si="74"/>
        <v>0.10852022928376648</v>
      </c>
      <c r="AC192">
        <f t="shared" ca="1" si="75"/>
        <v>7.3793755912961209E-2</v>
      </c>
      <c r="AD192">
        <f t="shared" ca="1" si="76"/>
        <v>0.10249132765689058</v>
      </c>
      <c r="AE192" s="308">
        <f t="shared" ca="1" si="77"/>
        <v>0.10852022928376648</v>
      </c>
      <c r="AJ192" s="15">
        <v>3.02</v>
      </c>
      <c r="AK192" s="15">
        <f t="shared" si="78"/>
        <v>8.211920529801324E-2</v>
      </c>
      <c r="AL192" s="15">
        <f t="shared" si="79"/>
        <v>4.4015894039735097E-2</v>
      </c>
      <c r="AM192" s="15">
        <f t="shared" si="80"/>
        <v>9.2499999999999999E-2</v>
      </c>
      <c r="AN192" s="184">
        <f t="shared" si="81"/>
        <v>0.34693327682119202</v>
      </c>
      <c r="AP192" s="15">
        <v>3.02</v>
      </c>
      <c r="AQ192" s="15">
        <f t="shared" si="83"/>
        <v>7.1929417206054502E-2</v>
      </c>
      <c r="AR192" s="15">
        <f t="shared" si="84"/>
        <v>3.8554167622445214E-2</v>
      </c>
      <c r="AS192" s="15">
        <f t="shared" si="85"/>
        <v>8.1000000000000003E-2</v>
      </c>
      <c r="AT192" s="184">
        <f t="shared" si="82"/>
        <v>0.30388394920011319</v>
      </c>
      <c r="AV192" s="15">
        <v>3.02</v>
      </c>
      <c r="AW192" s="32">
        <f t="shared" si="86"/>
        <v>1.0927152317880795</v>
      </c>
      <c r="AX192" s="32">
        <f t="shared" si="87"/>
        <v>0.25132450331125827</v>
      </c>
    </row>
    <row r="193" spans="18:50">
      <c r="R193">
        <v>3.04</v>
      </c>
      <c r="S193">
        <f t="shared" ca="1" si="66"/>
        <v>0.25657894736842107</v>
      </c>
      <c r="T193">
        <f t="shared" ca="1" si="67"/>
        <v>58.921996907577459</v>
      </c>
      <c r="U193">
        <f t="shared" ca="1" si="68"/>
        <v>1.7</v>
      </c>
      <c r="V193">
        <f t="shared" ca="1" si="69"/>
        <v>0.15092879256965946</v>
      </c>
      <c r="W193">
        <v>3.04</v>
      </c>
      <c r="X193">
        <f t="shared" ca="1" si="70"/>
        <v>0.34210526315789475</v>
      </c>
      <c r="Y193">
        <f t="shared" ca="1" si="71"/>
        <v>78.562662543436602</v>
      </c>
      <c r="Z193" s="16">
        <f t="shared" si="72"/>
        <v>2.4</v>
      </c>
      <c r="AA193" s="16">
        <f t="shared" ca="1" si="73"/>
        <v>0.14254385964912281</v>
      </c>
      <c r="AB193" s="16">
        <f t="shared" ca="1" si="74"/>
        <v>0.10780628040689962</v>
      </c>
      <c r="AC193">
        <f t="shared" ca="1" si="75"/>
        <v>7.3308270676691739E-2</v>
      </c>
      <c r="AD193">
        <f t="shared" ca="1" si="76"/>
        <v>0.10181704260651629</v>
      </c>
      <c r="AE193" s="308">
        <f t="shared" ca="1" si="77"/>
        <v>0.10780628040689962</v>
      </c>
      <c r="AJ193" s="15">
        <v>3.04</v>
      </c>
      <c r="AK193" s="15">
        <f t="shared" si="78"/>
        <v>8.1578947368421056E-2</v>
      </c>
      <c r="AL193" s="15">
        <f t="shared" si="79"/>
        <v>4.372631578947369E-2</v>
      </c>
      <c r="AM193" s="15">
        <f t="shared" si="80"/>
        <v>9.1899999999999996E-2</v>
      </c>
      <c r="AN193" s="184">
        <f t="shared" si="81"/>
        <v>0.34465082105263162</v>
      </c>
      <c r="AP193" s="15">
        <v>3.04</v>
      </c>
      <c r="AQ193" s="15">
        <f t="shared" si="83"/>
        <v>7.1692416834550562E-2</v>
      </c>
      <c r="AR193" s="15">
        <f t="shared" si="84"/>
        <v>3.8427135423319103E-2</v>
      </c>
      <c r="AS193" s="15">
        <f t="shared" si="85"/>
        <v>8.0699999999999994E-2</v>
      </c>
      <c r="AT193" s="184">
        <f t="shared" si="82"/>
        <v>0.30288268140660113</v>
      </c>
      <c r="AV193" s="15">
        <v>3.04</v>
      </c>
      <c r="AW193" s="32">
        <f t="shared" si="86"/>
        <v>1.0855263157894737</v>
      </c>
      <c r="AX193" s="32">
        <f t="shared" si="87"/>
        <v>0.24967105263157896</v>
      </c>
    </row>
    <row r="194" spans="18:50">
      <c r="R194">
        <v>3.06</v>
      </c>
      <c r="S194">
        <f t="shared" ca="1" si="66"/>
        <v>0.25490196078431371</v>
      </c>
      <c r="T194">
        <f t="shared" ca="1" si="67"/>
        <v>59.309641624074665</v>
      </c>
      <c r="U194">
        <f t="shared" ca="1" si="68"/>
        <v>1.7</v>
      </c>
      <c r="V194">
        <f t="shared" ca="1" si="69"/>
        <v>0.14994232987312572</v>
      </c>
      <c r="W194">
        <v>3.06</v>
      </c>
      <c r="X194">
        <f t="shared" ca="1" si="70"/>
        <v>0.33986928104575165</v>
      </c>
      <c r="Y194">
        <f t="shared" ca="1" si="71"/>
        <v>79.079522165432905</v>
      </c>
      <c r="Z194" s="16">
        <f t="shared" si="72"/>
        <v>2.4</v>
      </c>
      <c r="AA194" s="16">
        <f t="shared" ca="1" si="73"/>
        <v>0.14161220043572986</v>
      </c>
      <c r="AB194" s="16">
        <f t="shared" ca="1" si="74"/>
        <v>0.1071016641950898</v>
      </c>
      <c r="AC194">
        <f t="shared" ca="1" si="75"/>
        <v>7.2829131652661069E-2</v>
      </c>
      <c r="AD194">
        <f t="shared" ca="1" si="76"/>
        <v>0.10115157173980704</v>
      </c>
      <c r="AE194" s="308">
        <f t="shared" ca="1" si="77"/>
        <v>0.1071016641950898</v>
      </c>
      <c r="AJ194" s="15">
        <v>3.06</v>
      </c>
      <c r="AK194" s="15">
        <f t="shared" si="78"/>
        <v>8.1045751633986932E-2</v>
      </c>
      <c r="AL194" s="15">
        <f t="shared" si="79"/>
        <v>4.3440522875816998E-2</v>
      </c>
      <c r="AM194" s="15">
        <f t="shared" si="80"/>
        <v>9.1300000000000006E-2</v>
      </c>
      <c r="AN194" s="184">
        <f t="shared" si="81"/>
        <v>0.34239820130718951</v>
      </c>
      <c r="AP194" s="15">
        <v>3.06</v>
      </c>
      <c r="AQ194" s="15">
        <f t="shared" si="83"/>
        <v>7.1457743809378679E-2</v>
      </c>
      <c r="AR194" s="15">
        <f t="shared" si="84"/>
        <v>3.8301350681826975E-2</v>
      </c>
      <c r="AS194" s="15">
        <f t="shared" si="85"/>
        <v>8.0500000000000002E-2</v>
      </c>
      <c r="AT194" s="184">
        <f t="shared" si="82"/>
        <v>0.30189124607416018</v>
      </c>
      <c r="AV194" s="15">
        <v>3.06</v>
      </c>
      <c r="AW194" s="32">
        <f t="shared" si="86"/>
        <v>1.0784313725490196</v>
      </c>
      <c r="AX194" s="32">
        <f t="shared" si="87"/>
        <v>0.24803921568627452</v>
      </c>
    </row>
    <row r="195" spans="18:50">
      <c r="R195">
        <v>3.08</v>
      </c>
      <c r="S195">
        <f t="shared" ca="1" si="66"/>
        <v>0.25324675324675328</v>
      </c>
      <c r="T195">
        <f t="shared" ca="1" si="67"/>
        <v>59.6972863405719</v>
      </c>
      <c r="U195">
        <f t="shared" ca="1" si="68"/>
        <v>1.7</v>
      </c>
      <c r="V195">
        <f t="shared" ca="1" si="69"/>
        <v>0.14896867838044311</v>
      </c>
      <c r="W195">
        <v>3.08</v>
      </c>
      <c r="X195">
        <f t="shared" ca="1" si="70"/>
        <v>0.33766233766233766</v>
      </c>
      <c r="Y195">
        <f t="shared" ca="1" si="71"/>
        <v>79.596381787429195</v>
      </c>
      <c r="Z195" s="16">
        <f t="shared" si="72"/>
        <v>2.4</v>
      </c>
      <c r="AA195" s="16">
        <f t="shared" ca="1" si="73"/>
        <v>0.1406926406926407</v>
      </c>
      <c r="AB195" s="16">
        <f t="shared" ca="1" si="74"/>
        <v>0.10640619884317365</v>
      </c>
      <c r="AC195">
        <f t="shared" ca="1" si="75"/>
        <v>7.2356215213358083E-2</v>
      </c>
      <c r="AD195">
        <f t="shared" ca="1" si="76"/>
        <v>0.10049474335188621</v>
      </c>
      <c r="AE195" s="308">
        <f t="shared" ca="1" si="77"/>
        <v>0.10640619884317365</v>
      </c>
      <c r="AJ195" s="15">
        <v>3.08</v>
      </c>
      <c r="AK195" s="15">
        <f t="shared" si="78"/>
        <v>8.0519480519480519E-2</v>
      </c>
      <c r="AL195" s="15">
        <f t="shared" si="79"/>
        <v>4.3158441558441563E-2</v>
      </c>
      <c r="AM195" s="15">
        <f t="shared" si="80"/>
        <v>9.0700000000000003E-2</v>
      </c>
      <c r="AN195" s="184">
        <f t="shared" si="81"/>
        <v>0.34017483636363638</v>
      </c>
      <c r="AP195" s="15">
        <v>3.08</v>
      </c>
      <c r="AQ195" s="15">
        <f t="shared" si="83"/>
        <v>7.122536028727372E-2</v>
      </c>
      <c r="AR195" s="15">
        <f t="shared" si="84"/>
        <v>3.8176793113978716E-2</v>
      </c>
      <c r="AS195" s="15">
        <f t="shared" si="85"/>
        <v>8.0199999999999994E-2</v>
      </c>
      <c r="AT195" s="184">
        <f t="shared" si="82"/>
        <v>0.30090948332438022</v>
      </c>
      <c r="AV195" s="15">
        <v>3.08</v>
      </c>
      <c r="AW195" s="32">
        <f t="shared" si="86"/>
        <v>1.0714285714285714</v>
      </c>
      <c r="AX195" s="32">
        <f t="shared" si="87"/>
        <v>0.24642857142857144</v>
      </c>
    </row>
    <row r="196" spans="18:50">
      <c r="R196">
        <v>3.1</v>
      </c>
      <c r="S196">
        <f t="shared" ca="1" si="66"/>
        <v>0.25161290322580643</v>
      </c>
      <c r="T196">
        <f t="shared" ca="1" si="67"/>
        <v>60.08493105706912</v>
      </c>
      <c r="U196">
        <f t="shared" ca="1" si="68"/>
        <v>1.7</v>
      </c>
      <c r="V196">
        <f t="shared" ca="1" si="69"/>
        <v>0.14800759013282733</v>
      </c>
      <c r="W196">
        <v>3.1</v>
      </c>
      <c r="X196">
        <f t="shared" ca="1" si="70"/>
        <v>0.33548387096774196</v>
      </c>
      <c r="Y196">
        <f t="shared" ca="1" si="71"/>
        <v>80.113241409425498</v>
      </c>
      <c r="Z196" s="16">
        <f t="shared" si="72"/>
        <v>2.4</v>
      </c>
      <c r="AA196" s="16">
        <f t="shared" ca="1" si="73"/>
        <v>0.13978494623655915</v>
      </c>
      <c r="AB196" s="16">
        <f t="shared" ca="1" si="74"/>
        <v>0.1057197072377338</v>
      </c>
      <c r="AC196">
        <f t="shared" ca="1" si="75"/>
        <v>7.1889400921658991E-2</v>
      </c>
      <c r="AD196">
        <f t="shared" ca="1" si="76"/>
        <v>9.9846390168970831E-2</v>
      </c>
      <c r="AE196" s="308">
        <f t="shared" ca="1" si="77"/>
        <v>0.1057197072377338</v>
      </c>
      <c r="AJ196" s="15">
        <v>3.1</v>
      </c>
      <c r="AK196" s="15">
        <f t="shared" si="78"/>
        <v>0.08</v>
      </c>
      <c r="AL196" s="15">
        <f t="shared" si="79"/>
        <v>4.2880000000000001E-2</v>
      </c>
      <c r="AM196" s="15">
        <f t="shared" si="80"/>
        <v>9.01E-2</v>
      </c>
      <c r="AN196" s="184">
        <f t="shared" si="81"/>
        <v>0.33798015999999997</v>
      </c>
      <c r="AP196" s="15">
        <v>3.1</v>
      </c>
      <c r="AQ196" s="15">
        <f t="shared" si="83"/>
        <v>7.0995229280883101E-2</v>
      </c>
      <c r="AR196" s="15">
        <f t="shared" si="84"/>
        <v>3.8053442894553348E-2</v>
      </c>
      <c r="AS196" s="15">
        <f t="shared" si="85"/>
        <v>7.9899999999999999E-2</v>
      </c>
      <c r="AT196" s="184">
        <f t="shared" si="82"/>
        <v>0.29993723689486945</v>
      </c>
      <c r="AV196" s="15">
        <v>3.1</v>
      </c>
      <c r="AW196" s="32">
        <f t="shared" si="86"/>
        <v>1.064516129032258</v>
      </c>
      <c r="AX196" s="32">
        <f t="shared" si="87"/>
        <v>0.24483870967741936</v>
      </c>
    </row>
    <row r="197" spans="18:50">
      <c r="R197">
        <v>3.12</v>
      </c>
      <c r="S197">
        <f t="shared" ca="1" si="66"/>
        <v>0.25</v>
      </c>
      <c r="T197">
        <f t="shared" ca="1" si="67"/>
        <v>60.472575773566341</v>
      </c>
      <c r="U197">
        <f t="shared" ca="1" si="68"/>
        <v>1.7</v>
      </c>
      <c r="V197">
        <f t="shared" ca="1" si="69"/>
        <v>0.14705882352941177</v>
      </c>
      <c r="W197">
        <v>3.12</v>
      </c>
      <c r="X197">
        <f t="shared" ca="1" si="70"/>
        <v>0.33333333333333331</v>
      </c>
      <c r="Y197">
        <f t="shared" ca="1" si="71"/>
        <v>80.630101031421788</v>
      </c>
      <c r="Z197" s="16">
        <f t="shared" si="72"/>
        <v>2.4</v>
      </c>
      <c r="AA197" s="16">
        <f t="shared" ca="1" si="73"/>
        <v>0.1388888888888889</v>
      </c>
      <c r="AB197" s="16">
        <f t="shared" ca="1" si="74"/>
        <v>0.10504201680672269</v>
      </c>
      <c r="AC197">
        <f t="shared" ca="1" si="75"/>
        <v>7.1428571428571425E-2</v>
      </c>
      <c r="AD197">
        <f t="shared" ca="1" si="76"/>
        <v>9.9206349206349215E-2</v>
      </c>
      <c r="AE197" s="308">
        <f t="shared" ca="1" si="77"/>
        <v>0.10504201680672269</v>
      </c>
      <c r="AJ197" s="15">
        <v>3.12</v>
      </c>
      <c r="AK197" s="15">
        <f t="shared" si="78"/>
        <v>7.9487179487179482E-2</v>
      </c>
      <c r="AL197" s="15">
        <f t="shared" si="79"/>
        <v>4.2605128205128205E-2</v>
      </c>
      <c r="AM197" s="15">
        <f t="shared" si="80"/>
        <v>8.9499999999999996E-2</v>
      </c>
      <c r="AN197" s="184">
        <f t="shared" si="81"/>
        <v>0.33581362051282049</v>
      </c>
      <c r="AP197" s="15">
        <v>3.12</v>
      </c>
      <c r="AQ197" s="15">
        <f t="shared" si="83"/>
        <v>7.0767314634037237E-2</v>
      </c>
      <c r="AR197" s="15">
        <f t="shared" si="84"/>
        <v>3.7931280643843962E-2</v>
      </c>
      <c r="AS197" s="15">
        <f t="shared" si="85"/>
        <v>7.9699999999999993E-2</v>
      </c>
      <c r="AT197" s="184">
        <f t="shared" si="82"/>
        <v>0.29897435403477807</v>
      </c>
      <c r="AV197" s="15">
        <v>3.12</v>
      </c>
      <c r="AW197" s="32">
        <f t="shared" si="86"/>
        <v>1.0576923076923077</v>
      </c>
      <c r="AX197" s="32">
        <f t="shared" si="87"/>
        <v>0.24326923076923079</v>
      </c>
    </row>
    <row r="198" spans="18:50">
      <c r="R198">
        <v>3.14</v>
      </c>
      <c r="S198">
        <f t="shared" ca="1" si="66"/>
        <v>0.24840764331210191</v>
      </c>
      <c r="T198">
        <f t="shared" ca="1" si="67"/>
        <v>60.860220490063554</v>
      </c>
      <c r="U198">
        <f t="shared" ca="1" si="68"/>
        <v>1.7</v>
      </c>
      <c r="V198">
        <f t="shared" ca="1" si="69"/>
        <v>0.14612214312476585</v>
      </c>
      <c r="W198">
        <v>3.14</v>
      </c>
      <c r="X198">
        <f t="shared" ca="1" si="70"/>
        <v>0.33121019108280253</v>
      </c>
      <c r="Y198">
        <f t="shared" ca="1" si="71"/>
        <v>81.146960653418077</v>
      </c>
      <c r="Z198" s="16">
        <f t="shared" si="72"/>
        <v>2.4</v>
      </c>
      <c r="AA198" s="16">
        <f t="shared" ca="1" si="73"/>
        <v>0.13800424628450106</v>
      </c>
      <c r="AB198" s="16">
        <f t="shared" ca="1" si="74"/>
        <v>0.10437295937483275</v>
      </c>
      <c r="AC198">
        <f t="shared" ca="1" si="75"/>
        <v>7.0973612374886266E-2</v>
      </c>
      <c r="AD198">
        <f t="shared" ca="1" si="76"/>
        <v>9.8574461631786472E-2</v>
      </c>
      <c r="AE198" s="308">
        <f t="shared" ca="1" si="77"/>
        <v>0.10437295937483275</v>
      </c>
      <c r="AJ198" s="15">
        <v>3.14</v>
      </c>
      <c r="AK198" s="15">
        <f t="shared" si="78"/>
        <v>7.8980891719745219E-2</v>
      </c>
      <c r="AL198" s="15">
        <f t="shared" si="79"/>
        <v>4.2333757961783437E-2</v>
      </c>
      <c r="AM198" s="15">
        <f t="shared" si="80"/>
        <v>8.8900000000000007E-2</v>
      </c>
      <c r="AN198" s="184">
        <f t="shared" si="81"/>
        <v>0.33367468025477703</v>
      </c>
      <c r="AP198" s="15">
        <v>3.14</v>
      </c>
      <c r="AQ198" s="15">
        <f t="shared" si="83"/>
        <v>7.0541580997887543E-2</v>
      </c>
      <c r="AR198" s="15">
        <f t="shared" si="84"/>
        <v>3.7810287414867728E-2</v>
      </c>
      <c r="AS198" s="15">
        <f t="shared" si="85"/>
        <v>7.9399999999999998E-2</v>
      </c>
      <c r="AT198" s="184">
        <f t="shared" si="82"/>
        <v>0.29802068540398741</v>
      </c>
      <c r="AV198" s="15">
        <v>3.14</v>
      </c>
      <c r="AW198" s="32">
        <f t="shared" si="86"/>
        <v>1.0509554140127388</v>
      </c>
      <c r="AX198" s="32">
        <f t="shared" si="87"/>
        <v>0.24171974522292994</v>
      </c>
    </row>
    <row r="199" spans="18:50">
      <c r="R199">
        <v>3.16</v>
      </c>
      <c r="S199">
        <f t="shared" ca="1" si="66"/>
        <v>0.24683544303797469</v>
      </c>
      <c r="T199">
        <f t="shared" ca="1" si="67"/>
        <v>61.247865206560789</v>
      </c>
      <c r="U199">
        <f t="shared" ca="1" si="68"/>
        <v>1.7</v>
      </c>
      <c r="V199">
        <f t="shared" ca="1" si="69"/>
        <v>0.14519731943410277</v>
      </c>
      <c r="W199">
        <v>3.16</v>
      </c>
      <c r="X199">
        <f t="shared" ca="1" si="70"/>
        <v>0.32911392405063289</v>
      </c>
      <c r="Y199">
        <f t="shared" ca="1" si="71"/>
        <v>81.663820275414366</v>
      </c>
      <c r="Z199" s="16">
        <f t="shared" si="72"/>
        <v>2.4</v>
      </c>
      <c r="AA199" s="16">
        <f t="shared" ca="1" si="73"/>
        <v>0.1371308016877637</v>
      </c>
      <c r="AB199" s="16">
        <f t="shared" ca="1" si="74"/>
        <v>0.10371237102435912</v>
      </c>
      <c r="AC199">
        <f t="shared" ca="1" si="75"/>
        <v>7.0524412296564198E-2</v>
      </c>
      <c r="AD199">
        <f t="shared" ca="1" si="76"/>
        <v>9.7950572634116939E-2</v>
      </c>
      <c r="AE199" s="308">
        <f t="shared" ca="1" si="77"/>
        <v>0.10371237102435912</v>
      </c>
      <c r="AJ199" s="15">
        <v>3.16</v>
      </c>
      <c r="AK199" s="15">
        <f t="shared" si="78"/>
        <v>7.848101265822785E-2</v>
      </c>
      <c r="AL199" s="15">
        <f t="shared" si="79"/>
        <v>4.2065822784810129E-2</v>
      </c>
      <c r="AM199" s="15">
        <f t="shared" si="80"/>
        <v>8.8400000000000006E-2</v>
      </c>
      <c r="AN199" s="184">
        <f t="shared" si="81"/>
        <v>0.33156281518987341</v>
      </c>
      <c r="AP199" s="15">
        <v>3.16</v>
      </c>
      <c r="AQ199" s="15">
        <f t="shared" si="83"/>
        <v>7.0317993807876497E-2</v>
      </c>
      <c r="AR199" s="15">
        <f t="shared" si="84"/>
        <v>3.7690444681021805E-2</v>
      </c>
      <c r="AS199" s="15">
        <f t="shared" si="85"/>
        <v>7.9200000000000007E-2</v>
      </c>
      <c r="AT199" s="184">
        <f t="shared" si="82"/>
        <v>0.29707608497581384</v>
      </c>
      <c r="AV199" s="15">
        <v>3.16</v>
      </c>
      <c r="AW199" s="32">
        <f t="shared" si="86"/>
        <v>1.0443037974683542</v>
      </c>
      <c r="AX199" s="32">
        <f t="shared" si="87"/>
        <v>0.24018987341772149</v>
      </c>
    </row>
    <row r="200" spans="18:50">
      <c r="R200">
        <v>3.18</v>
      </c>
      <c r="S200">
        <f t="shared" ca="1" si="66"/>
        <v>0.24528301886792453</v>
      </c>
      <c r="T200">
        <f t="shared" ca="1" si="67"/>
        <v>61.635509923058009</v>
      </c>
      <c r="U200">
        <f t="shared" ca="1" si="68"/>
        <v>1.7</v>
      </c>
      <c r="V200">
        <f t="shared" ca="1" si="69"/>
        <v>0.14428412874583796</v>
      </c>
      <c r="W200">
        <v>3.18</v>
      </c>
      <c r="X200">
        <f t="shared" ca="1" si="70"/>
        <v>0.32704402515723269</v>
      </c>
      <c r="Y200">
        <f t="shared" ca="1" si="71"/>
        <v>82.180679897410684</v>
      </c>
      <c r="Z200" s="16">
        <f t="shared" si="72"/>
        <v>2.4</v>
      </c>
      <c r="AA200" s="16">
        <f t="shared" ca="1" si="73"/>
        <v>0.13626834381551362</v>
      </c>
      <c r="AB200" s="16">
        <f t="shared" ca="1" si="74"/>
        <v>0.10306009196131283</v>
      </c>
      <c r="AC200">
        <f t="shared" ca="1" si="75"/>
        <v>7.0080862533692723E-2</v>
      </c>
      <c r="AD200">
        <f t="shared" ca="1" si="76"/>
        <v>9.7334531296795437E-2</v>
      </c>
      <c r="AE200" s="308">
        <f t="shared" ca="1" si="77"/>
        <v>0.10306009196131283</v>
      </c>
      <c r="AJ200" s="15">
        <v>3.18</v>
      </c>
      <c r="AK200" s="15">
        <f t="shared" si="78"/>
        <v>7.7987421383647795E-2</v>
      </c>
      <c r="AL200" s="15">
        <f t="shared" si="79"/>
        <v>4.1801257861635223E-2</v>
      </c>
      <c r="AM200" s="15">
        <f t="shared" si="80"/>
        <v>8.7800000000000003E-2</v>
      </c>
      <c r="AN200" s="184">
        <f t="shared" si="81"/>
        <v>0.32947751446540879</v>
      </c>
      <c r="AP200" s="15">
        <v>3.18</v>
      </c>
      <c r="AQ200" s="15">
        <f t="shared" si="83"/>
        <v>7.0096519261505535E-2</v>
      </c>
      <c r="AR200" s="15">
        <f t="shared" si="84"/>
        <v>3.7571734324166967E-2</v>
      </c>
      <c r="AS200" s="15">
        <f t="shared" si="85"/>
        <v>7.8899999999999998E-2</v>
      </c>
      <c r="AT200" s="184">
        <f t="shared" si="82"/>
        <v>0.29614040994308399</v>
      </c>
      <c r="AV200" s="15">
        <v>3.18</v>
      </c>
      <c r="AW200" s="32">
        <f t="shared" si="86"/>
        <v>1.0377358490566038</v>
      </c>
      <c r="AX200" s="32">
        <f t="shared" si="87"/>
        <v>0.23867924528301887</v>
      </c>
    </row>
    <row r="201" spans="18:50">
      <c r="R201">
        <v>3.2</v>
      </c>
      <c r="S201">
        <f t="shared" ref="S201:S218" ca="1" si="88">IF(R201&lt;=0.2*$S$38,$S$34*(0.4+3*R201/$S$38),IF(R201&lt;=$S$38,$S$34,IF(R201&lt;=2.5*$S$38,$S$34*$S$38/R201,0.4*$S$34)))</f>
        <v>0.24374999999999999</v>
      </c>
      <c r="T201">
        <f t="shared" ca="1" si="67"/>
        <v>62.02315463955523</v>
      </c>
      <c r="U201">
        <f t="shared" ref="U201:U218" ca="1" si="89">IF(R201&gt;$S$38,$U$32,IF(R201&gt;0.6*$S$38,SQRT(2*$U$32-1)+($U$32-SQRT(2*$U$32-1))*(R201-0.6*$S$38)/0.4/$S$38,IF(R201&gt;0.2*$S$38,SQRT(2*$U$32-1),SQRT(2*$U$32-1)+(SQRT(2*$U$32-1)-1)*(R201-0.2*$S$38)/0.2/$S$38)))</f>
        <v>1.7</v>
      </c>
      <c r="V201">
        <f t="shared" ca="1" si="69"/>
        <v>0.14338235294117646</v>
      </c>
      <c r="W201">
        <v>3.2</v>
      </c>
      <c r="X201">
        <f t="shared" ref="X201:X218" ca="1" si="90">IF(W201&lt;=0.2*$X$38,$X$34*(0.4+3*W201/$X$38),IF(W201&lt;=$X$38,$X$34,IF(W201&lt;=2.5*$X$38,$X$34*$X$38/W201,0.4*$X$34)))</f>
        <v>0.32500000000000001</v>
      </c>
      <c r="Y201">
        <f t="shared" ca="1" si="71"/>
        <v>82.697539519406973</v>
      </c>
      <c r="Z201" s="16">
        <f t="shared" ref="Z201:Z218" si="91">IF(W201&gt;$X$38,$S$32,IF(W201&gt;0.6*$X$38,SQRT(2*$S$32-1)+($S$32-SQRT(2*$S$32-1))*(W201-0.6*$X$38)/0.4/$X$38,IF(W201&gt;0.2*$X$38,SQRT(2*$S$32-1),SQRT(2*$S$32-1)+(SQRT(2*$S$32-1)-1)*(W201-0.2*$X$38)/0.2/$X$38)))</f>
        <v>2.4</v>
      </c>
      <c r="AA201" s="16">
        <f t="shared" ca="1" si="73"/>
        <v>0.13541666666666669</v>
      </c>
      <c r="AB201" s="16">
        <f t="shared" ref="AB201:AB218" ca="1" si="92">$W$32/1.4/$Y$32*V201</f>
        <v>0.10241596638655462</v>
      </c>
      <c r="AC201">
        <f t="shared" ref="AC201:AC218" ca="1" si="93">$W$32*U201/3.5/$Y$32*V201</f>
        <v>6.9642857142857131E-2</v>
      </c>
      <c r="AD201">
        <f t="shared" ref="AD201:AD218" ca="1" si="94">$W$32/1.4/$Y$32*AA201</f>
        <v>9.6726190476190493E-2</v>
      </c>
      <c r="AE201" s="308">
        <f t="shared" ca="1" si="77"/>
        <v>0.10241596638655462</v>
      </c>
      <c r="AJ201" s="15">
        <v>3.2</v>
      </c>
      <c r="AK201" s="15">
        <f t="shared" si="78"/>
        <v>7.7499999999999999E-2</v>
      </c>
      <c r="AL201" s="15">
        <f t="shared" ref="AL201:AL218" si="95">$AK$35*$AK$36*AK201*$AK$37</f>
        <v>4.1540000000000001E-2</v>
      </c>
      <c r="AM201" s="15">
        <f t="shared" ref="AM201:AM218" si="96">ROUND(AK$33*$AK$35*AM$39*AK201*$AK$37,4)</f>
        <v>8.7300000000000003E-2</v>
      </c>
      <c r="AN201" s="184">
        <f t="shared" ref="AN201:AN218" si="97">IF(AJ201&lt;=AN$38,AL201*AK$38*AK$33*AK$34*(0.4+3*AJ201/AN$37),AL201*AK$38*AK$33*AK$34)</f>
        <v>0.32741828000000001</v>
      </c>
      <c r="AP201" s="15">
        <v>3.2</v>
      </c>
      <c r="AQ201" s="15">
        <f t="shared" si="83"/>
        <v>6.9877124296868431E-2</v>
      </c>
      <c r="AR201" s="15">
        <f t="shared" si="84"/>
        <v>3.7454138623121483E-2</v>
      </c>
      <c r="AS201" s="15">
        <f t="shared" si="85"/>
        <v>7.8700000000000006E-2</v>
      </c>
      <c r="AT201" s="184">
        <f t="shared" ref="AT201:AT218" si="98">IF(AP201&lt;=AT$38,AR201*AQ$38*AQ$33*AQ$34*(0.4+3*AP201/AT$37),AR201*AQ$38*AQ$33*AQ$34)</f>
        <v>0.29521352062744349</v>
      </c>
      <c r="AV201" s="15">
        <v>3.2</v>
      </c>
      <c r="AW201" s="32">
        <f t="shared" si="86"/>
        <v>1.0312499999999998</v>
      </c>
      <c r="AX201" s="32">
        <f t="shared" si="87"/>
        <v>0.23718749999999997</v>
      </c>
    </row>
    <row r="202" spans="18:50">
      <c r="R202">
        <v>3.22</v>
      </c>
      <c r="S202">
        <f t="shared" ca="1" si="88"/>
        <v>0.24223602484472048</v>
      </c>
      <c r="T202">
        <f t="shared" ca="1" si="67"/>
        <v>62.410799356052429</v>
      </c>
      <c r="U202">
        <f t="shared" ca="1" si="89"/>
        <v>1.7</v>
      </c>
      <c r="V202">
        <f t="shared" ca="1" si="69"/>
        <v>0.14249177932042381</v>
      </c>
      <c r="W202">
        <v>3.22</v>
      </c>
      <c r="X202">
        <f t="shared" ca="1" si="90"/>
        <v>0.32298136645962733</v>
      </c>
      <c r="Y202">
        <f t="shared" ca="1" si="71"/>
        <v>83.214399141403248</v>
      </c>
      <c r="Z202" s="16">
        <f t="shared" si="91"/>
        <v>2.4</v>
      </c>
      <c r="AA202" s="16">
        <f t="shared" ca="1" si="73"/>
        <v>0.13457556935817805</v>
      </c>
      <c r="AB202" s="16">
        <f t="shared" ca="1" si="92"/>
        <v>0.10177984237173129</v>
      </c>
      <c r="AC202">
        <f t="shared" ca="1" si="93"/>
        <v>6.9210292812777283E-2</v>
      </c>
      <c r="AD202">
        <f t="shared" ca="1" si="94"/>
        <v>9.6125406684412898E-2</v>
      </c>
      <c r="AE202" s="308">
        <f t="shared" ca="1" si="77"/>
        <v>0.10177984237173129</v>
      </c>
      <c r="AJ202" s="15">
        <v>3.22</v>
      </c>
      <c r="AK202" s="15">
        <f t="shared" si="78"/>
        <v>7.7018633540372666E-2</v>
      </c>
      <c r="AL202" s="15">
        <f t="shared" si="95"/>
        <v>4.1281987577639755E-2</v>
      </c>
      <c r="AM202" s="15">
        <f t="shared" si="96"/>
        <v>8.6699999999999999E-2</v>
      </c>
      <c r="AN202" s="184">
        <f t="shared" si="97"/>
        <v>0.32538462608695651</v>
      </c>
      <c r="AP202" s="15">
        <v>3.22</v>
      </c>
      <c r="AQ202" s="15">
        <f t="shared" si="83"/>
        <v>6.9659776571919102E-2</v>
      </c>
      <c r="AR202" s="15">
        <f t="shared" si="84"/>
        <v>3.7337640242548639E-2</v>
      </c>
      <c r="AS202" s="15">
        <f t="shared" si="85"/>
        <v>7.8399999999999997E-2</v>
      </c>
      <c r="AT202" s="184">
        <f t="shared" si="98"/>
        <v>0.29429528039176833</v>
      </c>
      <c r="AV202" s="15">
        <v>3.22</v>
      </c>
      <c r="AW202" s="32">
        <f t="shared" si="86"/>
        <v>1.0248447204968942</v>
      </c>
      <c r="AX202" s="32">
        <f t="shared" si="87"/>
        <v>0.23571428571428568</v>
      </c>
    </row>
    <row r="203" spans="18:50">
      <c r="R203">
        <v>3.24</v>
      </c>
      <c r="S203">
        <f t="shared" ca="1" si="88"/>
        <v>0.24074074074074073</v>
      </c>
      <c r="T203">
        <f t="shared" ca="1" si="67"/>
        <v>62.798444072549671</v>
      </c>
      <c r="U203">
        <f t="shared" ca="1" si="89"/>
        <v>1.7</v>
      </c>
      <c r="V203">
        <f t="shared" ca="1" si="69"/>
        <v>0.14161220043572983</v>
      </c>
      <c r="W203">
        <v>3.24</v>
      </c>
      <c r="X203">
        <f t="shared" ca="1" si="90"/>
        <v>0.32098765432098764</v>
      </c>
      <c r="Y203">
        <f t="shared" ca="1" si="71"/>
        <v>83.731258763399552</v>
      </c>
      <c r="Z203" s="16">
        <f t="shared" si="91"/>
        <v>2.4</v>
      </c>
      <c r="AA203" s="16">
        <f t="shared" ca="1" si="73"/>
        <v>0.13374485596707819</v>
      </c>
      <c r="AB203" s="16">
        <f t="shared" ca="1" si="92"/>
        <v>0.10115157173980703</v>
      </c>
      <c r="AC203">
        <f t="shared" ca="1" si="93"/>
        <v>6.8783068783068779E-2</v>
      </c>
      <c r="AD203">
        <f t="shared" ca="1" si="94"/>
        <v>9.553203997648442E-2</v>
      </c>
      <c r="AE203" s="308">
        <f t="shared" ca="1" si="77"/>
        <v>0.10115157173980703</v>
      </c>
      <c r="AJ203" s="15">
        <v>3.24</v>
      </c>
      <c r="AK203" s="15">
        <f t="shared" si="78"/>
        <v>7.65432098765432E-2</v>
      </c>
      <c r="AL203" s="15">
        <f t="shared" si="95"/>
        <v>4.102716049382716E-2</v>
      </c>
      <c r="AM203" s="15">
        <f t="shared" si="96"/>
        <v>8.6199999999999999E-2</v>
      </c>
      <c r="AN203" s="184">
        <f t="shared" si="97"/>
        <v>0.32337607901234566</v>
      </c>
      <c r="AP203" s="15">
        <v>3.24</v>
      </c>
      <c r="AQ203" s="15">
        <f t="shared" si="83"/>
        <v>6.9444444444444448E-2</v>
      </c>
      <c r="AR203" s="15">
        <f t="shared" si="84"/>
        <v>3.7222222222222226E-2</v>
      </c>
      <c r="AS203" s="15">
        <f t="shared" si="85"/>
        <v>7.8200000000000006E-2</v>
      </c>
      <c r="AT203" s="184">
        <f t="shared" si="98"/>
        <v>0.29338555555555557</v>
      </c>
      <c r="AV203" s="15">
        <v>3.24</v>
      </c>
      <c r="AW203" s="32">
        <f t="shared" si="86"/>
        <v>1.0185185185185184</v>
      </c>
      <c r="AX203" s="32">
        <f t="shared" si="87"/>
        <v>0.23425925925925925</v>
      </c>
    </row>
    <row r="204" spans="18:50">
      <c r="R204">
        <v>3.26</v>
      </c>
      <c r="S204">
        <f t="shared" ca="1" si="88"/>
        <v>0.24</v>
      </c>
      <c r="T204">
        <f t="shared" ca="1" si="67"/>
        <v>63.380507523782406</v>
      </c>
      <c r="U204">
        <f t="shared" ca="1" si="89"/>
        <v>1.7</v>
      </c>
      <c r="V204">
        <f t="shared" ca="1" si="69"/>
        <v>0.14117647058823529</v>
      </c>
      <c r="W204">
        <v>3.26</v>
      </c>
      <c r="X204">
        <f t="shared" ca="1" si="90"/>
        <v>0.32000000000000006</v>
      </c>
      <c r="Y204">
        <f t="shared" ca="1" si="71"/>
        <v>84.507343365043226</v>
      </c>
      <c r="Z204" s="16">
        <f t="shared" si="91"/>
        <v>2.4</v>
      </c>
      <c r="AA204" s="16">
        <f t="shared" ca="1" si="73"/>
        <v>0.13333333333333336</v>
      </c>
      <c r="AB204" s="16">
        <f t="shared" ca="1" si="92"/>
        <v>0.10084033613445378</v>
      </c>
      <c r="AC204">
        <f t="shared" ca="1" si="93"/>
        <v>6.8571428571428575E-2</v>
      </c>
      <c r="AD204">
        <f t="shared" ca="1" si="94"/>
        <v>9.5238095238095261E-2</v>
      </c>
      <c r="AE204" s="308">
        <f t="shared" ca="1" si="77"/>
        <v>0.10084033613445378</v>
      </c>
      <c r="AJ204" s="15">
        <v>3.26</v>
      </c>
      <c r="AK204" s="15">
        <f t="shared" si="78"/>
        <v>7.6073619631901845E-2</v>
      </c>
      <c r="AL204" s="15">
        <f t="shared" si="95"/>
        <v>4.0775460122699392E-2</v>
      </c>
      <c r="AM204" s="15">
        <f t="shared" si="96"/>
        <v>8.5699999999999998E-2</v>
      </c>
      <c r="AN204" s="184">
        <f t="shared" si="97"/>
        <v>0.32139217668711656</v>
      </c>
      <c r="AP204" s="15">
        <v>3.26</v>
      </c>
      <c r="AQ204" s="15">
        <f t="shared" si="83"/>
        <v>6.9231096952713914E-2</v>
      </c>
      <c r="AR204" s="15">
        <f t="shared" si="84"/>
        <v>3.7107867966654662E-2</v>
      </c>
      <c r="AS204" s="15">
        <f t="shared" si="85"/>
        <v>7.8E-2</v>
      </c>
      <c r="AT204" s="184">
        <f t="shared" si="98"/>
        <v>0.29248421531317204</v>
      </c>
      <c r="AV204" s="15">
        <v>3.26</v>
      </c>
      <c r="AW204" s="32">
        <f t="shared" si="86"/>
        <v>1.0122699386503067</v>
      </c>
      <c r="AX204" s="32">
        <f t="shared" si="87"/>
        <v>0.23282208588957054</v>
      </c>
    </row>
    <row r="205" spans="18:50">
      <c r="R205">
        <v>3.28</v>
      </c>
      <c r="S205">
        <f t="shared" ca="1" si="88"/>
        <v>0.24</v>
      </c>
      <c r="T205">
        <f t="shared" ca="1" si="67"/>
        <v>64.160567968672183</v>
      </c>
      <c r="U205">
        <f t="shared" ca="1" si="89"/>
        <v>1.7</v>
      </c>
      <c r="V205">
        <f t="shared" ca="1" si="69"/>
        <v>0.14117647058823529</v>
      </c>
      <c r="W205">
        <v>3.28</v>
      </c>
      <c r="X205">
        <f t="shared" ca="1" si="90"/>
        <v>0.32000000000000006</v>
      </c>
      <c r="Y205">
        <f t="shared" ca="1" si="71"/>
        <v>85.547423958229601</v>
      </c>
      <c r="Z205" s="16">
        <f t="shared" si="91"/>
        <v>2.4</v>
      </c>
      <c r="AA205" s="16">
        <f t="shared" ca="1" si="73"/>
        <v>0.13333333333333336</v>
      </c>
      <c r="AB205" s="16">
        <f t="shared" ca="1" si="92"/>
        <v>0.10084033613445378</v>
      </c>
      <c r="AC205">
        <f t="shared" ca="1" si="93"/>
        <v>6.8571428571428575E-2</v>
      </c>
      <c r="AD205">
        <f t="shared" ca="1" si="94"/>
        <v>9.5238095238095261E-2</v>
      </c>
      <c r="AE205" s="308">
        <f t="shared" ca="1" si="77"/>
        <v>0.10084033613445378</v>
      </c>
      <c r="AJ205" s="15">
        <v>3.28</v>
      </c>
      <c r="AK205" s="15">
        <f t="shared" si="78"/>
        <v>7.5609756097560973E-2</v>
      </c>
      <c r="AL205" s="15">
        <f t="shared" si="95"/>
        <v>4.0526829268292687E-2</v>
      </c>
      <c r="AM205" s="15">
        <f t="shared" si="96"/>
        <v>8.5099999999999995E-2</v>
      </c>
      <c r="AN205" s="184">
        <f t="shared" si="97"/>
        <v>0.31943246829268296</v>
      </c>
      <c r="AP205" s="15">
        <v>3.28</v>
      </c>
      <c r="AQ205" s="15">
        <f t="shared" si="83"/>
        <v>6.9019703796779089E-2</v>
      </c>
      <c r="AR205" s="15">
        <f t="shared" si="84"/>
        <v>3.6994561235073595E-2</v>
      </c>
      <c r="AS205" s="15">
        <f t="shared" si="85"/>
        <v>7.7700000000000005E-2</v>
      </c>
      <c r="AT205" s="184">
        <f t="shared" si="98"/>
        <v>0.29159113165485007</v>
      </c>
      <c r="AV205" s="15">
        <v>3.28</v>
      </c>
      <c r="AW205" s="32">
        <f t="shared" si="86"/>
        <v>1.0060975609756098</v>
      </c>
      <c r="AX205" s="32">
        <f t="shared" si="87"/>
        <v>0.23140243902439026</v>
      </c>
    </row>
    <row r="206" spans="18:50">
      <c r="R206">
        <v>3.3</v>
      </c>
      <c r="S206">
        <f t="shared" ca="1" si="88"/>
        <v>0.24</v>
      </c>
      <c r="T206">
        <f t="shared" ca="1" si="67"/>
        <v>64.945399425457325</v>
      </c>
      <c r="U206">
        <f t="shared" ca="1" si="89"/>
        <v>1.7</v>
      </c>
      <c r="V206">
        <f t="shared" ca="1" si="69"/>
        <v>0.14117647058823529</v>
      </c>
      <c r="W206">
        <v>3.3</v>
      </c>
      <c r="X206">
        <f t="shared" ca="1" si="90"/>
        <v>0.32000000000000006</v>
      </c>
      <c r="Y206">
        <f t="shared" ca="1" si="71"/>
        <v>86.593865900609799</v>
      </c>
      <c r="Z206" s="16">
        <f t="shared" si="91"/>
        <v>2.4</v>
      </c>
      <c r="AA206" s="16">
        <f t="shared" ca="1" si="73"/>
        <v>0.13333333333333336</v>
      </c>
      <c r="AB206" s="16">
        <f t="shared" ca="1" si="92"/>
        <v>0.10084033613445378</v>
      </c>
      <c r="AC206">
        <f t="shared" ca="1" si="93"/>
        <v>6.8571428571428575E-2</v>
      </c>
      <c r="AD206">
        <f t="shared" ca="1" si="94"/>
        <v>9.5238095238095261E-2</v>
      </c>
      <c r="AE206" s="308">
        <f t="shared" ca="1" si="77"/>
        <v>0.10084033613445378</v>
      </c>
      <c r="AJ206" s="15">
        <v>3.3</v>
      </c>
      <c r="AK206" s="15">
        <f t="shared" si="78"/>
        <v>7.515151515151515E-2</v>
      </c>
      <c r="AL206" s="15">
        <f t="shared" si="95"/>
        <v>4.028121212121212E-2</v>
      </c>
      <c r="AM206" s="15">
        <f t="shared" si="96"/>
        <v>8.4599999999999995E-2</v>
      </c>
      <c r="AN206" s="184">
        <f t="shared" si="97"/>
        <v>0.31749651393939388</v>
      </c>
      <c r="AP206" s="15">
        <v>3.3</v>
      </c>
      <c r="AQ206" s="15">
        <f t="shared" si="83"/>
        <v>6.8810235320397539E-2</v>
      </c>
      <c r="AR206" s="15">
        <f t="shared" si="84"/>
        <v>3.6882286131733083E-2</v>
      </c>
      <c r="AS206" s="15">
        <f t="shared" si="85"/>
        <v>7.7499999999999999E-2</v>
      </c>
      <c r="AT206" s="184">
        <f t="shared" si="98"/>
        <v>0.29070617929032011</v>
      </c>
      <c r="AV206" s="15">
        <v>3.3</v>
      </c>
      <c r="AW206" s="32">
        <f t="shared" si="86"/>
        <v>1</v>
      </c>
      <c r="AX206" s="32">
        <f t="shared" si="87"/>
        <v>0.23</v>
      </c>
    </row>
    <row r="207" spans="18:50">
      <c r="R207">
        <v>3.32</v>
      </c>
      <c r="S207">
        <f t="shared" ca="1" si="88"/>
        <v>0.24</v>
      </c>
      <c r="T207">
        <f t="shared" ca="1" si="67"/>
        <v>65.735001894137824</v>
      </c>
      <c r="U207">
        <f t="shared" ca="1" si="89"/>
        <v>1.7</v>
      </c>
      <c r="V207">
        <f t="shared" ca="1" si="69"/>
        <v>0.14117647058823529</v>
      </c>
      <c r="W207">
        <v>3.32</v>
      </c>
      <c r="X207">
        <f t="shared" ca="1" si="90"/>
        <v>0.32000000000000006</v>
      </c>
      <c r="Y207">
        <f t="shared" ca="1" si="71"/>
        <v>87.646669192183779</v>
      </c>
      <c r="Z207" s="16">
        <f t="shared" si="91"/>
        <v>2.4</v>
      </c>
      <c r="AA207" s="16">
        <f t="shared" ca="1" si="73"/>
        <v>0.13333333333333336</v>
      </c>
      <c r="AB207" s="16">
        <f t="shared" ca="1" si="92"/>
        <v>0.10084033613445378</v>
      </c>
      <c r="AC207">
        <f t="shared" ca="1" si="93"/>
        <v>6.8571428571428575E-2</v>
      </c>
      <c r="AD207">
        <f t="shared" ca="1" si="94"/>
        <v>9.5238095238095261E-2</v>
      </c>
      <c r="AE207" s="308">
        <f t="shared" ca="1" si="77"/>
        <v>0.10084033613445378</v>
      </c>
      <c r="AJ207" s="15">
        <v>3.32</v>
      </c>
      <c r="AK207" s="15">
        <f t="shared" si="78"/>
        <v>7.4698795180722893E-2</v>
      </c>
      <c r="AL207" s="15">
        <f t="shared" si="95"/>
        <v>4.0038554216867472E-2</v>
      </c>
      <c r="AM207" s="15">
        <f t="shared" si="96"/>
        <v>8.4099999999999994E-2</v>
      </c>
      <c r="AN207" s="184">
        <f t="shared" si="97"/>
        <v>0.31558388433734941</v>
      </c>
      <c r="AP207" s="15">
        <v>3.32</v>
      </c>
      <c r="AQ207" s="15">
        <f t="shared" si="83"/>
        <v>6.8602662493556468E-2</v>
      </c>
      <c r="AR207" s="15">
        <f t="shared" si="84"/>
        <v>3.6771027096546269E-2</v>
      </c>
      <c r="AS207" s="15">
        <f t="shared" si="85"/>
        <v>7.7200000000000005E-2</v>
      </c>
      <c r="AT207" s="184">
        <f t="shared" si="98"/>
        <v>0.28982923557497769</v>
      </c>
      <c r="AV207" s="15">
        <v>3.32</v>
      </c>
      <c r="AW207" s="32">
        <f t="shared" si="86"/>
        <v>1</v>
      </c>
      <c r="AX207" s="32">
        <f t="shared" si="87"/>
        <v>0.23</v>
      </c>
    </row>
    <row r="208" spans="18:50">
      <c r="R208">
        <v>3.34</v>
      </c>
      <c r="S208">
        <f t="shared" ca="1" si="88"/>
        <v>0.24</v>
      </c>
      <c r="T208">
        <f t="shared" ca="1" si="67"/>
        <v>66.529375374713666</v>
      </c>
      <c r="U208">
        <f t="shared" ca="1" si="89"/>
        <v>1.7</v>
      </c>
      <c r="V208">
        <f t="shared" ca="1" si="69"/>
        <v>0.14117647058823529</v>
      </c>
      <c r="W208">
        <v>3.34</v>
      </c>
      <c r="X208">
        <f t="shared" ca="1" si="90"/>
        <v>0.32000000000000006</v>
      </c>
      <c r="Y208">
        <f t="shared" ca="1" si="71"/>
        <v>88.705833832951583</v>
      </c>
      <c r="Z208" s="16">
        <f t="shared" si="91"/>
        <v>2.4</v>
      </c>
      <c r="AA208" s="16">
        <f t="shared" ca="1" si="73"/>
        <v>0.13333333333333336</v>
      </c>
      <c r="AB208" s="16">
        <f t="shared" ca="1" si="92"/>
        <v>0.10084033613445378</v>
      </c>
      <c r="AC208">
        <f t="shared" ca="1" si="93"/>
        <v>6.8571428571428575E-2</v>
      </c>
      <c r="AD208">
        <f t="shared" ca="1" si="94"/>
        <v>9.5238095238095261E-2</v>
      </c>
      <c r="AE208" s="308">
        <f t="shared" ca="1" si="77"/>
        <v>0.10084033613445378</v>
      </c>
      <c r="AJ208" s="15">
        <v>3.34</v>
      </c>
      <c r="AK208" s="15">
        <f t="shared" si="78"/>
        <v>7.4251497005988029E-2</v>
      </c>
      <c r="AL208" s="15">
        <f t="shared" si="95"/>
        <v>3.9798802395209588E-2</v>
      </c>
      <c r="AM208" s="15">
        <f t="shared" si="96"/>
        <v>8.3599999999999994E-2</v>
      </c>
      <c r="AN208" s="184">
        <f t="shared" si="97"/>
        <v>0.31369416047904197</v>
      </c>
      <c r="AP208" s="15">
        <v>3.34</v>
      </c>
      <c r="AQ208" s="15">
        <f t="shared" si="83"/>
        <v>6.8396956895572847E-2</v>
      </c>
      <c r="AR208" s="15">
        <f t="shared" si="84"/>
        <v>3.6660768896027048E-2</v>
      </c>
      <c r="AS208" s="15">
        <f t="shared" si="85"/>
        <v>7.6999999999999999E-2</v>
      </c>
      <c r="AT208" s="184">
        <f t="shared" si="98"/>
        <v>0.28896018043848515</v>
      </c>
      <c r="AV208" s="15">
        <v>3.34</v>
      </c>
      <c r="AW208" s="32">
        <f t="shared" si="86"/>
        <v>1</v>
      </c>
      <c r="AX208" s="32">
        <f t="shared" si="87"/>
        <v>0.23</v>
      </c>
    </row>
    <row r="209" spans="18:50">
      <c r="R209">
        <v>3.36</v>
      </c>
      <c r="S209">
        <f t="shared" ca="1" si="88"/>
        <v>0.24</v>
      </c>
      <c r="T209">
        <f t="shared" ca="1" si="67"/>
        <v>67.328519867184852</v>
      </c>
      <c r="U209">
        <f t="shared" ca="1" si="89"/>
        <v>1.7</v>
      </c>
      <c r="V209">
        <f t="shared" ca="1" si="69"/>
        <v>0.14117647058823529</v>
      </c>
      <c r="W209">
        <v>3.36</v>
      </c>
      <c r="X209">
        <f t="shared" ca="1" si="90"/>
        <v>0.32000000000000006</v>
      </c>
      <c r="Y209">
        <f t="shared" ca="1" si="71"/>
        <v>89.771359822913155</v>
      </c>
      <c r="Z209" s="16">
        <f t="shared" si="91"/>
        <v>2.4</v>
      </c>
      <c r="AA209" s="16">
        <f t="shared" ca="1" si="73"/>
        <v>0.13333333333333336</v>
      </c>
      <c r="AB209" s="16">
        <f t="shared" ca="1" si="92"/>
        <v>0.10084033613445378</v>
      </c>
      <c r="AC209">
        <f t="shared" ca="1" si="93"/>
        <v>6.8571428571428575E-2</v>
      </c>
      <c r="AD209">
        <f t="shared" ca="1" si="94"/>
        <v>9.5238095238095261E-2</v>
      </c>
      <c r="AE209" s="308">
        <f t="shared" ca="1" si="77"/>
        <v>0.10084033613445378</v>
      </c>
      <c r="AJ209" s="15">
        <v>3.36</v>
      </c>
      <c r="AK209" s="15">
        <f t="shared" si="78"/>
        <v>7.3809523809523811E-2</v>
      </c>
      <c r="AL209" s="15">
        <f t="shared" si="95"/>
        <v>3.9561904761904763E-2</v>
      </c>
      <c r="AM209" s="15">
        <f t="shared" si="96"/>
        <v>8.3099999999999993E-2</v>
      </c>
      <c r="AN209" s="184">
        <f t="shared" si="97"/>
        <v>0.31182693333333333</v>
      </c>
      <c r="AP209" s="15">
        <v>3.36</v>
      </c>
      <c r="AQ209" s="15">
        <f t="shared" si="83"/>
        <v>6.8193090698747627E-2</v>
      </c>
      <c r="AR209" s="15">
        <f t="shared" si="84"/>
        <v>3.6551496614528729E-2</v>
      </c>
      <c r="AS209" s="15">
        <f t="shared" si="85"/>
        <v>7.6799999999999993E-2</v>
      </c>
      <c r="AT209" s="184">
        <f t="shared" si="98"/>
        <v>0.28809889631571545</v>
      </c>
      <c r="AV209" s="15">
        <v>3.36</v>
      </c>
      <c r="AW209" s="32">
        <f t="shared" si="86"/>
        <v>1</v>
      </c>
      <c r="AX209" s="32">
        <f t="shared" si="87"/>
        <v>0.23</v>
      </c>
    </row>
    <row r="210" spans="18:50">
      <c r="R210">
        <v>3.38</v>
      </c>
      <c r="S210">
        <f t="shared" ca="1" si="88"/>
        <v>0.24</v>
      </c>
      <c r="T210">
        <f t="shared" ca="1" si="67"/>
        <v>68.132435371551395</v>
      </c>
      <c r="U210">
        <f t="shared" ca="1" si="89"/>
        <v>1.7</v>
      </c>
      <c r="V210">
        <f t="shared" ca="1" si="69"/>
        <v>0.14117647058823529</v>
      </c>
      <c r="W210">
        <v>3.38</v>
      </c>
      <c r="X210">
        <f t="shared" ca="1" si="90"/>
        <v>0.32000000000000006</v>
      </c>
      <c r="Y210">
        <f t="shared" ca="1" si="71"/>
        <v>90.84324716206855</v>
      </c>
      <c r="Z210" s="16">
        <f t="shared" si="91"/>
        <v>2.4</v>
      </c>
      <c r="AA210" s="16">
        <f t="shared" ca="1" si="73"/>
        <v>0.13333333333333336</v>
      </c>
      <c r="AB210" s="16">
        <f t="shared" ca="1" si="92"/>
        <v>0.10084033613445378</v>
      </c>
      <c r="AC210">
        <f t="shared" ca="1" si="93"/>
        <v>6.8571428571428575E-2</v>
      </c>
      <c r="AD210">
        <f t="shared" ca="1" si="94"/>
        <v>9.5238095238095261E-2</v>
      </c>
      <c r="AE210" s="308">
        <f t="shared" ca="1" si="77"/>
        <v>0.10084033613445378</v>
      </c>
      <c r="AJ210" s="15">
        <v>3.38</v>
      </c>
      <c r="AK210" s="15">
        <f t="shared" si="78"/>
        <v>7.3372781065088766E-2</v>
      </c>
      <c r="AL210" s="15">
        <f t="shared" si="95"/>
        <v>3.9327810650887578E-2</v>
      </c>
      <c r="AM210" s="15">
        <f t="shared" si="96"/>
        <v>8.2600000000000007E-2</v>
      </c>
      <c r="AN210" s="184">
        <f t="shared" si="97"/>
        <v>0.30998180355029586</v>
      </c>
      <c r="AP210" s="15">
        <v>3.38</v>
      </c>
      <c r="AQ210" s="15">
        <f t="shared" si="83"/>
        <v>6.7991036652552655E-2</v>
      </c>
      <c r="AR210" s="15">
        <f t="shared" si="84"/>
        <v>3.6443195645768228E-2</v>
      </c>
      <c r="AS210" s="15">
        <f t="shared" si="85"/>
        <v>7.6600000000000001E-2</v>
      </c>
      <c r="AT210" s="184">
        <f t="shared" si="98"/>
        <v>0.28724526807994516</v>
      </c>
      <c r="AV210" s="15">
        <v>3.38</v>
      </c>
      <c r="AW210" s="32">
        <f t="shared" si="86"/>
        <v>1</v>
      </c>
      <c r="AX210" s="32">
        <f t="shared" si="87"/>
        <v>0.23</v>
      </c>
    </row>
    <row r="211" spans="18:50">
      <c r="R211">
        <v>3.4</v>
      </c>
      <c r="S211">
        <f t="shared" ca="1" si="88"/>
        <v>0.24</v>
      </c>
      <c r="T211">
        <f t="shared" ca="1" si="67"/>
        <v>68.941121887813296</v>
      </c>
      <c r="U211">
        <f t="shared" ca="1" si="89"/>
        <v>1.7</v>
      </c>
      <c r="V211">
        <f t="shared" ca="1" si="69"/>
        <v>0.14117647058823529</v>
      </c>
      <c r="W211">
        <v>3.4</v>
      </c>
      <c r="X211">
        <f t="shared" ca="1" si="90"/>
        <v>0.32000000000000006</v>
      </c>
      <c r="Y211">
        <f t="shared" ca="1" si="71"/>
        <v>91.921495850417742</v>
      </c>
      <c r="Z211" s="16">
        <f t="shared" si="91"/>
        <v>2.4</v>
      </c>
      <c r="AA211" s="16">
        <f t="shared" ca="1" si="73"/>
        <v>0.13333333333333336</v>
      </c>
      <c r="AB211" s="16">
        <f t="shared" ca="1" si="92"/>
        <v>0.10084033613445378</v>
      </c>
      <c r="AC211">
        <f t="shared" ca="1" si="93"/>
        <v>6.8571428571428575E-2</v>
      </c>
      <c r="AD211">
        <f t="shared" ca="1" si="94"/>
        <v>9.5238095238095261E-2</v>
      </c>
      <c r="AE211" s="308">
        <f t="shared" ca="1" si="77"/>
        <v>0.10084033613445378</v>
      </c>
      <c r="AJ211" s="15">
        <v>3.4</v>
      </c>
      <c r="AK211" s="15">
        <f t="shared" si="78"/>
        <v>7.2941176470588232E-2</v>
      </c>
      <c r="AL211" s="15">
        <f t="shared" si="95"/>
        <v>3.9096470588235295E-2</v>
      </c>
      <c r="AM211" s="15">
        <f t="shared" si="96"/>
        <v>8.2100000000000006E-2</v>
      </c>
      <c r="AN211" s="184">
        <f t="shared" si="97"/>
        <v>0.30815838117647054</v>
      </c>
      <c r="AP211" s="15">
        <v>3.4</v>
      </c>
      <c r="AQ211" s="15">
        <f t="shared" si="83"/>
        <v>6.7790768068330051E-2</v>
      </c>
      <c r="AR211" s="15">
        <f t="shared" si="84"/>
        <v>3.6335851684624908E-2</v>
      </c>
      <c r="AS211" s="15">
        <f t="shared" si="85"/>
        <v>7.6300000000000007E-2</v>
      </c>
      <c r="AT211" s="184">
        <f t="shared" si="98"/>
        <v>0.28639918297821348</v>
      </c>
      <c r="AV211" s="15">
        <v>3.4</v>
      </c>
      <c r="AW211" s="32">
        <f t="shared" si="86"/>
        <v>1</v>
      </c>
      <c r="AX211" s="32">
        <f t="shared" si="87"/>
        <v>0.23</v>
      </c>
    </row>
    <row r="212" spans="18:50">
      <c r="R212">
        <v>3.42</v>
      </c>
      <c r="S212">
        <f t="shared" ca="1" si="88"/>
        <v>0.24</v>
      </c>
      <c r="T212">
        <f t="shared" ca="1" si="67"/>
        <v>69.754579415970539</v>
      </c>
      <c r="U212">
        <f t="shared" ca="1" si="89"/>
        <v>1.7</v>
      </c>
      <c r="V212">
        <f t="shared" ca="1" si="69"/>
        <v>0.14117647058823529</v>
      </c>
      <c r="W212">
        <v>3.42</v>
      </c>
      <c r="X212">
        <f t="shared" ca="1" si="90"/>
        <v>0.32000000000000006</v>
      </c>
      <c r="Y212">
        <f t="shared" ca="1" si="71"/>
        <v>93.006105887960743</v>
      </c>
      <c r="Z212" s="16">
        <f t="shared" si="91"/>
        <v>2.4</v>
      </c>
      <c r="AA212" s="16">
        <f t="shared" ca="1" si="73"/>
        <v>0.13333333333333336</v>
      </c>
      <c r="AB212" s="16">
        <f t="shared" ca="1" si="92"/>
        <v>0.10084033613445378</v>
      </c>
      <c r="AC212">
        <f t="shared" ca="1" si="93"/>
        <v>6.8571428571428575E-2</v>
      </c>
      <c r="AD212">
        <f t="shared" ca="1" si="94"/>
        <v>9.5238095238095261E-2</v>
      </c>
      <c r="AE212" s="308">
        <f t="shared" ca="1" si="77"/>
        <v>0.10084033613445378</v>
      </c>
      <c r="AJ212" s="15">
        <v>3.42</v>
      </c>
      <c r="AK212" s="15">
        <f t="shared" si="78"/>
        <v>7.2514619883040934E-2</v>
      </c>
      <c r="AL212" s="15">
        <f t="shared" si="95"/>
        <v>3.886783625730994E-2</v>
      </c>
      <c r="AM212" s="15">
        <f t="shared" si="96"/>
        <v>8.1699999999999995E-2</v>
      </c>
      <c r="AN212" s="184">
        <f t="shared" si="97"/>
        <v>0.30635628538011694</v>
      </c>
      <c r="AP212" s="15">
        <v>3.42</v>
      </c>
      <c r="AQ212" s="15">
        <f t="shared" si="83"/>
        <v>6.7592258804484384E-2</v>
      </c>
      <c r="AR212" s="15">
        <f t="shared" si="84"/>
        <v>3.6229450719203631E-2</v>
      </c>
      <c r="AS212" s="15">
        <f t="shared" si="85"/>
        <v>7.6100000000000001E-2</v>
      </c>
      <c r="AT212" s="184">
        <f t="shared" si="98"/>
        <v>0.28556053056876296</v>
      </c>
      <c r="AV212" s="15">
        <v>3.42</v>
      </c>
      <c r="AW212" s="32">
        <f t="shared" si="86"/>
        <v>1</v>
      </c>
      <c r="AX212" s="32">
        <f t="shared" si="87"/>
        <v>0.23</v>
      </c>
    </row>
    <row r="213" spans="18:50">
      <c r="R213">
        <v>3.44</v>
      </c>
      <c r="S213">
        <f t="shared" ca="1" si="88"/>
        <v>0.24</v>
      </c>
      <c r="T213">
        <f t="shared" ca="1" si="67"/>
        <v>70.572807956023127</v>
      </c>
      <c r="U213">
        <f t="shared" ca="1" si="89"/>
        <v>1.7</v>
      </c>
      <c r="V213">
        <f t="shared" ca="1" si="69"/>
        <v>0.14117647058823529</v>
      </c>
      <c r="W213">
        <v>3.44</v>
      </c>
      <c r="X213">
        <f t="shared" ca="1" si="90"/>
        <v>0.32000000000000006</v>
      </c>
      <c r="Y213">
        <f t="shared" ca="1" si="71"/>
        <v>94.09707727469754</v>
      </c>
      <c r="Z213" s="16">
        <f t="shared" si="91"/>
        <v>2.4</v>
      </c>
      <c r="AA213" s="16">
        <f t="shared" ca="1" si="73"/>
        <v>0.13333333333333336</v>
      </c>
      <c r="AB213" s="16">
        <f t="shared" ca="1" si="92"/>
        <v>0.10084033613445378</v>
      </c>
      <c r="AC213">
        <f t="shared" ca="1" si="93"/>
        <v>6.8571428571428575E-2</v>
      </c>
      <c r="AD213">
        <f t="shared" ca="1" si="94"/>
        <v>9.5238095238095261E-2</v>
      </c>
      <c r="AE213" s="308">
        <f t="shared" ca="1" si="77"/>
        <v>0.10084033613445378</v>
      </c>
      <c r="AJ213" s="15">
        <v>3.44</v>
      </c>
      <c r="AK213" s="15">
        <f t="shared" si="78"/>
        <v>7.2093023255813959E-2</v>
      </c>
      <c r="AL213" s="15">
        <f t="shared" si="95"/>
        <v>3.8641860465116286E-2</v>
      </c>
      <c r="AM213" s="15">
        <f t="shared" si="96"/>
        <v>8.1199999999999994E-2</v>
      </c>
      <c r="AN213" s="184">
        <f t="shared" si="97"/>
        <v>0.30457514418604653</v>
      </c>
      <c r="AP213" s="15">
        <v>3.44</v>
      </c>
      <c r="AQ213" s="15">
        <f t="shared" si="83"/>
        <v>6.7395483252149016E-2</v>
      </c>
      <c r="AR213" s="15">
        <f t="shared" si="84"/>
        <v>3.6123979023151877E-2</v>
      </c>
      <c r="AS213" s="15">
        <f t="shared" si="85"/>
        <v>7.5899999999999995E-2</v>
      </c>
      <c r="AT213" s="184">
        <f t="shared" si="98"/>
        <v>0.28472920266048307</v>
      </c>
      <c r="AV213" s="15">
        <v>3.44</v>
      </c>
      <c r="AW213" s="32">
        <f t="shared" si="86"/>
        <v>1</v>
      </c>
      <c r="AX213" s="32">
        <f t="shared" si="87"/>
        <v>0.23</v>
      </c>
    </row>
    <row r="214" spans="18:50">
      <c r="R214">
        <v>3.46</v>
      </c>
      <c r="S214">
        <f t="shared" ca="1" si="88"/>
        <v>0.24</v>
      </c>
      <c r="T214">
        <f t="shared" ca="1" si="67"/>
        <v>71.395807507971071</v>
      </c>
      <c r="U214">
        <f t="shared" ca="1" si="89"/>
        <v>1.7</v>
      </c>
      <c r="V214">
        <f t="shared" ca="1" si="69"/>
        <v>0.14117647058823529</v>
      </c>
      <c r="W214">
        <v>3.46</v>
      </c>
      <c r="X214">
        <f t="shared" ca="1" si="90"/>
        <v>0.32000000000000006</v>
      </c>
      <c r="Y214">
        <f t="shared" ca="1" si="71"/>
        <v>95.194410010628118</v>
      </c>
      <c r="Z214" s="16">
        <f t="shared" si="91"/>
        <v>2.4</v>
      </c>
      <c r="AA214" s="16">
        <f t="shared" ca="1" si="73"/>
        <v>0.13333333333333336</v>
      </c>
      <c r="AB214" s="16">
        <f t="shared" ca="1" si="92"/>
        <v>0.10084033613445378</v>
      </c>
      <c r="AC214">
        <f t="shared" ca="1" si="93"/>
        <v>6.8571428571428575E-2</v>
      </c>
      <c r="AD214">
        <f t="shared" ca="1" si="94"/>
        <v>9.5238095238095261E-2</v>
      </c>
      <c r="AE214" s="308">
        <f t="shared" ca="1" si="77"/>
        <v>0.10084033613445378</v>
      </c>
      <c r="AJ214" s="15">
        <v>3.46</v>
      </c>
      <c r="AK214" s="15">
        <f t="shared" si="78"/>
        <v>7.1676300578034688E-2</v>
      </c>
      <c r="AL214" s="15">
        <f t="shared" si="95"/>
        <v>3.8418497109826595E-2</v>
      </c>
      <c r="AM214" s="15">
        <f t="shared" si="96"/>
        <v>8.0699999999999994E-2</v>
      </c>
      <c r="AN214" s="184">
        <f t="shared" si="97"/>
        <v>0.30281459421965323</v>
      </c>
      <c r="AP214" s="15">
        <v>3.46</v>
      </c>
      <c r="AQ214" s="15">
        <f t="shared" si="83"/>
        <v>6.7200416321308798E-2</v>
      </c>
      <c r="AR214" s="15">
        <f t="shared" si="84"/>
        <v>3.601942314822152E-2</v>
      </c>
      <c r="AS214" s="15">
        <f t="shared" si="85"/>
        <v>7.5700000000000003E-2</v>
      </c>
      <c r="AT214" s="184">
        <f t="shared" si="98"/>
        <v>0.28390509325428204</v>
      </c>
      <c r="AV214" s="15">
        <v>3.46</v>
      </c>
      <c r="AW214" s="32">
        <f t="shared" si="86"/>
        <v>1</v>
      </c>
      <c r="AX214" s="32">
        <f t="shared" si="87"/>
        <v>0.23</v>
      </c>
    </row>
    <row r="215" spans="18:50">
      <c r="R215">
        <v>3.48</v>
      </c>
      <c r="S215">
        <f t="shared" ca="1" si="88"/>
        <v>0.24</v>
      </c>
      <c r="T215">
        <f t="shared" ca="1" si="67"/>
        <v>72.223578071814387</v>
      </c>
      <c r="U215">
        <f t="shared" ca="1" si="89"/>
        <v>1.7</v>
      </c>
      <c r="V215">
        <f t="shared" ca="1" si="69"/>
        <v>0.14117647058823529</v>
      </c>
      <c r="W215">
        <v>3.48</v>
      </c>
      <c r="X215">
        <f t="shared" ca="1" si="90"/>
        <v>0.32000000000000006</v>
      </c>
      <c r="Y215">
        <f t="shared" ca="1" si="71"/>
        <v>96.298104095752535</v>
      </c>
      <c r="Z215" s="16">
        <f t="shared" si="91"/>
        <v>2.4</v>
      </c>
      <c r="AA215" s="16">
        <f t="shared" ca="1" si="73"/>
        <v>0.13333333333333336</v>
      </c>
      <c r="AB215" s="16">
        <f t="shared" ca="1" si="92"/>
        <v>0.10084033613445378</v>
      </c>
      <c r="AC215">
        <f t="shared" ca="1" si="93"/>
        <v>6.8571428571428575E-2</v>
      </c>
      <c r="AD215">
        <f t="shared" ca="1" si="94"/>
        <v>9.5238095238095261E-2</v>
      </c>
      <c r="AE215" s="308">
        <f t="shared" ca="1" si="77"/>
        <v>0.10084033613445378</v>
      </c>
      <c r="AJ215" s="15">
        <v>3.48</v>
      </c>
      <c r="AK215" s="15">
        <f t="shared" si="78"/>
        <v>7.1264367816091953E-2</v>
      </c>
      <c r="AL215" s="15">
        <f t="shared" si="95"/>
        <v>3.8197701149425292E-2</v>
      </c>
      <c r="AM215" s="15">
        <f t="shared" si="96"/>
        <v>8.0199999999999994E-2</v>
      </c>
      <c r="AN215" s="184">
        <f t="shared" si="97"/>
        <v>0.30107428045977014</v>
      </c>
      <c r="AP215" s="15">
        <v>3.48</v>
      </c>
      <c r="AQ215" s="15">
        <f t="shared" si="83"/>
        <v>6.7007033427362181E-2</v>
      </c>
      <c r="AR215" s="15">
        <f t="shared" si="84"/>
        <v>3.5915769917066132E-2</v>
      </c>
      <c r="AS215" s="15">
        <f t="shared" si="85"/>
        <v>7.5399999999999995E-2</v>
      </c>
      <c r="AT215" s="184">
        <f t="shared" si="98"/>
        <v>0.28308809848631522</v>
      </c>
      <c r="AV215" s="15">
        <v>3.48</v>
      </c>
      <c r="AW215" s="32">
        <f t="shared" si="86"/>
        <v>1</v>
      </c>
      <c r="AX215" s="32">
        <f t="shared" si="87"/>
        <v>0.23</v>
      </c>
    </row>
    <row r="216" spans="18:50">
      <c r="R216">
        <v>3.5</v>
      </c>
      <c r="S216">
        <f t="shared" ca="1" si="88"/>
        <v>0.24</v>
      </c>
      <c r="T216">
        <f t="shared" ca="1" si="67"/>
        <v>73.056119647553018</v>
      </c>
      <c r="U216">
        <f t="shared" ca="1" si="89"/>
        <v>1.7</v>
      </c>
      <c r="V216">
        <f t="shared" ca="1" si="69"/>
        <v>0.14117647058823529</v>
      </c>
      <c r="W216">
        <v>3.5</v>
      </c>
      <c r="X216">
        <f t="shared" ca="1" si="90"/>
        <v>0.32000000000000006</v>
      </c>
      <c r="Y216">
        <f t="shared" ca="1" si="71"/>
        <v>97.408159530070719</v>
      </c>
      <c r="Z216" s="16">
        <f t="shared" si="91"/>
        <v>2.4</v>
      </c>
      <c r="AA216" s="16">
        <f t="shared" ca="1" si="73"/>
        <v>0.13333333333333336</v>
      </c>
      <c r="AB216" s="16">
        <f t="shared" ca="1" si="92"/>
        <v>0.10084033613445378</v>
      </c>
      <c r="AC216">
        <f t="shared" ca="1" si="93"/>
        <v>6.8571428571428575E-2</v>
      </c>
      <c r="AD216">
        <f t="shared" ca="1" si="94"/>
        <v>9.5238095238095261E-2</v>
      </c>
      <c r="AE216" s="308">
        <f t="shared" ca="1" si="77"/>
        <v>0.10084033613445378</v>
      </c>
      <c r="AJ216" s="15">
        <v>3.5</v>
      </c>
      <c r="AK216" s="15">
        <f t="shared" si="78"/>
        <v>7.0857142857142855E-2</v>
      </c>
      <c r="AL216" s="15">
        <f t="shared" si="95"/>
        <v>3.7979428571428574E-2</v>
      </c>
      <c r="AM216" s="15">
        <f t="shared" si="96"/>
        <v>7.9799999999999996E-2</v>
      </c>
      <c r="AN216" s="184">
        <f t="shared" si="97"/>
        <v>0.29935385599999997</v>
      </c>
      <c r="AP216" s="15">
        <v>3.5</v>
      </c>
      <c r="AQ216" s="15">
        <f t="shared" si="83"/>
        <v>6.6815310478106099E-2</v>
      </c>
      <c r="AR216" s="15">
        <f t="shared" si="84"/>
        <v>3.5813006416264871E-2</v>
      </c>
      <c r="AS216" s="15">
        <f t="shared" si="85"/>
        <v>7.5200000000000003E-2</v>
      </c>
      <c r="AT216" s="184">
        <f t="shared" si="98"/>
        <v>0.28227811657299973</v>
      </c>
      <c r="AV216" s="15">
        <v>3.5</v>
      </c>
      <c r="AW216" s="32">
        <f t="shared" si="86"/>
        <v>1</v>
      </c>
      <c r="AX216" s="32">
        <f t="shared" si="87"/>
        <v>0.23</v>
      </c>
    </row>
    <row r="217" spans="18:50">
      <c r="R217">
        <v>3.52</v>
      </c>
      <c r="S217">
        <f t="shared" ca="1" si="88"/>
        <v>0.24</v>
      </c>
      <c r="T217">
        <f t="shared" ca="1" si="67"/>
        <v>73.893432235187021</v>
      </c>
      <c r="U217">
        <f t="shared" ca="1" si="89"/>
        <v>1.7</v>
      </c>
      <c r="V217">
        <f t="shared" ca="1" si="69"/>
        <v>0.14117647058823529</v>
      </c>
      <c r="W217">
        <v>3.52</v>
      </c>
      <c r="X217">
        <f t="shared" ca="1" si="90"/>
        <v>0.32000000000000006</v>
      </c>
      <c r="Y217">
        <f t="shared" ca="1" si="71"/>
        <v>98.524576313582713</v>
      </c>
      <c r="Z217" s="16">
        <f t="shared" si="91"/>
        <v>2.4</v>
      </c>
      <c r="AA217" s="16">
        <f t="shared" ca="1" si="73"/>
        <v>0.13333333333333336</v>
      </c>
      <c r="AB217" s="16">
        <f t="shared" ca="1" si="92"/>
        <v>0.10084033613445378</v>
      </c>
      <c r="AC217">
        <f t="shared" ca="1" si="93"/>
        <v>6.8571428571428575E-2</v>
      </c>
      <c r="AD217">
        <f t="shared" ca="1" si="94"/>
        <v>9.5238095238095261E-2</v>
      </c>
      <c r="AE217" s="308">
        <f t="shared" ca="1" si="77"/>
        <v>0.10084033613445378</v>
      </c>
      <c r="AJ217" s="15">
        <v>3.52</v>
      </c>
      <c r="AK217" s="15">
        <f t="shared" si="78"/>
        <v>7.045454545454545E-2</v>
      </c>
      <c r="AL217" s="15">
        <f t="shared" si="95"/>
        <v>3.776363636363636E-2</v>
      </c>
      <c r="AM217" s="15">
        <f t="shared" si="96"/>
        <v>7.9299999999999995E-2</v>
      </c>
      <c r="AN217" s="184">
        <f t="shared" si="97"/>
        <v>0.29765298181818178</v>
      </c>
      <c r="AP217" s="15">
        <v>3.52</v>
      </c>
      <c r="AQ217" s="15">
        <f t="shared" si="83"/>
        <v>6.6625223861128263E-2</v>
      </c>
      <c r="AR217" s="15">
        <f t="shared" si="84"/>
        <v>3.5711119989564749E-2</v>
      </c>
      <c r="AS217" s="15">
        <f t="shared" si="85"/>
        <v>7.4999999999999997E-2</v>
      </c>
      <c r="AT217" s="184">
        <f t="shared" si="98"/>
        <v>0.28147504775774934</v>
      </c>
      <c r="AV217" s="15">
        <v>3.52</v>
      </c>
      <c r="AW217" s="32">
        <f t="shared" si="86"/>
        <v>1</v>
      </c>
      <c r="AX217" s="32">
        <f t="shared" si="87"/>
        <v>0.23</v>
      </c>
    </row>
    <row r="218" spans="18:50">
      <c r="R218">
        <v>4</v>
      </c>
      <c r="S218">
        <f t="shared" ca="1" si="88"/>
        <v>0.24</v>
      </c>
      <c r="T218">
        <f t="shared" ca="1" si="67"/>
        <v>95.420237907008016</v>
      </c>
      <c r="U218">
        <f t="shared" ca="1" si="89"/>
        <v>1.7</v>
      </c>
      <c r="V218">
        <f t="shared" ca="1" si="69"/>
        <v>0.14117647058823529</v>
      </c>
      <c r="W218">
        <v>4</v>
      </c>
      <c r="X218">
        <f t="shared" ca="1" si="90"/>
        <v>0.32000000000000006</v>
      </c>
      <c r="Y218">
        <f t="shared" ca="1" si="71"/>
        <v>127.22698387601072</v>
      </c>
      <c r="Z218" s="16">
        <f t="shared" si="91"/>
        <v>2.4</v>
      </c>
      <c r="AA218" s="16">
        <f t="shared" ca="1" si="73"/>
        <v>0.13333333333333336</v>
      </c>
      <c r="AB218" s="16">
        <f t="shared" ca="1" si="92"/>
        <v>0.10084033613445378</v>
      </c>
      <c r="AC218">
        <f t="shared" ca="1" si="93"/>
        <v>6.8571428571428575E-2</v>
      </c>
      <c r="AD218">
        <f t="shared" ca="1" si="94"/>
        <v>9.5238095238095261E-2</v>
      </c>
      <c r="AE218" s="308">
        <f t="shared" ca="1" si="77"/>
        <v>0.10084033613445378</v>
      </c>
      <c r="AJ218" s="15">
        <v>4</v>
      </c>
      <c r="AK218" s="15">
        <f t="shared" si="78"/>
        <v>6.25E-2</v>
      </c>
      <c r="AL218" s="15">
        <f t="shared" si="95"/>
        <v>3.3500000000000002E-2</v>
      </c>
      <c r="AM218" s="15">
        <f t="shared" si="96"/>
        <v>7.0400000000000004E-2</v>
      </c>
      <c r="AN218" s="184">
        <f t="shared" si="97"/>
        <v>0.26404699999999998</v>
      </c>
      <c r="AP218" s="15">
        <v>4</v>
      </c>
      <c r="AQ218" s="15">
        <f t="shared" si="83"/>
        <v>6.25E-2</v>
      </c>
      <c r="AR218" s="15">
        <f t="shared" si="84"/>
        <v>3.3500000000000002E-2</v>
      </c>
      <c r="AS218" s="15">
        <f t="shared" si="85"/>
        <v>7.0400000000000004E-2</v>
      </c>
      <c r="AT218" s="184">
        <f t="shared" si="98"/>
        <v>0.26404699999999998</v>
      </c>
      <c r="AV218" s="15">
        <v>4</v>
      </c>
      <c r="AW218" s="32">
        <f t="shared" si="86"/>
        <v>1</v>
      </c>
      <c r="AX218" s="32">
        <f t="shared" si="87"/>
        <v>0.23</v>
      </c>
    </row>
    <row r="219" spans="18:50">
      <c r="AJ219"/>
      <c r="AK219"/>
      <c r="AL219"/>
      <c r="AM219"/>
      <c r="AP219"/>
      <c r="AQ219"/>
      <c r="AR219"/>
      <c r="AS219"/>
    </row>
    <row r="220" spans="18:50">
      <c r="AJ220"/>
      <c r="AK220"/>
      <c r="AL220"/>
      <c r="AM220"/>
      <c r="AP220"/>
      <c r="AQ220"/>
      <c r="AR220"/>
      <c r="AS220"/>
    </row>
    <row r="221" spans="18:50">
      <c r="AJ221"/>
      <c r="AK221"/>
      <c r="AL221"/>
      <c r="AM221"/>
      <c r="AP221"/>
      <c r="AQ221"/>
      <c r="AR221"/>
      <c r="AS221"/>
    </row>
    <row r="222" spans="18:50">
      <c r="AJ222"/>
      <c r="AK222"/>
      <c r="AL222"/>
      <c r="AM222"/>
      <c r="AP222"/>
      <c r="AQ222"/>
      <c r="AR222"/>
      <c r="AS222"/>
    </row>
    <row r="223" spans="18:50">
      <c r="AJ223"/>
      <c r="AK223"/>
      <c r="AL223"/>
      <c r="AM223"/>
      <c r="AP223"/>
      <c r="AQ223"/>
      <c r="AR223"/>
      <c r="AS223"/>
    </row>
    <row r="224" spans="18:50">
      <c r="AJ224"/>
      <c r="AK224"/>
      <c r="AL224"/>
      <c r="AM224"/>
      <c r="AP224"/>
      <c r="AQ224"/>
      <c r="AR224"/>
      <c r="AS224"/>
    </row>
    <row r="225" spans="36:45">
      <c r="AJ225"/>
      <c r="AK225"/>
      <c r="AL225"/>
      <c r="AM225"/>
      <c r="AP225"/>
      <c r="AQ225"/>
      <c r="AR225"/>
      <c r="AS225"/>
    </row>
    <row r="226" spans="36:45">
      <c r="AJ226"/>
      <c r="AK226"/>
      <c r="AL226"/>
      <c r="AM226"/>
      <c r="AP226"/>
      <c r="AQ226"/>
      <c r="AR226"/>
      <c r="AS226"/>
    </row>
    <row r="227" spans="36:45">
      <c r="AJ227"/>
      <c r="AK227"/>
      <c r="AL227"/>
      <c r="AM227"/>
      <c r="AP227"/>
      <c r="AQ227"/>
      <c r="AR227"/>
      <c r="AS227"/>
    </row>
    <row r="228" spans="36:45">
      <c r="AJ228"/>
      <c r="AK228"/>
      <c r="AL228"/>
      <c r="AM228"/>
      <c r="AP228"/>
      <c r="AQ228"/>
      <c r="AR228"/>
      <c r="AS228"/>
    </row>
    <row r="229" spans="36:45">
      <c r="AJ229"/>
      <c r="AK229"/>
      <c r="AL229"/>
      <c r="AM229"/>
      <c r="AP229"/>
      <c r="AQ229"/>
      <c r="AR229"/>
      <c r="AS229"/>
    </row>
    <row r="230" spans="36:45">
      <c r="AJ230"/>
      <c r="AK230"/>
      <c r="AL230"/>
      <c r="AM230"/>
      <c r="AP230"/>
      <c r="AQ230"/>
      <c r="AR230"/>
      <c r="AS230"/>
    </row>
  </sheetData>
  <mergeCells count="5">
    <mergeCell ref="B15:C15"/>
    <mergeCell ref="B21:C21"/>
    <mergeCell ref="B23:C23"/>
    <mergeCell ref="B25:C25"/>
    <mergeCell ref="B27:C27"/>
  </mergeCells>
  <phoneticPr fontId="13" type="noConversion"/>
  <dataValidations count="11">
    <dataValidation type="list" allowBlank="1" showInputMessage="1" showErrorMessage="1" sqref="C9" xr:uid="{3F09730C-E7DC-41A6-BFA8-F17FAB9CF10B}">
      <formula1>構造</formula1>
    </dataValidation>
    <dataValidation type="list" allowBlank="1" showInputMessage="1" showErrorMessage="1" sqref="C5" xr:uid="{8CD21314-72D4-45CD-8B60-93E52C906993}">
      <formula1>INDEX(INDIRECT($C$4),,1)</formula1>
    </dataValidation>
    <dataValidation type="list" allowBlank="1" showInputMessage="1" showErrorMessage="1" sqref="C4" xr:uid="{C66AF8C4-4DBB-42F9-808E-77E13FE4FF30}">
      <formula1>INDEX(INDIRECT($C$3),,1)</formula1>
    </dataValidation>
    <dataValidation type="list" allowBlank="1" showInputMessage="1" showErrorMessage="1" sqref="C3" xr:uid="{4E6E275D-FA19-42A5-A75C-F4813A624B51}">
      <formula1>臺北盆地</formula1>
    </dataValidation>
    <dataValidation type="list" allowBlank="1" showInputMessage="1" showErrorMessage="1" sqref="IZ11 SV11 ACR11 AMN11 AWJ11 BGF11 BQB11 BZX11 CJT11 CTP11 DDL11 DNH11 DXD11 EGZ11 EQV11 FAR11 FKN11 FUJ11 GEF11 GOB11 GXX11 HHT11 HRP11 IBL11 ILH11 IVD11 JEZ11 JOV11 JYR11 KIN11 KSJ11 LCF11 LMB11 LVX11 MFT11 MPP11 MZL11 NJH11 NTD11 OCZ11 OMV11 OWR11 PGN11 PQJ11 QAF11 QKB11 QTX11 RDT11 RNP11 RXL11 SHH11 SRD11 TAZ11 TKV11 TUR11 UEN11 UOJ11 UYF11 VIB11 VRX11 WBT11 WLP11 WVL11 IZ65550 SV65550 ACR65550 AMN65550 AWJ65550 BGF65550 BQB65550 BZX65550 CJT65550 CTP65550 DDL65550 DNH65550 DXD65550 EGZ65550 EQV65550 FAR65550 FKN65550 FUJ65550 GEF65550 GOB65550 GXX65550 HHT65550 HRP65550 IBL65550 ILH65550 IVD65550 JEZ65550 JOV65550 JYR65550 KIN65550 KSJ65550 LCF65550 LMB65550 LVX65550 MFT65550 MPP65550 MZL65550 NJH65550 NTD65550 OCZ65550 OMV65550 OWR65550 PGN65550 PQJ65550 QAF65550 QKB65550 QTX65550 RDT65550 RNP65550 RXL65550 SHH65550 SRD65550 TAZ65550 TKV65550 TUR65550 UEN65550 UOJ65550 UYF65550 VIB65550 VRX65550 WBT65550 WLP65550 WVL65550 IZ131086 SV131086 ACR131086 AMN131086 AWJ131086 BGF131086 BQB131086 BZX131086 CJT131086 CTP131086 DDL131086 DNH131086 DXD131086 EGZ131086 EQV131086 FAR131086 FKN131086 FUJ131086 GEF131086 GOB131086 GXX131086 HHT131086 HRP131086 IBL131086 ILH131086 IVD131086 JEZ131086 JOV131086 JYR131086 KIN131086 KSJ131086 LCF131086 LMB131086 LVX131086 MFT131086 MPP131086 MZL131086 NJH131086 NTD131086 OCZ131086 OMV131086 OWR131086 PGN131086 PQJ131086 QAF131086 QKB131086 QTX131086 RDT131086 RNP131086 RXL131086 SHH131086 SRD131086 TAZ131086 TKV131086 TUR131086 UEN131086 UOJ131086 UYF131086 VIB131086 VRX131086 WBT131086 WLP131086 WVL131086 IZ196622 SV196622 ACR196622 AMN196622 AWJ196622 BGF196622 BQB196622 BZX196622 CJT196622 CTP196622 DDL196622 DNH196622 DXD196622 EGZ196622 EQV196622 FAR196622 FKN196622 FUJ196622 GEF196622 GOB196622 GXX196622 HHT196622 HRP196622 IBL196622 ILH196622 IVD196622 JEZ196622 JOV196622 JYR196622 KIN196622 KSJ196622 LCF196622 LMB196622 LVX196622 MFT196622 MPP196622 MZL196622 NJH196622 NTD196622 OCZ196622 OMV196622 OWR196622 PGN196622 PQJ196622 QAF196622 QKB196622 QTX196622 RDT196622 RNP196622 RXL196622 SHH196622 SRD196622 TAZ196622 TKV196622 TUR196622 UEN196622 UOJ196622 UYF196622 VIB196622 VRX196622 WBT196622 WLP196622 WVL196622 IZ262158 SV262158 ACR262158 AMN262158 AWJ262158 BGF262158 BQB262158 BZX262158 CJT262158 CTP262158 DDL262158 DNH262158 DXD262158 EGZ262158 EQV262158 FAR262158 FKN262158 FUJ262158 GEF262158 GOB262158 GXX262158 HHT262158 HRP262158 IBL262158 ILH262158 IVD262158 JEZ262158 JOV262158 JYR262158 KIN262158 KSJ262158 LCF262158 LMB262158 LVX262158 MFT262158 MPP262158 MZL262158 NJH262158 NTD262158 OCZ262158 OMV262158 OWR262158 PGN262158 PQJ262158 QAF262158 QKB262158 QTX262158 RDT262158 RNP262158 RXL262158 SHH262158 SRD262158 TAZ262158 TKV262158 TUR262158 UEN262158 UOJ262158 UYF262158 VIB262158 VRX262158 WBT262158 WLP262158 WVL262158 IZ327694 SV327694 ACR327694 AMN327694 AWJ327694 BGF327694 BQB327694 BZX327694 CJT327694 CTP327694 DDL327694 DNH327694 DXD327694 EGZ327694 EQV327694 FAR327694 FKN327694 FUJ327694 GEF327694 GOB327694 GXX327694 HHT327694 HRP327694 IBL327694 ILH327694 IVD327694 JEZ327694 JOV327694 JYR327694 KIN327694 KSJ327694 LCF327694 LMB327694 LVX327694 MFT327694 MPP327694 MZL327694 NJH327694 NTD327694 OCZ327694 OMV327694 OWR327694 PGN327694 PQJ327694 QAF327694 QKB327694 QTX327694 RDT327694 RNP327694 RXL327694 SHH327694 SRD327694 TAZ327694 TKV327694 TUR327694 UEN327694 UOJ327694 UYF327694 VIB327694 VRX327694 WBT327694 WLP327694 WVL327694 IZ393230 SV393230 ACR393230 AMN393230 AWJ393230 BGF393230 BQB393230 BZX393230 CJT393230 CTP393230 DDL393230 DNH393230 DXD393230 EGZ393230 EQV393230 FAR393230 FKN393230 FUJ393230 GEF393230 GOB393230 GXX393230 HHT393230 HRP393230 IBL393230 ILH393230 IVD393230 JEZ393230 JOV393230 JYR393230 KIN393230 KSJ393230 LCF393230 LMB393230 LVX393230 MFT393230 MPP393230 MZL393230 NJH393230 NTD393230 OCZ393230 OMV393230 OWR393230 PGN393230 PQJ393230 QAF393230 QKB393230 QTX393230 RDT393230 RNP393230 RXL393230 SHH393230 SRD393230 TAZ393230 TKV393230 TUR393230 UEN393230 UOJ393230 UYF393230 VIB393230 VRX393230 WBT393230 WLP393230 WVL393230 IZ458766 SV458766 ACR458766 AMN458766 AWJ458766 BGF458766 BQB458766 BZX458766 CJT458766 CTP458766 DDL458766 DNH458766 DXD458766 EGZ458766 EQV458766 FAR458766 FKN458766 FUJ458766 GEF458766 GOB458766 GXX458766 HHT458766 HRP458766 IBL458766 ILH458766 IVD458766 JEZ458766 JOV458766 JYR458766 KIN458766 KSJ458766 LCF458766 LMB458766 LVX458766 MFT458766 MPP458766 MZL458766 NJH458766 NTD458766 OCZ458766 OMV458766 OWR458766 PGN458766 PQJ458766 QAF458766 QKB458766 QTX458766 RDT458766 RNP458766 RXL458766 SHH458766 SRD458766 TAZ458766 TKV458766 TUR458766 UEN458766 UOJ458766 UYF458766 VIB458766 VRX458766 WBT458766 WLP458766 WVL458766 IZ524302 SV524302 ACR524302 AMN524302 AWJ524302 BGF524302 BQB524302 BZX524302 CJT524302 CTP524302 DDL524302 DNH524302 DXD524302 EGZ524302 EQV524302 FAR524302 FKN524302 FUJ524302 GEF524302 GOB524302 GXX524302 HHT524302 HRP524302 IBL524302 ILH524302 IVD524302 JEZ524302 JOV524302 JYR524302 KIN524302 KSJ524302 LCF524302 LMB524302 LVX524302 MFT524302 MPP524302 MZL524302 NJH524302 NTD524302 OCZ524302 OMV524302 OWR524302 PGN524302 PQJ524302 QAF524302 QKB524302 QTX524302 RDT524302 RNP524302 RXL524302 SHH524302 SRD524302 TAZ524302 TKV524302 TUR524302 UEN524302 UOJ524302 UYF524302 VIB524302 VRX524302 WBT524302 WLP524302 WVL524302 IZ589838 SV589838 ACR589838 AMN589838 AWJ589838 BGF589838 BQB589838 BZX589838 CJT589838 CTP589838 DDL589838 DNH589838 DXD589838 EGZ589838 EQV589838 FAR589838 FKN589838 FUJ589838 GEF589838 GOB589838 GXX589838 HHT589838 HRP589838 IBL589838 ILH589838 IVD589838 JEZ589838 JOV589838 JYR589838 KIN589838 KSJ589838 LCF589838 LMB589838 LVX589838 MFT589838 MPP589838 MZL589838 NJH589838 NTD589838 OCZ589838 OMV589838 OWR589838 PGN589838 PQJ589838 QAF589838 QKB589838 QTX589838 RDT589838 RNP589838 RXL589838 SHH589838 SRD589838 TAZ589838 TKV589838 TUR589838 UEN589838 UOJ589838 UYF589838 VIB589838 VRX589838 WBT589838 WLP589838 WVL589838 IZ655374 SV655374 ACR655374 AMN655374 AWJ655374 BGF655374 BQB655374 BZX655374 CJT655374 CTP655374 DDL655374 DNH655374 DXD655374 EGZ655374 EQV655374 FAR655374 FKN655374 FUJ655374 GEF655374 GOB655374 GXX655374 HHT655374 HRP655374 IBL655374 ILH655374 IVD655374 JEZ655374 JOV655374 JYR655374 KIN655374 KSJ655374 LCF655374 LMB655374 LVX655374 MFT655374 MPP655374 MZL655374 NJH655374 NTD655374 OCZ655374 OMV655374 OWR655374 PGN655374 PQJ655374 QAF655374 QKB655374 QTX655374 RDT655374 RNP655374 RXL655374 SHH655374 SRD655374 TAZ655374 TKV655374 TUR655374 UEN655374 UOJ655374 UYF655374 VIB655374 VRX655374 WBT655374 WLP655374 WVL655374 IZ720910 SV720910 ACR720910 AMN720910 AWJ720910 BGF720910 BQB720910 BZX720910 CJT720910 CTP720910 DDL720910 DNH720910 DXD720910 EGZ720910 EQV720910 FAR720910 FKN720910 FUJ720910 GEF720910 GOB720910 GXX720910 HHT720910 HRP720910 IBL720910 ILH720910 IVD720910 JEZ720910 JOV720910 JYR720910 KIN720910 KSJ720910 LCF720910 LMB720910 LVX720910 MFT720910 MPP720910 MZL720910 NJH720910 NTD720910 OCZ720910 OMV720910 OWR720910 PGN720910 PQJ720910 QAF720910 QKB720910 QTX720910 RDT720910 RNP720910 RXL720910 SHH720910 SRD720910 TAZ720910 TKV720910 TUR720910 UEN720910 UOJ720910 UYF720910 VIB720910 VRX720910 WBT720910 WLP720910 WVL720910 IZ786446 SV786446 ACR786446 AMN786446 AWJ786446 BGF786446 BQB786446 BZX786446 CJT786446 CTP786446 DDL786446 DNH786446 DXD786446 EGZ786446 EQV786446 FAR786446 FKN786446 FUJ786446 GEF786446 GOB786446 GXX786446 HHT786446 HRP786446 IBL786446 ILH786446 IVD786446 JEZ786446 JOV786446 JYR786446 KIN786446 KSJ786446 LCF786446 LMB786446 LVX786446 MFT786446 MPP786446 MZL786446 NJH786446 NTD786446 OCZ786446 OMV786446 OWR786446 PGN786446 PQJ786446 QAF786446 QKB786446 QTX786446 RDT786446 RNP786446 RXL786446 SHH786446 SRD786446 TAZ786446 TKV786446 TUR786446 UEN786446 UOJ786446 UYF786446 VIB786446 VRX786446 WBT786446 WLP786446 WVL786446 IZ851982 SV851982 ACR851982 AMN851982 AWJ851982 BGF851982 BQB851982 BZX851982 CJT851982 CTP851982 DDL851982 DNH851982 DXD851982 EGZ851982 EQV851982 FAR851982 FKN851982 FUJ851982 GEF851982 GOB851982 GXX851982 HHT851982 HRP851982 IBL851982 ILH851982 IVD851982 JEZ851982 JOV851982 JYR851982 KIN851982 KSJ851982 LCF851982 LMB851982 LVX851982 MFT851982 MPP851982 MZL851982 NJH851982 NTD851982 OCZ851982 OMV851982 OWR851982 PGN851982 PQJ851982 QAF851982 QKB851982 QTX851982 RDT851982 RNP851982 RXL851982 SHH851982 SRD851982 TAZ851982 TKV851982 TUR851982 UEN851982 UOJ851982 UYF851982 VIB851982 VRX851982 WBT851982 WLP851982 WVL851982 IZ917518 SV917518 ACR917518 AMN917518 AWJ917518 BGF917518 BQB917518 BZX917518 CJT917518 CTP917518 DDL917518 DNH917518 DXD917518 EGZ917518 EQV917518 FAR917518 FKN917518 FUJ917518 GEF917518 GOB917518 GXX917518 HHT917518 HRP917518 IBL917518 ILH917518 IVD917518 JEZ917518 JOV917518 JYR917518 KIN917518 KSJ917518 LCF917518 LMB917518 LVX917518 MFT917518 MPP917518 MZL917518 NJH917518 NTD917518 OCZ917518 OMV917518 OWR917518 PGN917518 PQJ917518 QAF917518 QKB917518 QTX917518 RDT917518 RNP917518 RXL917518 SHH917518 SRD917518 TAZ917518 TKV917518 TUR917518 UEN917518 UOJ917518 UYF917518 VIB917518 VRX917518 WBT917518 WLP917518 WVL917518 IZ983054 SV983054 ACR983054 AMN983054 AWJ983054 BGF983054 BQB983054 BZX983054 CJT983054 CTP983054 DDL983054 DNH983054 DXD983054 EGZ983054 EQV983054 FAR983054 FKN983054 FUJ983054 GEF983054 GOB983054 GXX983054 HHT983054 HRP983054 IBL983054 ILH983054 IVD983054 JEZ983054 JOV983054 JYR983054 KIN983054 KSJ983054 LCF983054 LMB983054 LVX983054 MFT983054 MPP983054 MZL983054 NJH983054 NTD983054 OCZ983054 OMV983054 OWR983054 PGN983054 PQJ983054 QAF983054 QKB983054 QTX983054 RDT983054 RNP983054 RXL983054 SHH983054 SRD983054 TAZ983054 TKV983054 TUR983054 UEN983054 UOJ983054 UYF983054 VIB983054 VRX983054 WBT983054 WLP983054 WVL983054 C983052 C917516 C851980 C786444 C720908 C655372 C589836 C524300 C458764 C393228 C327692 C262156 C196620 C131084 C65548" xr:uid="{30DC03E0-9966-40C3-8597-0182A45CF17D}">
      <formula1>#REF!</formula1>
    </dataValidation>
    <dataValidation type="list" allowBlank="1" showInputMessage="1" showErrorMessage="1" sqref="WVL983044 IZ4 SV4 ACR4 AMN4 AWJ4 BGF4 BQB4 BZX4 CJT4 CTP4 DDL4 DNH4 DXD4 EGZ4 EQV4 FAR4 FKN4 FUJ4 GEF4 GOB4 GXX4 HHT4 HRP4 IBL4 ILH4 IVD4 JEZ4 JOV4 JYR4 KIN4 KSJ4 LCF4 LMB4 LVX4 MFT4 MPP4 MZL4 NJH4 NTD4 OCZ4 OMV4 OWR4 PGN4 PQJ4 QAF4 QKB4 QTX4 RDT4 RNP4 RXL4 SHH4 SRD4 TAZ4 TKV4 TUR4 UEN4 UOJ4 UYF4 VIB4 VRX4 WBT4 WLP4 WVL4 IZ65540 SV65540 ACR65540 AMN65540 AWJ65540 BGF65540 BQB65540 BZX65540 CJT65540 CTP65540 DDL65540 DNH65540 DXD65540 EGZ65540 EQV65540 FAR65540 FKN65540 FUJ65540 GEF65540 GOB65540 GXX65540 HHT65540 HRP65540 IBL65540 ILH65540 IVD65540 JEZ65540 JOV65540 JYR65540 KIN65540 KSJ65540 LCF65540 LMB65540 LVX65540 MFT65540 MPP65540 MZL65540 NJH65540 NTD65540 OCZ65540 OMV65540 OWR65540 PGN65540 PQJ65540 QAF65540 QKB65540 QTX65540 RDT65540 RNP65540 RXL65540 SHH65540 SRD65540 TAZ65540 TKV65540 TUR65540 UEN65540 UOJ65540 UYF65540 VIB65540 VRX65540 WBT65540 WLP65540 WVL65540 IZ131076 SV131076 ACR131076 AMN131076 AWJ131076 BGF131076 BQB131076 BZX131076 CJT131076 CTP131076 DDL131076 DNH131076 DXD131076 EGZ131076 EQV131076 FAR131076 FKN131076 FUJ131076 GEF131076 GOB131076 GXX131076 HHT131076 HRP131076 IBL131076 ILH131076 IVD131076 JEZ131076 JOV131076 JYR131076 KIN131076 KSJ131076 LCF131076 LMB131076 LVX131076 MFT131076 MPP131076 MZL131076 NJH131076 NTD131076 OCZ131076 OMV131076 OWR131076 PGN131076 PQJ131076 QAF131076 QKB131076 QTX131076 RDT131076 RNP131076 RXL131076 SHH131076 SRD131076 TAZ131076 TKV131076 TUR131076 UEN131076 UOJ131076 UYF131076 VIB131076 VRX131076 WBT131076 WLP131076 WVL131076 IZ196612 SV196612 ACR196612 AMN196612 AWJ196612 BGF196612 BQB196612 BZX196612 CJT196612 CTP196612 DDL196612 DNH196612 DXD196612 EGZ196612 EQV196612 FAR196612 FKN196612 FUJ196612 GEF196612 GOB196612 GXX196612 HHT196612 HRP196612 IBL196612 ILH196612 IVD196612 JEZ196612 JOV196612 JYR196612 KIN196612 KSJ196612 LCF196612 LMB196612 LVX196612 MFT196612 MPP196612 MZL196612 NJH196612 NTD196612 OCZ196612 OMV196612 OWR196612 PGN196612 PQJ196612 QAF196612 QKB196612 QTX196612 RDT196612 RNP196612 RXL196612 SHH196612 SRD196612 TAZ196612 TKV196612 TUR196612 UEN196612 UOJ196612 UYF196612 VIB196612 VRX196612 WBT196612 WLP196612 WVL196612 IZ262148 SV262148 ACR262148 AMN262148 AWJ262148 BGF262148 BQB262148 BZX262148 CJT262148 CTP262148 DDL262148 DNH262148 DXD262148 EGZ262148 EQV262148 FAR262148 FKN262148 FUJ262148 GEF262148 GOB262148 GXX262148 HHT262148 HRP262148 IBL262148 ILH262148 IVD262148 JEZ262148 JOV262148 JYR262148 KIN262148 KSJ262148 LCF262148 LMB262148 LVX262148 MFT262148 MPP262148 MZL262148 NJH262148 NTD262148 OCZ262148 OMV262148 OWR262148 PGN262148 PQJ262148 QAF262148 QKB262148 QTX262148 RDT262148 RNP262148 RXL262148 SHH262148 SRD262148 TAZ262148 TKV262148 TUR262148 UEN262148 UOJ262148 UYF262148 VIB262148 VRX262148 WBT262148 WLP262148 WVL262148 IZ327684 SV327684 ACR327684 AMN327684 AWJ327684 BGF327684 BQB327684 BZX327684 CJT327684 CTP327684 DDL327684 DNH327684 DXD327684 EGZ327684 EQV327684 FAR327684 FKN327684 FUJ327684 GEF327684 GOB327684 GXX327684 HHT327684 HRP327684 IBL327684 ILH327684 IVD327684 JEZ327684 JOV327684 JYR327684 KIN327684 KSJ327684 LCF327684 LMB327684 LVX327684 MFT327684 MPP327684 MZL327684 NJH327684 NTD327684 OCZ327684 OMV327684 OWR327684 PGN327684 PQJ327684 QAF327684 QKB327684 QTX327684 RDT327684 RNP327684 RXL327684 SHH327684 SRD327684 TAZ327684 TKV327684 TUR327684 UEN327684 UOJ327684 UYF327684 VIB327684 VRX327684 WBT327684 WLP327684 WVL327684 IZ393220 SV393220 ACR393220 AMN393220 AWJ393220 BGF393220 BQB393220 BZX393220 CJT393220 CTP393220 DDL393220 DNH393220 DXD393220 EGZ393220 EQV393220 FAR393220 FKN393220 FUJ393220 GEF393220 GOB393220 GXX393220 HHT393220 HRP393220 IBL393220 ILH393220 IVD393220 JEZ393220 JOV393220 JYR393220 KIN393220 KSJ393220 LCF393220 LMB393220 LVX393220 MFT393220 MPP393220 MZL393220 NJH393220 NTD393220 OCZ393220 OMV393220 OWR393220 PGN393220 PQJ393220 QAF393220 QKB393220 QTX393220 RDT393220 RNP393220 RXL393220 SHH393220 SRD393220 TAZ393220 TKV393220 TUR393220 UEN393220 UOJ393220 UYF393220 VIB393220 VRX393220 WBT393220 WLP393220 WVL393220 IZ458756 SV458756 ACR458756 AMN458756 AWJ458756 BGF458756 BQB458756 BZX458756 CJT458756 CTP458756 DDL458756 DNH458756 DXD458756 EGZ458756 EQV458756 FAR458756 FKN458756 FUJ458756 GEF458756 GOB458756 GXX458756 HHT458756 HRP458756 IBL458756 ILH458756 IVD458756 JEZ458756 JOV458756 JYR458756 KIN458756 KSJ458756 LCF458756 LMB458756 LVX458756 MFT458756 MPP458756 MZL458756 NJH458756 NTD458756 OCZ458756 OMV458756 OWR458756 PGN458756 PQJ458756 QAF458756 QKB458756 QTX458756 RDT458756 RNP458756 RXL458756 SHH458756 SRD458756 TAZ458756 TKV458756 TUR458756 UEN458756 UOJ458756 UYF458756 VIB458756 VRX458756 WBT458756 WLP458756 WVL458756 IZ524292 SV524292 ACR524292 AMN524292 AWJ524292 BGF524292 BQB524292 BZX524292 CJT524292 CTP524292 DDL524292 DNH524292 DXD524292 EGZ524292 EQV524292 FAR524292 FKN524292 FUJ524292 GEF524292 GOB524292 GXX524292 HHT524292 HRP524292 IBL524292 ILH524292 IVD524292 JEZ524292 JOV524292 JYR524292 KIN524292 KSJ524292 LCF524292 LMB524292 LVX524292 MFT524292 MPP524292 MZL524292 NJH524292 NTD524292 OCZ524292 OMV524292 OWR524292 PGN524292 PQJ524292 QAF524292 QKB524292 QTX524292 RDT524292 RNP524292 RXL524292 SHH524292 SRD524292 TAZ524292 TKV524292 TUR524292 UEN524292 UOJ524292 UYF524292 VIB524292 VRX524292 WBT524292 WLP524292 WVL524292 IZ589828 SV589828 ACR589828 AMN589828 AWJ589828 BGF589828 BQB589828 BZX589828 CJT589828 CTP589828 DDL589828 DNH589828 DXD589828 EGZ589828 EQV589828 FAR589828 FKN589828 FUJ589828 GEF589828 GOB589828 GXX589828 HHT589828 HRP589828 IBL589828 ILH589828 IVD589828 JEZ589828 JOV589828 JYR589828 KIN589828 KSJ589828 LCF589828 LMB589828 LVX589828 MFT589828 MPP589828 MZL589828 NJH589828 NTD589828 OCZ589828 OMV589828 OWR589828 PGN589828 PQJ589828 QAF589828 QKB589828 QTX589828 RDT589828 RNP589828 RXL589828 SHH589828 SRD589828 TAZ589828 TKV589828 TUR589828 UEN589828 UOJ589828 UYF589828 VIB589828 VRX589828 WBT589828 WLP589828 WVL589828 IZ655364 SV655364 ACR655364 AMN655364 AWJ655364 BGF655364 BQB655364 BZX655364 CJT655364 CTP655364 DDL655364 DNH655364 DXD655364 EGZ655364 EQV655364 FAR655364 FKN655364 FUJ655364 GEF655364 GOB655364 GXX655364 HHT655364 HRP655364 IBL655364 ILH655364 IVD655364 JEZ655364 JOV655364 JYR655364 KIN655364 KSJ655364 LCF655364 LMB655364 LVX655364 MFT655364 MPP655364 MZL655364 NJH655364 NTD655364 OCZ655364 OMV655364 OWR655364 PGN655364 PQJ655364 QAF655364 QKB655364 QTX655364 RDT655364 RNP655364 RXL655364 SHH655364 SRD655364 TAZ655364 TKV655364 TUR655364 UEN655364 UOJ655364 UYF655364 VIB655364 VRX655364 WBT655364 WLP655364 WVL655364 IZ720900 SV720900 ACR720900 AMN720900 AWJ720900 BGF720900 BQB720900 BZX720900 CJT720900 CTP720900 DDL720900 DNH720900 DXD720900 EGZ720900 EQV720900 FAR720900 FKN720900 FUJ720900 GEF720900 GOB720900 GXX720900 HHT720900 HRP720900 IBL720900 ILH720900 IVD720900 JEZ720900 JOV720900 JYR720900 KIN720900 KSJ720900 LCF720900 LMB720900 LVX720900 MFT720900 MPP720900 MZL720900 NJH720900 NTD720900 OCZ720900 OMV720900 OWR720900 PGN720900 PQJ720900 QAF720900 QKB720900 QTX720900 RDT720900 RNP720900 RXL720900 SHH720900 SRD720900 TAZ720900 TKV720900 TUR720900 UEN720900 UOJ720900 UYF720900 VIB720900 VRX720900 WBT720900 WLP720900 WVL720900 IZ786436 SV786436 ACR786436 AMN786436 AWJ786436 BGF786436 BQB786436 BZX786436 CJT786436 CTP786436 DDL786436 DNH786436 DXD786436 EGZ786436 EQV786436 FAR786436 FKN786436 FUJ786436 GEF786436 GOB786436 GXX786436 HHT786436 HRP786436 IBL786436 ILH786436 IVD786436 JEZ786436 JOV786436 JYR786436 KIN786436 KSJ786436 LCF786436 LMB786436 LVX786436 MFT786436 MPP786436 MZL786436 NJH786436 NTD786436 OCZ786436 OMV786436 OWR786436 PGN786436 PQJ786436 QAF786436 QKB786436 QTX786436 RDT786436 RNP786436 RXL786436 SHH786436 SRD786436 TAZ786436 TKV786436 TUR786436 UEN786436 UOJ786436 UYF786436 VIB786436 VRX786436 WBT786436 WLP786436 WVL786436 IZ851972 SV851972 ACR851972 AMN851972 AWJ851972 BGF851972 BQB851972 BZX851972 CJT851972 CTP851972 DDL851972 DNH851972 DXD851972 EGZ851972 EQV851972 FAR851972 FKN851972 FUJ851972 GEF851972 GOB851972 GXX851972 HHT851972 HRP851972 IBL851972 ILH851972 IVD851972 JEZ851972 JOV851972 JYR851972 KIN851972 KSJ851972 LCF851972 LMB851972 LVX851972 MFT851972 MPP851972 MZL851972 NJH851972 NTD851972 OCZ851972 OMV851972 OWR851972 PGN851972 PQJ851972 QAF851972 QKB851972 QTX851972 RDT851972 RNP851972 RXL851972 SHH851972 SRD851972 TAZ851972 TKV851972 TUR851972 UEN851972 UOJ851972 UYF851972 VIB851972 VRX851972 WBT851972 WLP851972 WVL851972 IZ917508 SV917508 ACR917508 AMN917508 AWJ917508 BGF917508 BQB917508 BZX917508 CJT917508 CTP917508 DDL917508 DNH917508 DXD917508 EGZ917508 EQV917508 FAR917508 FKN917508 FUJ917508 GEF917508 GOB917508 GXX917508 HHT917508 HRP917508 IBL917508 ILH917508 IVD917508 JEZ917508 JOV917508 JYR917508 KIN917508 KSJ917508 LCF917508 LMB917508 LVX917508 MFT917508 MPP917508 MZL917508 NJH917508 NTD917508 OCZ917508 OMV917508 OWR917508 PGN917508 PQJ917508 QAF917508 QKB917508 QTX917508 RDT917508 RNP917508 RXL917508 SHH917508 SRD917508 TAZ917508 TKV917508 TUR917508 UEN917508 UOJ917508 UYF917508 VIB917508 VRX917508 WBT917508 WLP917508 WVL917508 IZ983044 SV983044 ACR983044 AMN983044 AWJ983044 BGF983044 BQB983044 BZX983044 CJT983044 CTP983044 DDL983044 DNH983044 DXD983044 EGZ983044 EQV983044 FAR983044 FKN983044 FUJ983044 GEF983044 GOB983044 GXX983044 HHT983044 HRP983044 IBL983044 ILH983044 IVD983044 JEZ983044 JOV983044 JYR983044 KIN983044 KSJ983044 LCF983044 LMB983044 LVX983044 MFT983044 MPP983044 MZL983044 NJH983044 NTD983044 OCZ983044 OMV983044 OWR983044 PGN983044 PQJ983044 QAF983044 QKB983044 QTX983044 RDT983044 RNP983044 RXL983044 SHH983044 SRD983044 TAZ983044 TKV983044 TUR983044 UEN983044 UOJ983044 UYF983044 VIB983044 VRX983044 WBT983044 WLP983044 C983042 C917506 C851970 C786434 C720898 C655362 C589826 C524290 C458754 C393218 C327682 C262146 C196610 C131074 C65538" xr:uid="{BC02B6A8-8318-4D90-876B-D2388FDDD9B1}">
      <formula1>行政區</formula1>
    </dataValidation>
    <dataValidation type="list" allowBlank="1" showInputMessage="1" showErrorMessage="1" sqref="WVL983045 C65539 C131075 C196611 C262147 C327683 C393219 C458755 C524291 C589827 C655363 C720899 C786435 C851971 C917507 C983043 WLP983045 WBT983045 VRX983045 VIB983045 UYF983045 UOJ983045 UEN983045 TUR983045 TKV983045 TAZ983045 SRD983045 SHH983045 RXL983045 RNP983045 RDT983045 QTX983045 QKB983045 QAF983045 PQJ983045 PGN983045 OWR983045 OMV983045 OCZ983045 NTD983045 NJH983045 MZL983045 MPP983045 MFT983045 LVX983045 LMB983045 LCF983045 KSJ983045 KIN983045 JYR983045 JOV983045 JEZ983045 IVD983045 ILH983045 IBL983045 HRP983045 HHT983045 GXX983045 GOB983045 GEF983045 FUJ983045 FKN983045 FAR983045 EQV983045 EGZ983045 DXD983045 DNH983045 DDL983045 CTP983045 CJT983045 BZX983045 BQB983045 BGF983045 AWJ983045 AMN983045 ACR983045 SV983045 IZ983045 WVL917509 WLP917509 WBT917509 VRX917509 VIB917509 UYF917509 UOJ917509 UEN917509 TUR917509 TKV917509 TAZ917509 SRD917509 SHH917509 RXL917509 RNP917509 RDT917509 QTX917509 QKB917509 QAF917509 PQJ917509 PGN917509 OWR917509 OMV917509 OCZ917509 NTD917509 NJH917509 MZL917509 MPP917509 MFT917509 LVX917509 LMB917509 LCF917509 KSJ917509 KIN917509 JYR917509 JOV917509 JEZ917509 IVD917509 ILH917509 IBL917509 HRP917509 HHT917509 GXX917509 GOB917509 GEF917509 FUJ917509 FKN917509 FAR917509 EQV917509 EGZ917509 DXD917509 DNH917509 DDL917509 CTP917509 CJT917509 BZX917509 BQB917509 BGF917509 AWJ917509 AMN917509 ACR917509 SV917509 IZ917509 WVL851973 WLP851973 WBT851973 VRX851973 VIB851973 UYF851973 UOJ851973 UEN851973 TUR851973 TKV851973 TAZ851973 SRD851973 SHH851973 RXL851973 RNP851973 RDT851973 QTX851973 QKB851973 QAF851973 PQJ851973 PGN851973 OWR851973 OMV851973 OCZ851973 NTD851973 NJH851973 MZL851973 MPP851973 MFT851973 LVX851973 LMB851973 LCF851973 KSJ851973 KIN851973 JYR851973 JOV851973 JEZ851973 IVD851973 ILH851973 IBL851973 HRP851973 HHT851973 GXX851973 GOB851973 GEF851973 FUJ851973 FKN851973 FAR851973 EQV851973 EGZ851973 DXD851973 DNH851973 DDL851973 CTP851973 CJT851973 BZX851973 BQB851973 BGF851973 AWJ851973 AMN851973 ACR851973 SV851973 IZ851973 WVL786437 WLP786437 WBT786437 VRX786437 VIB786437 UYF786437 UOJ786437 UEN786437 TUR786437 TKV786437 TAZ786437 SRD786437 SHH786437 RXL786437 RNP786437 RDT786437 QTX786437 QKB786437 QAF786437 PQJ786437 PGN786437 OWR786437 OMV786437 OCZ786437 NTD786437 NJH786437 MZL786437 MPP786437 MFT786437 LVX786437 LMB786437 LCF786437 KSJ786437 KIN786437 JYR786437 JOV786437 JEZ786437 IVD786437 ILH786437 IBL786437 HRP786437 HHT786437 GXX786437 GOB786437 GEF786437 FUJ786437 FKN786437 FAR786437 EQV786437 EGZ786437 DXD786437 DNH786437 DDL786437 CTP786437 CJT786437 BZX786437 BQB786437 BGF786437 AWJ786437 AMN786437 ACR786437 SV786437 IZ786437 WVL720901 WLP720901 WBT720901 VRX720901 VIB720901 UYF720901 UOJ720901 UEN720901 TUR720901 TKV720901 TAZ720901 SRD720901 SHH720901 RXL720901 RNP720901 RDT720901 QTX720901 QKB720901 QAF720901 PQJ720901 PGN720901 OWR720901 OMV720901 OCZ720901 NTD720901 NJH720901 MZL720901 MPP720901 MFT720901 LVX720901 LMB720901 LCF720901 KSJ720901 KIN720901 JYR720901 JOV720901 JEZ720901 IVD720901 ILH720901 IBL720901 HRP720901 HHT720901 GXX720901 GOB720901 GEF720901 FUJ720901 FKN720901 FAR720901 EQV720901 EGZ720901 DXD720901 DNH720901 DDL720901 CTP720901 CJT720901 BZX720901 BQB720901 BGF720901 AWJ720901 AMN720901 ACR720901 SV720901 IZ720901 WVL655365 WLP655365 WBT655365 VRX655365 VIB655365 UYF655365 UOJ655365 UEN655365 TUR655365 TKV655365 TAZ655365 SRD655365 SHH655365 RXL655365 RNP655365 RDT655365 QTX655365 QKB655365 QAF655365 PQJ655365 PGN655365 OWR655365 OMV655365 OCZ655365 NTD655365 NJH655365 MZL655365 MPP655365 MFT655365 LVX655365 LMB655365 LCF655365 KSJ655365 KIN655365 JYR655365 JOV655365 JEZ655365 IVD655365 ILH655365 IBL655365 HRP655365 HHT655365 GXX655365 GOB655365 GEF655365 FUJ655365 FKN655365 FAR655365 EQV655365 EGZ655365 DXD655365 DNH655365 DDL655365 CTP655365 CJT655365 BZX655365 BQB655365 BGF655365 AWJ655365 AMN655365 ACR655365 SV655365 IZ655365 WVL589829 WLP589829 WBT589829 VRX589829 VIB589829 UYF589829 UOJ589829 UEN589829 TUR589829 TKV589829 TAZ589829 SRD589829 SHH589829 RXL589829 RNP589829 RDT589829 QTX589829 QKB589829 QAF589829 PQJ589829 PGN589829 OWR589829 OMV589829 OCZ589829 NTD589829 NJH589829 MZL589829 MPP589829 MFT589829 LVX589829 LMB589829 LCF589829 KSJ589829 KIN589829 JYR589829 JOV589829 JEZ589829 IVD589829 ILH589829 IBL589829 HRP589829 HHT589829 GXX589829 GOB589829 GEF589829 FUJ589829 FKN589829 FAR589829 EQV589829 EGZ589829 DXD589829 DNH589829 DDL589829 CTP589829 CJT589829 BZX589829 BQB589829 BGF589829 AWJ589829 AMN589829 ACR589829 SV589829 IZ589829 WVL524293 WLP524293 WBT524293 VRX524293 VIB524293 UYF524293 UOJ524293 UEN524293 TUR524293 TKV524293 TAZ524293 SRD524293 SHH524293 RXL524293 RNP524293 RDT524293 QTX524293 QKB524293 QAF524293 PQJ524293 PGN524293 OWR524293 OMV524293 OCZ524293 NTD524293 NJH524293 MZL524293 MPP524293 MFT524293 LVX524293 LMB524293 LCF524293 KSJ524293 KIN524293 JYR524293 JOV524293 JEZ524293 IVD524293 ILH524293 IBL524293 HRP524293 HHT524293 GXX524293 GOB524293 GEF524293 FUJ524293 FKN524293 FAR524293 EQV524293 EGZ524293 DXD524293 DNH524293 DDL524293 CTP524293 CJT524293 BZX524293 BQB524293 BGF524293 AWJ524293 AMN524293 ACR524293 SV524293 IZ524293 WVL458757 WLP458757 WBT458757 VRX458757 VIB458757 UYF458757 UOJ458757 UEN458757 TUR458757 TKV458757 TAZ458757 SRD458757 SHH458757 RXL458757 RNP458757 RDT458757 QTX458757 QKB458757 QAF458757 PQJ458757 PGN458757 OWR458757 OMV458757 OCZ458757 NTD458757 NJH458757 MZL458757 MPP458757 MFT458757 LVX458757 LMB458757 LCF458757 KSJ458757 KIN458757 JYR458757 JOV458757 JEZ458757 IVD458757 ILH458757 IBL458757 HRP458757 HHT458757 GXX458757 GOB458757 GEF458757 FUJ458757 FKN458757 FAR458757 EQV458757 EGZ458757 DXD458757 DNH458757 DDL458757 CTP458757 CJT458757 BZX458757 BQB458757 BGF458757 AWJ458757 AMN458757 ACR458757 SV458757 IZ458757 WVL393221 WLP393221 WBT393221 VRX393221 VIB393221 UYF393221 UOJ393221 UEN393221 TUR393221 TKV393221 TAZ393221 SRD393221 SHH393221 RXL393221 RNP393221 RDT393221 QTX393221 QKB393221 QAF393221 PQJ393221 PGN393221 OWR393221 OMV393221 OCZ393221 NTD393221 NJH393221 MZL393221 MPP393221 MFT393221 LVX393221 LMB393221 LCF393221 KSJ393221 KIN393221 JYR393221 JOV393221 JEZ393221 IVD393221 ILH393221 IBL393221 HRP393221 HHT393221 GXX393221 GOB393221 GEF393221 FUJ393221 FKN393221 FAR393221 EQV393221 EGZ393221 DXD393221 DNH393221 DDL393221 CTP393221 CJT393221 BZX393221 BQB393221 BGF393221 AWJ393221 AMN393221 ACR393221 SV393221 IZ393221 WVL327685 WLP327685 WBT327685 VRX327685 VIB327685 UYF327685 UOJ327685 UEN327685 TUR327685 TKV327685 TAZ327685 SRD327685 SHH327685 RXL327685 RNP327685 RDT327685 QTX327685 QKB327685 QAF327685 PQJ327685 PGN327685 OWR327685 OMV327685 OCZ327685 NTD327685 NJH327685 MZL327685 MPP327685 MFT327685 LVX327685 LMB327685 LCF327685 KSJ327685 KIN327685 JYR327685 JOV327685 JEZ327685 IVD327685 ILH327685 IBL327685 HRP327685 HHT327685 GXX327685 GOB327685 GEF327685 FUJ327685 FKN327685 FAR327685 EQV327685 EGZ327685 DXD327685 DNH327685 DDL327685 CTP327685 CJT327685 BZX327685 BQB327685 BGF327685 AWJ327685 AMN327685 ACR327685 SV327685 IZ327685 WVL262149 WLP262149 WBT262149 VRX262149 VIB262149 UYF262149 UOJ262149 UEN262149 TUR262149 TKV262149 TAZ262149 SRD262149 SHH262149 RXL262149 RNP262149 RDT262149 QTX262149 QKB262149 QAF262149 PQJ262149 PGN262149 OWR262149 OMV262149 OCZ262149 NTD262149 NJH262149 MZL262149 MPP262149 MFT262149 LVX262149 LMB262149 LCF262149 KSJ262149 KIN262149 JYR262149 JOV262149 JEZ262149 IVD262149 ILH262149 IBL262149 HRP262149 HHT262149 GXX262149 GOB262149 GEF262149 FUJ262149 FKN262149 FAR262149 EQV262149 EGZ262149 DXD262149 DNH262149 DDL262149 CTP262149 CJT262149 BZX262149 BQB262149 BGF262149 AWJ262149 AMN262149 ACR262149 SV262149 IZ262149 WVL196613 WLP196613 WBT196613 VRX196613 VIB196613 UYF196613 UOJ196613 UEN196613 TUR196613 TKV196613 TAZ196613 SRD196613 SHH196613 RXL196613 RNP196613 RDT196613 QTX196613 QKB196613 QAF196613 PQJ196613 PGN196613 OWR196613 OMV196613 OCZ196613 NTD196613 NJH196613 MZL196613 MPP196613 MFT196613 LVX196613 LMB196613 LCF196613 KSJ196613 KIN196613 JYR196613 JOV196613 JEZ196613 IVD196613 ILH196613 IBL196613 HRP196613 HHT196613 GXX196613 GOB196613 GEF196613 FUJ196613 FKN196613 FAR196613 EQV196613 EGZ196613 DXD196613 DNH196613 DDL196613 CTP196613 CJT196613 BZX196613 BQB196613 BGF196613 AWJ196613 AMN196613 ACR196613 SV196613 IZ196613 WVL131077 WLP131077 WBT131077 VRX131077 VIB131077 UYF131077 UOJ131077 UEN131077 TUR131077 TKV131077 TAZ131077 SRD131077 SHH131077 RXL131077 RNP131077 RDT131077 QTX131077 QKB131077 QAF131077 PQJ131077 PGN131077 OWR131077 OMV131077 OCZ131077 NTD131077 NJH131077 MZL131077 MPP131077 MFT131077 LVX131077 LMB131077 LCF131077 KSJ131077 KIN131077 JYR131077 JOV131077 JEZ131077 IVD131077 ILH131077 IBL131077 HRP131077 HHT131077 GXX131077 GOB131077 GEF131077 FUJ131077 FKN131077 FAR131077 EQV131077 EGZ131077 DXD131077 DNH131077 DDL131077 CTP131077 CJT131077 BZX131077 BQB131077 BGF131077 AWJ131077 AMN131077 ACR131077 SV131077 IZ131077 WVL65541 WLP65541 WBT65541 VRX65541 VIB65541 UYF65541 UOJ65541 UEN65541 TUR65541 TKV65541 TAZ65541 SRD65541 SHH65541 RXL65541 RNP65541 RDT65541 QTX65541 QKB65541 QAF65541 PQJ65541 PGN65541 OWR65541 OMV65541 OCZ65541 NTD65541 NJH65541 MZL65541 MPP65541 MFT65541 LVX65541 LMB65541 LCF65541 KSJ65541 KIN65541 JYR65541 JOV65541 JEZ65541 IVD65541 ILH65541 IBL65541 HRP65541 HHT65541 GXX65541 GOB65541 GEF65541 FUJ65541 FKN65541 FAR65541 EQV65541 EGZ65541 DXD65541 DNH65541 DDL65541 CTP65541 CJT65541 BZX65541 BQB65541 BGF65541 AWJ65541 AMN65541 ACR65541 SV65541 IZ65541 WVL5 WLP5 WBT5 VRX5 VIB5 UYF5 UOJ5 UEN5 TUR5 TKV5 TAZ5 SRD5 SHH5 RXL5 RNP5 RDT5 QTX5 QKB5 QAF5 PQJ5 PGN5 OWR5 OMV5 OCZ5 NTD5 NJH5 MZL5 MPP5 MFT5 LVX5 LMB5 LCF5 KSJ5 KIN5 JYR5 JOV5 JEZ5 IVD5 ILH5 IBL5 HRP5 HHT5 GXX5 GOB5 GEF5 FUJ5 FKN5 FAR5 EQV5 EGZ5 DXD5 DNH5 DDL5 CTP5 CJT5 BZX5 BQB5 BGF5 AWJ5 AMN5 ACR5 SV5 IZ5" xr:uid="{F84AE0E6-7EEE-449A-AC43-D0B77B8FA6CB}">
      <formula1>INDIRECT($C$3)</formula1>
    </dataValidation>
    <dataValidation type="list" allowBlank="1" showInputMessage="1" showErrorMessage="1" sqref="IZ6 C65540 C131076 C196612 C262148 C327684 C393220 C458756 C524292 C589828 C655364 C720900 C786436 C851972 C917508 C983044 WVL983046 WLP983046 WBT983046 VRX983046 VIB983046 UYF983046 UOJ983046 UEN983046 TUR983046 TKV983046 TAZ983046 SRD983046 SHH983046 RXL983046 RNP983046 RDT983046 QTX983046 QKB983046 QAF983046 PQJ983046 PGN983046 OWR983046 OMV983046 OCZ983046 NTD983046 NJH983046 MZL983046 MPP983046 MFT983046 LVX983046 LMB983046 LCF983046 KSJ983046 KIN983046 JYR983046 JOV983046 JEZ983046 IVD983046 ILH983046 IBL983046 HRP983046 HHT983046 GXX983046 GOB983046 GEF983046 FUJ983046 FKN983046 FAR983046 EQV983046 EGZ983046 DXD983046 DNH983046 DDL983046 CTP983046 CJT983046 BZX983046 BQB983046 BGF983046 AWJ983046 AMN983046 ACR983046 SV983046 IZ983046 WVL917510 WLP917510 WBT917510 VRX917510 VIB917510 UYF917510 UOJ917510 UEN917510 TUR917510 TKV917510 TAZ917510 SRD917510 SHH917510 RXL917510 RNP917510 RDT917510 QTX917510 QKB917510 QAF917510 PQJ917510 PGN917510 OWR917510 OMV917510 OCZ917510 NTD917510 NJH917510 MZL917510 MPP917510 MFT917510 LVX917510 LMB917510 LCF917510 KSJ917510 KIN917510 JYR917510 JOV917510 JEZ917510 IVD917510 ILH917510 IBL917510 HRP917510 HHT917510 GXX917510 GOB917510 GEF917510 FUJ917510 FKN917510 FAR917510 EQV917510 EGZ917510 DXD917510 DNH917510 DDL917510 CTP917510 CJT917510 BZX917510 BQB917510 BGF917510 AWJ917510 AMN917510 ACR917510 SV917510 IZ917510 WVL851974 WLP851974 WBT851974 VRX851974 VIB851974 UYF851974 UOJ851974 UEN851974 TUR851974 TKV851974 TAZ851974 SRD851974 SHH851974 RXL851974 RNP851974 RDT851974 QTX851974 QKB851974 QAF851974 PQJ851974 PGN851974 OWR851974 OMV851974 OCZ851974 NTD851974 NJH851974 MZL851974 MPP851974 MFT851974 LVX851974 LMB851974 LCF851974 KSJ851974 KIN851974 JYR851974 JOV851974 JEZ851974 IVD851974 ILH851974 IBL851974 HRP851974 HHT851974 GXX851974 GOB851974 GEF851974 FUJ851974 FKN851974 FAR851974 EQV851974 EGZ851974 DXD851974 DNH851974 DDL851974 CTP851974 CJT851974 BZX851974 BQB851974 BGF851974 AWJ851974 AMN851974 ACR851974 SV851974 IZ851974 WVL786438 WLP786438 WBT786438 VRX786438 VIB786438 UYF786438 UOJ786438 UEN786438 TUR786438 TKV786438 TAZ786438 SRD786438 SHH786438 RXL786438 RNP786438 RDT786438 QTX786438 QKB786438 QAF786438 PQJ786438 PGN786438 OWR786438 OMV786438 OCZ786438 NTD786438 NJH786438 MZL786438 MPP786438 MFT786438 LVX786438 LMB786438 LCF786438 KSJ786438 KIN786438 JYR786438 JOV786438 JEZ786438 IVD786438 ILH786438 IBL786438 HRP786438 HHT786438 GXX786438 GOB786438 GEF786438 FUJ786438 FKN786438 FAR786438 EQV786438 EGZ786438 DXD786438 DNH786438 DDL786438 CTP786438 CJT786438 BZX786438 BQB786438 BGF786438 AWJ786438 AMN786438 ACR786438 SV786438 IZ786438 WVL720902 WLP720902 WBT720902 VRX720902 VIB720902 UYF720902 UOJ720902 UEN720902 TUR720902 TKV720902 TAZ720902 SRD720902 SHH720902 RXL720902 RNP720902 RDT720902 QTX720902 QKB720902 QAF720902 PQJ720902 PGN720902 OWR720902 OMV720902 OCZ720902 NTD720902 NJH720902 MZL720902 MPP720902 MFT720902 LVX720902 LMB720902 LCF720902 KSJ720902 KIN720902 JYR720902 JOV720902 JEZ720902 IVD720902 ILH720902 IBL720902 HRP720902 HHT720902 GXX720902 GOB720902 GEF720902 FUJ720902 FKN720902 FAR720902 EQV720902 EGZ720902 DXD720902 DNH720902 DDL720902 CTP720902 CJT720902 BZX720902 BQB720902 BGF720902 AWJ720902 AMN720902 ACR720902 SV720902 IZ720902 WVL655366 WLP655366 WBT655366 VRX655366 VIB655366 UYF655366 UOJ655366 UEN655366 TUR655366 TKV655366 TAZ655366 SRD655366 SHH655366 RXL655366 RNP655366 RDT655366 QTX655366 QKB655366 QAF655366 PQJ655366 PGN655366 OWR655366 OMV655366 OCZ655366 NTD655366 NJH655366 MZL655366 MPP655366 MFT655366 LVX655366 LMB655366 LCF655366 KSJ655366 KIN655366 JYR655366 JOV655366 JEZ655366 IVD655366 ILH655366 IBL655366 HRP655366 HHT655366 GXX655366 GOB655366 GEF655366 FUJ655366 FKN655366 FAR655366 EQV655366 EGZ655366 DXD655366 DNH655366 DDL655366 CTP655366 CJT655366 BZX655366 BQB655366 BGF655366 AWJ655366 AMN655366 ACR655366 SV655366 IZ655366 WVL589830 WLP589830 WBT589830 VRX589830 VIB589830 UYF589830 UOJ589830 UEN589830 TUR589830 TKV589830 TAZ589830 SRD589830 SHH589830 RXL589830 RNP589830 RDT589830 QTX589830 QKB589830 QAF589830 PQJ589830 PGN589830 OWR589830 OMV589830 OCZ589830 NTD589830 NJH589830 MZL589830 MPP589830 MFT589830 LVX589830 LMB589830 LCF589830 KSJ589830 KIN589830 JYR589830 JOV589830 JEZ589830 IVD589830 ILH589830 IBL589830 HRP589830 HHT589830 GXX589830 GOB589830 GEF589830 FUJ589830 FKN589830 FAR589830 EQV589830 EGZ589830 DXD589830 DNH589830 DDL589830 CTP589830 CJT589830 BZX589830 BQB589830 BGF589830 AWJ589830 AMN589830 ACR589830 SV589830 IZ589830 WVL524294 WLP524294 WBT524294 VRX524294 VIB524294 UYF524294 UOJ524294 UEN524294 TUR524294 TKV524294 TAZ524294 SRD524294 SHH524294 RXL524294 RNP524294 RDT524294 QTX524294 QKB524294 QAF524294 PQJ524294 PGN524294 OWR524294 OMV524294 OCZ524294 NTD524294 NJH524294 MZL524294 MPP524294 MFT524294 LVX524294 LMB524294 LCF524294 KSJ524294 KIN524294 JYR524294 JOV524294 JEZ524294 IVD524294 ILH524294 IBL524294 HRP524294 HHT524294 GXX524294 GOB524294 GEF524294 FUJ524294 FKN524294 FAR524294 EQV524294 EGZ524294 DXD524294 DNH524294 DDL524294 CTP524294 CJT524294 BZX524294 BQB524294 BGF524294 AWJ524294 AMN524294 ACR524294 SV524294 IZ524294 WVL458758 WLP458758 WBT458758 VRX458758 VIB458758 UYF458758 UOJ458758 UEN458758 TUR458758 TKV458758 TAZ458758 SRD458758 SHH458758 RXL458758 RNP458758 RDT458758 QTX458758 QKB458758 QAF458758 PQJ458758 PGN458758 OWR458758 OMV458758 OCZ458758 NTD458758 NJH458758 MZL458758 MPP458758 MFT458758 LVX458758 LMB458758 LCF458758 KSJ458758 KIN458758 JYR458758 JOV458758 JEZ458758 IVD458758 ILH458758 IBL458758 HRP458758 HHT458758 GXX458758 GOB458758 GEF458758 FUJ458758 FKN458758 FAR458758 EQV458758 EGZ458758 DXD458758 DNH458758 DDL458758 CTP458758 CJT458758 BZX458758 BQB458758 BGF458758 AWJ458758 AMN458758 ACR458758 SV458758 IZ458758 WVL393222 WLP393222 WBT393222 VRX393222 VIB393222 UYF393222 UOJ393222 UEN393222 TUR393222 TKV393222 TAZ393222 SRD393222 SHH393222 RXL393222 RNP393222 RDT393222 QTX393222 QKB393222 QAF393222 PQJ393222 PGN393222 OWR393222 OMV393222 OCZ393222 NTD393222 NJH393222 MZL393222 MPP393222 MFT393222 LVX393222 LMB393222 LCF393222 KSJ393222 KIN393222 JYR393222 JOV393222 JEZ393222 IVD393222 ILH393222 IBL393222 HRP393222 HHT393222 GXX393222 GOB393222 GEF393222 FUJ393222 FKN393222 FAR393222 EQV393222 EGZ393222 DXD393222 DNH393222 DDL393222 CTP393222 CJT393222 BZX393222 BQB393222 BGF393222 AWJ393222 AMN393222 ACR393222 SV393222 IZ393222 WVL327686 WLP327686 WBT327686 VRX327686 VIB327686 UYF327686 UOJ327686 UEN327686 TUR327686 TKV327686 TAZ327686 SRD327686 SHH327686 RXL327686 RNP327686 RDT327686 QTX327686 QKB327686 QAF327686 PQJ327686 PGN327686 OWR327686 OMV327686 OCZ327686 NTD327686 NJH327686 MZL327686 MPP327686 MFT327686 LVX327686 LMB327686 LCF327686 KSJ327686 KIN327686 JYR327686 JOV327686 JEZ327686 IVD327686 ILH327686 IBL327686 HRP327686 HHT327686 GXX327686 GOB327686 GEF327686 FUJ327686 FKN327686 FAR327686 EQV327686 EGZ327686 DXD327686 DNH327686 DDL327686 CTP327686 CJT327686 BZX327686 BQB327686 BGF327686 AWJ327686 AMN327686 ACR327686 SV327686 IZ327686 WVL262150 WLP262150 WBT262150 VRX262150 VIB262150 UYF262150 UOJ262150 UEN262150 TUR262150 TKV262150 TAZ262150 SRD262150 SHH262150 RXL262150 RNP262150 RDT262150 QTX262150 QKB262150 QAF262150 PQJ262150 PGN262150 OWR262150 OMV262150 OCZ262150 NTD262150 NJH262150 MZL262150 MPP262150 MFT262150 LVX262150 LMB262150 LCF262150 KSJ262150 KIN262150 JYR262150 JOV262150 JEZ262150 IVD262150 ILH262150 IBL262150 HRP262150 HHT262150 GXX262150 GOB262150 GEF262150 FUJ262150 FKN262150 FAR262150 EQV262150 EGZ262150 DXD262150 DNH262150 DDL262150 CTP262150 CJT262150 BZX262150 BQB262150 BGF262150 AWJ262150 AMN262150 ACR262150 SV262150 IZ262150 WVL196614 WLP196614 WBT196614 VRX196614 VIB196614 UYF196614 UOJ196614 UEN196614 TUR196614 TKV196614 TAZ196614 SRD196614 SHH196614 RXL196614 RNP196614 RDT196614 QTX196614 QKB196614 QAF196614 PQJ196614 PGN196614 OWR196614 OMV196614 OCZ196614 NTD196614 NJH196614 MZL196614 MPP196614 MFT196614 LVX196614 LMB196614 LCF196614 KSJ196614 KIN196614 JYR196614 JOV196614 JEZ196614 IVD196614 ILH196614 IBL196614 HRP196614 HHT196614 GXX196614 GOB196614 GEF196614 FUJ196614 FKN196614 FAR196614 EQV196614 EGZ196614 DXD196614 DNH196614 DDL196614 CTP196614 CJT196614 BZX196614 BQB196614 BGF196614 AWJ196614 AMN196614 ACR196614 SV196614 IZ196614 WVL131078 WLP131078 WBT131078 VRX131078 VIB131078 UYF131078 UOJ131078 UEN131078 TUR131078 TKV131078 TAZ131078 SRD131078 SHH131078 RXL131078 RNP131078 RDT131078 QTX131078 QKB131078 QAF131078 PQJ131078 PGN131078 OWR131078 OMV131078 OCZ131078 NTD131078 NJH131078 MZL131078 MPP131078 MFT131078 LVX131078 LMB131078 LCF131078 KSJ131078 KIN131078 JYR131078 JOV131078 JEZ131078 IVD131078 ILH131078 IBL131078 HRP131078 HHT131078 GXX131078 GOB131078 GEF131078 FUJ131078 FKN131078 FAR131078 EQV131078 EGZ131078 DXD131078 DNH131078 DDL131078 CTP131078 CJT131078 BZX131078 BQB131078 BGF131078 AWJ131078 AMN131078 ACR131078 SV131078 IZ131078 WVL65542 WLP65542 WBT65542 VRX65542 VIB65542 UYF65542 UOJ65542 UEN65542 TUR65542 TKV65542 TAZ65542 SRD65542 SHH65542 RXL65542 RNP65542 RDT65542 QTX65542 QKB65542 QAF65542 PQJ65542 PGN65542 OWR65542 OMV65542 OCZ65542 NTD65542 NJH65542 MZL65542 MPP65542 MFT65542 LVX65542 LMB65542 LCF65542 KSJ65542 KIN65542 JYR65542 JOV65542 JEZ65542 IVD65542 ILH65542 IBL65542 HRP65542 HHT65542 GXX65542 GOB65542 GEF65542 FUJ65542 FKN65542 FAR65542 EQV65542 EGZ65542 DXD65542 DNH65542 DDL65542 CTP65542 CJT65542 BZX65542 BQB65542 BGF65542 AWJ65542 AMN65542 ACR65542 SV65542 IZ65542 WVL6 WLP6 WBT6 VRX6 VIB6 UYF6 UOJ6 UEN6 TUR6 TKV6 TAZ6 SRD6 SHH6 RXL6 RNP6 RDT6 QTX6 QKB6 QAF6 PQJ6 PGN6 OWR6 OMV6 OCZ6 NTD6 NJH6 MZL6 MPP6 MFT6 LVX6 LMB6 LCF6 KSJ6 KIN6 JYR6 JOV6 JEZ6 IVD6 ILH6 IBL6 HRP6 HHT6 GXX6 GOB6 GEF6 FUJ6 FKN6 FAR6 EQV6 EGZ6 DXD6 DNH6 DDL6 CTP6 CJT6 BZX6 BQB6 BGF6 AWJ6 AMN6 ACR6 SV6" xr:uid="{34E5D90F-BCA4-4A91-BDFC-D3B0BD730340}">
      <formula1>INDIRECT($C$4)</formula1>
    </dataValidation>
    <dataValidation type="list" allowBlank="1" showInputMessage="1" showErrorMessage="1" sqref="IZ7 SV7 ACR7 AMN7 AWJ7 BGF7 BQB7 BZX7 CJT7 CTP7 DDL7 DNH7 DXD7 EGZ7 EQV7 FAR7 FKN7 FUJ7 GEF7 GOB7 GXX7 HHT7 HRP7 IBL7 ILH7 IVD7 JEZ7 JOV7 JYR7 KIN7 KSJ7 LCF7 LMB7 LVX7 MFT7 MPP7 MZL7 NJH7 NTD7 OCZ7 OMV7 OWR7 PGN7 PQJ7 QAF7 QKB7 QTX7 RDT7 RNP7 RXL7 SHH7 SRD7 TAZ7 TKV7 TUR7 UEN7 UOJ7 UYF7 VIB7 VRX7 WBT7 WLP7 WVL7 IZ65543 SV65543 ACR65543 AMN65543 AWJ65543 BGF65543 BQB65543 BZX65543 CJT65543 CTP65543 DDL65543 DNH65543 DXD65543 EGZ65543 EQV65543 FAR65543 FKN65543 FUJ65543 GEF65543 GOB65543 GXX65543 HHT65543 HRP65543 IBL65543 ILH65543 IVD65543 JEZ65543 JOV65543 JYR65543 KIN65543 KSJ65543 LCF65543 LMB65543 LVX65543 MFT65543 MPP65543 MZL65543 NJH65543 NTD65543 OCZ65543 OMV65543 OWR65543 PGN65543 PQJ65543 QAF65543 QKB65543 QTX65543 RDT65543 RNP65543 RXL65543 SHH65543 SRD65543 TAZ65543 TKV65543 TUR65543 UEN65543 UOJ65543 UYF65543 VIB65543 VRX65543 WBT65543 WLP65543 WVL65543 IZ131079 SV131079 ACR131079 AMN131079 AWJ131079 BGF131079 BQB131079 BZX131079 CJT131079 CTP131079 DDL131079 DNH131079 DXD131079 EGZ131079 EQV131079 FAR131079 FKN131079 FUJ131079 GEF131079 GOB131079 GXX131079 HHT131079 HRP131079 IBL131079 ILH131079 IVD131079 JEZ131079 JOV131079 JYR131079 KIN131079 KSJ131079 LCF131079 LMB131079 LVX131079 MFT131079 MPP131079 MZL131079 NJH131079 NTD131079 OCZ131079 OMV131079 OWR131079 PGN131079 PQJ131079 QAF131079 QKB131079 QTX131079 RDT131079 RNP131079 RXL131079 SHH131079 SRD131079 TAZ131079 TKV131079 TUR131079 UEN131079 UOJ131079 UYF131079 VIB131079 VRX131079 WBT131079 WLP131079 WVL131079 IZ196615 SV196615 ACR196615 AMN196615 AWJ196615 BGF196615 BQB196615 BZX196615 CJT196615 CTP196615 DDL196615 DNH196615 DXD196615 EGZ196615 EQV196615 FAR196615 FKN196615 FUJ196615 GEF196615 GOB196615 GXX196615 HHT196615 HRP196615 IBL196615 ILH196615 IVD196615 JEZ196615 JOV196615 JYR196615 KIN196615 KSJ196615 LCF196615 LMB196615 LVX196615 MFT196615 MPP196615 MZL196615 NJH196615 NTD196615 OCZ196615 OMV196615 OWR196615 PGN196615 PQJ196615 QAF196615 QKB196615 QTX196615 RDT196615 RNP196615 RXL196615 SHH196615 SRD196615 TAZ196615 TKV196615 TUR196615 UEN196615 UOJ196615 UYF196615 VIB196615 VRX196615 WBT196615 WLP196615 WVL196615 IZ262151 SV262151 ACR262151 AMN262151 AWJ262151 BGF262151 BQB262151 BZX262151 CJT262151 CTP262151 DDL262151 DNH262151 DXD262151 EGZ262151 EQV262151 FAR262151 FKN262151 FUJ262151 GEF262151 GOB262151 GXX262151 HHT262151 HRP262151 IBL262151 ILH262151 IVD262151 JEZ262151 JOV262151 JYR262151 KIN262151 KSJ262151 LCF262151 LMB262151 LVX262151 MFT262151 MPP262151 MZL262151 NJH262151 NTD262151 OCZ262151 OMV262151 OWR262151 PGN262151 PQJ262151 QAF262151 QKB262151 QTX262151 RDT262151 RNP262151 RXL262151 SHH262151 SRD262151 TAZ262151 TKV262151 TUR262151 UEN262151 UOJ262151 UYF262151 VIB262151 VRX262151 WBT262151 WLP262151 WVL262151 IZ327687 SV327687 ACR327687 AMN327687 AWJ327687 BGF327687 BQB327687 BZX327687 CJT327687 CTP327687 DDL327687 DNH327687 DXD327687 EGZ327687 EQV327687 FAR327687 FKN327687 FUJ327687 GEF327687 GOB327687 GXX327687 HHT327687 HRP327687 IBL327687 ILH327687 IVD327687 JEZ327687 JOV327687 JYR327687 KIN327687 KSJ327687 LCF327687 LMB327687 LVX327687 MFT327687 MPP327687 MZL327687 NJH327687 NTD327687 OCZ327687 OMV327687 OWR327687 PGN327687 PQJ327687 QAF327687 QKB327687 QTX327687 RDT327687 RNP327687 RXL327687 SHH327687 SRD327687 TAZ327687 TKV327687 TUR327687 UEN327687 UOJ327687 UYF327687 VIB327687 VRX327687 WBT327687 WLP327687 WVL327687 IZ393223 SV393223 ACR393223 AMN393223 AWJ393223 BGF393223 BQB393223 BZX393223 CJT393223 CTP393223 DDL393223 DNH393223 DXD393223 EGZ393223 EQV393223 FAR393223 FKN393223 FUJ393223 GEF393223 GOB393223 GXX393223 HHT393223 HRP393223 IBL393223 ILH393223 IVD393223 JEZ393223 JOV393223 JYR393223 KIN393223 KSJ393223 LCF393223 LMB393223 LVX393223 MFT393223 MPP393223 MZL393223 NJH393223 NTD393223 OCZ393223 OMV393223 OWR393223 PGN393223 PQJ393223 QAF393223 QKB393223 QTX393223 RDT393223 RNP393223 RXL393223 SHH393223 SRD393223 TAZ393223 TKV393223 TUR393223 UEN393223 UOJ393223 UYF393223 VIB393223 VRX393223 WBT393223 WLP393223 WVL393223 IZ458759 SV458759 ACR458759 AMN458759 AWJ458759 BGF458759 BQB458759 BZX458759 CJT458759 CTP458759 DDL458759 DNH458759 DXD458759 EGZ458759 EQV458759 FAR458759 FKN458759 FUJ458759 GEF458759 GOB458759 GXX458759 HHT458759 HRP458759 IBL458759 ILH458759 IVD458759 JEZ458759 JOV458759 JYR458759 KIN458759 KSJ458759 LCF458759 LMB458759 LVX458759 MFT458759 MPP458759 MZL458759 NJH458759 NTD458759 OCZ458759 OMV458759 OWR458759 PGN458759 PQJ458759 QAF458759 QKB458759 QTX458759 RDT458759 RNP458759 RXL458759 SHH458759 SRD458759 TAZ458759 TKV458759 TUR458759 UEN458759 UOJ458759 UYF458759 VIB458759 VRX458759 WBT458759 WLP458759 WVL458759 IZ524295 SV524295 ACR524295 AMN524295 AWJ524295 BGF524295 BQB524295 BZX524295 CJT524295 CTP524295 DDL524295 DNH524295 DXD524295 EGZ524295 EQV524295 FAR524295 FKN524295 FUJ524295 GEF524295 GOB524295 GXX524295 HHT524295 HRP524295 IBL524295 ILH524295 IVD524295 JEZ524295 JOV524295 JYR524295 KIN524295 KSJ524295 LCF524295 LMB524295 LVX524295 MFT524295 MPP524295 MZL524295 NJH524295 NTD524295 OCZ524295 OMV524295 OWR524295 PGN524295 PQJ524295 QAF524295 QKB524295 QTX524295 RDT524295 RNP524295 RXL524295 SHH524295 SRD524295 TAZ524295 TKV524295 TUR524295 UEN524295 UOJ524295 UYF524295 VIB524295 VRX524295 WBT524295 WLP524295 WVL524295 IZ589831 SV589831 ACR589831 AMN589831 AWJ589831 BGF589831 BQB589831 BZX589831 CJT589831 CTP589831 DDL589831 DNH589831 DXD589831 EGZ589831 EQV589831 FAR589831 FKN589831 FUJ589831 GEF589831 GOB589831 GXX589831 HHT589831 HRP589831 IBL589831 ILH589831 IVD589831 JEZ589831 JOV589831 JYR589831 KIN589831 KSJ589831 LCF589831 LMB589831 LVX589831 MFT589831 MPP589831 MZL589831 NJH589831 NTD589831 OCZ589831 OMV589831 OWR589831 PGN589831 PQJ589831 QAF589831 QKB589831 QTX589831 RDT589831 RNP589831 RXL589831 SHH589831 SRD589831 TAZ589831 TKV589831 TUR589831 UEN589831 UOJ589831 UYF589831 VIB589831 VRX589831 WBT589831 WLP589831 WVL589831 IZ655367 SV655367 ACR655367 AMN655367 AWJ655367 BGF655367 BQB655367 BZX655367 CJT655367 CTP655367 DDL655367 DNH655367 DXD655367 EGZ655367 EQV655367 FAR655367 FKN655367 FUJ655367 GEF655367 GOB655367 GXX655367 HHT655367 HRP655367 IBL655367 ILH655367 IVD655367 JEZ655367 JOV655367 JYR655367 KIN655367 KSJ655367 LCF655367 LMB655367 LVX655367 MFT655367 MPP655367 MZL655367 NJH655367 NTD655367 OCZ655367 OMV655367 OWR655367 PGN655367 PQJ655367 QAF655367 QKB655367 QTX655367 RDT655367 RNP655367 RXL655367 SHH655367 SRD655367 TAZ655367 TKV655367 TUR655367 UEN655367 UOJ655367 UYF655367 VIB655367 VRX655367 WBT655367 WLP655367 WVL655367 IZ720903 SV720903 ACR720903 AMN720903 AWJ720903 BGF720903 BQB720903 BZX720903 CJT720903 CTP720903 DDL720903 DNH720903 DXD720903 EGZ720903 EQV720903 FAR720903 FKN720903 FUJ720903 GEF720903 GOB720903 GXX720903 HHT720903 HRP720903 IBL720903 ILH720903 IVD720903 JEZ720903 JOV720903 JYR720903 KIN720903 KSJ720903 LCF720903 LMB720903 LVX720903 MFT720903 MPP720903 MZL720903 NJH720903 NTD720903 OCZ720903 OMV720903 OWR720903 PGN720903 PQJ720903 QAF720903 QKB720903 QTX720903 RDT720903 RNP720903 RXL720903 SHH720903 SRD720903 TAZ720903 TKV720903 TUR720903 UEN720903 UOJ720903 UYF720903 VIB720903 VRX720903 WBT720903 WLP720903 WVL720903 IZ786439 SV786439 ACR786439 AMN786439 AWJ786439 BGF786439 BQB786439 BZX786439 CJT786439 CTP786439 DDL786439 DNH786439 DXD786439 EGZ786439 EQV786439 FAR786439 FKN786439 FUJ786439 GEF786439 GOB786439 GXX786439 HHT786439 HRP786439 IBL786439 ILH786439 IVD786439 JEZ786439 JOV786439 JYR786439 KIN786439 KSJ786439 LCF786439 LMB786439 LVX786439 MFT786439 MPP786439 MZL786439 NJH786439 NTD786439 OCZ786439 OMV786439 OWR786439 PGN786439 PQJ786439 QAF786439 QKB786439 QTX786439 RDT786439 RNP786439 RXL786439 SHH786439 SRD786439 TAZ786439 TKV786439 TUR786439 UEN786439 UOJ786439 UYF786439 VIB786439 VRX786439 WBT786439 WLP786439 WVL786439 IZ851975 SV851975 ACR851975 AMN851975 AWJ851975 BGF851975 BQB851975 BZX851975 CJT851975 CTP851975 DDL851975 DNH851975 DXD851975 EGZ851975 EQV851975 FAR851975 FKN851975 FUJ851975 GEF851975 GOB851975 GXX851975 HHT851975 HRP851975 IBL851975 ILH851975 IVD851975 JEZ851975 JOV851975 JYR851975 KIN851975 KSJ851975 LCF851975 LMB851975 LVX851975 MFT851975 MPP851975 MZL851975 NJH851975 NTD851975 OCZ851975 OMV851975 OWR851975 PGN851975 PQJ851975 QAF851975 QKB851975 QTX851975 RDT851975 RNP851975 RXL851975 SHH851975 SRD851975 TAZ851975 TKV851975 TUR851975 UEN851975 UOJ851975 UYF851975 VIB851975 VRX851975 WBT851975 WLP851975 WVL851975 IZ917511 SV917511 ACR917511 AMN917511 AWJ917511 BGF917511 BQB917511 BZX917511 CJT917511 CTP917511 DDL917511 DNH917511 DXD917511 EGZ917511 EQV917511 FAR917511 FKN917511 FUJ917511 GEF917511 GOB917511 GXX917511 HHT917511 HRP917511 IBL917511 ILH917511 IVD917511 JEZ917511 JOV917511 JYR917511 KIN917511 KSJ917511 LCF917511 LMB917511 LVX917511 MFT917511 MPP917511 MZL917511 NJH917511 NTD917511 OCZ917511 OMV917511 OWR917511 PGN917511 PQJ917511 QAF917511 QKB917511 QTX917511 RDT917511 RNP917511 RXL917511 SHH917511 SRD917511 TAZ917511 TKV917511 TUR917511 UEN917511 UOJ917511 UYF917511 VIB917511 VRX917511 WBT917511 WLP917511 WVL917511 IZ983047 SV983047 ACR983047 AMN983047 AWJ983047 BGF983047 BQB983047 BZX983047 CJT983047 CTP983047 DDL983047 DNH983047 DXD983047 EGZ983047 EQV983047 FAR983047 FKN983047 FUJ983047 GEF983047 GOB983047 GXX983047 HHT983047 HRP983047 IBL983047 ILH983047 IVD983047 JEZ983047 JOV983047 JYR983047 KIN983047 KSJ983047 LCF983047 LMB983047 LVX983047 MFT983047 MPP983047 MZL983047 NJH983047 NTD983047 OCZ983047 OMV983047 OWR983047 PGN983047 PQJ983047 QAF983047 QKB983047 QTX983047 RDT983047 RNP983047 RXL983047 SHH983047 SRD983047 TAZ983047 TKV983047 TUR983047 UEN983047 UOJ983047 UYF983047 VIB983047 VRX983047 WBT983047 WLP983047 WVL983047 C983045 C917509 C851973 C786437 C720901 C655365 C589829 C524293 C458757 C393221 C327685 C262149 C196613 C131077 C65541" xr:uid="{B232835A-E930-411C-8F61-23BDA41EA6A5}">
      <formula1>"台北一區, 台北二區, 台北三區"</formula1>
    </dataValidation>
    <dataValidation type="list" allowBlank="1" showInputMessage="1" showErrorMessage="1" sqref="IZ94 SV94 ACR94 AMN94 AWJ94 BGF94 BQB94 BZX94 CJT94 CTP94 DDL94 DNH94 DXD94 EGZ94 EQV94 FAR94 FKN94 FUJ94 GEF94 GOB94 GXX94 HHT94 HRP94 IBL94 ILH94 IVD94 JEZ94 JOV94 JYR94 KIN94 KSJ94 LCF94 LMB94 LVX94 MFT94 MPP94 MZL94 NJH94 NTD94 OCZ94 OMV94 OWR94 PGN94 PQJ94 QAF94 QKB94 QTX94 RDT94 RNP94 RXL94 SHH94 SRD94 TAZ94 TKV94 TUR94 UEN94 UOJ94 UYF94 VIB94 VRX94 WBT94 WLP94 WVL94 IZ65630 SV65630 ACR65630 AMN65630 AWJ65630 BGF65630 BQB65630 BZX65630 CJT65630 CTP65630 DDL65630 DNH65630 DXD65630 EGZ65630 EQV65630 FAR65630 FKN65630 FUJ65630 GEF65630 GOB65630 GXX65630 HHT65630 HRP65630 IBL65630 ILH65630 IVD65630 JEZ65630 JOV65630 JYR65630 KIN65630 KSJ65630 LCF65630 LMB65630 LVX65630 MFT65630 MPP65630 MZL65630 NJH65630 NTD65630 OCZ65630 OMV65630 OWR65630 PGN65630 PQJ65630 QAF65630 QKB65630 QTX65630 RDT65630 RNP65630 RXL65630 SHH65630 SRD65630 TAZ65630 TKV65630 TUR65630 UEN65630 UOJ65630 UYF65630 VIB65630 VRX65630 WBT65630 WLP65630 WVL65630 IZ131166 SV131166 ACR131166 AMN131166 AWJ131166 BGF131166 BQB131166 BZX131166 CJT131166 CTP131166 DDL131166 DNH131166 DXD131166 EGZ131166 EQV131166 FAR131166 FKN131166 FUJ131166 GEF131166 GOB131166 GXX131166 HHT131166 HRP131166 IBL131166 ILH131166 IVD131166 JEZ131166 JOV131166 JYR131166 KIN131166 KSJ131166 LCF131166 LMB131166 LVX131166 MFT131166 MPP131166 MZL131166 NJH131166 NTD131166 OCZ131166 OMV131166 OWR131166 PGN131166 PQJ131166 QAF131166 QKB131166 QTX131166 RDT131166 RNP131166 RXL131166 SHH131166 SRD131166 TAZ131166 TKV131166 TUR131166 UEN131166 UOJ131166 UYF131166 VIB131166 VRX131166 WBT131166 WLP131166 WVL131166 IZ196702 SV196702 ACR196702 AMN196702 AWJ196702 BGF196702 BQB196702 BZX196702 CJT196702 CTP196702 DDL196702 DNH196702 DXD196702 EGZ196702 EQV196702 FAR196702 FKN196702 FUJ196702 GEF196702 GOB196702 GXX196702 HHT196702 HRP196702 IBL196702 ILH196702 IVD196702 JEZ196702 JOV196702 JYR196702 KIN196702 KSJ196702 LCF196702 LMB196702 LVX196702 MFT196702 MPP196702 MZL196702 NJH196702 NTD196702 OCZ196702 OMV196702 OWR196702 PGN196702 PQJ196702 QAF196702 QKB196702 QTX196702 RDT196702 RNP196702 RXL196702 SHH196702 SRD196702 TAZ196702 TKV196702 TUR196702 UEN196702 UOJ196702 UYF196702 VIB196702 VRX196702 WBT196702 WLP196702 WVL196702 IZ262238 SV262238 ACR262238 AMN262238 AWJ262238 BGF262238 BQB262238 BZX262238 CJT262238 CTP262238 DDL262238 DNH262238 DXD262238 EGZ262238 EQV262238 FAR262238 FKN262238 FUJ262238 GEF262238 GOB262238 GXX262238 HHT262238 HRP262238 IBL262238 ILH262238 IVD262238 JEZ262238 JOV262238 JYR262238 KIN262238 KSJ262238 LCF262238 LMB262238 LVX262238 MFT262238 MPP262238 MZL262238 NJH262238 NTD262238 OCZ262238 OMV262238 OWR262238 PGN262238 PQJ262238 QAF262238 QKB262238 QTX262238 RDT262238 RNP262238 RXL262238 SHH262238 SRD262238 TAZ262238 TKV262238 TUR262238 UEN262238 UOJ262238 UYF262238 VIB262238 VRX262238 WBT262238 WLP262238 WVL262238 IZ327774 SV327774 ACR327774 AMN327774 AWJ327774 BGF327774 BQB327774 BZX327774 CJT327774 CTP327774 DDL327774 DNH327774 DXD327774 EGZ327774 EQV327774 FAR327774 FKN327774 FUJ327774 GEF327774 GOB327774 GXX327774 HHT327774 HRP327774 IBL327774 ILH327774 IVD327774 JEZ327774 JOV327774 JYR327774 KIN327774 KSJ327774 LCF327774 LMB327774 LVX327774 MFT327774 MPP327774 MZL327774 NJH327774 NTD327774 OCZ327774 OMV327774 OWR327774 PGN327774 PQJ327774 QAF327774 QKB327774 QTX327774 RDT327774 RNP327774 RXL327774 SHH327774 SRD327774 TAZ327774 TKV327774 TUR327774 UEN327774 UOJ327774 UYF327774 VIB327774 VRX327774 WBT327774 WLP327774 WVL327774 IZ393310 SV393310 ACR393310 AMN393310 AWJ393310 BGF393310 BQB393310 BZX393310 CJT393310 CTP393310 DDL393310 DNH393310 DXD393310 EGZ393310 EQV393310 FAR393310 FKN393310 FUJ393310 GEF393310 GOB393310 GXX393310 HHT393310 HRP393310 IBL393310 ILH393310 IVD393310 JEZ393310 JOV393310 JYR393310 KIN393310 KSJ393310 LCF393310 LMB393310 LVX393310 MFT393310 MPP393310 MZL393310 NJH393310 NTD393310 OCZ393310 OMV393310 OWR393310 PGN393310 PQJ393310 QAF393310 QKB393310 QTX393310 RDT393310 RNP393310 RXL393310 SHH393310 SRD393310 TAZ393310 TKV393310 TUR393310 UEN393310 UOJ393310 UYF393310 VIB393310 VRX393310 WBT393310 WLP393310 WVL393310 IZ458846 SV458846 ACR458846 AMN458846 AWJ458846 BGF458846 BQB458846 BZX458846 CJT458846 CTP458846 DDL458846 DNH458846 DXD458846 EGZ458846 EQV458846 FAR458846 FKN458846 FUJ458846 GEF458846 GOB458846 GXX458846 HHT458846 HRP458846 IBL458846 ILH458846 IVD458846 JEZ458846 JOV458846 JYR458846 KIN458846 KSJ458846 LCF458846 LMB458846 LVX458846 MFT458846 MPP458846 MZL458846 NJH458846 NTD458846 OCZ458846 OMV458846 OWR458846 PGN458846 PQJ458846 QAF458846 QKB458846 QTX458846 RDT458846 RNP458846 RXL458846 SHH458846 SRD458846 TAZ458846 TKV458846 TUR458846 UEN458846 UOJ458846 UYF458846 VIB458846 VRX458846 WBT458846 WLP458846 WVL458846 IZ524382 SV524382 ACR524382 AMN524382 AWJ524382 BGF524382 BQB524382 BZX524382 CJT524382 CTP524382 DDL524382 DNH524382 DXD524382 EGZ524382 EQV524382 FAR524382 FKN524382 FUJ524382 GEF524382 GOB524382 GXX524382 HHT524382 HRP524382 IBL524382 ILH524382 IVD524382 JEZ524382 JOV524382 JYR524382 KIN524382 KSJ524382 LCF524382 LMB524382 LVX524382 MFT524382 MPP524382 MZL524382 NJH524382 NTD524382 OCZ524382 OMV524382 OWR524382 PGN524382 PQJ524382 QAF524382 QKB524382 QTX524382 RDT524382 RNP524382 RXL524382 SHH524382 SRD524382 TAZ524382 TKV524382 TUR524382 UEN524382 UOJ524382 UYF524382 VIB524382 VRX524382 WBT524382 WLP524382 WVL524382 IZ589918 SV589918 ACR589918 AMN589918 AWJ589918 BGF589918 BQB589918 BZX589918 CJT589918 CTP589918 DDL589918 DNH589918 DXD589918 EGZ589918 EQV589918 FAR589918 FKN589918 FUJ589918 GEF589918 GOB589918 GXX589918 HHT589918 HRP589918 IBL589918 ILH589918 IVD589918 JEZ589918 JOV589918 JYR589918 KIN589918 KSJ589918 LCF589918 LMB589918 LVX589918 MFT589918 MPP589918 MZL589918 NJH589918 NTD589918 OCZ589918 OMV589918 OWR589918 PGN589918 PQJ589918 QAF589918 QKB589918 QTX589918 RDT589918 RNP589918 RXL589918 SHH589918 SRD589918 TAZ589918 TKV589918 TUR589918 UEN589918 UOJ589918 UYF589918 VIB589918 VRX589918 WBT589918 WLP589918 WVL589918 IZ655454 SV655454 ACR655454 AMN655454 AWJ655454 BGF655454 BQB655454 BZX655454 CJT655454 CTP655454 DDL655454 DNH655454 DXD655454 EGZ655454 EQV655454 FAR655454 FKN655454 FUJ655454 GEF655454 GOB655454 GXX655454 HHT655454 HRP655454 IBL655454 ILH655454 IVD655454 JEZ655454 JOV655454 JYR655454 KIN655454 KSJ655454 LCF655454 LMB655454 LVX655454 MFT655454 MPP655454 MZL655454 NJH655454 NTD655454 OCZ655454 OMV655454 OWR655454 PGN655454 PQJ655454 QAF655454 QKB655454 QTX655454 RDT655454 RNP655454 RXL655454 SHH655454 SRD655454 TAZ655454 TKV655454 TUR655454 UEN655454 UOJ655454 UYF655454 VIB655454 VRX655454 WBT655454 WLP655454 WVL655454 IZ720990 SV720990 ACR720990 AMN720990 AWJ720990 BGF720990 BQB720990 BZX720990 CJT720990 CTP720990 DDL720990 DNH720990 DXD720990 EGZ720990 EQV720990 FAR720990 FKN720990 FUJ720990 GEF720990 GOB720990 GXX720990 HHT720990 HRP720990 IBL720990 ILH720990 IVD720990 JEZ720990 JOV720990 JYR720990 KIN720990 KSJ720990 LCF720990 LMB720990 LVX720990 MFT720990 MPP720990 MZL720990 NJH720990 NTD720990 OCZ720990 OMV720990 OWR720990 PGN720990 PQJ720990 QAF720990 QKB720990 QTX720990 RDT720990 RNP720990 RXL720990 SHH720990 SRD720990 TAZ720990 TKV720990 TUR720990 UEN720990 UOJ720990 UYF720990 VIB720990 VRX720990 WBT720990 WLP720990 WVL720990 IZ786526 SV786526 ACR786526 AMN786526 AWJ786526 BGF786526 BQB786526 BZX786526 CJT786526 CTP786526 DDL786526 DNH786526 DXD786526 EGZ786526 EQV786526 FAR786526 FKN786526 FUJ786526 GEF786526 GOB786526 GXX786526 HHT786526 HRP786526 IBL786526 ILH786526 IVD786526 JEZ786526 JOV786526 JYR786526 KIN786526 KSJ786526 LCF786526 LMB786526 LVX786526 MFT786526 MPP786526 MZL786526 NJH786526 NTD786526 OCZ786526 OMV786526 OWR786526 PGN786526 PQJ786526 QAF786526 QKB786526 QTX786526 RDT786526 RNP786526 RXL786526 SHH786526 SRD786526 TAZ786526 TKV786526 TUR786526 UEN786526 UOJ786526 UYF786526 VIB786526 VRX786526 WBT786526 WLP786526 WVL786526 IZ852062 SV852062 ACR852062 AMN852062 AWJ852062 BGF852062 BQB852062 BZX852062 CJT852062 CTP852062 DDL852062 DNH852062 DXD852062 EGZ852062 EQV852062 FAR852062 FKN852062 FUJ852062 GEF852062 GOB852062 GXX852062 HHT852062 HRP852062 IBL852062 ILH852062 IVD852062 JEZ852062 JOV852062 JYR852062 KIN852062 KSJ852062 LCF852062 LMB852062 LVX852062 MFT852062 MPP852062 MZL852062 NJH852062 NTD852062 OCZ852062 OMV852062 OWR852062 PGN852062 PQJ852062 QAF852062 QKB852062 QTX852062 RDT852062 RNP852062 RXL852062 SHH852062 SRD852062 TAZ852062 TKV852062 TUR852062 UEN852062 UOJ852062 UYF852062 VIB852062 VRX852062 WBT852062 WLP852062 WVL852062 IZ917598 SV917598 ACR917598 AMN917598 AWJ917598 BGF917598 BQB917598 BZX917598 CJT917598 CTP917598 DDL917598 DNH917598 DXD917598 EGZ917598 EQV917598 FAR917598 FKN917598 FUJ917598 GEF917598 GOB917598 GXX917598 HHT917598 HRP917598 IBL917598 ILH917598 IVD917598 JEZ917598 JOV917598 JYR917598 KIN917598 KSJ917598 LCF917598 LMB917598 LVX917598 MFT917598 MPP917598 MZL917598 NJH917598 NTD917598 OCZ917598 OMV917598 OWR917598 PGN917598 PQJ917598 QAF917598 QKB917598 QTX917598 RDT917598 RNP917598 RXL917598 SHH917598 SRD917598 TAZ917598 TKV917598 TUR917598 UEN917598 UOJ917598 UYF917598 VIB917598 VRX917598 WBT917598 WLP917598 WVL917598 IZ983134 SV983134 ACR983134 AMN983134 AWJ983134 BGF983134 BQB983134 BZX983134 CJT983134 CTP983134 DDL983134 DNH983134 DXD983134 EGZ983134 EQV983134 FAR983134 FKN983134 FUJ983134 GEF983134 GOB983134 GXX983134 HHT983134 HRP983134 IBL983134 ILH983134 IVD983134 JEZ983134 JOV983134 JYR983134 KIN983134 KSJ983134 LCF983134 LMB983134 LVX983134 MFT983134 MPP983134 MZL983134 NJH983134 NTD983134 OCZ983134 OMV983134 OWR983134 PGN983134 PQJ983134 QAF983134 QKB983134 QTX983134 RDT983134 RNP983134 RXL983134 SHH983134 SRD983134 TAZ983134 TKV983134 TUR983134 UEN983134 UOJ983134 UYF983134 VIB983134 VRX983134 WBT983134 WLP983134 WVL983134 C983132 C917596 C852060 C786524 C720988 C655452 C589916 C524380 C458844 C393308 C327772 C262236 C196700 C131164 C65628 R45:AL45 K14:L14 N14:Q14 AP45 AV45" xr:uid="{DF8B6EA1-265F-4E15-ABD8-F93E7A600FFE}">
      <formula1>"0.67, 0.80, 1.00, 1.33"</formula1>
    </dataValidation>
    <dataValidation type="list" allowBlank="1" showInputMessage="1" showErrorMessage="1" sqref="AM39 AS39" xr:uid="{24D1FCF3-9E27-4366-BB1E-D342D949AF77}">
      <formula1>$AM$35:$AM$38</formula1>
    </dataValidation>
  </dataValidations>
  <pageMargins left="0.39370078740157483" right="0.39370078740157483" top="0.74803149606299213" bottom="0.74803149606299213" header="0.31496062992125984" footer="0.31496062992125984"/>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工作表8"/>
  <dimension ref="A1:AN96"/>
  <sheetViews>
    <sheetView topLeftCell="A4" zoomScaleNormal="100" workbookViewId="0">
      <selection activeCell="B6" sqref="B6"/>
    </sheetView>
  </sheetViews>
  <sheetFormatPr defaultColWidth="9" defaultRowHeight="15.5"/>
  <cols>
    <col min="1" max="1" width="27.6328125" style="209" bestFit="1" customWidth="1"/>
    <col min="2" max="2" width="19.6328125" style="209" customWidth="1"/>
    <col min="3" max="3" width="17.453125" style="209" bestFit="1" customWidth="1"/>
    <col min="4" max="4" width="13.08984375" style="209" bestFit="1" customWidth="1"/>
    <col min="5" max="5" width="11.7265625" style="209" bestFit="1" customWidth="1"/>
    <col min="6" max="6" width="12.36328125" style="209" bestFit="1" customWidth="1"/>
    <col min="7" max="7" width="11.36328125" style="209" bestFit="1" customWidth="1"/>
    <col min="8" max="8" width="3.08984375" style="209" customWidth="1"/>
    <col min="9" max="9" width="31.81640625" style="209" bestFit="1" customWidth="1"/>
    <col min="10" max="10" width="10.6328125" style="209" bestFit="1" customWidth="1"/>
    <col min="11" max="11" width="10.7265625" style="209" bestFit="1" customWidth="1"/>
    <col min="12" max="12" width="10.08984375" style="209" bestFit="1" customWidth="1"/>
    <col min="13" max="13" width="12.81640625" style="209" bestFit="1" customWidth="1"/>
    <col min="14" max="14" width="21.81640625" style="209" bestFit="1" customWidth="1"/>
    <col min="15" max="15" width="18.08984375" style="209" bestFit="1" customWidth="1"/>
    <col min="16" max="16" width="16.36328125" style="209" bestFit="1" customWidth="1"/>
    <col min="17" max="17" width="12.08984375" style="209" bestFit="1" customWidth="1"/>
    <col min="18" max="18" width="11.7265625" style="209" bestFit="1" customWidth="1"/>
    <col min="19" max="19" width="34.08984375" style="209" bestFit="1" customWidth="1"/>
    <col min="20" max="20" width="10.81640625" style="209" bestFit="1" customWidth="1"/>
    <col min="21" max="21" width="10.26953125" style="209" bestFit="1" customWidth="1"/>
    <col min="22" max="22" width="10.7265625" style="209" bestFit="1" customWidth="1"/>
    <col min="23" max="23" width="12.36328125" style="209" bestFit="1" customWidth="1"/>
    <col min="24" max="24" width="11.26953125" style="209" bestFit="1" customWidth="1"/>
    <col min="25" max="25" width="9.81640625" style="209" bestFit="1" customWidth="1"/>
    <col min="26" max="26" width="12.08984375" style="209" customWidth="1"/>
    <col min="27" max="28" width="9.81640625" style="209" bestFit="1" customWidth="1"/>
    <col min="29" max="29" width="12.26953125" style="209" bestFit="1" customWidth="1"/>
    <col min="30" max="30" width="13.6328125" style="209" bestFit="1" customWidth="1"/>
    <col min="31" max="33" width="9.81640625" style="209" bestFit="1" customWidth="1"/>
    <col min="34" max="34" width="12.26953125" style="209" bestFit="1" customWidth="1"/>
    <col min="35" max="35" width="9.81640625" style="209" bestFit="1" customWidth="1"/>
    <col min="36" max="36" width="5.81640625" style="209" bestFit="1" customWidth="1"/>
    <col min="37" max="37" width="13.36328125" style="209" bestFit="1" customWidth="1"/>
    <col min="38" max="16384" width="9" style="209"/>
  </cols>
  <sheetData>
    <row r="1" spans="1:40" ht="16" thickBot="1">
      <c r="A1" s="138" t="s">
        <v>1357</v>
      </c>
      <c r="I1" s="138" t="s">
        <v>1425</v>
      </c>
      <c r="N1" s="200" t="str">
        <f ca="1">VLOOKUP($I3,INDIRECT($I2),17,FALSE)</f>
        <v>車籠埔斷層</v>
      </c>
      <c r="O1" s="200">
        <f ca="1">VLOOKUP($I3,INDIRECT($I2),18,FALSE)</f>
        <v>6</v>
      </c>
    </row>
    <row r="2" spans="1:40" ht="22.5" thickTop="1">
      <c r="A2" s="115" t="s">
        <v>1358</v>
      </c>
      <c r="B2" s="203" t="s">
        <v>1427</v>
      </c>
      <c r="C2" s="234" t="s">
        <v>1663</v>
      </c>
      <c r="D2" s="234" t="s">
        <v>1664</v>
      </c>
      <c r="E2" s="234" t="s">
        <v>1665</v>
      </c>
      <c r="F2" s="235" t="s">
        <v>1666</v>
      </c>
      <c r="G2" s="265"/>
      <c r="H2" s="131"/>
      <c r="I2" s="204" t="s">
        <v>1328</v>
      </c>
      <c r="J2" s="234" t="s">
        <v>1663</v>
      </c>
      <c r="K2" s="234" t="s">
        <v>1664</v>
      </c>
      <c r="L2" s="234" t="s">
        <v>1665</v>
      </c>
      <c r="M2" s="234" t="s">
        <v>1666</v>
      </c>
      <c r="N2" s="131"/>
      <c r="O2" s="131"/>
    </row>
    <row r="3" spans="1:40" s="32" customFormat="1" ht="24" customHeight="1">
      <c r="A3" s="116"/>
      <c r="B3" s="202" t="s">
        <v>1432</v>
      </c>
      <c r="C3" s="249">
        <f ca="1">VLOOKUP($B3,INDIRECT($B2),4,FALSE)</f>
        <v>0.8</v>
      </c>
      <c r="D3" s="249">
        <f ca="1">VLOOKUP($B3,INDIRECT($B2),5,FALSE)</f>
        <v>0.45</v>
      </c>
      <c r="E3" s="249">
        <f ca="1">VLOOKUP($B3,INDIRECT($B2),6,FALSE)</f>
        <v>1</v>
      </c>
      <c r="F3" s="250">
        <f ca="1">VLOOKUP($B3,INDIRECT($B2),7,FALSE)</f>
        <v>0.55000000000000004</v>
      </c>
      <c r="G3" s="266"/>
      <c r="H3" s="132"/>
      <c r="I3" s="205" t="s">
        <v>1659</v>
      </c>
      <c r="J3" s="249">
        <f ca="1">VLOOKUP($I3,INDIRECT($I2),13,FALSE)</f>
        <v>0.8</v>
      </c>
      <c r="K3" s="249">
        <f ca="1">VLOOKUP($I3,INDIRECT($I2),14,FALSE)</f>
        <v>0.45</v>
      </c>
      <c r="L3" s="249">
        <f ca="1">VLOOKUP($I3,INDIRECT($I2),15,FALSE)</f>
        <v>1</v>
      </c>
      <c r="M3" s="249">
        <f ca="1">VLOOKUP($I3,INDIRECT($I2),16,FALSE)</f>
        <v>0.55000000000000004</v>
      </c>
      <c r="N3" s="133"/>
      <c r="O3" s="133"/>
      <c r="P3" s="485" t="str">
        <f>"規範最小地震橫力係數 Cs*載重組合係數之比較 ["&amp;B5  &amp; ", R=" &amp; B12 &amp; "]"</f>
        <v>規範最小地震橫力係數 Cs*載重組合係數之比較 [第一類, R=4]</v>
      </c>
      <c r="Q3" s="484"/>
      <c r="R3" s="484"/>
      <c r="S3" s="484"/>
      <c r="T3" s="209" t="str">
        <f>B5</f>
        <v>第一類</v>
      </c>
      <c r="U3" s="100">
        <f>IF($B5="第一類",1.2,IF($B5="第二類",1.5,1.8))</f>
        <v>1.2</v>
      </c>
      <c r="V3" s="209"/>
      <c r="W3" s="209"/>
      <c r="X3" s="209"/>
      <c r="Y3" s="209"/>
      <c r="Z3" s="209"/>
      <c r="AA3" s="209"/>
      <c r="AB3" s="209"/>
      <c r="AC3" s="209"/>
      <c r="AD3" s="209"/>
      <c r="AE3" s="209" t="s">
        <v>1284</v>
      </c>
      <c r="AF3" s="209" t="s">
        <v>1285</v>
      </c>
      <c r="AG3" s="209" t="s">
        <v>1286</v>
      </c>
    </row>
    <row r="4" spans="1:40" s="32" customFormat="1" ht="24" customHeight="1">
      <c r="A4" s="117"/>
      <c r="B4" s="219" t="s">
        <v>383</v>
      </c>
      <c r="C4" s="219" t="s">
        <v>1667</v>
      </c>
      <c r="D4" s="219" t="s">
        <v>1668</v>
      </c>
      <c r="E4" s="219" t="s">
        <v>1669</v>
      </c>
      <c r="F4" s="238" t="s">
        <v>1670</v>
      </c>
      <c r="G4" s="267"/>
      <c r="H4" s="133"/>
      <c r="I4" s="211" t="s">
        <v>383</v>
      </c>
      <c r="J4" s="218" t="s">
        <v>1677</v>
      </c>
      <c r="K4" s="218" t="s">
        <v>1678</v>
      </c>
      <c r="L4" s="218" t="s">
        <v>1679</v>
      </c>
      <c r="M4" s="218" t="s">
        <v>1680</v>
      </c>
      <c r="N4" s="133"/>
      <c r="O4" s="133"/>
      <c r="P4" s="43"/>
      <c r="Q4" s="38" t="s">
        <v>385</v>
      </c>
      <c r="R4" s="38" t="s">
        <v>391</v>
      </c>
      <c r="S4" s="209"/>
      <c r="T4" s="38" t="s">
        <v>393</v>
      </c>
      <c r="U4" s="38" t="s">
        <v>392</v>
      </c>
      <c r="V4" s="38" t="s">
        <v>398</v>
      </c>
      <c r="W4" s="38" t="s">
        <v>395</v>
      </c>
      <c r="X4" s="38" t="s">
        <v>385</v>
      </c>
      <c r="Y4" s="38" t="s">
        <v>384</v>
      </c>
      <c r="Z4" s="38" t="s">
        <v>393</v>
      </c>
      <c r="AA4" s="38" t="s">
        <v>384</v>
      </c>
      <c r="AB4" s="38" t="s">
        <v>398</v>
      </c>
      <c r="AC4" s="38" t="s">
        <v>384</v>
      </c>
      <c r="AD4" s="38" t="s">
        <v>413</v>
      </c>
      <c r="AE4" s="209" t="s">
        <v>423</v>
      </c>
      <c r="AF4" s="209" t="s">
        <v>424</v>
      </c>
      <c r="AG4" s="209" t="s">
        <v>425</v>
      </c>
    </row>
    <row r="5" spans="1:40" s="32" customFormat="1" ht="24" customHeight="1">
      <c r="A5" s="118"/>
      <c r="B5" s="213" t="s">
        <v>1658</v>
      </c>
      <c r="C5" s="249">
        <f>IF($B5="第一類",1,IF($B5="第二類",IF(C3&lt;=0.6,1.1,IF(C3&gt;=0.7,1,1.1+(0.6-C3))),IF(C3&lt;=0.6,1.2,IF(C3&gt;=0.8,1,1.2+(0.6-C3)))))</f>
        <v>1</v>
      </c>
      <c r="D5" s="249">
        <f>IF($B5="第一類",1,IF($B5="第二類",IF(D3&lt;=0.3,1.5,IF(D3&gt;=0.5,1.1,1.5+(0.3-D3)*2)),IF(D3&lt;=0.3,1.8,IF(D3&gt;=0.5,1.4,1.8+(0.3-D3)*2))))</f>
        <v>1</v>
      </c>
      <c r="E5" s="249" t="s">
        <v>1655</v>
      </c>
      <c r="F5" s="250" t="s">
        <v>1655</v>
      </c>
      <c r="G5" s="266"/>
      <c r="H5" s="151"/>
      <c r="I5" s="212" t="s">
        <v>1658</v>
      </c>
      <c r="J5" s="251">
        <f>VLOOKUP($I6,$S21:$W28,2,FALSE)</f>
        <v>1.03</v>
      </c>
      <c r="K5" s="251">
        <f>VLOOKUP($I6,$S21:$W28,3,FALSE)</f>
        <v>1.1000000000000001</v>
      </c>
      <c r="L5" s="251">
        <f>VLOOKUP($I6,$S21:$W28,4,FALSE)</f>
        <v>1.03</v>
      </c>
      <c r="M5" s="251">
        <f>VLOOKUP($I6,$S21:$W28,5,FALSE)</f>
        <v>1.1499999999999999</v>
      </c>
      <c r="N5" s="134"/>
      <c r="O5" s="134"/>
      <c r="P5" s="43" t="s">
        <v>407</v>
      </c>
      <c r="Q5" s="44" t="s">
        <v>402</v>
      </c>
      <c r="R5" s="44">
        <v>0.8</v>
      </c>
      <c r="S5" s="45" t="s">
        <v>417</v>
      </c>
      <c r="T5" s="44" t="s">
        <v>402</v>
      </c>
      <c r="U5" s="44">
        <v>0.23</v>
      </c>
      <c r="V5" s="44" t="s">
        <v>402</v>
      </c>
      <c r="W5" s="44">
        <v>0.33</v>
      </c>
      <c r="X5" s="38" t="s">
        <v>394</v>
      </c>
      <c r="Y5" s="38">
        <v>1</v>
      </c>
      <c r="Z5" s="38" t="s">
        <v>395</v>
      </c>
      <c r="AA5" s="38">
        <v>0.33</v>
      </c>
      <c r="AB5" s="44" t="s">
        <v>399</v>
      </c>
      <c r="AC5" s="44">
        <v>0.33</v>
      </c>
      <c r="AD5" s="209">
        <f>(2*U12-1)^0.5</f>
        <v>2</v>
      </c>
      <c r="AE5" s="209">
        <v>0.9</v>
      </c>
      <c r="AF5" s="209"/>
      <c r="AG5" s="209">
        <v>1.43</v>
      </c>
    </row>
    <row r="6" spans="1:40" s="32" customFormat="1" ht="22">
      <c r="A6" s="117"/>
      <c r="B6" s="46" t="s">
        <v>1825</v>
      </c>
      <c r="C6" s="236" t="s">
        <v>1671</v>
      </c>
      <c r="D6" s="236" t="s">
        <v>1672</v>
      </c>
      <c r="E6" s="236" t="s">
        <v>1673</v>
      </c>
      <c r="F6" s="237" t="s">
        <v>1674</v>
      </c>
      <c r="G6" s="268"/>
      <c r="H6" s="152"/>
      <c r="I6" s="213" t="s">
        <v>1657</v>
      </c>
      <c r="J6" s="218" t="s">
        <v>1681</v>
      </c>
      <c r="K6" s="218" t="s">
        <v>1682</v>
      </c>
      <c r="L6" s="218" t="s">
        <v>1683</v>
      </c>
      <c r="M6" s="218" t="s">
        <v>1684</v>
      </c>
      <c r="N6" s="135"/>
      <c r="O6" s="135"/>
      <c r="P6" s="43" t="s">
        <v>408</v>
      </c>
      <c r="Q6" s="38" t="s">
        <v>387</v>
      </c>
      <c r="R6" s="38">
        <v>1</v>
      </c>
      <c r="S6" s="45" t="s">
        <v>418</v>
      </c>
      <c r="T6" s="38" t="s">
        <v>1359</v>
      </c>
      <c r="U6" s="101">
        <v>1.5</v>
      </c>
      <c r="V6" s="38" t="s">
        <v>1359</v>
      </c>
      <c r="W6" s="101">
        <f>U6</f>
        <v>1.5</v>
      </c>
      <c r="X6" s="44" t="s">
        <v>391</v>
      </c>
      <c r="Y6" s="44">
        <v>0.8</v>
      </c>
      <c r="Z6" s="38" t="s">
        <v>396</v>
      </c>
      <c r="AA6" s="38">
        <v>0.28000000000000003</v>
      </c>
      <c r="AB6" s="38" t="s">
        <v>400</v>
      </c>
      <c r="AC6" s="38">
        <v>0.23</v>
      </c>
      <c r="AD6" s="209"/>
      <c r="AE6" s="209">
        <v>1.05</v>
      </c>
      <c r="AF6" s="209">
        <v>1.2749999999999999</v>
      </c>
      <c r="AG6" s="209">
        <v>1.4025000000000001</v>
      </c>
    </row>
    <row r="7" spans="1:40" s="32" customFormat="1" ht="21" customHeight="1">
      <c r="A7" s="119" t="s">
        <v>1352</v>
      </c>
      <c r="B7" s="214">
        <v>7</v>
      </c>
      <c r="C7" s="251">
        <f ca="1">IF($B6="", C3,IF($B7&gt;=14,C40,C39+($B7-$B39)*(C40-C39)/$F38))</f>
        <v>0.87</v>
      </c>
      <c r="D7" s="251">
        <f ca="1">IF($B6="", D3,IF($B7&gt;=14,D40,D39+($B7-$B39)*(D40-D39)/$F38))</f>
        <v>0.49</v>
      </c>
      <c r="E7" s="251">
        <f ca="1">IF($B6="", E3,IF($B7&gt;=14,E40,E39+($B7-$B39)*(E40-E39)/$F38))</f>
        <v>1.0900000000000001</v>
      </c>
      <c r="F7" s="252">
        <f ca="1">IF($B6="", F3,IF($B7&gt;=14,F40,F39+($B7-$B39)*(F40-F39)/$F38))</f>
        <v>0.65</v>
      </c>
      <c r="G7" s="269"/>
      <c r="H7" s="153"/>
      <c r="I7" s="214">
        <v>9.3000000000000007</v>
      </c>
      <c r="J7" s="251">
        <f ca="1">J3*J5</f>
        <v>0.82400000000000007</v>
      </c>
      <c r="K7" s="251">
        <f ca="1">K3*K5</f>
        <v>0.49500000000000005</v>
      </c>
      <c r="L7" s="251">
        <f ca="1">L3*L5</f>
        <v>1.03</v>
      </c>
      <c r="M7" s="251">
        <f ca="1">M3*M5</f>
        <v>0.63249999999999995</v>
      </c>
      <c r="N7" s="135"/>
      <c r="O7" s="135"/>
      <c r="P7" s="43" t="s">
        <v>409</v>
      </c>
      <c r="Q7" s="38" t="s">
        <v>386</v>
      </c>
      <c r="R7" s="47">
        <f>0.06*B10^0.75</f>
        <v>0.13677042341728665</v>
      </c>
      <c r="S7" s="45" t="s">
        <v>409</v>
      </c>
      <c r="T7" s="38" t="s">
        <v>386</v>
      </c>
      <c r="U7" s="48">
        <f>0.07*$B10^0.75</f>
        <v>0.15956549398683445</v>
      </c>
      <c r="V7" s="38" t="s">
        <v>386</v>
      </c>
      <c r="W7" s="48">
        <f>U7</f>
        <v>0.15956549398683445</v>
      </c>
      <c r="X7" s="38" t="s">
        <v>401</v>
      </c>
      <c r="Y7" s="38">
        <v>0.6</v>
      </c>
      <c r="Z7" s="44" t="s">
        <v>392</v>
      </c>
      <c r="AA7" s="44">
        <v>0.23</v>
      </c>
      <c r="AB7" s="44"/>
      <c r="AC7" s="44"/>
      <c r="AD7" s="209"/>
      <c r="AE7" s="209">
        <v>1.2</v>
      </c>
      <c r="AF7" s="209">
        <v>1</v>
      </c>
      <c r="AG7" s="209">
        <v>1</v>
      </c>
    </row>
    <row r="8" spans="1:40" s="32" customFormat="1" ht="24" customHeight="1">
      <c r="A8" s="248" t="s">
        <v>1698</v>
      </c>
      <c r="B8" s="243"/>
      <c r="C8" s="219" t="s">
        <v>1675</v>
      </c>
      <c r="D8" s="219" t="s">
        <v>1676</v>
      </c>
      <c r="E8" s="219" t="s">
        <v>1669</v>
      </c>
      <c r="F8" s="238" t="s">
        <v>1670</v>
      </c>
      <c r="G8" s="267"/>
      <c r="H8" s="206"/>
      <c r="I8" s="136" t="s">
        <v>1698</v>
      </c>
      <c r="J8" s="219" t="s">
        <v>1675</v>
      </c>
      <c r="K8" s="219" t="s">
        <v>1676</v>
      </c>
      <c r="L8" s="219" t="s">
        <v>1669</v>
      </c>
      <c r="M8" s="219" t="s">
        <v>1670</v>
      </c>
      <c r="N8" s="135"/>
      <c r="O8" s="135"/>
      <c r="P8" s="43" t="s">
        <v>406</v>
      </c>
      <c r="Q8" s="38" t="s">
        <v>405</v>
      </c>
      <c r="R8" s="48">
        <f>MIN(R13,R14)</f>
        <v>0.15</v>
      </c>
      <c r="S8" s="45" t="s">
        <v>419</v>
      </c>
      <c r="T8" s="38" t="s">
        <v>388</v>
      </c>
      <c r="U8" s="48">
        <f>IF(U7&lt;=T17,X17,IF(U7&lt;=U17,Y17*U7+Z17,IF(U7&lt;=V17,AA17,IF(U7&lt;=W17,AB17/U7^(AC17)))))</f>
        <v>2.5</v>
      </c>
      <c r="V8" s="38" t="s">
        <v>388</v>
      </c>
      <c r="W8" s="48">
        <f>U8</f>
        <v>2.5</v>
      </c>
      <c r="X8" s="209"/>
      <c r="Y8" s="209"/>
      <c r="Z8" s="38" t="s">
        <v>397</v>
      </c>
      <c r="AA8" s="38">
        <v>0.18</v>
      </c>
      <c r="AB8" s="38"/>
      <c r="AC8" s="38"/>
      <c r="AD8" s="209"/>
      <c r="AE8" s="209"/>
      <c r="AF8" s="209"/>
      <c r="AG8" s="209"/>
    </row>
    <row r="9" spans="1:40" s="32" customFormat="1" ht="24" customHeight="1">
      <c r="A9" s="244"/>
      <c r="B9" s="245"/>
      <c r="C9" s="249">
        <f>IF($B5="第一類",1,IF($B5="第二類",IF(C7&lt;=0.6,1.1,IF(C7&gt;=0.7,1,1.1+(0.6-C7))),IF(C7&lt;=0.6,1.2,IF(C7&gt;=0.8,1,1.2+(0.6-C7)))))</f>
        <v>1</v>
      </c>
      <c r="D9" s="249">
        <f>IF($B5="第一類",1,IF($B5="第二類",IF(D7&lt;=0.3,1.5,IF(D7&gt;=0.5,1.1,1.5+(0.3-D7)*2)),IF(D7&lt;=0.3,1.8,IF(D7&gt;=0.5,1.4,1.8+(0.3-D7)*2))))</f>
        <v>1</v>
      </c>
      <c r="E9" s="249">
        <f>IF($B5="第一類",1,IF($B5="第二類",IF(E7&lt;=0.6,1.1,IF(E7&gt;=0.7,1,1.1+(0.6-E7))),IF(E7&lt;=0.6,1.2,IF(E7&gt;=0.8,1,1.2+(0.6-E7)))))</f>
        <v>1</v>
      </c>
      <c r="F9" s="250">
        <f>IF($B5="第一類",1,IF($B5="第二類",IF(F7&lt;=0.3,1.5,IF(F7&gt;=0.5,1.1,1.5+(0.3-F7)*2)),IF(F7&lt;=0.3,1.8,IF(F7&gt;=0.5,1.4,1.8+(0.3-F7)*2))))</f>
        <v>1</v>
      </c>
      <c r="G9" s="267"/>
      <c r="H9" s="206"/>
      <c r="J9" s="249">
        <f>IF($I5="第一類",1,IF($I5="第二類",IF(J7&lt;=0.6,1.1,IF(J7&gt;=0.7,1,1.1+(0.6-J7))),IF(J7&lt;=0.6,1.2,IF(J7&gt;=0.8,1,1.2+(0.6-J7)))))</f>
        <v>1</v>
      </c>
      <c r="K9" s="249">
        <f>IF($I5="第一類",1,IF($I5="第二類",IF(K7&lt;=0.3,1.5,IF(K7&gt;=0.5,1.1,1.5+(0.3-K7)*2)),IF(K7&lt;=0.3,1.8,IF(K7&gt;=0.5,1.4,1.8+(0.3-K7)*2))))</f>
        <v>1</v>
      </c>
      <c r="L9" s="249">
        <f>IF($I5="第一類",1,IF($I5="第二類",IF(L7&lt;=0.6,1.1,IF(L7&gt;=0.7,1,1.1+(0.6-L7))),IF(L7&lt;=0.6,1.2,IF(L7&gt;=0.8,1,1.2+(0.6-L7)))))</f>
        <v>1</v>
      </c>
      <c r="M9" s="249">
        <f>IF($I5="第一類",1,IF($I5="第二類",IF(M7&lt;=0.3,1.5,IF(M7&gt;=0.5,1.1,1.5+(0.3-M7)*2)),IF(M7&lt;=0.3,1.8,IF(M7&gt;=0.5,1.4,1.8+(0.3-M7)*2))))</f>
        <v>1</v>
      </c>
      <c r="N9" s="135"/>
      <c r="O9" s="135"/>
      <c r="P9" s="43"/>
      <c r="Q9" s="38"/>
      <c r="R9" s="48"/>
      <c r="S9" s="45"/>
      <c r="T9" s="38"/>
      <c r="U9" s="48"/>
      <c r="V9" s="38"/>
      <c r="W9" s="48"/>
      <c r="X9" s="209"/>
      <c r="Y9" s="209"/>
      <c r="Z9" s="38"/>
      <c r="AA9" s="38"/>
      <c r="AB9" s="38"/>
      <c r="AC9" s="38"/>
      <c r="AD9" s="209"/>
      <c r="AE9" s="209"/>
      <c r="AF9" s="209"/>
      <c r="AG9" s="209"/>
    </row>
    <row r="10" spans="1:40" s="32" customFormat="1" ht="24" customHeight="1">
      <c r="A10" s="120" t="s">
        <v>1362</v>
      </c>
      <c r="B10" s="215">
        <v>3</v>
      </c>
      <c r="C10" s="106" t="s">
        <v>1692</v>
      </c>
      <c r="D10" s="106" t="s">
        <v>1690</v>
      </c>
      <c r="E10" s="106" t="s">
        <v>1693</v>
      </c>
      <c r="F10" s="241" t="s">
        <v>1695</v>
      </c>
      <c r="G10" s="241"/>
      <c r="H10" s="206"/>
      <c r="I10" s="249" t="str">
        <f>A10&amp;" = " &amp;B10</f>
        <v>屋頂面高度 hn(m) = 3</v>
      </c>
      <c r="J10" s="106" t="s">
        <v>1691</v>
      </c>
      <c r="K10" s="106" t="s">
        <v>1694</v>
      </c>
      <c r="L10" s="106" t="s">
        <v>1693</v>
      </c>
      <c r="M10" s="106" t="s">
        <v>1695</v>
      </c>
      <c r="N10" s="263" t="s">
        <v>1706</v>
      </c>
      <c r="O10" s="191"/>
      <c r="P10" s="43"/>
      <c r="Q10" s="38"/>
      <c r="R10" s="48"/>
      <c r="S10" s="45"/>
      <c r="T10" s="38"/>
      <c r="U10" s="48"/>
      <c r="V10" s="38"/>
      <c r="W10" s="48"/>
      <c r="X10" s="209"/>
      <c r="Y10" s="209"/>
      <c r="Z10" s="38"/>
      <c r="AA10" s="38"/>
      <c r="AB10" s="38"/>
      <c r="AC10" s="38"/>
      <c r="AD10" s="209"/>
      <c r="AE10" s="209"/>
      <c r="AF10" s="209"/>
      <c r="AG10" s="209"/>
    </row>
    <row r="11" spans="1:40" s="32" customFormat="1" ht="24" customHeight="1" thickBot="1">
      <c r="A11" s="120" t="s">
        <v>1421</v>
      </c>
      <c r="B11" s="216" t="s">
        <v>1290</v>
      </c>
      <c r="C11" s="251">
        <f>ROUND(IF(B11="鋼構",0.085,IF(B11="RC",0.07,0.05))*B$10^0.75,4)</f>
        <v>0.15959999999999999</v>
      </c>
      <c r="D11" s="246">
        <v>0.2</v>
      </c>
      <c r="E11" s="273">
        <f>C11*1.4</f>
        <v>0.22343999999999997</v>
      </c>
      <c r="F11" s="274">
        <f>ROUND(IF(C11&gt;=D11,D11,IF(D11&gt;=E11,E11,D11)),4)</f>
        <v>0.2</v>
      </c>
      <c r="G11" s="252" t="str">
        <f ca="1">IF(F11&lt;=0.2*$D17,"較短週期",IF(F11&lt;=$D17,"短週期",IF(F11&lt;=2.5*$D17,"中週期","長週期")))</f>
        <v>短週期</v>
      </c>
      <c r="H11" s="154"/>
      <c r="I11" s="249" t="str">
        <f>A11&amp;" = " &amp;B11</f>
        <v>經驗公式構造分類 = RC</v>
      </c>
      <c r="J11" s="251">
        <f>C11</f>
        <v>0.15959999999999999</v>
      </c>
      <c r="K11" s="247">
        <f>D11</f>
        <v>0.2</v>
      </c>
      <c r="L11" s="251">
        <f>E11</f>
        <v>0.22343999999999997</v>
      </c>
      <c r="M11" s="251">
        <f>ROUND(IF(J11&gt;=K11,K11,IF(K11&gt;=L11,L11,K11)),4)</f>
        <v>0.2</v>
      </c>
      <c r="N11" s="264">
        <f>F11</f>
        <v>0.2</v>
      </c>
      <c r="O11" s="191"/>
      <c r="P11" s="49" t="s">
        <v>404</v>
      </c>
      <c r="Q11" s="38" t="s">
        <v>403</v>
      </c>
      <c r="R11" s="38">
        <v>1</v>
      </c>
      <c r="S11" s="45" t="s">
        <v>416</v>
      </c>
      <c r="T11" s="38" t="s">
        <v>389</v>
      </c>
      <c r="U11" s="38">
        <v>1</v>
      </c>
      <c r="V11" s="38" t="s">
        <v>389</v>
      </c>
      <c r="W11" s="38">
        <f>U11</f>
        <v>1</v>
      </c>
      <c r="X11" s="38"/>
      <c r="Y11" s="38"/>
      <c r="Z11" s="209"/>
      <c r="AA11" s="209"/>
      <c r="AB11" s="209"/>
      <c r="AC11" s="209"/>
      <c r="AD11" s="209"/>
      <c r="AE11" s="209"/>
      <c r="AF11" s="209"/>
      <c r="AG11" s="209"/>
    </row>
    <row r="12" spans="1:40" s="32" customFormat="1" ht="24" customHeight="1" thickTop="1">
      <c r="A12" s="120" t="s">
        <v>1364</v>
      </c>
      <c r="B12" s="216">
        <v>4</v>
      </c>
      <c r="C12" s="106" t="s">
        <v>1365</v>
      </c>
      <c r="D12" s="255">
        <f>1+(B12-1)/1.5</f>
        <v>3</v>
      </c>
      <c r="E12" s="277" t="s">
        <v>1705</v>
      </c>
      <c r="F12" s="281">
        <v>0.1</v>
      </c>
      <c r="G12" s="271" t="str">
        <f ca="1">IF(F12&lt;=0.2*$D17,"較短週期",IF(F12&lt;=$D17,"短週期",IF(F12&lt;=2.5*$D17,"中週期","長週期")))</f>
        <v>較短週期</v>
      </c>
      <c r="H12" s="206"/>
      <c r="I12" s="249" t="str">
        <f>A12&amp;" = " &amp;B12</f>
        <v>系統韌性容量 R = 4</v>
      </c>
      <c r="J12" s="219" t="s">
        <v>1685</v>
      </c>
      <c r="K12" s="219" t="s">
        <v>1686</v>
      </c>
      <c r="L12" s="219" t="s">
        <v>1687</v>
      </c>
      <c r="M12" s="219" t="s">
        <v>1688</v>
      </c>
      <c r="N12" s="242" t="s">
        <v>1365</v>
      </c>
      <c r="O12" s="206"/>
      <c r="P12" s="49" t="s">
        <v>1360</v>
      </c>
      <c r="Q12" s="44" t="s">
        <v>390</v>
      </c>
      <c r="R12" s="50">
        <f>R5*R6*R8*R11</f>
        <v>0.12</v>
      </c>
      <c r="S12" s="45" t="s">
        <v>415</v>
      </c>
      <c r="T12" s="38" t="s">
        <v>1361</v>
      </c>
      <c r="U12" s="38">
        <f>1+($B12-1)/2</f>
        <v>2.5</v>
      </c>
      <c r="V12" s="38" t="s">
        <v>1361</v>
      </c>
      <c r="W12" s="38">
        <f>U12</f>
        <v>2.5</v>
      </c>
      <c r="X12" s="38"/>
      <c r="Y12" s="38"/>
      <c r="Z12" s="209"/>
      <c r="AA12" s="209"/>
      <c r="AB12" s="209"/>
      <c r="AD12" s="209"/>
      <c r="AE12" s="209"/>
      <c r="AF12" s="209"/>
      <c r="AG12" s="209"/>
      <c r="AI12" s="209"/>
    </row>
    <row r="13" spans="1:40" s="32" customFormat="1" ht="24" customHeight="1">
      <c r="A13" s="120" t="s">
        <v>459</v>
      </c>
      <c r="B13" s="216">
        <v>1</v>
      </c>
      <c r="C13" s="218" t="s">
        <v>1697</v>
      </c>
      <c r="D13" s="255">
        <f>ROUND((2*D12-1)^0.5,4)</f>
        <v>2.2361</v>
      </c>
      <c r="E13" s="278" t="s">
        <v>1708</v>
      </c>
      <c r="F13" s="264">
        <v>3</v>
      </c>
      <c r="G13" s="241" t="s">
        <v>1707</v>
      </c>
      <c r="H13" s="206"/>
      <c r="I13" s="249" t="str">
        <f>A13&amp;" = " &amp;B13</f>
        <v>用途係數 I = 1</v>
      </c>
      <c r="J13" s="249">
        <f>IF($I5="第一類",1,IF($I5="第二類",IF(J3&lt;=0.6,1.1,IF(J3&gt;=0.7,1,1.1+(0.6-J3))),IF(J3&lt;=0.6,1.2,IF(J3&gt;=0.8,1,1.2+(0.6-J3)))))</f>
        <v>1</v>
      </c>
      <c r="K13" s="249">
        <f>IF($I5="第一類",1,IF($I5="第二類",IF(K3&lt;=0.3,1.5,IF(K3&gt;=0.5,1.1,1.5+(0.3-K3)*2)),IF(K3&lt;=0.3,1.8,IF(K3&gt;=0.5,1.4,1.8+(0.3-K3)*2))))</f>
        <v>1</v>
      </c>
      <c r="L13" s="249">
        <f>IF($I5="第一類",1,IF($I5="第二類",IF(L3&lt;=0.6,1.1,IF(L3&gt;=0.7,1,1.1+(0.6-L3))),IF(L3&lt;=0.6,1.2,IF(L3&gt;=0.8,1,1.2+(0.6-L3)))))</f>
        <v>1</v>
      </c>
      <c r="M13" s="249">
        <f>IF($I5="第一類",1,IF($I5="第二類",IF(M3&lt;=0.3,1.5,IF(M3&gt;=0.5,1.1,1.5+(0.3-M3)*2)),IF(M3&lt;=0.3,1.8,IF(M3&gt;=0.5,1.4,1.8+(0.3-M3)*2))))</f>
        <v>1</v>
      </c>
      <c r="N13" s="252">
        <f>D12</f>
        <v>3</v>
      </c>
      <c r="O13" s="206"/>
      <c r="Q13" s="51" t="s">
        <v>1293</v>
      </c>
      <c r="R13" s="51">
        <f>ROUND(1/8/(R7^0.5),4)</f>
        <v>0.33800000000000002</v>
      </c>
      <c r="S13" s="45" t="s">
        <v>414</v>
      </c>
      <c r="T13" s="38" t="s">
        <v>1363</v>
      </c>
      <c r="U13" s="38">
        <f>IF(U7&gt;0.611,U$12,IF(IF(U7&gt;0.611,U$12,IF(U7&gt;0.406,AD$5+(U$12-AD$5)*(U7-0.406)/0.205,IF(U7&gt;0.2,AD$5,IF(U7&gt;0.03,AD$5+(AD$5-1)*(U7-0.2)/0.17,1))))&gt;0.406,AD$5+(U$12-AD$5)*(U7-0.406)/0.205,IF(U7&gt;0.2,AD$5,IF(U7&gt;0.03,AD$5+(AD$5-1)*(U7-0.2)/0.17,1))))</f>
        <v>1.3989402292361814</v>
      </c>
      <c r="V13" s="38" t="s">
        <v>1363</v>
      </c>
      <c r="W13" s="38">
        <f>U13</f>
        <v>1.3989402292361814</v>
      </c>
      <c r="X13" s="38"/>
      <c r="Y13" s="48"/>
      <c r="Z13" s="209"/>
      <c r="AA13" s="209"/>
      <c r="AB13" s="209"/>
      <c r="AD13" s="209"/>
      <c r="AE13" s="209"/>
      <c r="AF13" s="209"/>
      <c r="AG13" s="209"/>
      <c r="AH13" s="209"/>
      <c r="AI13" s="209"/>
      <c r="AJ13" s="209"/>
      <c r="AK13" s="209"/>
      <c r="AL13" s="209"/>
      <c r="AM13" s="209"/>
      <c r="AN13" s="209"/>
    </row>
    <row r="14" spans="1:40" s="32" customFormat="1" ht="24" customHeight="1">
      <c r="A14" s="121" t="s">
        <v>1656</v>
      </c>
      <c r="B14" s="216">
        <v>1</v>
      </c>
      <c r="C14" s="218" t="s">
        <v>1696</v>
      </c>
      <c r="D14" s="255">
        <f>ROUND((2*B12-1)^0.5,4)</f>
        <v>2.6457999999999999</v>
      </c>
      <c r="E14" s="278" t="s">
        <v>1710</v>
      </c>
      <c r="F14" s="252">
        <f>1+(F13-1)/1.5</f>
        <v>2.333333333333333</v>
      </c>
      <c r="G14" s="272"/>
      <c r="H14" s="206"/>
      <c r="I14" s="254" t="str">
        <f>A14&amp;" = " &amp;B14</f>
        <v>起始降伏地震力放大倍數αy = 1</v>
      </c>
      <c r="J14" s="491" t="str">
        <f>C13 &amp; "="&amp;D13</f>
        <v>√(2Ra-1)=2.2361</v>
      </c>
      <c r="K14" s="492"/>
      <c r="L14" s="491" t="str">
        <f>C14 &amp; "="&amp;D14</f>
        <v>√(2R-1)=2.6458</v>
      </c>
      <c r="M14" s="492"/>
      <c r="N14" s="241"/>
      <c r="O14" s="206"/>
      <c r="R14" s="53">
        <v>0.15</v>
      </c>
      <c r="S14" s="209"/>
      <c r="T14" s="38" t="s">
        <v>1294</v>
      </c>
      <c r="U14" s="35">
        <f>ROUND(U8/U13,4)</f>
        <v>1.7870999999999999</v>
      </c>
      <c r="V14" s="38" t="s">
        <v>1294</v>
      </c>
      <c r="W14" s="35">
        <f>ROUND(W8/W13,4)</f>
        <v>1.7870999999999999</v>
      </c>
      <c r="X14" s="209"/>
      <c r="Z14" s="209"/>
      <c r="AD14" s="209"/>
      <c r="AE14" s="209"/>
      <c r="AF14" s="209"/>
      <c r="AG14" s="209"/>
      <c r="AH14" s="209"/>
    </row>
    <row r="15" spans="1:40" s="32" customFormat="1" ht="24" customHeight="1" thickBot="1">
      <c r="A15" s="486" t="s">
        <v>442</v>
      </c>
      <c r="B15" s="487"/>
      <c r="D15" s="209"/>
      <c r="E15" s="279" t="s">
        <v>1711</v>
      </c>
      <c r="F15" s="280">
        <f>ROUND((2*F14-1)^0.5,4)</f>
        <v>1.9149</v>
      </c>
      <c r="G15" s="272"/>
      <c r="H15" s="206"/>
      <c r="I15" s="488" t="s">
        <v>442</v>
      </c>
      <c r="J15" s="489"/>
      <c r="M15" s="201"/>
      <c r="N15" s="137"/>
      <c r="O15" s="137"/>
      <c r="P15" s="209"/>
      <c r="Q15" s="44" t="s">
        <v>390</v>
      </c>
      <c r="R15" s="50">
        <f>R5*R6*R14*R11</f>
        <v>0.12</v>
      </c>
      <c r="T15" s="38" t="s">
        <v>1295</v>
      </c>
      <c r="U15" s="50">
        <f>IF(U14&gt;1,1,U14)</f>
        <v>1</v>
      </c>
      <c r="V15" s="38" t="s">
        <v>1295</v>
      </c>
      <c r="W15" s="50">
        <f>IF(W14&gt;1,1,W14)</f>
        <v>1</v>
      </c>
      <c r="AD15" s="209"/>
      <c r="AE15" s="209"/>
      <c r="AF15" s="209"/>
      <c r="AG15" s="209"/>
      <c r="AH15" s="209"/>
    </row>
    <row r="16" spans="1:40" s="32" customFormat="1" ht="24" customHeight="1" thickTop="1">
      <c r="A16" s="123" t="s">
        <v>1280</v>
      </c>
      <c r="B16" s="108" t="s">
        <v>1416</v>
      </c>
      <c r="C16" s="54" t="s">
        <v>1417</v>
      </c>
      <c r="D16" s="210" t="s">
        <v>1368</v>
      </c>
      <c r="E16" s="275" t="s">
        <v>1369</v>
      </c>
      <c r="F16" s="276" t="s">
        <v>1370</v>
      </c>
      <c r="G16" s="241"/>
      <c r="H16" s="135"/>
      <c r="I16" s="123" t="s">
        <v>1280</v>
      </c>
      <c r="J16" s="54" t="s">
        <v>1366</v>
      </c>
      <c r="K16" s="54" t="s">
        <v>1367</v>
      </c>
      <c r="L16" s="210" t="s">
        <v>1368</v>
      </c>
      <c r="M16" s="54" t="s">
        <v>1369</v>
      </c>
      <c r="N16" s="124" t="s">
        <v>1370</v>
      </c>
      <c r="O16" s="148" t="s">
        <v>1371</v>
      </c>
      <c r="P16" s="262"/>
      <c r="T16" s="44" t="s">
        <v>390</v>
      </c>
      <c r="U16" s="50">
        <f>U5*U11/1.4/U6*U15</f>
        <v>0.10952380952380954</v>
      </c>
      <c r="V16" s="44" t="s">
        <v>390</v>
      </c>
      <c r="W16" s="50">
        <f>W5*W11*W8/1.4/W6/W13</f>
        <v>0.28082482342483078</v>
      </c>
      <c r="AD16" s="209"/>
      <c r="AE16" s="209"/>
      <c r="AF16" s="209"/>
      <c r="AG16" s="209"/>
    </row>
    <row r="17" spans="1:29" s="32" customFormat="1" ht="24" customHeight="1">
      <c r="A17" s="116"/>
      <c r="B17" s="251">
        <f ca="1">ROUND(C$9*C$7,4)</f>
        <v>0.87</v>
      </c>
      <c r="C17" s="251">
        <f ca="1">ROUND(D$9*D$7,4)</f>
        <v>0.49</v>
      </c>
      <c r="D17" s="251">
        <f ca="1">ROUND(C$17/B$17,4)</f>
        <v>0.56320000000000003</v>
      </c>
      <c r="E17" s="251">
        <f ca="1">ROUND(D17*0.2,4)</f>
        <v>0.11260000000000001</v>
      </c>
      <c r="F17" s="252">
        <f ca="1">ROUND(D17*0.6,4)</f>
        <v>0.33789999999999998</v>
      </c>
      <c r="G17" s="241"/>
      <c r="H17" s="145"/>
      <c r="I17" s="116"/>
      <c r="J17" s="217">
        <f ca="1">ROUND(J3*J$9*J$5,4)</f>
        <v>0.82399999999999995</v>
      </c>
      <c r="K17" s="217">
        <f ca="1">ROUND(K3*K$9*K$5,4)</f>
        <v>0.495</v>
      </c>
      <c r="L17" s="52">
        <f ca="1">ROUND(K$17/J$17,4)</f>
        <v>0.60070000000000001</v>
      </c>
      <c r="M17" s="52">
        <f ca="1">ROUND(L17*0.2,4)</f>
        <v>0.1201</v>
      </c>
      <c r="N17" s="139">
        <f ca="1">ROUND(L17*0.6,4)</f>
        <v>0.3604</v>
      </c>
      <c r="O17" s="148">
        <f ca="1">L17*2.5</f>
        <v>1.5017499999999999</v>
      </c>
      <c r="T17" s="38">
        <f>VLOOKUP($B$5,工址放大係數!$A$12:$K$14,2,FALSE)</f>
        <v>0.03</v>
      </c>
      <c r="U17" s="38">
        <f>VLOOKUP($B$5,工址放大係數!$A$12:$K$14,3,FALSE)</f>
        <v>0.15</v>
      </c>
      <c r="V17" s="38">
        <f>VLOOKUP($B$5,工址放大係數!$A$12:$K$14,4,FALSE)</f>
        <v>0.33300000000000002</v>
      </c>
      <c r="W17" s="38">
        <f>VLOOKUP($B$5,工址放大係數!$A$12:$K$14,5,FALSE)</f>
        <v>1.3149999999999999</v>
      </c>
      <c r="X17" s="38">
        <f>VLOOKUP($B$5,工址放大係數!$A$12:$H$14,6,FALSE)</f>
        <v>1</v>
      </c>
      <c r="Y17" s="38">
        <f>VLOOKUP($B$5,工址放大係數!$A$12:$K$14,7,FALSE)</f>
        <v>12.5</v>
      </c>
      <c r="Z17" s="38">
        <f>VLOOKUP($B$5,工址放大係數!$A$12:$K$14,8,FALSE)</f>
        <v>0.625</v>
      </c>
      <c r="AA17" s="38">
        <f>VLOOKUP($B$5,工址放大係數!$A$12:$K$14,9,FALSE)</f>
        <v>2.5</v>
      </c>
      <c r="AB17" s="38">
        <f>VLOOKUP($B$5,工址放大係數!$A$12:$J$14,10,FALSE)</f>
        <v>1.2</v>
      </c>
      <c r="AC17" s="41">
        <f>VLOOKUP($B$5,工址放大係數!$A$12:$K$14,11,FALSE)</f>
        <v>0.66666666666666663</v>
      </c>
    </row>
    <row r="18" spans="1:29" s="32" customFormat="1" ht="24" customHeight="1" thickBot="1">
      <c r="A18" s="123" t="s">
        <v>1287</v>
      </c>
      <c r="B18" s="54" t="s">
        <v>1372</v>
      </c>
      <c r="C18" s="54" t="s">
        <v>1373</v>
      </c>
      <c r="D18" s="210" t="s">
        <v>1368</v>
      </c>
      <c r="E18" s="54" t="s">
        <v>1369</v>
      </c>
      <c r="F18" s="124" t="s">
        <v>1370</v>
      </c>
      <c r="G18" s="241"/>
      <c r="H18" s="135"/>
      <c r="I18" s="123" t="s">
        <v>1287</v>
      </c>
      <c r="J18" s="54" t="s">
        <v>1372</v>
      </c>
      <c r="K18" s="54" t="s">
        <v>1373</v>
      </c>
      <c r="L18" s="210" t="s">
        <v>1368</v>
      </c>
      <c r="M18" s="54" t="s">
        <v>1369</v>
      </c>
      <c r="N18" s="124" t="s">
        <v>1370</v>
      </c>
      <c r="O18" s="148" t="s">
        <v>1371</v>
      </c>
    </row>
    <row r="19" spans="1:29" s="32" customFormat="1" ht="24" customHeight="1" thickTop="1">
      <c r="A19" s="116"/>
      <c r="B19" s="251">
        <f ca="1">C3*C5</f>
        <v>0.8</v>
      </c>
      <c r="C19" s="251">
        <f ca="1">D3*D5</f>
        <v>0.45</v>
      </c>
      <c r="D19" s="251">
        <f ca="1">ROUND(C19/B19,4)</f>
        <v>0.5625</v>
      </c>
      <c r="E19" s="251">
        <f ca="1">D19*0.2</f>
        <v>0.1125</v>
      </c>
      <c r="F19" s="252">
        <f ca="1">D19*0.6</f>
        <v>0.33749999999999997</v>
      </c>
      <c r="G19" s="241"/>
      <c r="H19" s="145"/>
      <c r="I19" s="116"/>
      <c r="J19" s="217">
        <f ca="1">J3*J13</f>
        <v>0.8</v>
      </c>
      <c r="K19" s="217">
        <f ca="1">K3*K13</f>
        <v>0.45</v>
      </c>
      <c r="L19" s="52">
        <f ca="1">ROUND(K19/J19,4)</f>
        <v>0.5625</v>
      </c>
      <c r="M19" s="52">
        <f ca="1">L19*0.2</f>
        <v>0.1125</v>
      </c>
      <c r="N19" s="139">
        <f ca="1">L19*0.6</f>
        <v>0.33749999999999997</v>
      </c>
      <c r="O19" s="149">
        <f ca="1">L19*2.5</f>
        <v>1.40625</v>
      </c>
      <c r="R19" s="227" t="s">
        <v>427</v>
      </c>
      <c r="S19" s="221">
        <f>I7</f>
        <v>9.3000000000000007</v>
      </c>
      <c r="T19" s="228" t="s">
        <v>1662</v>
      </c>
      <c r="U19" s="228"/>
      <c r="V19" s="228"/>
      <c r="W19" s="229"/>
    </row>
    <row r="20" spans="1:29" s="32" customFormat="1" ht="24" customHeight="1" thickBot="1">
      <c r="A20" s="123" t="s">
        <v>1288</v>
      </c>
      <c r="B20" s="54" t="s">
        <v>1418</v>
      </c>
      <c r="C20" s="54" t="s">
        <v>1419</v>
      </c>
      <c r="D20" s="210" t="s">
        <v>1376</v>
      </c>
      <c r="E20" s="54" t="s">
        <v>1377</v>
      </c>
      <c r="F20" s="124" t="s">
        <v>1378</v>
      </c>
      <c r="G20" s="241"/>
      <c r="H20" s="135"/>
      <c r="I20" s="123" t="s">
        <v>1288</v>
      </c>
      <c r="J20" s="210" t="s">
        <v>1374</v>
      </c>
      <c r="K20" s="54" t="s">
        <v>1375</v>
      </c>
      <c r="L20" s="210" t="s">
        <v>1376</v>
      </c>
      <c r="M20" s="54" t="s">
        <v>1377</v>
      </c>
      <c r="N20" s="124" t="s">
        <v>1378</v>
      </c>
      <c r="O20" s="148" t="s">
        <v>1371</v>
      </c>
      <c r="R20" s="230"/>
      <c r="S20" s="231">
        <v>40725</v>
      </c>
      <c r="T20" s="232" t="s">
        <v>1353</v>
      </c>
      <c r="U20" s="232" t="s">
        <v>1354</v>
      </c>
      <c r="V20" s="232" t="s">
        <v>1355</v>
      </c>
      <c r="W20" s="233" t="s">
        <v>1356</v>
      </c>
    </row>
    <row r="21" spans="1:29" s="32" customFormat="1" ht="24" customHeight="1" thickTop="1" thickBot="1">
      <c r="A21" s="116"/>
      <c r="B21" s="251">
        <f ca="1">E$9*E$7</f>
        <v>1.0900000000000001</v>
      </c>
      <c r="C21" s="251">
        <f ca="1">F$9*F$7</f>
        <v>0.65</v>
      </c>
      <c r="D21" s="273">
        <f ca="1">ROUND(C$21/B$21,4)</f>
        <v>0.59630000000000005</v>
      </c>
      <c r="E21" s="273">
        <f ca="1">ROUND(D21*0.2,4)</f>
        <v>0.1193</v>
      </c>
      <c r="F21" s="274">
        <f ca="1">ROUND(D21*0.6,4)</f>
        <v>0.35780000000000001</v>
      </c>
      <c r="G21" s="241"/>
      <c r="H21" s="145"/>
      <c r="I21" s="116"/>
      <c r="J21" s="217">
        <f ca="1">L3*L$9*L$5</f>
        <v>1.03</v>
      </c>
      <c r="K21" s="217">
        <f ca="1">M3*M$9*M$5</f>
        <v>0.63249999999999995</v>
      </c>
      <c r="L21" s="52">
        <f ca="1">ROUND(K$21/J$21,4)</f>
        <v>0.61409999999999998</v>
      </c>
      <c r="M21" s="52">
        <f ca="1">ROUND(L21*0.2,4)</f>
        <v>0.12280000000000001</v>
      </c>
      <c r="N21" s="139">
        <f ca="1">ROUND(L21*0.6,4)</f>
        <v>0.36849999999999999</v>
      </c>
      <c r="O21" s="149">
        <f ca="1">L21*2.5</f>
        <v>1.53525</v>
      </c>
      <c r="R21" s="222"/>
      <c r="S21" s="36" t="s">
        <v>357</v>
      </c>
      <c r="T21" s="32">
        <v>1</v>
      </c>
      <c r="U21" s="32">
        <v>1</v>
      </c>
      <c r="V21" s="32">
        <v>1</v>
      </c>
      <c r="W21" s="206">
        <v>1</v>
      </c>
    </row>
    <row r="22" spans="1:29" s="32" customFormat="1" ht="24" customHeight="1" thickTop="1">
      <c r="A22" s="147" t="s">
        <v>1415</v>
      </c>
      <c r="B22" s="253">
        <f ca="1">0.4*B17</f>
        <v>0.34800000000000003</v>
      </c>
      <c r="C22" s="48"/>
      <c r="D22" s="283"/>
      <c r="E22" s="284" t="s">
        <v>1709</v>
      </c>
      <c r="F22" s="285" t="s">
        <v>1701</v>
      </c>
      <c r="G22" s="241"/>
      <c r="H22" s="145"/>
      <c r="I22" s="147" t="s">
        <v>1415</v>
      </c>
      <c r="J22" s="253">
        <f ca="1">0.4*J17</f>
        <v>0.3296</v>
      </c>
      <c r="K22" s="48"/>
      <c r="L22" s="48"/>
      <c r="M22" s="48"/>
      <c r="N22" s="145"/>
      <c r="O22" s="146"/>
      <c r="R22" s="223">
        <v>1</v>
      </c>
      <c r="S22" s="37" t="s">
        <v>82</v>
      </c>
      <c r="T22" s="32">
        <f>IF(S$19&lt;=2,1.23,IF(S$19&lt;=5,1.16,IF(S$19&lt;=8,1.07,IF(S$19&lt;=12,1.03,1))))</f>
        <v>1.03</v>
      </c>
      <c r="U22" s="32">
        <f>IF(S$19&lt;=2,1.36,IF(S$19&lt;=5,1.32,IF(S$19&lt;=8,1.22,IF(S$19&lt;=12,1.1,1))))</f>
        <v>1.1000000000000001</v>
      </c>
      <c r="V22" s="32">
        <f>IF(S$19&lt;=2,1.25,IF(S$19&lt;=5,1.2,IF(S$19&lt;=8,1.1,IF(S$19&lt;=12,1.03,1))))</f>
        <v>1.03</v>
      </c>
      <c r="W22" s="206">
        <f>IF(S$19&lt;=2,1.5,IF(S$19&lt;=5,1.45,IF(S$19&lt;=8,1.3,IF(S$19&lt;=12,1.15,1))))</f>
        <v>1.1499999999999999</v>
      </c>
    </row>
    <row r="23" spans="1:29" s="32" customFormat="1" ht="24" customHeight="1" thickBot="1">
      <c r="A23" s="490" t="s">
        <v>467</v>
      </c>
      <c r="B23" s="489"/>
      <c r="C23" s="34"/>
      <c r="D23" s="286">
        <f ca="1">IF(B17&gt;0.8,2/3,1/2)</f>
        <v>0.66666666666666663</v>
      </c>
      <c r="E23" s="287">
        <f ca="1">ROUND(IF(F12&gt;2.5*$D17,0.4*$B17,IF(F12&gt;$D17,$C17/F12,IF(F12&gt;$E17,$B17,$B17*(0.4+3*F12/$D17)))),4)</f>
        <v>0.81140000000000001</v>
      </c>
      <c r="F23" s="252">
        <f ca="1">E23*D23</f>
        <v>0.54093333333333327</v>
      </c>
      <c r="G23" s="241"/>
      <c r="H23" s="206"/>
      <c r="I23" s="490" t="s">
        <v>467</v>
      </c>
      <c r="J23" s="489"/>
      <c r="K23" s="34"/>
      <c r="N23" s="183">
        <f>IF(I6="無",1/2,2/3)</f>
        <v>0.66666666666666663</v>
      </c>
      <c r="O23" s="191"/>
      <c r="P23" s="222"/>
      <c r="Q23" s="206"/>
      <c r="R23" s="222">
        <v>2</v>
      </c>
      <c r="S23" s="37" t="s">
        <v>74</v>
      </c>
      <c r="T23" s="32">
        <f>IF(S$19&lt;=2,1.28,IF(S$19&lt;=5,1.2,IF(S$19&lt;=8,1.1,1)))</f>
        <v>1</v>
      </c>
      <c r="U23" s="32">
        <f>IF(S$19&lt;=2,1.33,IF(S$19&lt;=5,1.27,IF(S$19&lt;=8,1.1,1)))</f>
        <v>1</v>
      </c>
      <c r="V23" s="32">
        <f>IF(S$19&lt;=2,1.26,IF(S$19&lt;=5,1.18,IF(S$19&lt;=8,1.05,1)))</f>
        <v>1</v>
      </c>
      <c r="W23" s="206">
        <f>IF(S$19&lt;=2,1.42,IF(S$19&lt;=5,1.32,IF(S$19&lt;=8,1.15,1)))</f>
        <v>1</v>
      </c>
    </row>
    <row r="24" spans="1:29" s="32" customFormat="1" ht="24" customHeight="1" thickTop="1">
      <c r="A24" s="117" t="s">
        <v>1280</v>
      </c>
      <c r="B24" s="109" t="s">
        <v>1379</v>
      </c>
      <c r="C24" s="210" t="s">
        <v>1380</v>
      </c>
      <c r="D24" s="282" t="s">
        <v>1381</v>
      </c>
      <c r="E24" s="288" t="s">
        <v>1382</v>
      </c>
      <c r="F24" s="270" t="s">
        <v>1712</v>
      </c>
      <c r="G24" s="241"/>
      <c r="H24" s="122"/>
      <c r="I24" s="117" t="s">
        <v>1280</v>
      </c>
      <c r="J24" s="210" t="s">
        <v>1379</v>
      </c>
      <c r="K24" s="210" t="s">
        <v>1380</v>
      </c>
      <c r="L24" s="210" t="s">
        <v>1381</v>
      </c>
      <c r="M24" s="210" t="s">
        <v>1382</v>
      </c>
      <c r="N24" s="188" t="s">
        <v>1631</v>
      </c>
      <c r="O24" s="191"/>
      <c r="P24" s="258"/>
      <c r="Q24" s="242"/>
      <c r="R24" s="222">
        <v>3</v>
      </c>
      <c r="S24" s="37" t="s">
        <v>372</v>
      </c>
      <c r="T24" s="32">
        <f>IF(S$19&lt;=2,1.28,IF(S$19&lt;=5,1.2,IF(S$19&lt;=10,1.1,1)))</f>
        <v>1.1000000000000001</v>
      </c>
      <c r="U24" s="32">
        <f>IF(S$19&lt;=2,1.31,IF(S$19&lt;=5,1.25,IF(S$19&lt;=10,1.15,1)))</f>
        <v>1.1499999999999999</v>
      </c>
      <c r="V24" s="32">
        <f>IF(S$19&lt;=2,1.26,IF(S$19&lt;=5,1.17,IF(S$19&lt;=10,1.05,1)))</f>
        <v>1.05</v>
      </c>
      <c r="W24" s="206">
        <f>IF(S$19&lt;=2,1.42,IF(S$19&lt;=5,1.32,IF(S$19&lt;=10,1.15,1)))</f>
        <v>1.1499999999999999</v>
      </c>
    </row>
    <row r="25" spans="1:29" s="32" customFormat="1" ht="24" customHeight="1">
      <c r="A25" s="116"/>
      <c r="B25" s="52">
        <f ca="1">ROUND(IF(F$11&gt;2.5*$D17,0.4*$B17,IF(F$11&gt;$D17,$C17/F$11,IF(F$11&gt;$E17,$B17,$B17*(0.4+3*F$11/$D17)))),4)</f>
        <v>0.87</v>
      </c>
      <c r="C25" s="52">
        <f ca="1">ROUND(IF($F11&gt;=D$17,$D$12,IF($F11&gt;=F$17,$D$13+($D$12-$D$13)*($F11-0.6*D$17)/0.4/D$17,IF($F11&lt;E$17,$D$13+($D$13-1)*($F11-E$17)/E$17,$D$13))),4)</f>
        <v>2.2361</v>
      </c>
      <c r="D25" s="52">
        <f ca="1">ROUND(B25/C25,4)</f>
        <v>0.3891</v>
      </c>
      <c r="E25" s="289">
        <f ca="1">IF(D25&lt;=0.3,D25,IF(D25&lt;0.8,ROUND(0.52*D25+0.144,4),0.7*D25))</f>
        <v>0.3463</v>
      </c>
      <c r="F25" s="291">
        <f ca="1">ROUND(IF(F12&gt;=D$17,F14,IF(F12&gt;=F$17,F15+(F14-F15)*(F12-0.6*D$17)/0.4/D$17,IF(F12&lt;E$17,F15+(F15-1)*(F12-E$17)/E$17,F15))),4)</f>
        <v>1.8125</v>
      </c>
      <c r="G25" s="241"/>
      <c r="H25" s="122"/>
      <c r="I25" s="116"/>
      <c r="J25" s="52">
        <f ca="1">ROUND(IF($F$11&gt;2.5*L17,0.4*J17,IF($F$11&gt;L17,K17/$F$11,IF($F$11&gt;M17,J17,J17*(0.4+3*$F$11/L17)))),4)</f>
        <v>0.82399999999999995</v>
      </c>
      <c r="K25" s="52">
        <f ca="1">ROUND(IF($N11&gt;=L$17,$D$12,IF($N11&gt;=N$17,$D$13+($D$12-$D$13)*($N11-0.6*L$17)/0.4/L$17,IF($N11&lt;M$17,$D$13+($D$13-1)*($N11-M$17)/M$17,$D$13))),4)</f>
        <v>2.2361</v>
      </c>
      <c r="L25" s="52">
        <f ca="1">ROUND(J25/K25,4)</f>
        <v>0.36849999999999999</v>
      </c>
      <c r="M25" s="52">
        <f ca="1">IF(L25&lt;=0.3,L25,IF(L25&lt;0.8,ROUND(0.52*L25+0.144,4),0.7*L25))</f>
        <v>0.33560000000000001</v>
      </c>
      <c r="N25" s="252">
        <f ca="1">J25*N$23</f>
        <v>0.54933333333333323</v>
      </c>
      <c r="O25" s="191"/>
      <c r="P25" s="259"/>
      <c r="Q25" s="257"/>
      <c r="R25" s="222">
        <v>4</v>
      </c>
      <c r="S25" s="37" t="s">
        <v>169</v>
      </c>
      <c r="T25" s="32">
        <f>IF(S$19&lt;=2,1.37,IF(S$19&lt;=5,1.28,IF(S$19&lt;=8,1.15,1)))</f>
        <v>1</v>
      </c>
      <c r="U25" s="32">
        <f>IF(S$19&lt;=2,1.44,IF(S$19&lt;=5,1.36,IF(S$19&lt;=8,1.2,1)))</f>
        <v>1</v>
      </c>
      <c r="V25" s="32">
        <f>IF(S$19&lt;=2,1.3,IF(S$19&lt;=5,1.2,IF(S$19&lt;=8,1.05,1)))</f>
        <v>1</v>
      </c>
      <c r="W25" s="206">
        <f>IF(S$19&lt;=2,1.48,IF(S$19&lt;=5,1.36,IF(S$19&lt;=8,1.15,1)))</f>
        <v>1</v>
      </c>
    </row>
    <row r="26" spans="1:29" s="32" customFormat="1" ht="24" customHeight="1">
      <c r="A26" s="117" t="s">
        <v>1559</v>
      </c>
      <c r="B26" s="210" t="s">
        <v>1383</v>
      </c>
      <c r="C26" s="210" t="s">
        <v>1380</v>
      </c>
      <c r="D26" s="210" t="s">
        <v>1384</v>
      </c>
      <c r="E26" s="290" t="s">
        <v>1385</v>
      </c>
      <c r="F26" s="292" t="s">
        <v>1704</v>
      </c>
      <c r="G26" s="135"/>
      <c r="H26" s="125"/>
      <c r="I26" s="117" t="s">
        <v>1559</v>
      </c>
      <c r="J26" s="210" t="s">
        <v>1383</v>
      </c>
      <c r="K26" s="210" t="s">
        <v>1380</v>
      </c>
      <c r="L26" s="210" t="s">
        <v>1384</v>
      </c>
      <c r="M26" s="210" t="s">
        <v>1385</v>
      </c>
      <c r="N26" s="124" t="s">
        <v>1704</v>
      </c>
      <c r="O26" s="191"/>
      <c r="P26" s="260"/>
      <c r="Q26" s="206"/>
      <c r="R26" s="222">
        <v>5</v>
      </c>
      <c r="S26" s="37" t="s">
        <v>220</v>
      </c>
      <c r="T26" s="32">
        <f>IF(S$19&lt;=2,1.23,IF(S$19&lt;=5,1.06,1))</f>
        <v>1</v>
      </c>
      <c r="U26" s="32">
        <f>IF(S$19&lt;=2,1.15,IF(S$19&lt;=5,1.05,1))</f>
        <v>1</v>
      </c>
      <c r="V26" s="32">
        <f>IF(S$19&lt;=2,1.29,IF(S$19&lt;=5,1.1,1))</f>
        <v>1</v>
      </c>
      <c r="W26" s="206">
        <f>IF(S$19&lt;=2,1.3,IF(S$19&lt;=5,1.15,1))</f>
        <v>1</v>
      </c>
    </row>
    <row r="27" spans="1:29" s="32" customFormat="1" ht="24" customHeight="1">
      <c r="A27" s="116"/>
      <c r="B27" s="52">
        <f ca="1">ROUND(IF($F$11&gt;2.5*D19,0.4*B19,IF($F$11&gt;D19,C19/$F$11,IF($F$11&gt;E19,B19,B19*(0.4+3*$F$11/D19)))),4)</f>
        <v>0.8</v>
      </c>
      <c r="C27" s="55">
        <f ca="1">ROUND(IF($F11&gt;=D$19,$D$12,IF($F11&gt;=F$19,$D$13+($D$12-$D$13)*($F11-0.6*D$19)/0.4/D$19,IF($F11&lt;E$19,$D$13+($D$13-1)*(F11-E$19)/E$19,$D$13))),4)</f>
        <v>2.2361</v>
      </c>
      <c r="D27" s="52">
        <f ca="1">ROUND(B27/C27,4)</f>
        <v>0.35780000000000001</v>
      </c>
      <c r="E27" s="289">
        <f ca="1">IF(D27&lt;=0.3,D27,IF(D27&lt;0.8,ROUND(0.52*D27+0.144,4),0.7*D27))</f>
        <v>0.3301</v>
      </c>
      <c r="F27" s="291">
        <f ca="1">F23/F25</f>
        <v>0.29844597701149422</v>
      </c>
      <c r="G27" s="269"/>
      <c r="H27" s="125"/>
      <c r="I27" s="116"/>
      <c r="J27" s="52">
        <f ca="1">ROUND(IF($F$11&gt;2.5*L19,0.4*J19,IF($F$11&gt;L19,K19/$F$11,IF($F$11&gt;M19,J19,J19*(0.4+3*$F$11/L19)))),4)</f>
        <v>0.8</v>
      </c>
      <c r="K27" s="55">
        <f ca="1">ROUND(IF($F11&gt;=L$19,$D$12,IF($F11&gt;=N$19,$D$13+($D$12-$D$13)*($F11-0.6*L$19)/0.4/L$19,IF($F11&lt;M$19,$D$13+($D$13-1)*($F11-M$19)/M$19,$D$13))),4)</f>
        <v>2.2361</v>
      </c>
      <c r="L27" s="52">
        <f ca="1">ROUND(J27/K27,4)</f>
        <v>0.35780000000000001</v>
      </c>
      <c r="M27" s="52">
        <f ca="1">IF(L27&lt;=0.3,L27,IF(L27&lt;0.8,ROUND(0.52*L27+0.144,4),0.7*L27))</f>
        <v>0.3301</v>
      </c>
      <c r="N27" s="252">
        <f ca="1">N25/K25</f>
        <v>0.24566581697300355</v>
      </c>
      <c r="O27" s="191"/>
      <c r="P27" s="259"/>
      <c r="Q27" s="257"/>
      <c r="R27" s="222">
        <v>6</v>
      </c>
      <c r="S27" s="37" t="s">
        <v>1689</v>
      </c>
      <c r="T27" s="32">
        <f>IF(S$19&lt;=2,1.15,IF(S$19&lt;=5,1.08,IF(S$19&lt;=8,1,1)))</f>
        <v>1</v>
      </c>
      <c r="U27" s="32">
        <f>IF(S$19&lt;=2,1.15,IF(S$19&lt;=5,1.1,IF(S$19&lt;=8,1.03,1)))</f>
        <v>1</v>
      </c>
      <c r="V27" s="32">
        <f>IF(S$19&lt;=2,1.21,IF(S$19&lt;=5,1.17,IF(S$19&lt;=8,1.05,1)))</f>
        <v>1</v>
      </c>
      <c r="W27" s="206">
        <f>IF(S$19&lt;=2,1.42,IF(S$19&lt;=5,1.35,IF(S$19&lt;=8,1.15,1)))</f>
        <v>1</v>
      </c>
    </row>
    <row r="28" spans="1:29" s="32" customFormat="1" ht="24" customHeight="1" thickBot="1">
      <c r="A28" s="117" t="s">
        <v>1560</v>
      </c>
      <c r="B28" s="210" t="s">
        <v>1386</v>
      </c>
      <c r="C28" s="210" t="s">
        <v>1387</v>
      </c>
      <c r="D28" s="210" t="s">
        <v>1388</v>
      </c>
      <c r="E28" s="290" t="s">
        <v>1389</v>
      </c>
      <c r="F28" s="292" t="s">
        <v>1702</v>
      </c>
      <c r="G28" s="135"/>
      <c r="H28" s="126"/>
      <c r="I28" s="117" t="s">
        <v>1560</v>
      </c>
      <c r="J28" s="210" t="s">
        <v>1386</v>
      </c>
      <c r="K28" s="210" t="s">
        <v>1387</v>
      </c>
      <c r="L28" s="210" t="s">
        <v>1388</v>
      </c>
      <c r="M28" s="210" t="s">
        <v>1389</v>
      </c>
      <c r="N28" s="124" t="s">
        <v>1702</v>
      </c>
      <c r="O28" s="191"/>
      <c r="P28" s="261"/>
      <c r="Q28" s="206"/>
      <c r="R28" s="224">
        <v>7</v>
      </c>
      <c r="S28" s="239" t="s">
        <v>326</v>
      </c>
      <c r="T28" s="226">
        <f>IF(S$19&lt;=2,1.42,IF(S$19&lt;=5,1.37,IF(S$19&lt;=8,1.28,IF(S$19&lt;=12,1.14,1))))</f>
        <v>1.1399999999999999</v>
      </c>
      <c r="U28" s="226">
        <f>IF(S$19&lt;=2,1.58,IF(S$19&lt;=5,1.53,IF(S$19&lt;=8,1.38,IF(S$19&lt;=12,1.2,1))))</f>
        <v>1.2</v>
      </c>
      <c r="V28" s="240">
        <f>IF(S$19&lt;=2,1.32,IF(S$19&lt;=5,1.26,IF(S$19&lt;=8,1.1,IF(S$19&lt;=12,1.02,IF(S$19&lt;=5,1,1)))))</f>
        <v>1.02</v>
      </c>
      <c r="W28" s="130">
        <f>IF(S$19&lt;=2,1.58,IF(S$19&lt;=5,1.48,IF(S$19&lt;=8,1.3,IF(S$19&lt;=12,1.16,IF(S$19&lt;=5,1.05,1)))))</f>
        <v>1.1599999999999999</v>
      </c>
    </row>
    <row r="29" spans="1:29" s="32" customFormat="1" ht="24" customHeight="1" thickTop="1" thickBot="1">
      <c r="A29" s="116"/>
      <c r="B29" s="52">
        <f ca="1">IF($F11&lt;E$21,ROUND(B$21*(0.4+3*$F11/D$21),3),IF($F11&lt;=D$21,B$21,IF($F11&lt;=2.5*D$21,C$21/$F11,0.4*B$21)))</f>
        <v>1.0900000000000001</v>
      </c>
      <c r="C29" s="52">
        <f ca="1">ROUND(IF($F11&gt;=D$21,$B$12,IF($F11&gt;=F$21,$D$14+($B$12-$D$14)*($F11-0.6*D$21)/0.4/D$21,IF($F11&lt;E$21,$D$14+($D$14-1)*($F11-E$21)/E$21,$D$14))),4)</f>
        <v>2.6457999999999999</v>
      </c>
      <c r="D29" s="52">
        <f ca="1">ROUND(B29/C29,4)</f>
        <v>0.41199999999999998</v>
      </c>
      <c r="E29" s="289">
        <f ca="1">IF(D29&lt;=0.3,D29,IF(D29&lt;0.8,ROUND(0.52*D29+0.144,4),0.7*D29))</f>
        <v>0.35820000000000002</v>
      </c>
      <c r="F29" s="293">
        <f ca="1">IF(F27&lt;=0.3*D23,F27,IF(F27&lt;0.8*D23,ROUND(0.52*F27+0.144*D23,4),0.7*F27))</f>
        <v>0.25119999999999998</v>
      </c>
      <c r="G29" s="269"/>
      <c r="H29" s="206"/>
      <c r="I29" s="116"/>
      <c r="J29" s="52">
        <f ca="1">IF($F11&lt;M$21,ROUND(J$21*(0.4+3*$F11/L$21),3),IF($F11&lt;=L$21,J$21,IF($F11&lt;=2.5*L$21,K$21/$F11,0.4*J$21)))</f>
        <v>1.03</v>
      </c>
      <c r="K29" s="52">
        <f ca="1">ROUND(IF($F11&gt;=L$21,$B$12,IF($F11&gt;=N$21,$D$14+($B$12-$D$14)*($F11-0.6*L$21)/0.4/L$21,IF($F11&lt;M$21,$D$14+($D$14-1)*($F11-M$21)/M$21,$D$14))),4)</f>
        <v>2.6457999999999999</v>
      </c>
      <c r="L29" s="52">
        <f ca="1">ROUND(J29/K29,4)</f>
        <v>0.38929999999999998</v>
      </c>
      <c r="M29" s="52">
        <f ca="1">IF(L29&lt;=0.3,L29,IF(L29&lt;0.8,ROUND(0.52*L29+0.144,4),0.7*L29))</f>
        <v>0.34639999999999999</v>
      </c>
      <c r="N29" s="252">
        <f ca="1">IF(N27&lt;=0.3*N23,N27,IF(N27&lt;0.8*N23,ROUND(0.52*N27+0.144*N23,4),0.7*N27))</f>
        <v>0.22370000000000001</v>
      </c>
      <c r="O29" s="191"/>
      <c r="P29" s="259"/>
      <c r="Q29" s="257"/>
      <c r="R29" s="222"/>
      <c r="S29" s="37"/>
      <c r="W29" s="206"/>
    </row>
    <row r="30" spans="1:29" s="32" customFormat="1" ht="24" customHeight="1" thickTop="1">
      <c r="A30" s="483" t="s">
        <v>1280</v>
      </c>
      <c r="B30" s="484"/>
      <c r="C30" s="56"/>
      <c r="D30" s="56"/>
      <c r="F30" s="128"/>
      <c r="G30" s="128"/>
      <c r="H30" s="140"/>
      <c r="I30" s="483" t="s">
        <v>1280</v>
      </c>
      <c r="J30" s="484"/>
      <c r="K30" s="56"/>
      <c r="L30" s="56"/>
      <c r="M30" s="56"/>
      <c r="N30" s="206"/>
      <c r="O30" s="206"/>
      <c r="P30" s="222"/>
      <c r="Q30" s="206"/>
      <c r="R30" s="222"/>
      <c r="S30" s="37"/>
      <c r="W30" s="206"/>
    </row>
    <row r="31" spans="1:29" s="32" customFormat="1" ht="24" customHeight="1">
      <c r="A31" s="127" t="s">
        <v>1390</v>
      </c>
      <c r="B31" s="48">
        <f ca="1">ROUND($B$13*E25/1.4/$B$14,4)</f>
        <v>0.24740000000000001</v>
      </c>
      <c r="C31" s="208" t="s">
        <v>1289</v>
      </c>
      <c r="D31" s="503" t="s">
        <v>1391</v>
      </c>
      <c r="E31" s="484"/>
      <c r="F31" s="498"/>
      <c r="G31" s="206"/>
      <c r="H31" s="206"/>
      <c r="I31" s="127" t="s">
        <v>1390</v>
      </c>
      <c r="J31" s="48">
        <f ca="1">ROUND($B$13*M25/1.4/$B$14,4)</f>
        <v>0.2397</v>
      </c>
      <c r="K31" s="208" t="s">
        <v>1289</v>
      </c>
      <c r="L31" s="503" t="s">
        <v>1391</v>
      </c>
      <c r="M31" s="499"/>
      <c r="N31" s="125"/>
      <c r="O31" s="190"/>
      <c r="R31" s="222"/>
      <c r="S31" s="37"/>
      <c r="W31" s="206"/>
    </row>
    <row r="32" spans="1:29" s="32" customFormat="1" ht="24" customHeight="1">
      <c r="A32" s="483" t="s">
        <v>1281</v>
      </c>
      <c r="B32" s="484"/>
      <c r="C32" s="56"/>
      <c r="D32" s="56"/>
      <c r="F32" s="128"/>
      <c r="G32" s="128"/>
      <c r="H32" s="128"/>
      <c r="I32" s="483" t="s">
        <v>1281</v>
      </c>
      <c r="J32" s="484"/>
      <c r="K32" s="56"/>
      <c r="L32" s="209"/>
      <c r="M32" s="208"/>
      <c r="N32" s="125"/>
      <c r="O32" s="191"/>
      <c r="R32" s="222"/>
      <c r="S32" s="37"/>
      <c r="W32" s="206"/>
    </row>
    <row r="33" spans="1:35" s="32" customFormat="1" ht="24" customHeight="1" thickBot="1">
      <c r="A33" s="127" t="s">
        <v>1283</v>
      </c>
      <c r="B33" s="48">
        <f ca="1">ROUND($B13*E27*C27/4.2/$B14,4)</f>
        <v>0.1757</v>
      </c>
      <c r="C33" s="208" t="s">
        <v>1289</v>
      </c>
      <c r="D33" s="503" t="s">
        <v>1392</v>
      </c>
      <c r="E33" s="484"/>
      <c r="F33" s="498"/>
      <c r="G33" s="206"/>
      <c r="H33" s="206"/>
      <c r="I33" s="127" t="s">
        <v>1283</v>
      </c>
      <c r="J33" s="48">
        <f ca="1">ROUND($B13*M27*K27/4.2/$B14,4)</f>
        <v>0.1757</v>
      </c>
      <c r="K33" s="208" t="s">
        <v>1289</v>
      </c>
      <c r="L33" s="503" t="s">
        <v>1392</v>
      </c>
      <c r="M33" s="499"/>
      <c r="N33" s="145"/>
      <c r="O33" s="190"/>
      <c r="R33" s="224"/>
      <c r="S33" s="225"/>
      <c r="T33" s="226"/>
      <c r="U33" s="226"/>
      <c r="V33" s="226"/>
      <c r="W33" s="130"/>
    </row>
    <row r="34" spans="1:35" s="32" customFormat="1" ht="24" customHeight="1" thickTop="1">
      <c r="A34" s="483" t="s">
        <v>1282</v>
      </c>
      <c r="B34" s="484"/>
      <c r="C34" s="56"/>
      <c r="D34" s="56"/>
      <c r="F34" s="128"/>
      <c r="G34" s="128"/>
      <c r="H34" s="128"/>
      <c r="I34" s="483" t="s">
        <v>1282</v>
      </c>
      <c r="J34" s="484"/>
      <c r="K34" s="56"/>
      <c r="L34" s="209"/>
      <c r="M34" s="208"/>
      <c r="N34" s="125"/>
      <c r="O34" s="191"/>
      <c r="R34" s="40"/>
      <c r="S34" s="40"/>
      <c r="T34" s="42"/>
    </row>
    <row r="35" spans="1:35" s="32" customFormat="1" ht="24" customHeight="1">
      <c r="A35" s="127" t="s">
        <v>1393</v>
      </c>
      <c r="B35" s="48">
        <f ca="1">ROUND($B13*E29/1.4/$B14,4)</f>
        <v>0.25590000000000002</v>
      </c>
      <c r="C35" s="209" t="s">
        <v>1289</v>
      </c>
      <c r="D35" s="497" t="s">
        <v>1394</v>
      </c>
      <c r="E35" s="484"/>
      <c r="F35" s="498"/>
      <c r="G35" s="206"/>
      <c r="H35" s="206"/>
      <c r="I35" s="127" t="s">
        <v>1393</v>
      </c>
      <c r="J35" s="48">
        <f ca="1">ROUND($B13*M29/1.4/$B14,4)</f>
        <v>0.24740000000000001</v>
      </c>
      <c r="K35" s="209" t="s">
        <v>1289</v>
      </c>
      <c r="L35" s="497" t="s">
        <v>1394</v>
      </c>
      <c r="M35" s="499"/>
      <c r="N35" s="50"/>
      <c r="O35" s="190"/>
    </row>
    <row r="36" spans="1:35" s="32" customFormat="1" ht="24" customHeight="1">
      <c r="A36" s="129" t="s">
        <v>1395</v>
      </c>
      <c r="B36" s="253">
        <f ca="1">MAX(B31,B33,B35)</f>
        <v>0.25590000000000002</v>
      </c>
      <c r="C36" s="43" t="s">
        <v>1420</v>
      </c>
      <c r="D36" s="253">
        <f ca="1">B33/B36</f>
        <v>0.68659632669011328</v>
      </c>
      <c r="E36" s="256" t="s">
        <v>1703</v>
      </c>
      <c r="F36" s="252">
        <f ca="1">ROUND($B$13*F29/1.4/$B$14,4)</f>
        <v>0.1794</v>
      </c>
      <c r="G36" s="269"/>
      <c r="H36" s="206"/>
      <c r="I36" s="129" t="s">
        <v>1395</v>
      </c>
      <c r="J36" s="253">
        <f ca="1">MAX(J31,J33,J35)</f>
        <v>0.24740000000000001</v>
      </c>
      <c r="K36" s="43" t="s">
        <v>1420</v>
      </c>
      <c r="L36" s="48">
        <f ca="1">J33/J36</f>
        <v>0.71018593371059013</v>
      </c>
      <c r="M36" s="256" t="s">
        <v>1703</v>
      </c>
      <c r="N36" s="252">
        <f ca="1">ROUND($B$13*N29/1.4/$B$14,4)</f>
        <v>0.1598</v>
      </c>
      <c r="O36" s="192"/>
    </row>
    <row r="37" spans="1:35" s="32" customFormat="1" ht="24" customHeight="1" thickBot="1">
      <c r="A37" s="500" t="s">
        <v>1699</v>
      </c>
      <c r="B37" s="501"/>
      <c r="C37" s="501"/>
      <c r="D37" s="501"/>
      <c r="E37" s="501"/>
      <c r="F37" s="502"/>
      <c r="G37" s="207"/>
      <c r="H37" s="207"/>
      <c r="I37" s="500" t="s">
        <v>1700</v>
      </c>
      <c r="J37" s="501"/>
      <c r="K37" s="501"/>
      <c r="L37" s="501"/>
      <c r="M37" s="501"/>
      <c r="N37" s="502"/>
      <c r="O37" s="130"/>
    </row>
    <row r="38" spans="1:35" s="32" customFormat="1" ht="24" customHeight="1" thickTop="1">
      <c r="B38" s="155">
        <f>ROUND((ROUNDUP(B7,0)-1)/2,0)</f>
        <v>3</v>
      </c>
      <c r="C38" s="155">
        <f>IF(B38&lt;1,0,IF(B38&gt;7,7,B38))</f>
        <v>3</v>
      </c>
      <c r="D38" s="141">
        <f>IF(C38&gt;=1,C38-1,C38)</f>
        <v>2</v>
      </c>
      <c r="E38" s="209">
        <f>IF(B38&gt;=7,0,1)</f>
        <v>1</v>
      </c>
      <c r="F38" s="141">
        <f>IF(B38&gt;=7,1,2)</f>
        <v>2</v>
      </c>
      <c r="G38" s="141"/>
      <c r="H38" s="141"/>
      <c r="I38" s="159"/>
      <c r="N38" s="157"/>
      <c r="O38" s="157"/>
      <c r="S38" s="209"/>
      <c r="T38" s="209"/>
      <c r="U38" s="209"/>
      <c r="V38" s="209"/>
    </row>
    <row r="39" spans="1:35" ht="24" customHeight="1">
      <c r="A39" s="156" t="s">
        <v>1352</v>
      </c>
      <c r="B39" s="142">
        <f>IF(C38&lt;1,1,C38*2-1)</f>
        <v>5</v>
      </c>
      <c r="C39" s="143">
        <f ca="1">IF($B6="",C3,VLOOKUP($B$3,INDIRECT($B$6),$D$38+2,FALSE))</f>
        <v>0.94</v>
      </c>
      <c r="D39" s="143">
        <f ca="1">IF($B6="無",D3,VLOOKUP($B$3,INDIRECT($B$6),$D$38+10,FALSE))</f>
        <v>0.53</v>
      </c>
      <c r="E39" s="143">
        <f ca="1">IF($B6="無", E3,VLOOKUP($B$3,INDIRECT($B$6),$D$38+18,FALSE))</f>
        <v>1.1299999999999999</v>
      </c>
      <c r="F39" s="144">
        <f ca="1">IF($B6="無", F3,VLOOKUP($B$3,INDIRECT($B$6),$D$38+26,FALSE))</f>
        <v>0.7</v>
      </c>
      <c r="G39" s="158"/>
      <c r="H39" s="158"/>
      <c r="I39" s="32"/>
      <c r="U39" s="32"/>
      <c r="X39" s="38" t="s">
        <v>1301</v>
      </c>
      <c r="Y39" s="38">
        <f>R5</f>
        <v>0.8</v>
      </c>
    </row>
    <row r="40" spans="1:35" ht="30.75" customHeight="1">
      <c r="A40" s="119" t="s">
        <v>1352</v>
      </c>
      <c r="B40" s="142">
        <f>C38*2+E38</f>
        <v>7</v>
      </c>
      <c r="C40" s="143">
        <f ca="1">IF($B6="無",C3,VLOOKUP($B$3,INDIRECT($B$6),$C$38+2,FALSE))</f>
        <v>0.87</v>
      </c>
      <c r="D40" s="143">
        <f ca="1">IF($B6="無",D3,VLOOKUP($B$3,INDIRECT($B$6),$C$38+10,FALSE))</f>
        <v>0.49</v>
      </c>
      <c r="E40" s="143">
        <f ca="1">IF($B6="無", E3,VLOOKUP($B$3,INDIRECT($B$6),$C$38+18,FALSE))</f>
        <v>1.0900000000000001</v>
      </c>
      <c r="F40" s="144">
        <f ca="1">IF($B6="無", F3,VLOOKUP($B$3,INDIRECT($B$6),$C$38+26,FALSE))</f>
        <v>0.65</v>
      </c>
      <c r="G40" s="158"/>
      <c r="H40" s="158"/>
      <c r="I40" s="32"/>
      <c r="J40" s="38"/>
      <c r="K40" s="38"/>
      <c r="L40" s="38"/>
      <c r="M40" s="38"/>
      <c r="N40" s="38"/>
      <c r="O40" s="38"/>
      <c r="U40" s="32"/>
      <c r="X40" s="38"/>
      <c r="Y40" s="38"/>
    </row>
    <row r="41" spans="1:35" ht="25" customHeight="1">
      <c r="D41" s="53"/>
      <c r="F41" s="60"/>
      <c r="G41" s="60"/>
      <c r="H41" s="60"/>
      <c r="I41" s="59" t="s">
        <v>1396</v>
      </c>
      <c r="L41" s="59"/>
      <c r="N41" s="38" t="s">
        <v>1397</v>
      </c>
      <c r="P41" s="62"/>
      <c r="S41" s="61" t="s">
        <v>1398</v>
      </c>
      <c r="T41" s="38" t="s">
        <v>1296</v>
      </c>
      <c r="U41" s="32"/>
      <c r="V41" s="209">
        <v>981</v>
      </c>
      <c r="W41" s="38" t="s">
        <v>385</v>
      </c>
      <c r="X41" s="38" t="s">
        <v>422</v>
      </c>
      <c r="Y41" s="38">
        <v>1</v>
      </c>
      <c r="Z41" s="38">
        <v>0.8</v>
      </c>
      <c r="AA41" s="38">
        <v>0.67</v>
      </c>
      <c r="AB41" s="38" t="s">
        <v>393</v>
      </c>
      <c r="AC41" s="38"/>
      <c r="AD41" s="38"/>
      <c r="AE41" s="38"/>
      <c r="AF41" s="38" t="s">
        <v>393</v>
      </c>
      <c r="AG41" s="38" t="s">
        <v>398</v>
      </c>
      <c r="AH41" s="38" t="s">
        <v>426</v>
      </c>
    </row>
    <row r="42" spans="1:35" ht="17.5">
      <c r="B42" s="38" t="s">
        <v>0</v>
      </c>
      <c r="C42" s="38" t="s">
        <v>1399</v>
      </c>
      <c r="D42" s="38" t="s">
        <v>1400</v>
      </c>
      <c r="E42" s="38" t="s">
        <v>1401</v>
      </c>
      <c r="F42" s="38" t="s">
        <v>1402</v>
      </c>
      <c r="G42" s="38"/>
      <c r="H42" s="38"/>
      <c r="I42" s="38" t="s">
        <v>1557</v>
      </c>
      <c r="J42" s="38" t="s">
        <v>1403</v>
      </c>
      <c r="K42" s="38" t="s">
        <v>1404</v>
      </c>
      <c r="L42" s="38" t="s">
        <v>1405</v>
      </c>
      <c r="M42" s="38" t="s">
        <v>1406</v>
      </c>
      <c r="N42" s="38" t="s">
        <v>1561</v>
      </c>
      <c r="O42" s="38" t="s">
        <v>1407</v>
      </c>
      <c r="P42" s="38" t="s">
        <v>1408</v>
      </c>
      <c r="Q42" s="38" t="s">
        <v>1409</v>
      </c>
      <c r="R42" s="38" t="s">
        <v>1410</v>
      </c>
      <c r="S42" s="38" t="s">
        <v>1558</v>
      </c>
      <c r="T42" s="38" t="s">
        <v>1411</v>
      </c>
      <c r="U42" s="38" t="s">
        <v>1</v>
      </c>
      <c r="V42" s="38" t="s">
        <v>0</v>
      </c>
      <c r="W42" s="38" t="s">
        <v>1412</v>
      </c>
      <c r="X42" s="38" t="s">
        <v>410</v>
      </c>
      <c r="Y42" s="38" t="s">
        <v>411</v>
      </c>
      <c r="Z42" s="38" t="s">
        <v>1413</v>
      </c>
      <c r="AA42" s="38" t="s">
        <v>1413</v>
      </c>
      <c r="AB42" s="38" t="s">
        <v>1413</v>
      </c>
      <c r="AC42" s="38" t="s">
        <v>412</v>
      </c>
      <c r="AD42" s="38" t="s">
        <v>411</v>
      </c>
      <c r="AE42" s="38" t="s">
        <v>421</v>
      </c>
      <c r="AF42" s="38" t="s">
        <v>420</v>
      </c>
      <c r="AG42" s="38" t="s">
        <v>1413</v>
      </c>
      <c r="AH42" s="38" t="s">
        <v>1413</v>
      </c>
      <c r="AI42" s="38" t="s">
        <v>1413</v>
      </c>
    </row>
    <row r="43" spans="1:35" ht="16">
      <c r="B43" s="64">
        <v>1E-3</v>
      </c>
      <c r="C43" s="63">
        <f t="shared" ref="C43:C96" ca="1" si="0">ROUND(IF($B43&gt;=D$17,D$12,IF($B43&gt;=F$17,D$13+(D$12-D$13)*($B43-0.6*D$17)/0.4/D$17,IF($B43&lt;E$17,D$13+(D$13-1)*($B43-E$17)/E$17,D$13))),3)</f>
        <v>1.0109999999999999</v>
      </c>
      <c r="D43" s="63">
        <f t="shared" ref="D43:D96" ca="1" si="1">IF($B43&lt;E$17,ROUND(B$17*(0.4+3*$B43/D$17),3),IF($B43&lt;=D$17,B$17,IF($B43&lt;=2.5*D$17,C$17/$B43,0.4*B$17)))</f>
        <v>0.35299999999999998</v>
      </c>
      <c r="E43" s="63">
        <f t="shared" ref="E43:E96" ca="1" si="2">ROUND(D43/C43,4)</f>
        <v>0.34920000000000001</v>
      </c>
      <c r="F43" s="63">
        <f t="shared" ref="F43:F96" ca="1" si="3">IF(E43&lt;=0.3,E43,IF(E43&lt;0.8,ROUND(0.52*E43+0.144,3),0.7*E43))</f>
        <v>0.32600000000000001</v>
      </c>
      <c r="G43" s="60"/>
      <c r="H43" s="60"/>
      <c r="I43" s="60">
        <f t="shared" ref="I43:I96" ca="1" si="4">ROUND(B$13*F43/1.4/B$14,3)</f>
        <v>0.23300000000000001</v>
      </c>
      <c r="J43" s="60">
        <f t="shared" ref="J43:J96" ca="1" si="5">ROUND(IF($B43&gt;=D$19,D$12,IF($B43&gt;=F$19,D$13+(D$12-D$13)*($B43-0.6*D$19)/0.4/D$19,IF($B43&lt;E$19,D$13+(D$13-1)*($B43-E$19)/E$19,D$13))),3)</f>
        <v>1.0109999999999999</v>
      </c>
      <c r="K43" s="60">
        <f t="shared" ref="K43:K96" ca="1" si="6">IF($B43&lt;E$19,ROUND(B$19*(0.4+3*$B43/D$19),3),IF($B43&lt;=D$19,B$19,IF($B43&lt;=2.5*D$19,C$19/$B43,0.4*B$19)))</f>
        <v>0.32400000000000001</v>
      </c>
      <c r="L43" s="60">
        <f t="shared" ref="L43:L96" ca="1" si="7">ROUND(K43/J43,4)</f>
        <v>0.32050000000000001</v>
      </c>
      <c r="M43" s="60">
        <f t="shared" ref="M43:M96" ca="1" si="8">IF(L43&lt;=0.3,L43,IF(L43&lt;0.8,ROUND(0.52*L43+0.144,3),0.7*L43))</f>
        <v>0.311</v>
      </c>
      <c r="N43" s="60">
        <f t="shared" ref="N43:N96" ca="1" si="9">ROUND(B$13*J43*M43/4.2/B$14,3)</f>
        <v>7.4999999999999997E-2</v>
      </c>
      <c r="O43" s="60">
        <f t="shared" ref="O43:O96" ca="1" si="10">ROUND(IF($B43&gt;=D$21,B$12,IF($B43&gt;=F$21,D$14+(B$12-D$14)*($B43-0.6*D$21)/0.4/D$21,IF($B43&lt;E$21,D$14+(D$14-1)*($B43-E$21)/E$21,D$14))),3)</f>
        <v>1.014</v>
      </c>
      <c r="P43" s="60">
        <f t="shared" ref="P43:P96" ca="1" si="11">IF($B43&lt;E$21,ROUND(B$21*(0.4+3*$B43/D$21),3),IF($B43&lt;=D$21,B$21,IF($B43&lt;=2.5*D$21,C$21/$B43,0.4*B$21)))</f>
        <v>0.441</v>
      </c>
      <c r="Q43" s="60">
        <f t="shared" ref="Q43:Q96" ca="1" si="12">ROUND(P43/O43,4)</f>
        <v>0.43490000000000001</v>
      </c>
      <c r="R43" s="60">
        <f t="shared" ref="R43:R96" ca="1" si="13">IF(Q43&lt;=0.3,Q43,IF(Q43&lt;0.8,ROUND(0.52*Q43+0.144,3),0.7*Q43))</f>
        <v>0.37</v>
      </c>
      <c r="S43" s="60">
        <f t="shared" ref="S43:S96" ca="1" si="14">ROUND(B$13*R43/1.4/B$14,3)</f>
        <v>0.26400000000000001</v>
      </c>
      <c r="T43" s="60">
        <f t="shared" ref="T43:T96" ca="1" si="15">MAX(S43,N43,I43)</f>
        <v>0.26400000000000001</v>
      </c>
      <c r="U43" s="64">
        <f t="shared" ref="U43:U96" ca="1" si="16">T43/B$13*1.4</f>
        <v>0.36959999999999998</v>
      </c>
      <c r="V43" s="63">
        <f t="shared" ref="V43:V96" si="17">B43</f>
        <v>1E-3</v>
      </c>
      <c r="W43" s="209">
        <f t="shared" ref="W43:W96" ca="1" si="18">U43*V$41</f>
        <v>362.57759999999996</v>
      </c>
      <c r="X43" s="58">
        <f t="shared" ref="X43:X96" si="19">1/8/B43^0.5</f>
        <v>3.9528470752104745</v>
      </c>
      <c r="Y43" s="58">
        <f>IF(X43&gt;0.15,0.15,IF(X43&lt;0.0625,0.0625,X43))</f>
        <v>0.15</v>
      </c>
      <c r="Z43" s="58">
        <f t="shared" ref="Z43:AB62" si="20">$R$5*Y$41*$R$11*$Y43*$AG$5</f>
        <v>0.17159999999999997</v>
      </c>
      <c r="AA43" s="58">
        <f t="shared" si="20"/>
        <v>0.13728000000000001</v>
      </c>
      <c r="AB43" s="58">
        <f t="shared" si="20"/>
        <v>0.11497199999999999</v>
      </c>
      <c r="AC43" s="58">
        <f t="shared" ref="AC43:AC96" si="21">IF(B43&gt;0.611,$U$12,IF(B43&gt;0.406,AD$5+($U$12-AD$5)*(B43-0.406)/0.205,IF(B43&gt;0.2,AD$5,IF(B43&gt;0.03,AD$5+(AD$5-1)*(B43-0.2)/0.17,1))))</f>
        <v>1</v>
      </c>
      <c r="AD43" s="58">
        <f t="shared" ref="AD43:AD96" si="22">IF(B43&lt;T$17,X$17,IF(B43&lt;U$17,Y$17*B43+V$17,IF(B43&lt;Z$17,AA$17,IF(B43&lt;W$17,AB$17/B43^(AC$17),1))))</f>
        <v>1</v>
      </c>
      <c r="AE43" s="58">
        <f t="shared" ref="AE43:AE96" si="23">AD43/AC43</f>
        <v>1</v>
      </c>
      <c r="AF43" s="58">
        <f>IF(AE43&gt;1,1,AE43)</f>
        <v>1</v>
      </c>
      <c r="AG43" s="58">
        <f t="shared" ref="AG43:AG96" si="24">$U$5*$U$11*AF43/1.4/$U$6*$AG$5</f>
        <v>0.15661904761904763</v>
      </c>
      <c r="AH43" s="58">
        <f t="shared" ref="AH43:AH96" si="25">$W$5*$W$11*AF43/1.4/$W$6*$AG$5</f>
        <v>0.22471428571428573</v>
      </c>
      <c r="AI43" s="58">
        <f t="shared" ref="AI43:AI96" ca="1" si="26">T43/1.5*$AG$5</f>
        <v>0.25168000000000001</v>
      </c>
    </row>
    <row r="44" spans="1:35" ht="16">
      <c r="B44" s="64">
        <v>8.9300000000000004E-2</v>
      </c>
      <c r="C44" s="63">
        <f t="shared" ca="1" si="0"/>
        <v>1.98</v>
      </c>
      <c r="D44" s="63">
        <f t="shared" ca="1" si="1"/>
        <v>0.76200000000000001</v>
      </c>
      <c r="E44" s="63">
        <f t="shared" ca="1" si="2"/>
        <v>0.38479999999999998</v>
      </c>
      <c r="F44" s="63">
        <f t="shared" ca="1" si="3"/>
        <v>0.34399999999999997</v>
      </c>
      <c r="G44" s="60"/>
      <c r="H44" s="60"/>
      <c r="I44" s="60">
        <f t="shared" ca="1" si="4"/>
        <v>0.246</v>
      </c>
      <c r="J44" s="60">
        <f t="shared" ca="1" si="5"/>
        <v>1.9810000000000001</v>
      </c>
      <c r="K44" s="60">
        <f t="shared" ca="1" si="6"/>
        <v>0.70099999999999996</v>
      </c>
      <c r="L44" s="60">
        <f t="shared" ca="1" si="7"/>
        <v>0.35389999999999999</v>
      </c>
      <c r="M44" s="60">
        <f t="shared" ca="1" si="8"/>
        <v>0.32800000000000001</v>
      </c>
      <c r="N44" s="60">
        <f t="shared" ca="1" si="9"/>
        <v>0.155</v>
      </c>
      <c r="O44" s="60">
        <f t="shared" ca="1" si="10"/>
        <v>2.2320000000000002</v>
      </c>
      <c r="P44" s="60">
        <f t="shared" ca="1" si="11"/>
        <v>0.92600000000000005</v>
      </c>
      <c r="Q44" s="60">
        <f t="shared" ca="1" si="12"/>
        <v>0.41489999999999999</v>
      </c>
      <c r="R44" s="60">
        <f t="shared" ca="1" si="13"/>
        <v>0.36</v>
      </c>
      <c r="S44" s="60">
        <f t="shared" ca="1" si="14"/>
        <v>0.25700000000000001</v>
      </c>
      <c r="T44" s="60">
        <f t="shared" ca="1" si="15"/>
        <v>0.25700000000000001</v>
      </c>
      <c r="U44" s="64">
        <f t="shared" ca="1" si="16"/>
        <v>0.35980000000000001</v>
      </c>
      <c r="V44" s="63">
        <f t="shared" si="17"/>
        <v>8.9300000000000004E-2</v>
      </c>
      <c r="W44" s="65">
        <f t="shared" ca="1" si="18"/>
        <v>352.96379999999999</v>
      </c>
      <c r="X44" s="58">
        <f t="shared" si="19"/>
        <v>0.41829655088140916</v>
      </c>
      <c r="Y44" s="58">
        <f t="shared" ref="Y44:Y96" si="27">IF(X44&gt;0.15,0.15,IF(X44&lt;0.0625,0.0625,X44))</f>
        <v>0.15</v>
      </c>
      <c r="Z44" s="58">
        <f t="shared" si="20"/>
        <v>0.17159999999999997</v>
      </c>
      <c r="AA44" s="58">
        <f t="shared" si="20"/>
        <v>0.13728000000000001</v>
      </c>
      <c r="AB44" s="58">
        <f t="shared" si="20"/>
        <v>0.11497199999999999</v>
      </c>
      <c r="AC44" s="58">
        <f t="shared" si="21"/>
        <v>1.3488235294117648</v>
      </c>
      <c r="AD44" s="58">
        <f t="shared" si="22"/>
        <v>1.4492499999999999</v>
      </c>
      <c r="AE44" s="58">
        <f t="shared" si="23"/>
        <v>1.0744548626253816</v>
      </c>
      <c r="AF44" s="58">
        <f t="shared" ref="AF44:AF96" si="28">IF(AE44&gt;1,1,AE44)</f>
        <v>1</v>
      </c>
      <c r="AG44" s="58">
        <f t="shared" si="24"/>
        <v>0.15661904761904763</v>
      </c>
      <c r="AH44" s="58">
        <f t="shared" si="25"/>
        <v>0.22471428571428573</v>
      </c>
      <c r="AI44" s="58">
        <f t="shared" ca="1" si="26"/>
        <v>0.24500666666666665</v>
      </c>
    </row>
    <row r="45" spans="1:35" ht="16">
      <c r="B45" s="65">
        <f ca="1">E19</f>
        <v>0.1125</v>
      </c>
      <c r="C45" s="66">
        <f t="shared" ca="1" si="0"/>
        <v>2.2349999999999999</v>
      </c>
      <c r="D45" s="66">
        <f t="shared" ca="1" si="1"/>
        <v>0.86899999999999999</v>
      </c>
      <c r="E45" s="66">
        <f t="shared" ca="1" si="2"/>
        <v>0.38879999999999998</v>
      </c>
      <c r="F45" s="66">
        <f t="shared" ca="1" si="3"/>
        <v>0.34599999999999997</v>
      </c>
      <c r="G45" s="67"/>
      <c r="H45" s="67"/>
      <c r="I45" s="67">
        <f t="shared" ca="1" si="4"/>
        <v>0.247</v>
      </c>
      <c r="J45" s="67">
        <f t="shared" ca="1" si="5"/>
        <v>2.2360000000000002</v>
      </c>
      <c r="K45" s="67">
        <f t="shared" ca="1" si="6"/>
        <v>0.8</v>
      </c>
      <c r="L45" s="67">
        <f t="shared" ca="1" si="7"/>
        <v>0.35780000000000001</v>
      </c>
      <c r="M45" s="67">
        <f t="shared" ca="1" si="8"/>
        <v>0.33</v>
      </c>
      <c r="N45" s="67">
        <f t="shared" ca="1" si="9"/>
        <v>0.17599999999999999</v>
      </c>
      <c r="O45" s="67">
        <f t="shared" ca="1" si="10"/>
        <v>2.552</v>
      </c>
      <c r="P45" s="67">
        <f t="shared" ca="1" si="11"/>
        <v>1.0529999999999999</v>
      </c>
      <c r="Q45" s="67">
        <f t="shared" ca="1" si="12"/>
        <v>0.41260000000000002</v>
      </c>
      <c r="R45" s="67">
        <f t="shared" ca="1" si="13"/>
        <v>0.35899999999999999</v>
      </c>
      <c r="S45" s="67">
        <f t="shared" ca="1" si="14"/>
        <v>0.25600000000000001</v>
      </c>
      <c r="T45" s="67">
        <f t="shared" ca="1" si="15"/>
        <v>0.25600000000000001</v>
      </c>
      <c r="U45" s="65">
        <f t="shared" ca="1" si="16"/>
        <v>0.3584</v>
      </c>
      <c r="V45" s="66">
        <f t="shared" ca="1" si="17"/>
        <v>0.1125</v>
      </c>
      <c r="W45" s="65">
        <f t="shared" ca="1" si="18"/>
        <v>351.59039999999999</v>
      </c>
      <c r="X45" s="58">
        <f t="shared" ca="1" si="19"/>
        <v>0.37267799624996495</v>
      </c>
      <c r="Y45" s="58">
        <f t="shared" ca="1" si="27"/>
        <v>0.15</v>
      </c>
      <c r="Z45" s="58">
        <f t="shared" ca="1" si="20"/>
        <v>0.17159999999999997</v>
      </c>
      <c r="AA45" s="58">
        <f t="shared" ca="1" si="20"/>
        <v>0.13728000000000001</v>
      </c>
      <c r="AB45" s="58">
        <f t="shared" ca="1" si="20"/>
        <v>0.11497199999999999</v>
      </c>
      <c r="AC45" s="58">
        <f t="shared" ca="1" si="21"/>
        <v>1.4852941176470589</v>
      </c>
      <c r="AD45" s="58">
        <f t="shared" ca="1" si="22"/>
        <v>1.73925</v>
      </c>
      <c r="AE45" s="58">
        <f t="shared" ca="1" si="23"/>
        <v>1.170980198019802</v>
      </c>
      <c r="AF45" s="58">
        <f t="shared" ca="1" si="28"/>
        <v>1</v>
      </c>
      <c r="AG45" s="58">
        <f t="shared" ca="1" si="24"/>
        <v>0.15661904761904763</v>
      </c>
      <c r="AH45" s="58">
        <f t="shared" ca="1" si="25"/>
        <v>0.22471428571428573</v>
      </c>
      <c r="AI45" s="58">
        <f t="shared" ca="1" si="26"/>
        <v>0.24405333333333332</v>
      </c>
    </row>
    <row r="46" spans="1:35" ht="16">
      <c r="B46" s="69">
        <f ca="1">E17</f>
        <v>0.11260000000000001</v>
      </c>
      <c r="C46" s="63">
        <f t="shared" ca="1" si="0"/>
        <v>2.2360000000000002</v>
      </c>
      <c r="D46" s="63">
        <f t="shared" ca="1" si="1"/>
        <v>0.87</v>
      </c>
      <c r="E46" s="63">
        <f t="shared" ca="1" si="2"/>
        <v>0.3891</v>
      </c>
      <c r="F46" s="63">
        <f t="shared" ca="1" si="3"/>
        <v>0.34599999999999997</v>
      </c>
      <c r="G46" s="63"/>
      <c r="H46" s="63"/>
      <c r="I46" s="68">
        <f t="shared" ca="1" si="4"/>
        <v>0.247</v>
      </c>
      <c r="J46" s="68">
        <f t="shared" ca="1" si="5"/>
        <v>2.2360000000000002</v>
      </c>
      <c r="K46" s="68">
        <f t="shared" ca="1" si="6"/>
        <v>0.8</v>
      </c>
      <c r="L46" s="68">
        <f t="shared" ca="1" si="7"/>
        <v>0.35780000000000001</v>
      </c>
      <c r="M46" s="68">
        <f t="shared" ca="1" si="8"/>
        <v>0.33</v>
      </c>
      <c r="N46" s="68">
        <f t="shared" ca="1" si="9"/>
        <v>0.17599999999999999</v>
      </c>
      <c r="O46" s="68">
        <f t="shared" ca="1" si="10"/>
        <v>2.5529999999999999</v>
      </c>
      <c r="P46" s="68">
        <f t="shared" ca="1" si="11"/>
        <v>1.0529999999999999</v>
      </c>
      <c r="Q46" s="68">
        <f t="shared" ca="1" si="12"/>
        <v>0.41249999999999998</v>
      </c>
      <c r="R46" s="68">
        <f t="shared" ca="1" si="13"/>
        <v>0.35899999999999999</v>
      </c>
      <c r="S46" s="68">
        <f t="shared" ca="1" si="14"/>
        <v>0.25600000000000001</v>
      </c>
      <c r="T46" s="68">
        <f t="shared" ca="1" si="15"/>
        <v>0.25600000000000001</v>
      </c>
      <c r="U46" s="69">
        <f t="shared" ca="1" si="16"/>
        <v>0.3584</v>
      </c>
      <c r="V46" s="68">
        <f t="shared" ca="1" si="17"/>
        <v>0.11260000000000001</v>
      </c>
      <c r="W46" s="69">
        <f t="shared" ca="1" si="18"/>
        <v>351.59039999999999</v>
      </c>
      <c r="X46" s="58">
        <f t="shared" ca="1" si="19"/>
        <v>0.37251247192634362</v>
      </c>
      <c r="Y46" s="58">
        <f t="shared" ca="1" si="27"/>
        <v>0.15</v>
      </c>
      <c r="Z46" s="58">
        <f t="shared" ca="1" si="20"/>
        <v>0.17159999999999997</v>
      </c>
      <c r="AA46" s="58">
        <f t="shared" ca="1" si="20"/>
        <v>0.13728000000000001</v>
      </c>
      <c r="AB46" s="58">
        <f t="shared" ca="1" si="20"/>
        <v>0.11497199999999999</v>
      </c>
      <c r="AC46" s="58">
        <f t="shared" ca="1" si="21"/>
        <v>1.4858823529411764</v>
      </c>
      <c r="AD46" s="58">
        <f t="shared" ca="1" si="22"/>
        <v>1.7404999999999999</v>
      </c>
      <c r="AE46" s="58">
        <f t="shared" ca="1" si="23"/>
        <v>1.1713578780680918</v>
      </c>
      <c r="AF46" s="58">
        <f t="shared" ca="1" si="28"/>
        <v>1</v>
      </c>
      <c r="AG46" s="58">
        <f t="shared" ca="1" si="24"/>
        <v>0.15661904761904763</v>
      </c>
      <c r="AH46" s="58">
        <f t="shared" ca="1" si="25"/>
        <v>0.22471428571428573</v>
      </c>
      <c r="AI46" s="58">
        <f t="shared" ca="1" si="26"/>
        <v>0.24405333333333332</v>
      </c>
    </row>
    <row r="47" spans="1:35" ht="17.5">
      <c r="A47" s="38" t="s">
        <v>1369</v>
      </c>
      <c r="B47" s="72">
        <f ca="1">E21</f>
        <v>0.1193</v>
      </c>
      <c r="C47" s="63">
        <f t="shared" ca="1" si="0"/>
        <v>2.2360000000000002</v>
      </c>
      <c r="D47" s="63">
        <f t="shared" ca="1" si="1"/>
        <v>0.87</v>
      </c>
      <c r="E47" s="63">
        <f t="shared" ca="1" si="2"/>
        <v>0.3891</v>
      </c>
      <c r="F47" s="63">
        <f t="shared" ca="1" si="3"/>
        <v>0.34599999999999997</v>
      </c>
      <c r="G47" s="63"/>
      <c r="H47" s="63"/>
      <c r="I47" s="71">
        <f t="shared" ca="1" si="4"/>
        <v>0.247</v>
      </c>
      <c r="J47" s="71">
        <f t="shared" ca="1" si="5"/>
        <v>2.2360000000000002</v>
      </c>
      <c r="K47" s="71">
        <f t="shared" ca="1" si="6"/>
        <v>0.8</v>
      </c>
      <c r="L47" s="71">
        <f t="shared" ca="1" si="7"/>
        <v>0.35780000000000001</v>
      </c>
      <c r="M47" s="71">
        <f t="shared" ca="1" si="8"/>
        <v>0.33</v>
      </c>
      <c r="N47" s="71">
        <f t="shared" ca="1" si="9"/>
        <v>0.17599999999999999</v>
      </c>
      <c r="O47" s="71">
        <f t="shared" ca="1" si="10"/>
        <v>2.6459999999999999</v>
      </c>
      <c r="P47" s="71">
        <f t="shared" ca="1" si="11"/>
        <v>1.0900000000000001</v>
      </c>
      <c r="Q47" s="71">
        <f t="shared" ca="1" si="12"/>
        <v>0.41189999999999999</v>
      </c>
      <c r="R47" s="71">
        <f t="shared" ca="1" si="13"/>
        <v>0.35799999999999998</v>
      </c>
      <c r="S47" s="71">
        <f t="shared" ca="1" si="14"/>
        <v>0.25600000000000001</v>
      </c>
      <c r="T47" s="71">
        <f t="shared" ca="1" si="15"/>
        <v>0.25600000000000001</v>
      </c>
      <c r="U47" s="72">
        <f t="shared" ca="1" si="16"/>
        <v>0.3584</v>
      </c>
      <c r="V47" s="70">
        <f t="shared" ca="1" si="17"/>
        <v>0.1193</v>
      </c>
      <c r="W47" s="72">
        <f t="shared" ca="1" si="18"/>
        <v>351.59039999999999</v>
      </c>
      <c r="X47" s="58">
        <f t="shared" ca="1" si="19"/>
        <v>0.36190100668840203</v>
      </c>
      <c r="Y47" s="58">
        <f t="shared" ca="1" si="27"/>
        <v>0.15</v>
      </c>
      <c r="Z47" s="58">
        <f t="shared" ca="1" si="20"/>
        <v>0.17159999999999997</v>
      </c>
      <c r="AA47" s="58">
        <f t="shared" ca="1" si="20"/>
        <v>0.13728000000000001</v>
      </c>
      <c r="AB47" s="58">
        <f t="shared" ca="1" si="20"/>
        <v>0.11497199999999999</v>
      </c>
      <c r="AC47" s="58">
        <f t="shared" ca="1" si="21"/>
        <v>1.5252941176470589</v>
      </c>
      <c r="AD47" s="58">
        <f t="shared" ca="1" si="22"/>
        <v>1.8242499999999999</v>
      </c>
      <c r="AE47" s="58">
        <f t="shared" ca="1" si="23"/>
        <v>1.195998843038951</v>
      </c>
      <c r="AF47" s="58">
        <f t="shared" ca="1" si="28"/>
        <v>1</v>
      </c>
      <c r="AG47" s="58">
        <f t="shared" ca="1" si="24"/>
        <v>0.15661904761904763</v>
      </c>
      <c r="AH47" s="58">
        <f t="shared" ca="1" si="25"/>
        <v>0.22471428571428573</v>
      </c>
      <c r="AI47" s="58">
        <f t="shared" ca="1" si="26"/>
        <v>0.24405333333333332</v>
      </c>
    </row>
    <row r="48" spans="1:35" ht="16">
      <c r="B48" s="64">
        <v>0.16600000000000001</v>
      </c>
      <c r="C48" s="63">
        <f t="shared" ca="1" si="0"/>
        <v>2.2360000000000002</v>
      </c>
      <c r="D48" s="63">
        <f t="shared" ca="1" si="1"/>
        <v>0.87</v>
      </c>
      <c r="E48" s="63">
        <f t="shared" ca="1" si="2"/>
        <v>0.3891</v>
      </c>
      <c r="F48" s="63">
        <f t="shared" ca="1" si="3"/>
        <v>0.34599999999999997</v>
      </c>
      <c r="G48" s="60"/>
      <c r="H48" s="60"/>
      <c r="I48" s="60">
        <f t="shared" ca="1" si="4"/>
        <v>0.247</v>
      </c>
      <c r="J48" s="60">
        <f t="shared" ca="1" si="5"/>
        <v>2.2360000000000002</v>
      </c>
      <c r="K48" s="60">
        <f t="shared" ca="1" si="6"/>
        <v>0.8</v>
      </c>
      <c r="L48" s="60">
        <f t="shared" ca="1" si="7"/>
        <v>0.35780000000000001</v>
      </c>
      <c r="M48" s="60">
        <f t="shared" ca="1" si="8"/>
        <v>0.33</v>
      </c>
      <c r="N48" s="60">
        <f t="shared" ca="1" si="9"/>
        <v>0.17599999999999999</v>
      </c>
      <c r="O48" s="60">
        <f t="shared" ca="1" si="10"/>
        <v>2.6459999999999999</v>
      </c>
      <c r="P48" s="60">
        <f t="shared" ca="1" si="11"/>
        <v>1.0900000000000001</v>
      </c>
      <c r="Q48" s="60">
        <f t="shared" ca="1" si="12"/>
        <v>0.41189999999999999</v>
      </c>
      <c r="R48" s="60">
        <f t="shared" ca="1" si="13"/>
        <v>0.35799999999999998</v>
      </c>
      <c r="S48" s="60">
        <f t="shared" ca="1" si="14"/>
        <v>0.25600000000000001</v>
      </c>
      <c r="T48" s="60">
        <f t="shared" ca="1" si="15"/>
        <v>0.25600000000000001</v>
      </c>
      <c r="U48" s="64">
        <f t="shared" ca="1" si="16"/>
        <v>0.3584</v>
      </c>
      <c r="V48" s="63">
        <f t="shared" si="17"/>
        <v>0.16600000000000001</v>
      </c>
      <c r="W48" s="209">
        <f t="shared" ca="1" si="18"/>
        <v>351.59039999999999</v>
      </c>
      <c r="X48" s="58">
        <f t="shared" si="19"/>
        <v>0.30680043354613495</v>
      </c>
      <c r="Y48" s="58">
        <f t="shared" si="27"/>
        <v>0.15</v>
      </c>
      <c r="Z48" s="58">
        <f t="shared" si="20"/>
        <v>0.17159999999999997</v>
      </c>
      <c r="AA48" s="58">
        <f t="shared" si="20"/>
        <v>0.13728000000000001</v>
      </c>
      <c r="AB48" s="58">
        <f t="shared" si="20"/>
        <v>0.11497199999999999</v>
      </c>
      <c r="AC48" s="58">
        <f t="shared" si="21"/>
        <v>1.8</v>
      </c>
      <c r="AD48" s="58">
        <f t="shared" si="22"/>
        <v>2.5</v>
      </c>
      <c r="AE48" s="58">
        <f t="shared" si="23"/>
        <v>1.3888888888888888</v>
      </c>
      <c r="AF48" s="58">
        <f t="shared" si="28"/>
        <v>1</v>
      </c>
      <c r="AG48" s="58">
        <f t="shared" si="24"/>
        <v>0.15661904761904763</v>
      </c>
      <c r="AH48" s="58">
        <f t="shared" si="25"/>
        <v>0.22471428571428573</v>
      </c>
      <c r="AI48" s="58">
        <f t="shared" ca="1" si="26"/>
        <v>0.24405333333333332</v>
      </c>
    </row>
    <row r="49" spans="1:35" ht="16">
      <c r="B49" s="64">
        <v>0.2</v>
      </c>
      <c r="C49" s="63">
        <f t="shared" ca="1" si="0"/>
        <v>2.2360000000000002</v>
      </c>
      <c r="D49" s="63">
        <f t="shared" ca="1" si="1"/>
        <v>0.87</v>
      </c>
      <c r="E49" s="63">
        <f t="shared" ca="1" si="2"/>
        <v>0.3891</v>
      </c>
      <c r="F49" s="63">
        <f t="shared" ca="1" si="3"/>
        <v>0.34599999999999997</v>
      </c>
      <c r="G49" s="60"/>
      <c r="H49" s="60"/>
      <c r="I49" s="60">
        <f t="shared" ca="1" si="4"/>
        <v>0.247</v>
      </c>
      <c r="J49" s="60">
        <f t="shared" ca="1" si="5"/>
        <v>2.2360000000000002</v>
      </c>
      <c r="K49" s="60">
        <f t="shared" ca="1" si="6"/>
        <v>0.8</v>
      </c>
      <c r="L49" s="60">
        <f t="shared" ca="1" si="7"/>
        <v>0.35780000000000001</v>
      </c>
      <c r="M49" s="60">
        <f t="shared" ca="1" si="8"/>
        <v>0.33</v>
      </c>
      <c r="N49" s="60">
        <f t="shared" ca="1" si="9"/>
        <v>0.17599999999999999</v>
      </c>
      <c r="O49" s="60">
        <f t="shared" ca="1" si="10"/>
        <v>2.6459999999999999</v>
      </c>
      <c r="P49" s="60">
        <f t="shared" ca="1" si="11"/>
        <v>1.0900000000000001</v>
      </c>
      <c r="Q49" s="60">
        <f t="shared" ca="1" si="12"/>
        <v>0.41189999999999999</v>
      </c>
      <c r="R49" s="60">
        <f t="shared" ca="1" si="13"/>
        <v>0.35799999999999998</v>
      </c>
      <c r="S49" s="60">
        <f t="shared" ca="1" si="14"/>
        <v>0.25600000000000001</v>
      </c>
      <c r="T49" s="60">
        <f t="shared" ca="1" si="15"/>
        <v>0.25600000000000001</v>
      </c>
      <c r="U49" s="64">
        <f t="shared" ca="1" si="16"/>
        <v>0.3584</v>
      </c>
      <c r="V49" s="63">
        <f t="shared" si="17"/>
        <v>0.2</v>
      </c>
      <c r="W49" s="209">
        <f t="shared" ca="1" si="18"/>
        <v>351.59039999999999</v>
      </c>
      <c r="X49" s="58">
        <f t="shared" si="19"/>
        <v>0.27950849718747373</v>
      </c>
      <c r="Y49" s="58">
        <f t="shared" si="27"/>
        <v>0.15</v>
      </c>
      <c r="Z49" s="58">
        <f t="shared" si="20"/>
        <v>0.17159999999999997</v>
      </c>
      <c r="AA49" s="58">
        <f t="shared" si="20"/>
        <v>0.13728000000000001</v>
      </c>
      <c r="AB49" s="58">
        <f t="shared" si="20"/>
        <v>0.11497199999999999</v>
      </c>
      <c r="AC49" s="58">
        <f t="shared" si="21"/>
        <v>2</v>
      </c>
      <c r="AD49" s="58">
        <f t="shared" si="22"/>
        <v>2.5</v>
      </c>
      <c r="AE49" s="58">
        <f t="shared" si="23"/>
        <v>1.25</v>
      </c>
      <c r="AF49" s="58">
        <f t="shared" si="28"/>
        <v>1</v>
      </c>
      <c r="AG49" s="58">
        <f t="shared" si="24"/>
        <v>0.15661904761904763</v>
      </c>
      <c r="AH49" s="58">
        <f t="shared" si="25"/>
        <v>0.22471428571428573</v>
      </c>
      <c r="AI49" s="58">
        <f t="shared" ca="1" si="26"/>
        <v>0.24405333333333332</v>
      </c>
    </row>
    <row r="50" spans="1:35" ht="16.5" thickBot="1">
      <c r="B50" s="65">
        <f ca="1">F19</f>
        <v>0.33749999999999997</v>
      </c>
      <c r="C50" s="66">
        <f t="shared" ca="1" si="0"/>
        <v>2.2360000000000002</v>
      </c>
      <c r="D50" s="66">
        <f t="shared" ca="1" si="1"/>
        <v>0.87</v>
      </c>
      <c r="E50" s="66">
        <f t="shared" ca="1" si="2"/>
        <v>0.3891</v>
      </c>
      <c r="F50" s="66">
        <f t="shared" ca="1" si="3"/>
        <v>0.34599999999999997</v>
      </c>
      <c r="G50" s="67"/>
      <c r="H50" s="67"/>
      <c r="I50" s="67">
        <f t="shared" ca="1" si="4"/>
        <v>0.247</v>
      </c>
      <c r="J50" s="67">
        <f t="shared" ca="1" si="5"/>
        <v>2.2360000000000002</v>
      </c>
      <c r="K50" s="67">
        <f t="shared" ca="1" si="6"/>
        <v>0.8</v>
      </c>
      <c r="L50" s="67">
        <f t="shared" ca="1" si="7"/>
        <v>0.35780000000000001</v>
      </c>
      <c r="M50" s="67">
        <f t="shared" ca="1" si="8"/>
        <v>0.33</v>
      </c>
      <c r="N50" s="67">
        <f t="shared" ca="1" si="9"/>
        <v>0.17599999999999999</v>
      </c>
      <c r="O50" s="67">
        <f t="shared" ca="1" si="10"/>
        <v>2.6459999999999999</v>
      </c>
      <c r="P50" s="67">
        <f t="shared" ca="1" si="11"/>
        <v>1.0900000000000001</v>
      </c>
      <c r="Q50" s="67">
        <f t="shared" ca="1" si="12"/>
        <v>0.41189999999999999</v>
      </c>
      <c r="R50" s="67">
        <f t="shared" ca="1" si="13"/>
        <v>0.35799999999999998</v>
      </c>
      <c r="S50" s="67">
        <f t="shared" ca="1" si="14"/>
        <v>0.25600000000000001</v>
      </c>
      <c r="T50" s="67">
        <f t="shared" ca="1" si="15"/>
        <v>0.25600000000000001</v>
      </c>
      <c r="U50" s="65">
        <f t="shared" ca="1" si="16"/>
        <v>0.3584</v>
      </c>
      <c r="V50" s="66">
        <f t="shared" ca="1" si="17"/>
        <v>0.33749999999999997</v>
      </c>
      <c r="W50" s="65">
        <f t="shared" ca="1" si="18"/>
        <v>351.59039999999999</v>
      </c>
      <c r="X50" s="58">
        <f t="shared" ca="1" si="19"/>
        <v>0.21516574145596759</v>
      </c>
      <c r="Y50" s="58">
        <f t="shared" ca="1" si="27"/>
        <v>0.15</v>
      </c>
      <c r="Z50" s="58">
        <f t="shared" ca="1" si="20"/>
        <v>0.17159999999999997</v>
      </c>
      <c r="AA50" s="58">
        <f t="shared" ca="1" si="20"/>
        <v>0.13728000000000001</v>
      </c>
      <c r="AB50" s="58">
        <f t="shared" ca="1" si="20"/>
        <v>0.11497199999999999</v>
      </c>
      <c r="AC50" s="58">
        <f t="shared" ca="1" si="21"/>
        <v>2</v>
      </c>
      <c r="AD50" s="58">
        <f t="shared" ca="1" si="22"/>
        <v>2.5</v>
      </c>
      <c r="AE50" s="58">
        <f t="shared" ca="1" si="23"/>
        <v>1.25</v>
      </c>
      <c r="AF50" s="58">
        <f t="shared" ca="1" si="28"/>
        <v>1</v>
      </c>
      <c r="AG50" s="58">
        <f t="shared" ca="1" si="24"/>
        <v>0.15661904761904763</v>
      </c>
      <c r="AH50" s="58">
        <f t="shared" ca="1" si="25"/>
        <v>0.22471428571428573</v>
      </c>
      <c r="AI50" s="58">
        <f t="shared" ca="1" si="26"/>
        <v>0.24405333333333332</v>
      </c>
    </row>
    <row r="51" spans="1:35" ht="16">
      <c r="B51" s="69">
        <f ca="1">F17</f>
        <v>0.33789999999999998</v>
      </c>
      <c r="C51" s="63">
        <f t="shared" ca="1" si="0"/>
        <v>2.2360000000000002</v>
      </c>
      <c r="D51" s="63">
        <f t="shared" ca="1" si="1"/>
        <v>0.87</v>
      </c>
      <c r="E51" s="63">
        <f t="shared" ca="1" si="2"/>
        <v>0.3891</v>
      </c>
      <c r="F51" s="63">
        <f t="shared" ca="1" si="3"/>
        <v>0.34599999999999997</v>
      </c>
      <c r="G51" s="63"/>
      <c r="H51" s="63"/>
      <c r="I51" s="68">
        <f t="shared" ca="1" si="4"/>
        <v>0.247</v>
      </c>
      <c r="J51" s="73">
        <f t="shared" ca="1" si="5"/>
        <v>2.2370000000000001</v>
      </c>
      <c r="K51" s="74">
        <f t="shared" ca="1" si="6"/>
        <v>0.8</v>
      </c>
      <c r="L51" s="74">
        <f t="shared" ca="1" si="7"/>
        <v>0.35759999999999997</v>
      </c>
      <c r="M51" s="75">
        <f t="shared" ca="1" si="8"/>
        <v>0.33</v>
      </c>
      <c r="N51" s="76">
        <f t="shared" ca="1" si="9"/>
        <v>0.17599999999999999</v>
      </c>
      <c r="O51" s="68">
        <f t="shared" ca="1" si="10"/>
        <v>2.6459999999999999</v>
      </c>
      <c r="P51" s="68">
        <f t="shared" ca="1" si="11"/>
        <v>1.0900000000000001</v>
      </c>
      <c r="Q51" s="68">
        <f t="shared" ca="1" si="12"/>
        <v>0.41189999999999999</v>
      </c>
      <c r="R51" s="68">
        <f t="shared" ca="1" si="13"/>
        <v>0.35799999999999998</v>
      </c>
      <c r="S51" s="68">
        <f t="shared" ca="1" si="14"/>
        <v>0.25600000000000001</v>
      </c>
      <c r="T51" s="68">
        <f t="shared" ca="1" si="15"/>
        <v>0.25600000000000001</v>
      </c>
      <c r="U51" s="69">
        <f t="shared" ca="1" si="16"/>
        <v>0.3584</v>
      </c>
      <c r="V51" s="68">
        <f t="shared" ca="1" si="17"/>
        <v>0.33789999999999998</v>
      </c>
      <c r="W51" s="69">
        <f t="shared" ca="1" si="18"/>
        <v>351.59039999999999</v>
      </c>
      <c r="X51" s="58">
        <f t="shared" ca="1" si="19"/>
        <v>0.21503834905791094</v>
      </c>
      <c r="Y51" s="58">
        <f t="shared" ca="1" si="27"/>
        <v>0.15</v>
      </c>
      <c r="Z51" s="58">
        <f t="shared" ca="1" si="20"/>
        <v>0.17159999999999997</v>
      </c>
      <c r="AA51" s="58">
        <f t="shared" ca="1" si="20"/>
        <v>0.13728000000000001</v>
      </c>
      <c r="AB51" s="58">
        <f t="shared" ca="1" si="20"/>
        <v>0.11497199999999999</v>
      </c>
      <c r="AC51" s="58">
        <f t="shared" ca="1" si="21"/>
        <v>2</v>
      </c>
      <c r="AD51" s="58">
        <f t="shared" ca="1" si="22"/>
        <v>2.5</v>
      </c>
      <c r="AE51" s="58">
        <f t="shared" ca="1" si="23"/>
        <v>1.25</v>
      </c>
      <c r="AF51" s="58">
        <f t="shared" ca="1" si="28"/>
        <v>1</v>
      </c>
      <c r="AG51" s="58">
        <f t="shared" ca="1" si="24"/>
        <v>0.15661904761904763</v>
      </c>
      <c r="AH51" s="58">
        <f t="shared" ca="1" si="25"/>
        <v>0.22471428571428573</v>
      </c>
      <c r="AI51" s="58">
        <f t="shared" ca="1" si="26"/>
        <v>0.24405333333333332</v>
      </c>
    </row>
    <row r="52" spans="1:35" ht="16">
      <c r="B52" s="64">
        <v>0.36099999999999999</v>
      </c>
      <c r="C52" s="63">
        <f t="shared" ca="1" si="0"/>
        <v>2.3140000000000001</v>
      </c>
      <c r="D52" s="63">
        <f t="shared" ca="1" si="1"/>
        <v>0.87</v>
      </c>
      <c r="E52" s="63">
        <f t="shared" ca="1" si="2"/>
        <v>0.376</v>
      </c>
      <c r="F52" s="63">
        <f t="shared" ca="1" si="3"/>
        <v>0.34</v>
      </c>
      <c r="G52" s="60"/>
      <c r="H52" s="60"/>
      <c r="I52" s="60">
        <f t="shared" ca="1" si="4"/>
        <v>0.24299999999999999</v>
      </c>
      <c r="J52" s="60">
        <f t="shared" ca="1" si="5"/>
        <v>2.3159999999999998</v>
      </c>
      <c r="K52" s="60">
        <f t="shared" ca="1" si="6"/>
        <v>0.8</v>
      </c>
      <c r="L52" s="60">
        <f t="shared" ca="1" si="7"/>
        <v>0.34539999999999998</v>
      </c>
      <c r="M52" s="60">
        <f t="shared" ca="1" si="8"/>
        <v>0.32400000000000001</v>
      </c>
      <c r="N52" s="60">
        <f t="shared" ca="1" si="9"/>
        <v>0.17899999999999999</v>
      </c>
      <c r="O52" s="60">
        <f t="shared" ca="1" si="10"/>
        <v>2.6640000000000001</v>
      </c>
      <c r="P52" s="60">
        <f t="shared" ca="1" si="11"/>
        <v>1.0900000000000001</v>
      </c>
      <c r="Q52" s="60">
        <f t="shared" ca="1" si="12"/>
        <v>0.40920000000000001</v>
      </c>
      <c r="R52" s="60">
        <f t="shared" ca="1" si="13"/>
        <v>0.35699999999999998</v>
      </c>
      <c r="S52" s="60">
        <f t="shared" ca="1" si="14"/>
        <v>0.255</v>
      </c>
      <c r="T52" s="60">
        <f t="shared" ca="1" si="15"/>
        <v>0.255</v>
      </c>
      <c r="U52" s="64">
        <f t="shared" ca="1" si="16"/>
        <v>0.35699999999999998</v>
      </c>
      <c r="V52" s="63">
        <f t="shared" si="17"/>
        <v>0.36099999999999999</v>
      </c>
      <c r="W52" s="209">
        <f t="shared" ca="1" si="18"/>
        <v>350.21699999999998</v>
      </c>
      <c r="X52" s="58">
        <f t="shared" si="19"/>
        <v>0.20804458290581443</v>
      </c>
      <c r="Y52" s="58">
        <f t="shared" si="27"/>
        <v>0.15</v>
      </c>
      <c r="Z52" s="58">
        <f t="shared" si="20"/>
        <v>0.17159999999999997</v>
      </c>
      <c r="AA52" s="58">
        <f t="shared" si="20"/>
        <v>0.13728000000000001</v>
      </c>
      <c r="AB52" s="58">
        <f t="shared" si="20"/>
        <v>0.11497199999999999</v>
      </c>
      <c r="AC52" s="58">
        <f t="shared" si="21"/>
        <v>2</v>
      </c>
      <c r="AD52" s="58">
        <f t="shared" si="22"/>
        <v>2.5</v>
      </c>
      <c r="AE52" s="58">
        <f t="shared" si="23"/>
        <v>1.25</v>
      </c>
      <c r="AF52" s="58">
        <f t="shared" si="28"/>
        <v>1</v>
      </c>
      <c r="AG52" s="58">
        <f t="shared" si="24"/>
        <v>0.15661904761904763</v>
      </c>
      <c r="AH52" s="58">
        <f t="shared" si="25"/>
        <v>0.22471428571428573</v>
      </c>
      <c r="AI52" s="58">
        <f t="shared" ca="1" si="26"/>
        <v>0.24310000000000001</v>
      </c>
    </row>
    <row r="53" spans="1:35" ht="17.5">
      <c r="A53" s="38" t="s">
        <v>1370</v>
      </c>
      <c r="B53" s="72">
        <f ca="1">F21</f>
        <v>0.35780000000000001</v>
      </c>
      <c r="C53" s="63">
        <f t="shared" ca="1" si="0"/>
        <v>2.3039999999999998</v>
      </c>
      <c r="D53" s="63">
        <f t="shared" ca="1" si="1"/>
        <v>0.87</v>
      </c>
      <c r="E53" s="63">
        <f t="shared" ca="1" si="2"/>
        <v>0.37759999999999999</v>
      </c>
      <c r="F53" s="63">
        <f t="shared" ca="1" si="3"/>
        <v>0.34</v>
      </c>
      <c r="G53" s="63"/>
      <c r="H53" s="63"/>
      <c r="I53" s="71">
        <f t="shared" ca="1" si="4"/>
        <v>0.24299999999999999</v>
      </c>
      <c r="J53" s="77">
        <f t="shared" ca="1" si="5"/>
        <v>2.3050000000000002</v>
      </c>
      <c r="K53" s="71">
        <f t="shared" ca="1" si="6"/>
        <v>0.8</v>
      </c>
      <c r="L53" s="71">
        <f t="shared" ca="1" si="7"/>
        <v>0.34710000000000002</v>
      </c>
      <c r="M53" s="78">
        <f t="shared" ca="1" si="8"/>
        <v>0.32400000000000001</v>
      </c>
      <c r="N53" s="79">
        <f t="shared" ca="1" si="9"/>
        <v>0.17799999999999999</v>
      </c>
      <c r="O53" s="71">
        <f t="shared" ca="1" si="10"/>
        <v>2.6459999999999999</v>
      </c>
      <c r="P53" s="71">
        <f t="shared" ca="1" si="11"/>
        <v>1.0900000000000001</v>
      </c>
      <c r="Q53" s="71">
        <f t="shared" ca="1" si="12"/>
        <v>0.41189999999999999</v>
      </c>
      <c r="R53" s="71">
        <f t="shared" ca="1" si="13"/>
        <v>0.35799999999999998</v>
      </c>
      <c r="S53" s="71">
        <f t="shared" ca="1" si="14"/>
        <v>0.25600000000000001</v>
      </c>
      <c r="T53" s="71">
        <f t="shared" ca="1" si="15"/>
        <v>0.25600000000000001</v>
      </c>
      <c r="U53" s="72">
        <f t="shared" ca="1" si="16"/>
        <v>0.3584</v>
      </c>
      <c r="V53" s="70">
        <f t="shared" ca="1" si="17"/>
        <v>0.35780000000000001</v>
      </c>
      <c r="W53" s="72">
        <f t="shared" ca="1" si="18"/>
        <v>351.59039999999999</v>
      </c>
      <c r="X53" s="58">
        <f t="shared" ca="1" si="19"/>
        <v>0.20897283997677724</v>
      </c>
      <c r="Y53" s="58">
        <f t="shared" ca="1" si="27"/>
        <v>0.15</v>
      </c>
      <c r="Z53" s="58">
        <f t="shared" ca="1" si="20"/>
        <v>0.17159999999999997</v>
      </c>
      <c r="AA53" s="58">
        <f t="shared" ca="1" si="20"/>
        <v>0.13728000000000001</v>
      </c>
      <c r="AB53" s="58">
        <f t="shared" ca="1" si="20"/>
        <v>0.11497199999999999</v>
      </c>
      <c r="AC53" s="58">
        <f t="shared" ca="1" si="21"/>
        <v>2</v>
      </c>
      <c r="AD53" s="58">
        <f t="shared" ca="1" si="22"/>
        <v>2.5</v>
      </c>
      <c r="AE53" s="58">
        <f t="shared" ca="1" si="23"/>
        <v>1.25</v>
      </c>
      <c r="AF53" s="58">
        <f t="shared" ca="1" si="28"/>
        <v>1</v>
      </c>
      <c r="AG53" s="58">
        <f t="shared" ca="1" si="24"/>
        <v>0.15661904761904763</v>
      </c>
      <c r="AH53" s="58">
        <f t="shared" ca="1" si="25"/>
        <v>0.22471428571428573</v>
      </c>
      <c r="AI53" s="58">
        <f t="shared" ca="1" si="26"/>
        <v>0.24405333333333332</v>
      </c>
    </row>
    <row r="54" spans="1:35" ht="16">
      <c r="B54" s="64">
        <v>0.4</v>
      </c>
      <c r="C54" s="63">
        <f t="shared" ca="1" si="0"/>
        <v>2.4470000000000001</v>
      </c>
      <c r="D54" s="63">
        <f t="shared" ca="1" si="1"/>
        <v>0.87</v>
      </c>
      <c r="E54" s="63">
        <f t="shared" ca="1" si="2"/>
        <v>0.35549999999999998</v>
      </c>
      <c r="F54" s="63">
        <f t="shared" ca="1" si="3"/>
        <v>0.32900000000000001</v>
      </c>
      <c r="G54" s="60"/>
      <c r="H54" s="60"/>
      <c r="I54" s="60">
        <f t="shared" ca="1" si="4"/>
        <v>0.23499999999999999</v>
      </c>
      <c r="J54" s="80">
        <f t="shared" ca="1" si="5"/>
        <v>2.448</v>
      </c>
      <c r="K54" s="60">
        <f t="shared" ca="1" si="6"/>
        <v>0.8</v>
      </c>
      <c r="L54" s="60">
        <f t="shared" ca="1" si="7"/>
        <v>0.32679999999999998</v>
      </c>
      <c r="M54" s="81">
        <f t="shared" ca="1" si="8"/>
        <v>0.314</v>
      </c>
      <c r="N54" s="82">
        <f t="shared" ca="1" si="9"/>
        <v>0.183</v>
      </c>
      <c r="O54" s="60">
        <f t="shared" ca="1" si="10"/>
        <v>2.8860000000000001</v>
      </c>
      <c r="P54" s="60">
        <f t="shared" ca="1" si="11"/>
        <v>1.0900000000000001</v>
      </c>
      <c r="Q54" s="60">
        <f t="shared" ca="1" si="12"/>
        <v>0.37769999999999998</v>
      </c>
      <c r="R54" s="60">
        <f t="shared" ca="1" si="13"/>
        <v>0.34</v>
      </c>
      <c r="S54" s="60">
        <f t="shared" ca="1" si="14"/>
        <v>0.24299999999999999</v>
      </c>
      <c r="T54" s="60">
        <f t="shared" ca="1" si="15"/>
        <v>0.24299999999999999</v>
      </c>
      <c r="U54" s="64">
        <f t="shared" ca="1" si="16"/>
        <v>0.34019999999999995</v>
      </c>
      <c r="V54" s="63">
        <f t="shared" si="17"/>
        <v>0.4</v>
      </c>
      <c r="W54" s="209">
        <f t="shared" ca="1" si="18"/>
        <v>333.73619999999994</v>
      </c>
      <c r="X54" s="58">
        <f t="shared" si="19"/>
        <v>0.19764235376052369</v>
      </c>
      <c r="Y54" s="58">
        <f t="shared" si="27"/>
        <v>0.15</v>
      </c>
      <c r="Z54" s="58">
        <f t="shared" si="20"/>
        <v>0.17159999999999997</v>
      </c>
      <c r="AA54" s="58">
        <f t="shared" si="20"/>
        <v>0.13728000000000001</v>
      </c>
      <c r="AB54" s="58">
        <f t="shared" si="20"/>
        <v>0.11497199999999999</v>
      </c>
      <c r="AC54" s="58">
        <f t="shared" si="21"/>
        <v>2</v>
      </c>
      <c r="AD54" s="58">
        <f t="shared" si="22"/>
        <v>2.5</v>
      </c>
      <c r="AE54" s="58">
        <f t="shared" si="23"/>
        <v>1.25</v>
      </c>
      <c r="AF54" s="58">
        <f t="shared" si="28"/>
        <v>1</v>
      </c>
      <c r="AG54" s="58">
        <f t="shared" si="24"/>
        <v>0.15661904761904763</v>
      </c>
      <c r="AH54" s="58">
        <f t="shared" si="25"/>
        <v>0.22471428571428573</v>
      </c>
      <c r="AI54" s="58">
        <f t="shared" ca="1" si="26"/>
        <v>0.23166</v>
      </c>
    </row>
    <row r="55" spans="1:35" ht="16">
      <c r="B55" s="64">
        <v>0.46700000000000003</v>
      </c>
      <c r="C55" s="63">
        <f t="shared" ca="1" si="0"/>
        <v>2.6739999999999999</v>
      </c>
      <c r="D55" s="63">
        <f t="shared" ca="1" si="1"/>
        <v>0.87</v>
      </c>
      <c r="E55" s="63">
        <f t="shared" ca="1" si="2"/>
        <v>0.32540000000000002</v>
      </c>
      <c r="F55" s="63">
        <f t="shared" ca="1" si="3"/>
        <v>0.313</v>
      </c>
      <c r="G55" s="60"/>
      <c r="H55" s="60"/>
      <c r="I55" s="60">
        <f t="shared" ca="1" si="4"/>
        <v>0.224</v>
      </c>
      <c r="J55" s="80">
        <f t="shared" ca="1" si="5"/>
        <v>2.6760000000000002</v>
      </c>
      <c r="K55" s="60">
        <f t="shared" ca="1" si="6"/>
        <v>0.8</v>
      </c>
      <c r="L55" s="60">
        <f t="shared" ca="1" si="7"/>
        <v>0.29899999999999999</v>
      </c>
      <c r="M55" s="81">
        <f t="shared" ca="1" si="8"/>
        <v>0.29899999999999999</v>
      </c>
      <c r="N55" s="82">
        <f t="shared" ca="1" si="9"/>
        <v>0.191</v>
      </c>
      <c r="O55" s="60">
        <f t="shared" ca="1" si="10"/>
        <v>3.266</v>
      </c>
      <c r="P55" s="60">
        <f t="shared" ca="1" si="11"/>
        <v>1.0900000000000001</v>
      </c>
      <c r="Q55" s="60">
        <f t="shared" ca="1" si="12"/>
        <v>0.3337</v>
      </c>
      <c r="R55" s="60">
        <f t="shared" ca="1" si="13"/>
        <v>0.318</v>
      </c>
      <c r="S55" s="60">
        <f t="shared" ca="1" si="14"/>
        <v>0.22700000000000001</v>
      </c>
      <c r="T55" s="60">
        <f t="shared" ca="1" si="15"/>
        <v>0.22700000000000001</v>
      </c>
      <c r="U55" s="64">
        <f t="shared" ca="1" si="16"/>
        <v>0.31779999999999997</v>
      </c>
      <c r="V55" s="63">
        <f t="shared" si="17"/>
        <v>0.46700000000000003</v>
      </c>
      <c r="W55" s="209">
        <f t="shared" ca="1" si="18"/>
        <v>311.76179999999999</v>
      </c>
      <c r="X55" s="58">
        <f t="shared" si="19"/>
        <v>0.18291594821488102</v>
      </c>
      <c r="Y55" s="58">
        <f t="shared" si="27"/>
        <v>0.15</v>
      </c>
      <c r="Z55" s="58">
        <f t="shared" si="20"/>
        <v>0.17159999999999997</v>
      </c>
      <c r="AA55" s="58">
        <f t="shared" si="20"/>
        <v>0.13728000000000001</v>
      </c>
      <c r="AB55" s="58">
        <f t="shared" si="20"/>
        <v>0.11497199999999999</v>
      </c>
      <c r="AC55" s="58">
        <f t="shared" si="21"/>
        <v>2.1487804878048782</v>
      </c>
      <c r="AD55" s="58">
        <f t="shared" si="22"/>
        <v>2.5</v>
      </c>
      <c r="AE55" s="58">
        <f t="shared" si="23"/>
        <v>1.1634506242905789</v>
      </c>
      <c r="AF55" s="58">
        <f t="shared" si="28"/>
        <v>1</v>
      </c>
      <c r="AG55" s="58">
        <f t="shared" si="24"/>
        <v>0.15661904761904763</v>
      </c>
      <c r="AH55" s="58">
        <f t="shared" si="25"/>
        <v>0.22471428571428573</v>
      </c>
      <c r="AI55" s="58">
        <f t="shared" ca="1" si="26"/>
        <v>0.21640666666666666</v>
      </c>
    </row>
    <row r="56" spans="1:35" ht="16">
      <c r="B56" s="64">
        <v>0.499</v>
      </c>
      <c r="C56" s="63">
        <f t="shared" ca="1" si="0"/>
        <v>2.782</v>
      </c>
      <c r="D56" s="63">
        <f t="shared" ca="1" si="1"/>
        <v>0.87</v>
      </c>
      <c r="E56" s="63">
        <f t="shared" ca="1" si="2"/>
        <v>0.31269999999999998</v>
      </c>
      <c r="F56" s="63">
        <f t="shared" ca="1" si="3"/>
        <v>0.307</v>
      </c>
      <c r="G56" s="60"/>
      <c r="H56" s="60"/>
      <c r="I56" s="60">
        <f t="shared" ca="1" si="4"/>
        <v>0.219</v>
      </c>
      <c r="J56" s="80">
        <f t="shared" ca="1" si="5"/>
        <v>2.7839999999999998</v>
      </c>
      <c r="K56" s="60">
        <f t="shared" ca="1" si="6"/>
        <v>0.8</v>
      </c>
      <c r="L56" s="60">
        <f t="shared" ca="1" si="7"/>
        <v>0.28739999999999999</v>
      </c>
      <c r="M56" s="81">
        <f t="shared" ca="1" si="8"/>
        <v>0.28739999999999999</v>
      </c>
      <c r="N56" s="82">
        <f t="shared" ca="1" si="9"/>
        <v>0.191</v>
      </c>
      <c r="O56" s="60">
        <f t="shared" ca="1" si="10"/>
        <v>3.448</v>
      </c>
      <c r="P56" s="60">
        <f t="shared" ca="1" si="11"/>
        <v>1.0900000000000001</v>
      </c>
      <c r="Q56" s="60">
        <f t="shared" ca="1" si="12"/>
        <v>0.31609999999999999</v>
      </c>
      <c r="R56" s="60">
        <f t="shared" ca="1" si="13"/>
        <v>0.308</v>
      </c>
      <c r="S56" s="60">
        <f t="shared" ca="1" si="14"/>
        <v>0.22</v>
      </c>
      <c r="T56" s="60">
        <f t="shared" ca="1" si="15"/>
        <v>0.22</v>
      </c>
      <c r="U56" s="64">
        <f t="shared" ca="1" si="16"/>
        <v>0.308</v>
      </c>
      <c r="V56" s="63">
        <f t="shared" si="17"/>
        <v>0.499</v>
      </c>
      <c r="W56" s="209">
        <f t="shared" ca="1" si="18"/>
        <v>302.14799999999997</v>
      </c>
      <c r="X56" s="58">
        <f t="shared" si="19"/>
        <v>0.17695373759969302</v>
      </c>
      <c r="Y56" s="58">
        <f t="shared" si="27"/>
        <v>0.15</v>
      </c>
      <c r="Z56" s="58">
        <f t="shared" si="20"/>
        <v>0.17159999999999997</v>
      </c>
      <c r="AA56" s="58">
        <f t="shared" si="20"/>
        <v>0.13728000000000001</v>
      </c>
      <c r="AB56" s="58">
        <f t="shared" si="20"/>
        <v>0.11497199999999999</v>
      </c>
      <c r="AC56" s="58">
        <f t="shared" si="21"/>
        <v>2.2268292682926827</v>
      </c>
      <c r="AD56" s="58">
        <f t="shared" si="22"/>
        <v>2.5</v>
      </c>
      <c r="AE56" s="58">
        <f t="shared" si="23"/>
        <v>1.1226725082146769</v>
      </c>
      <c r="AF56" s="58">
        <f t="shared" si="28"/>
        <v>1</v>
      </c>
      <c r="AG56" s="58">
        <f t="shared" si="24"/>
        <v>0.15661904761904763</v>
      </c>
      <c r="AH56" s="58">
        <f t="shared" si="25"/>
        <v>0.22471428571428573</v>
      </c>
      <c r="AI56" s="58">
        <f t="shared" ca="1" si="26"/>
        <v>0.20973333333333333</v>
      </c>
    </row>
    <row r="57" spans="1:35" ht="16">
      <c r="B57" s="65">
        <f ca="1">D19</f>
        <v>0.5625</v>
      </c>
      <c r="C57" s="66">
        <f t="shared" ca="1" si="0"/>
        <v>2.9980000000000002</v>
      </c>
      <c r="D57" s="66">
        <f t="shared" ca="1" si="1"/>
        <v>0.87</v>
      </c>
      <c r="E57" s="66">
        <f t="shared" ca="1" si="2"/>
        <v>0.29020000000000001</v>
      </c>
      <c r="F57" s="66">
        <f t="shared" ca="1" si="3"/>
        <v>0.29020000000000001</v>
      </c>
      <c r="G57" s="67"/>
      <c r="H57" s="67"/>
      <c r="I57" s="67">
        <f t="shared" ca="1" si="4"/>
        <v>0.20699999999999999</v>
      </c>
      <c r="J57" s="83">
        <f t="shared" ca="1" si="5"/>
        <v>3</v>
      </c>
      <c r="K57" s="67">
        <f t="shared" ca="1" si="6"/>
        <v>0.8</v>
      </c>
      <c r="L57" s="67">
        <f t="shared" ca="1" si="7"/>
        <v>0.26669999999999999</v>
      </c>
      <c r="M57" s="84">
        <f t="shared" ca="1" si="8"/>
        <v>0.26669999999999999</v>
      </c>
      <c r="N57" s="85">
        <f t="shared" ca="1" si="9"/>
        <v>0.191</v>
      </c>
      <c r="O57" s="67">
        <f t="shared" ca="1" si="10"/>
        <v>3.8079999999999998</v>
      </c>
      <c r="P57" s="67">
        <f t="shared" ca="1" si="11"/>
        <v>1.0900000000000001</v>
      </c>
      <c r="Q57" s="67">
        <f t="shared" ca="1" si="12"/>
        <v>0.28620000000000001</v>
      </c>
      <c r="R57" s="67">
        <f t="shared" ca="1" si="13"/>
        <v>0.28620000000000001</v>
      </c>
      <c r="S57" s="67">
        <f t="shared" ca="1" si="14"/>
        <v>0.20399999999999999</v>
      </c>
      <c r="T57" s="67">
        <f t="shared" ca="1" si="15"/>
        <v>0.20699999999999999</v>
      </c>
      <c r="U57" s="65">
        <f t="shared" ca="1" si="16"/>
        <v>0.28979999999999995</v>
      </c>
      <c r="V57" s="66">
        <f t="shared" ca="1" si="17"/>
        <v>0.5625</v>
      </c>
      <c r="W57" s="65">
        <f t="shared" ca="1" si="18"/>
        <v>284.29379999999992</v>
      </c>
      <c r="X57" s="58">
        <f t="shared" ca="1" si="19"/>
        <v>0.16666666666666666</v>
      </c>
      <c r="Y57" s="58">
        <f t="shared" ca="1" si="27"/>
        <v>0.15</v>
      </c>
      <c r="Z57" s="58">
        <f t="shared" ca="1" si="20"/>
        <v>0.17159999999999997</v>
      </c>
      <c r="AA57" s="58">
        <f t="shared" ca="1" si="20"/>
        <v>0.13728000000000001</v>
      </c>
      <c r="AB57" s="58">
        <f t="shared" ca="1" si="20"/>
        <v>0.11497199999999999</v>
      </c>
      <c r="AC57" s="58">
        <f t="shared" ca="1" si="21"/>
        <v>2.3817073170731708</v>
      </c>
      <c r="AD57" s="58">
        <f t="shared" ca="1" si="22"/>
        <v>2.5</v>
      </c>
      <c r="AE57" s="58">
        <f t="shared" ca="1" si="23"/>
        <v>1.0496671786994367</v>
      </c>
      <c r="AF57" s="58">
        <f t="shared" ca="1" si="28"/>
        <v>1</v>
      </c>
      <c r="AG57" s="58">
        <f t="shared" ca="1" si="24"/>
        <v>0.15661904761904763</v>
      </c>
      <c r="AH57" s="58">
        <f t="shared" ca="1" si="25"/>
        <v>0.22471428571428573</v>
      </c>
      <c r="AI57" s="58">
        <f t="shared" ca="1" si="26"/>
        <v>0.19733999999999996</v>
      </c>
    </row>
    <row r="58" spans="1:35" ht="16.5" thickBot="1">
      <c r="B58" s="69">
        <f ca="1">D17</f>
        <v>0.56320000000000003</v>
      </c>
      <c r="C58" s="63">
        <f t="shared" ca="1" si="0"/>
        <v>3</v>
      </c>
      <c r="D58" s="63">
        <f t="shared" ca="1" si="1"/>
        <v>0.87</v>
      </c>
      <c r="E58" s="63">
        <f t="shared" ca="1" si="2"/>
        <v>0.28999999999999998</v>
      </c>
      <c r="F58" s="63">
        <f t="shared" ca="1" si="3"/>
        <v>0.28999999999999998</v>
      </c>
      <c r="G58" s="63"/>
      <c r="H58" s="63"/>
      <c r="I58" s="68">
        <f t="shared" ca="1" si="4"/>
        <v>0.20699999999999999</v>
      </c>
      <c r="J58" s="86">
        <f t="shared" ca="1" si="5"/>
        <v>3</v>
      </c>
      <c r="K58" s="87">
        <f t="shared" ca="1" si="6"/>
        <v>0.79900568181818177</v>
      </c>
      <c r="L58" s="87">
        <f t="shared" ca="1" si="7"/>
        <v>0.26629999999999998</v>
      </c>
      <c r="M58" s="88">
        <f t="shared" ca="1" si="8"/>
        <v>0.26629999999999998</v>
      </c>
      <c r="N58" s="89">
        <f t="shared" ca="1" si="9"/>
        <v>0.19</v>
      </c>
      <c r="O58" s="68">
        <f t="shared" ca="1" si="10"/>
        <v>3.8119999999999998</v>
      </c>
      <c r="P58" s="68">
        <f t="shared" ca="1" si="11"/>
        <v>1.0900000000000001</v>
      </c>
      <c r="Q58" s="68">
        <f t="shared" ca="1" si="12"/>
        <v>0.28589999999999999</v>
      </c>
      <c r="R58" s="68">
        <f t="shared" ca="1" si="13"/>
        <v>0.28589999999999999</v>
      </c>
      <c r="S58" s="68">
        <f t="shared" ca="1" si="14"/>
        <v>0.20399999999999999</v>
      </c>
      <c r="T58" s="68">
        <f t="shared" ca="1" si="15"/>
        <v>0.20699999999999999</v>
      </c>
      <c r="U58" s="69">
        <f t="shared" ca="1" si="16"/>
        <v>0.28979999999999995</v>
      </c>
      <c r="V58" s="68">
        <f t="shared" ca="1" si="17"/>
        <v>0.56320000000000003</v>
      </c>
      <c r="W58" s="69">
        <f t="shared" ca="1" si="18"/>
        <v>284.29379999999992</v>
      </c>
      <c r="X58" s="58">
        <f t="shared" ca="1" si="19"/>
        <v>0.16656305965282064</v>
      </c>
      <c r="Y58" s="58">
        <f t="shared" ca="1" si="27"/>
        <v>0.15</v>
      </c>
      <c r="Z58" s="58">
        <f t="shared" ca="1" si="20"/>
        <v>0.17159999999999997</v>
      </c>
      <c r="AA58" s="58">
        <f t="shared" ca="1" si="20"/>
        <v>0.13728000000000001</v>
      </c>
      <c r="AB58" s="58">
        <f t="shared" ca="1" si="20"/>
        <v>0.11497199999999999</v>
      </c>
      <c r="AC58" s="58">
        <f t="shared" ca="1" si="21"/>
        <v>2.3834146341463414</v>
      </c>
      <c r="AD58" s="58">
        <f t="shared" ca="1" si="22"/>
        <v>2.5</v>
      </c>
      <c r="AE58" s="58">
        <f t="shared" ca="1" si="23"/>
        <v>1.0489152681129759</v>
      </c>
      <c r="AF58" s="58">
        <f t="shared" ca="1" si="28"/>
        <v>1</v>
      </c>
      <c r="AG58" s="58">
        <f t="shared" ca="1" si="24"/>
        <v>0.15661904761904763</v>
      </c>
      <c r="AH58" s="58">
        <f t="shared" ca="1" si="25"/>
        <v>0.22471428571428573</v>
      </c>
      <c r="AI58" s="58">
        <f t="shared" ca="1" si="26"/>
        <v>0.19733999999999996</v>
      </c>
    </row>
    <row r="59" spans="1:35" ht="17.5">
      <c r="A59" s="38" t="s">
        <v>1414</v>
      </c>
      <c r="B59" s="72">
        <f ca="1">D21</f>
        <v>0.59630000000000005</v>
      </c>
      <c r="C59" s="63">
        <f t="shared" ca="1" si="0"/>
        <v>3</v>
      </c>
      <c r="D59" s="63">
        <f t="shared" ca="1" si="1"/>
        <v>0.82173402649672977</v>
      </c>
      <c r="E59" s="63">
        <f t="shared" ca="1" si="2"/>
        <v>0.27389999999999998</v>
      </c>
      <c r="F59" s="63">
        <f t="shared" ca="1" si="3"/>
        <v>0.27389999999999998</v>
      </c>
      <c r="G59" s="63"/>
      <c r="H59" s="63"/>
      <c r="I59" s="70">
        <f t="shared" ca="1" si="4"/>
        <v>0.19600000000000001</v>
      </c>
      <c r="J59" s="90">
        <f t="shared" ca="1" si="5"/>
        <v>3</v>
      </c>
      <c r="K59" s="90">
        <f t="shared" ca="1" si="6"/>
        <v>0.75465369780311919</v>
      </c>
      <c r="L59" s="90">
        <f t="shared" ca="1" si="7"/>
        <v>0.25159999999999999</v>
      </c>
      <c r="M59" s="90">
        <f t="shared" ca="1" si="8"/>
        <v>0.25159999999999999</v>
      </c>
      <c r="N59" s="90">
        <f t="shared" ca="1" si="9"/>
        <v>0.18</v>
      </c>
      <c r="O59" s="70">
        <f t="shared" ca="1" si="10"/>
        <v>4</v>
      </c>
      <c r="P59" s="70">
        <f t="shared" ca="1" si="11"/>
        <v>1.0900000000000001</v>
      </c>
      <c r="Q59" s="70">
        <f t="shared" ca="1" si="12"/>
        <v>0.27250000000000002</v>
      </c>
      <c r="R59" s="70">
        <f t="shared" ca="1" si="13"/>
        <v>0.27250000000000002</v>
      </c>
      <c r="S59" s="70">
        <f t="shared" ca="1" si="14"/>
        <v>0.19500000000000001</v>
      </c>
      <c r="T59" s="70">
        <f t="shared" ca="1" si="15"/>
        <v>0.19600000000000001</v>
      </c>
      <c r="U59" s="72">
        <f t="shared" ca="1" si="16"/>
        <v>0.27439999999999998</v>
      </c>
      <c r="V59" s="70">
        <f t="shared" ca="1" si="17"/>
        <v>0.59630000000000005</v>
      </c>
      <c r="W59" s="72">
        <f t="shared" ca="1" si="18"/>
        <v>269.18639999999999</v>
      </c>
      <c r="X59" s="58">
        <f t="shared" ca="1" si="19"/>
        <v>0.1618741900240481</v>
      </c>
      <c r="Y59" s="58">
        <f t="shared" ca="1" si="27"/>
        <v>0.15</v>
      </c>
      <c r="Z59" s="58">
        <f t="shared" ca="1" si="20"/>
        <v>0.17159999999999997</v>
      </c>
      <c r="AA59" s="58">
        <f t="shared" ca="1" si="20"/>
        <v>0.13728000000000001</v>
      </c>
      <c r="AB59" s="58">
        <f t="shared" ca="1" si="20"/>
        <v>0.11497199999999999</v>
      </c>
      <c r="AC59" s="58">
        <f t="shared" ca="1" si="21"/>
        <v>2.4641463414634148</v>
      </c>
      <c r="AD59" s="58">
        <f t="shared" ca="1" si="22"/>
        <v>2.5</v>
      </c>
      <c r="AE59" s="58">
        <f t="shared" ca="1" si="23"/>
        <v>1.014550133623676</v>
      </c>
      <c r="AF59" s="58">
        <f t="shared" ca="1" si="28"/>
        <v>1</v>
      </c>
      <c r="AG59" s="58">
        <f t="shared" ca="1" si="24"/>
        <v>0.15661904761904763</v>
      </c>
      <c r="AH59" s="58">
        <f t="shared" ca="1" si="25"/>
        <v>0.22471428571428573</v>
      </c>
      <c r="AI59" s="58">
        <f t="shared" ca="1" si="26"/>
        <v>0.18685333333333334</v>
      </c>
    </row>
    <row r="60" spans="1:35" ht="16">
      <c r="B60" s="64">
        <v>0.7</v>
      </c>
      <c r="C60" s="63">
        <f t="shared" ca="1" si="0"/>
        <v>3</v>
      </c>
      <c r="D60" s="63">
        <f t="shared" ca="1" si="1"/>
        <v>0.70000000000000007</v>
      </c>
      <c r="E60" s="63">
        <f t="shared" ca="1" si="2"/>
        <v>0.23330000000000001</v>
      </c>
      <c r="F60" s="63">
        <f t="shared" ca="1" si="3"/>
        <v>0.23330000000000001</v>
      </c>
      <c r="G60" s="63"/>
      <c r="H60" s="63"/>
      <c r="I60" s="63">
        <f t="shared" ca="1" si="4"/>
        <v>0.16700000000000001</v>
      </c>
      <c r="J60" s="63">
        <f t="shared" ca="1" si="5"/>
        <v>3</v>
      </c>
      <c r="K60" s="63">
        <f t="shared" ca="1" si="6"/>
        <v>0.6428571428571429</v>
      </c>
      <c r="L60" s="63">
        <f t="shared" ca="1" si="7"/>
        <v>0.21429999999999999</v>
      </c>
      <c r="M60" s="63">
        <f t="shared" ca="1" si="8"/>
        <v>0.21429999999999999</v>
      </c>
      <c r="N60" s="60">
        <f t="shared" ca="1" si="9"/>
        <v>0.153</v>
      </c>
      <c r="O60" s="63">
        <f t="shared" ca="1" si="10"/>
        <v>4</v>
      </c>
      <c r="P60" s="63">
        <f t="shared" ca="1" si="11"/>
        <v>0.92857142857142871</v>
      </c>
      <c r="Q60" s="63">
        <f t="shared" ca="1" si="12"/>
        <v>0.2321</v>
      </c>
      <c r="R60" s="60">
        <f t="shared" ca="1" si="13"/>
        <v>0.2321</v>
      </c>
      <c r="S60" s="63">
        <f t="shared" ca="1" si="14"/>
        <v>0.16600000000000001</v>
      </c>
      <c r="T60" s="91">
        <f t="shared" ca="1" si="15"/>
        <v>0.16700000000000001</v>
      </c>
      <c r="U60" s="64">
        <f t="shared" ca="1" si="16"/>
        <v>0.23380000000000001</v>
      </c>
      <c r="V60" s="63">
        <f t="shared" si="17"/>
        <v>0.7</v>
      </c>
      <c r="W60" s="209">
        <f t="shared" ca="1" si="18"/>
        <v>229.3578</v>
      </c>
      <c r="X60" s="58">
        <f t="shared" si="19"/>
        <v>0.1494035761667992</v>
      </c>
      <c r="Y60" s="58">
        <f t="shared" si="27"/>
        <v>0.1494035761667992</v>
      </c>
      <c r="Z60" s="58">
        <f t="shared" si="20"/>
        <v>0.17091769113481828</v>
      </c>
      <c r="AA60" s="58">
        <f t="shared" si="20"/>
        <v>0.13673415290785465</v>
      </c>
      <c r="AB60" s="58">
        <f t="shared" si="20"/>
        <v>0.11451485306032824</v>
      </c>
      <c r="AC60" s="58">
        <f t="shared" si="21"/>
        <v>2.5</v>
      </c>
      <c r="AD60" s="58">
        <f t="shared" si="22"/>
        <v>1.5221211458444583</v>
      </c>
      <c r="AE60" s="58">
        <f t="shared" si="23"/>
        <v>0.60884845833778334</v>
      </c>
      <c r="AF60" s="58">
        <f t="shared" si="28"/>
        <v>0.60884845833778334</v>
      </c>
      <c r="AG60" s="58">
        <f t="shared" si="24"/>
        <v>9.5357265689189008E-2</v>
      </c>
      <c r="AH60" s="58">
        <f t="shared" si="25"/>
        <v>0.13681694642361905</v>
      </c>
      <c r="AI60" s="58">
        <f t="shared" ca="1" si="26"/>
        <v>0.15920666666666666</v>
      </c>
    </row>
    <row r="61" spans="1:35" ht="16">
      <c r="B61" s="64">
        <v>0.77800000000000002</v>
      </c>
      <c r="C61" s="63">
        <f t="shared" ca="1" si="0"/>
        <v>3</v>
      </c>
      <c r="D61" s="63">
        <f t="shared" ca="1" si="1"/>
        <v>0.62982005141388175</v>
      </c>
      <c r="E61" s="63">
        <f t="shared" ca="1" si="2"/>
        <v>0.2099</v>
      </c>
      <c r="F61" s="63">
        <f t="shared" ca="1" si="3"/>
        <v>0.2099</v>
      </c>
      <c r="G61" s="60"/>
      <c r="H61" s="60"/>
      <c r="I61" s="60">
        <f t="shared" ca="1" si="4"/>
        <v>0.15</v>
      </c>
      <c r="J61" s="63">
        <f t="shared" ca="1" si="5"/>
        <v>3</v>
      </c>
      <c r="K61" s="63">
        <f t="shared" ca="1" si="6"/>
        <v>0.57840616966580971</v>
      </c>
      <c r="L61" s="63">
        <f t="shared" ca="1" si="7"/>
        <v>0.1928</v>
      </c>
      <c r="M61" s="63">
        <f t="shared" ca="1" si="8"/>
        <v>0.1928</v>
      </c>
      <c r="N61" s="60">
        <f t="shared" ca="1" si="9"/>
        <v>0.13800000000000001</v>
      </c>
      <c r="O61" s="63">
        <f t="shared" ca="1" si="10"/>
        <v>4</v>
      </c>
      <c r="P61" s="63">
        <f t="shared" ca="1" si="11"/>
        <v>0.83547557840616971</v>
      </c>
      <c r="Q61" s="63">
        <f t="shared" ca="1" si="12"/>
        <v>0.2089</v>
      </c>
      <c r="R61" s="60">
        <f t="shared" ca="1" si="13"/>
        <v>0.2089</v>
      </c>
      <c r="S61" s="60">
        <f t="shared" ca="1" si="14"/>
        <v>0.14899999999999999</v>
      </c>
      <c r="T61" s="91">
        <f t="shared" ca="1" si="15"/>
        <v>0.15</v>
      </c>
      <c r="U61" s="64">
        <f t="shared" ca="1" si="16"/>
        <v>0.21</v>
      </c>
      <c r="V61" s="63">
        <f t="shared" si="17"/>
        <v>0.77800000000000002</v>
      </c>
      <c r="W61" s="209">
        <f t="shared" ca="1" si="18"/>
        <v>206.01</v>
      </c>
      <c r="X61" s="58">
        <f t="shared" si="19"/>
        <v>0.14171643361953692</v>
      </c>
      <c r="Y61" s="58">
        <f t="shared" si="27"/>
        <v>0.14171643361953692</v>
      </c>
      <c r="Z61" s="58">
        <f t="shared" si="20"/>
        <v>0.16212360006075024</v>
      </c>
      <c r="AA61" s="58">
        <f t="shared" si="20"/>
        <v>0.12969888004860022</v>
      </c>
      <c r="AB61" s="58">
        <f t="shared" si="20"/>
        <v>0.10862281204070266</v>
      </c>
      <c r="AC61" s="58">
        <f t="shared" si="21"/>
        <v>2.5</v>
      </c>
      <c r="AD61" s="58">
        <f t="shared" si="22"/>
        <v>1.418605093081903</v>
      </c>
      <c r="AE61" s="58">
        <f t="shared" si="23"/>
        <v>0.56744203723276121</v>
      </c>
      <c r="AF61" s="58">
        <f t="shared" si="28"/>
        <v>0.56744203723276121</v>
      </c>
      <c r="AG61" s="58">
        <f t="shared" si="24"/>
        <v>8.8872231450407221E-2</v>
      </c>
      <c r="AH61" s="58">
        <f t="shared" si="25"/>
        <v>0.12751233208101906</v>
      </c>
      <c r="AI61" s="58">
        <f t="shared" ca="1" si="26"/>
        <v>0.14299999999999999</v>
      </c>
    </row>
    <row r="62" spans="1:35" ht="16">
      <c r="B62" s="64">
        <v>0.8</v>
      </c>
      <c r="C62" s="63">
        <f t="shared" ca="1" si="0"/>
        <v>3</v>
      </c>
      <c r="D62" s="63">
        <f t="shared" ca="1" si="1"/>
        <v>0.61249999999999993</v>
      </c>
      <c r="E62" s="63">
        <f t="shared" ca="1" si="2"/>
        <v>0.20419999999999999</v>
      </c>
      <c r="F62" s="63">
        <f t="shared" ca="1" si="3"/>
        <v>0.20419999999999999</v>
      </c>
      <c r="G62" s="60"/>
      <c r="H62" s="60"/>
      <c r="I62" s="60">
        <f t="shared" ca="1" si="4"/>
        <v>0.14599999999999999</v>
      </c>
      <c r="J62" s="63">
        <f t="shared" ca="1" si="5"/>
        <v>3</v>
      </c>
      <c r="K62" s="63">
        <f t="shared" ca="1" si="6"/>
        <v>0.5625</v>
      </c>
      <c r="L62" s="63">
        <f t="shared" ca="1" si="7"/>
        <v>0.1875</v>
      </c>
      <c r="M62" s="63">
        <f t="shared" ca="1" si="8"/>
        <v>0.1875</v>
      </c>
      <c r="N62" s="60">
        <f t="shared" ca="1" si="9"/>
        <v>0.13400000000000001</v>
      </c>
      <c r="O62" s="63">
        <f t="shared" ca="1" si="10"/>
        <v>4</v>
      </c>
      <c r="P62" s="63">
        <f t="shared" ca="1" si="11"/>
        <v>0.8125</v>
      </c>
      <c r="Q62" s="63">
        <f t="shared" ca="1" si="12"/>
        <v>0.2031</v>
      </c>
      <c r="R62" s="60">
        <f t="shared" ca="1" si="13"/>
        <v>0.2031</v>
      </c>
      <c r="S62" s="60">
        <f t="shared" ca="1" si="14"/>
        <v>0.14499999999999999</v>
      </c>
      <c r="T62" s="91">
        <f t="shared" ca="1" si="15"/>
        <v>0.14599999999999999</v>
      </c>
      <c r="U62" s="64">
        <f t="shared" ca="1" si="16"/>
        <v>0.20439999999999997</v>
      </c>
      <c r="V62" s="63">
        <f t="shared" si="17"/>
        <v>0.8</v>
      </c>
      <c r="W62" s="209">
        <f t="shared" ca="1" si="18"/>
        <v>200.51639999999998</v>
      </c>
      <c r="X62" s="58">
        <f t="shared" si="19"/>
        <v>0.13975424859373686</v>
      </c>
      <c r="Y62" s="58">
        <f t="shared" si="27"/>
        <v>0.13975424859373686</v>
      </c>
      <c r="Z62" s="58">
        <f t="shared" si="20"/>
        <v>0.15987886039123497</v>
      </c>
      <c r="AA62" s="58">
        <f t="shared" si="20"/>
        <v>0.12790308831298799</v>
      </c>
      <c r="AB62" s="58">
        <f t="shared" si="20"/>
        <v>0.10711883646212744</v>
      </c>
      <c r="AC62" s="58">
        <f t="shared" si="21"/>
        <v>2.5</v>
      </c>
      <c r="AD62" s="58">
        <f t="shared" si="22"/>
        <v>1.3924766500838335</v>
      </c>
      <c r="AE62" s="58">
        <f t="shared" si="23"/>
        <v>0.55699066003353337</v>
      </c>
      <c r="AF62" s="58">
        <f t="shared" si="28"/>
        <v>0.55699066003353337</v>
      </c>
      <c r="AG62" s="58">
        <f t="shared" si="24"/>
        <v>8.7235346707156727E-2</v>
      </c>
      <c r="AH62" s="58">
        <f t="shared" si="25"/>
        <v>0.12516375831896401</v>
      </c>
      <c r="AI62" s="58">
        <f t="shared" ca="1" si="26"/>
        <v>0.13918666666666665</v>
      </c>
    </row>
    <row r="63" spans="1:35" ht="16">
      <c r="B63" s="64">
        <v>0.83099999999999996</v>
      </c>
      <c r="C63" s="63">
        <f t="shared" ca="1" si="0"/>
        <v>3</v>
      </c>
      <c r="D63" s="63">
        <f t="shared" ca="1" si="1"/>
        <v>0.58965102286401927</v>
      </c>
      <c r="E63" s="63">
        <f t="shared" ca="1" si="2"/>
        <v>0.1966</v>
      </c>
      <c r="F63" s="63">
        <f t="shared" ca="1" si="3"/>
        <v>0.1966</v>
      </c>
      <c r="G63" s="60"/>
      <c r="H63" s="60"/>
      <c r="I63" s="60">
        <f t="shared" ca="1" si="4"/>
        <v>0.14000000000000001</v>
      </c>
      <c r="J63" s="63">
        <f t="shared" ca="1" si="5"/>
        <v>3</v>
      </c>
      <c r="K63" s="63">
        <f t="shared" ca="1" si="6"/>
        <v>0.54151624548736466</v>
      </c>
      <c r="L63" s="63">
        <f t="shared" ca="1" si="7"/>
        <v>0.18049999999999999</v>
      </c>
      <c r="M63" s="63">
        <f t="shared" ca="1" si="8"/>
        <v>0.18049999999999999</v>
      </c>
      <c r="N63" s="60">
        <f t="shared" ca="1" si="9"/>
        <v>0.129</v>
      </c>
      <c r="O63" s="63">
        <f t="shared" ca="1" si="10"/>
        <v>4</v>
      </c>
      <c r="P63" s="63">
        <f t="shared" ca="1" si="11"/>
        <v>0.78219013237063784</v>
      </c>
      <c r="Q63" s="63">
        <f t="shared" ca="1" si="12"/>
        <v>0.19550000000000001</v>
      </c>
      <c r="R63" s="60">
        <f t="shared" ca="1" si="13"/>
        <v>0.19550000000000001</v>
      </c>
      <c r="S63" s="60">
        <f t="shared" ca="1" si="14"/>
        <v>0.14000000000000001</v>
      </c>
      <c r="T63" s="91">
        <f t="shared" ca="1" si="15"/>
        <v>0.14000000000000001</v>
      </c>
      <c r="U63" s="64">
        <f t="shared" ca="1" si="16"/>
        <v>0.19600000000000001</v>
      </c>
      <c r="V63" s="63">
        <f t="shared" si="17"/>
        <v>0.83099999999999996</v>
      </c>
      <c r="W63" s="209">
        <f t="shared" ca="1" si="18"/>
        <v>192.27600000000001</v>
      </c>
      <c r="X63" s="58">
        <f t="shared" si="19"/>
        <v>0.13712274578914949</v>
      </c>
      <c r="Y63" s="58">
        <f t="shared" si="27"/>
        <v>0.13712274578914949</v>
      </c>
      <c r="Z63" s="58">
        <f t="shared" ref="Z63:AB82" si="29">$R$5*Y$41*$R$11*$Y63*$AG$5</f>
        <v>0.15686842118278702</v>
      </c>
      <c r="AA63" s="58">
        <f t="shared" si="29"/>
        <v>0.12549473694622962</v>
      </c>
      <c r="AB63" s="58">
        <f t="shared" si="29"/>
        <v>0.10510184219246729</v>
      </c>
      <c r="AC63" s="58">
        <f t="shared" si="21"/>
        <v>2.5</v>
      </c>
      <c r="AD63" s="58">
        <f t="shared" si="22"/>
        <v>1.3576273033399544</v>
      </c>
      <c r="AE63" s="58">
        <f t="shared" si="23"/>
        <v>0.54305092133598176</v>
      </c>
      <c r="AF63" s="58">
        <f t="shared" si="28"/>
        <v>0.54305092133598176</v>
      </c>
      <c r="AG63" s="58">
        <f t="shared" si="24"/>
        <v>8.5052118108287805E-2</v>
      </c>
      <c r="AH63" s="58">
        <f t="shared" si="25"/>
        <v>0.12203129989449991</v>
      </c>
      <c r="AI63" s="58">
        <f t="shared" ca="1" si="26"/>
        <v>0.13346666666666668</v>
      </c>
    </row>
    <row r="64" spans="1:35" ht="16">
      <c r="B64" s="64">
        <v>0.9</v>
      </c>
      <c r="C64" s="63">
        <f t="shared" ca="1" si="0"/>
        <v>3</v>
      </c>
      <c r="D64" s="63">
        <f t="shared" ca="1" si="1"/>
        <v>0.5444444444444444</v>
      </c>
      <c r="E64" s="63">
        <f t="shared" ca="1" si="2"/>
        <v>0.18149999999999999</v>
      </c>
      <c r="F64" s="63">
        <f t="shared" ca="1" si="3"/>
        <v>0.18149999999999999</v>
      </c>
      <c r="G64" s="60"/>
      <c r="H64" s="60"/>
      <c r="I64" s="60">
        <f t="shared" ca="1" si="4"/>
        <v>0.13</v>
      </c>
      <c r="J64" s="63">
        <f t="shared" ca="1" si="5"/>
        <v>3</v>
      </c>
      <c r="K64" s="63">
        <f t="shared" ca="1" si="6"/>
        <v>0.5</v>
      </c>
      <c r="L64" s="63">
        <f t="shared" ca="1" si="7"/>
        <v>0.16669999999999999</v>
      </c>
      <c r="M64" s="63">
        <f t="shared" ca="1" si="8"/>
        <v>0.16669999999999999</v>
      </c>
      <c r="N64" s="60">
        <f t="shared" ca="1" si="9"/>
        <v>0.11899999999999999</v>
      </c>
      <c r="O64" s="63">
        <f t="shared" ca="1" si="10"/>
        <v>4</v>
      </c>
      <c r="P64" s="63">
        <f t="shared" ca="1" si="11"/>
        <v>0.72222222222222221</v>
      </c>
      <c r="Q64" s="63">
        <f t="shared" ca="1" si="12"/>
        <v>0.18060000000000001</v>
      </c>
      <c r="R64" s="60">
        <f t="shared" ca="1" si="13"/>
        <v>0.18060000000000001</v>
      </c>
      <c r="S64" s="60">
        <f t="shared" ca="1" si="14"/>
        <v>0.129</v>
      </c>
      <c r="T64" s="91">
        <f t="shared" ca="1" si="15"/>
        <v>0.13</v>
      </c>
      <c r="U64" s="64">
        <f t="shared" ca="1" si="16"/>
        <v>0.182</v>
      </c>
      <c r="V64" s="63">
        <f t="shared" si="17"/>
        <v>0.9</v>
      </c>
      <c r="W64" s="209">
        <f t="shared" ca="1" si="18"/>
        <v>178.542</v>
      </c>
      <c r="X64" s="58">
        <f t="shared" si="19"/>
        <v>0.13176156917368248</v>
      </c>
      <c r="Y64" s="58">
        <f t="shared" si="27"/>
        <v>0.13176156917368248</v>
      </c>
      <c r="Z64" s="58">
        <f t="shared" si="29"/>
        <v>0.15073523513469275</v>
      </c>
      <c r="AA64" s="58">
        <f t="shared" si="29"/>
        <v>0.12058818810775422</v>
      </c>
      <c r="AB64" s="58">
        <f t="shared" si="29"/>
        <v>0.10099260754024415</v>
      </c>
      <c r="AC64" s="58">
        <f t="shared" si="21"/>
        <v>2.5</v>
      </c>
      <c r="AD64" s="58">
        <f t="shared" si="22"/>
        <v>1.287319179474173</v>
      </c>
      <c r="AE64" s="58">
        <f t="shared" si="23"/>
        <v>0.51492767178966914</v>
      </c>
      <c r="AF64" s="58">
        <f t="shared" si="28"/>
        <v>0.51492767178966914</v>
      </c>
      <c r="AG64" s="58">
        <f t="shared" si="24"/>
        <v>8.064748154839152E-2</v>
      </c>
      <c r="AH64" s="58">
        <f t="shared" si="25"/>
        <v>0.11571160396073564</v>
      </c>
      <c r="AI64" s="58">
        <f t="shared" ca="1" si="26"/>
        <v>0.12393333333333333</v>
      </c>
    </row>
    <row r="65" spans="2:35" ht="16">
      <c r="B65" s="64">
        <v>0.95</v>
      </c>
      <c r="C65" s="63">
        <f t="shared" ca="1" si="0"/>
        <v>3</v>
      </c>
      <c r="D65" s="63">
        <f t="shared" ca="1" si="1"/>
        <v>0.51578947368421058</v>
      </c>
      <c r="E65" s="63">
        <f t="shared" ca="1" si="2"/>
        <v>0.1719</v>
      </c>
      <c r="F65" s="63">
        <f t="shared" ca="1" si="3"/>
        <v>0.1719</v>
      </c>
      <c r="G65" s="60"/>
      <c r="H65" s="60"/>
      <c r="I65" s="60">
        <f t="shared" ca="1" si="4"/>
        <v>0.123</v>
      </c>
      <c r="J65" s="63">
        <f t="shared" ca="1" si="5"/>
        <v>3</v>
      </c>
      <c r="K65" s="63">
        <f t="shared" ca="1" si="6"/>
        <v>0.47368421052631582</v>
      </c>
      <c r="L65" s="63">
        <f t="shared" ca="1" si="7"/>
        <v>0.15790000000000001</v>
      </c>
      <c r="M65" s="63">
        <f t="shared" ca="1" si="8"/>
        <v>0.15790000000000001</v>
      </c>
      <c r="N65" s="60">
        <f t="shared" ca="1" si="9"/>
        <v>0.113</v>
      </c>
      <c r="O65" s="63">
        <f t="shared" ca="1" si="10"/>
        <v>4</v>
      </c>
      <c r="P65" s="63">
        <f t="shared" ca="1" si="11"/>
        <v>0.68421052631578949</v>
      </c>
      <c r="Q65" s="63">
        <f t="shared" ca="1" si="12"/>
        <v>0.1711</v>
      </c>
      <c r="R65" s="60">
        <f t="shared" ca="1" si="13"/>
        <v>0.1711</v>
      </c>
      <c r="S65" s="60">
        <f t="shared" ca="1" si="14"/>
        <v>0.122</v>
      </c>
      <c r="T65" s="91">
        <f t="shared" ca="1" si="15"/>
        <v>0.123</v>
      </c>
      <c r="U65" s="64">
        <f t="shared" ca="1" si="16"/>
        <v>0.17219999999999999</v>
      </c>
      <c r="V65" s="63">
        <f t="shared" si="17"/>
        <v>0.95</v>
      </c>
      <c r="W65" s="209">
        <f t="shared" ca="1" si="18"/>
        <v>168.9282</v>
      </c>
      <c r="X65" s="58">
        <f t="shared" si="19"/>
        <v>0.12824729401064427</v>
      </c>
      <c r="Y65" s="58">
        <f t="shared" si="27"/>
        <v>0.12824729401064427</v>
      </c>
      <c r="Z65" s="58">
        <f t="shared" si="29"/>
        <v>0.14671490434817705</v>
      </c>
      <c r="AA65" s="58">
        <f t="shared" si="29"/>
        <v>0.11737192347854165</v>
      </c>
      <c r="AB65" s="58">
        <f t="shared" si="29"/>
        <v>9.8298985913278625E-2</v>
      </c>
      <c r="AC65" s="58">
        <f t="shared" si="21"/>
        <v>2.5</v>
      </c>
      <c r="AD65" s="58">
        <f t="shared" si="22"/>
        <v>1.2417443020946002</v>
      </c>
      <c r="AE65" s="58">
        <f t="shared" si="23"/>
        <v>0.49669772083784008</v>
      </c>
      <c r="AF65" s="58">
        <f t="shared" si="28"/>
        <v>0.49669772083784008</v>
      </c>
      <c r="AG65" s="58">
        <f t="shared" si="24"/>
        <v>7.7792323992174103E-2</v>
      </c>
      <c r="AH65" s="58">
        <f t="shared" si="25"/>
        <v>0.11161507355398892</v>
      </c>
      <c r="AI65" s="58">
        <f t="shared" ca="1" si="26"/>
        <v>0.11726</v>
      </c>
    </row>
    <row r="66" spans="2:35" ht="16">
      <c r="B66" s="64">
        <v>1</v>
      </c>
      <c r="C66" s="63">
        <f t="shared" ca="1" si="0"/>
        <v>3</v>
      </c>
      <c r="D66" s="63">
        <f t="shared" ca="1" si="1"/>
        <v>0.49</v>
      </c>
      <c r="E66" s="63">
        <f t="shared" ca="1" si="2"/>
        <v>0.1633</v>
      </c>
      <c r="F66" s="63">
        <f t="shared" ca="1" si="3"/>
        <v>0.1633</v>
      </c>
      <c r="G66" s="60"/>
      <c r="H66" s="60"/>
      <c r="I66" s="60">
        <f t="shared" ca="1" si="4"/>
        <v>0.11700000000000001</v>
      </c>
      <c r="J66" s="63">
        <f t="shared" ca="1" si="5"/>
        <v>3</v>
      </c>
      <c r="K66" s="63">
        <f t="shared" ca="1" si="6"/>
        <v>0.45</v>
      </c>
      <c r="L66" s="63">
        <f t="shared" ca="1" si="7"/>
        <v>0.15</v>
      </c>
      <c r="M66" s="63">
        <f t="shared" ca="1" si="8"/>
        <v>0.15</v>
      </c>
      <c r="N66" s="60">
        <f t="shared" ca="1" si="9"/>
        <v>0.107</v>
      </c>
      <c r="O66" s="63">
        <f t="shared" ca="1" si="10"/>
        <v>4</v>
      </c>
      <c r="P66" s="63">
        <f t="shared" ca="1" si="11"/>
        <v>0.65</v>
      </c>
      <c r="Q66" s="63">
        <f t="shared" ca="1" si="12"/>
        <v>0.16250000000000001</v>
      </c>
      <c r="R66" s="60">
        <f t="shared" ca="1" si="13"/>
        <v>0.16250000000000001</v>
      </c>
      <c r="S66" s="60">
        <f t="shared" ca="1" si="14"/>
        <v>0.11600000000000001</v>
      </c>
      <c r="T66" s="91">
        <f t="shared" ca="1" si="15"/>
        <v>0.11700000000000001</v>
      </c>
      <c r="U66" s="64">
        <f t="shared" ca="1" si="16"/>
        <v>0.1638</v>
      </c>
      <c r="V66" s="63">
        <f t="shared" si="17"/>
        <v>1</v>
      </c>
      <c r="W66" s="209">
        <f t="shared" ca="1" si="18"/>
        <v>160.68780000000001</v>
      </c>
      <c r="X66" s="58">
        <f t="shared" si="19"/>
        <v>0.125</v>
      </c>
      <c r="Y66" s="58">
        <f t="shared" si="27"/>
        <v>0.125</v>
      </c>
      <c r="Z66" s="58">
        <f t="shared" si="29"/>
        <v>0.14299999999999999</v>
      </c>
      <c r="AA66" s="58">
        <f t="shared" si="29"/>
        <v>0.11440000000000002</v>
      </c>
      <c r="AB66" s="58">
        <f t="shared" si="29"/>
        <v>9.5810000000000006E-2</v>
      </c>
      <c r="AC66" s="58">
        <f t="shared" si="21"/>
        <v>2.5</v>
      </c>
      <c r="AD66" s="58">
        <f t="shared" si="22"/>
        <v>1.2</v>
      </c>
      <c r="AE66" s="58">
        <f t="shared" si="23"/>
        <v>0.48</v>
      </c>
      <c r="AF66" s="58">
        <f t="shared" si="28"/>
        <v>0.48</v>
      </c>
      <c r="AG66" s="58">
        <f t="shared" si="24"/>
        <v>7.5177142857142859E-2</v>
      </c>
      <c r="AH66" s="58">
        <f t="shared" si="25"/>
        <v>0.10786285714285716</v>
      </c>
      <c r="AI66" s="58">
        <f t="shared" ca="1" si="26"/>
        <v>0.11154</v>
      </c>
    </row>
    <row r="67" spans="2:35" s="99" customFormat="1" ht="16">
      <c r="B67" s="97">
        <v>1.0371999999999999</v>
      </c>
      <c r="C67" s="98">
        <f t="shared" ca="1" si="0"/>
        <v>3</v>
      </c>
      <c r="D67" s="98">
        <f t="shared" ca="1" si="1"/>
        <v>0.47242576166602396</v>
      </c>
      <c r="E67" s="98">
        <f t="shared" ca="1" si="2"/>
        <v>0.1575</v>
      </c>
      <c r="F67" s="98">
        <f t="shared" ca="1" si="3"/>
        <v>0.1575</v>
      </c>
      <c r="G67" s="102"/>
      <c r="H67" s="102"/>
      <c r="I67" s="102">
        <f t="shared" ca="1" si="4"/>
        <v>0.113</v>
      </c>
      <c r="J67" s="98">
        <f t="shared" ca="1" si="5"/>
        <v>3</v>
      </c>
      <c r="K67" s="98">
        <f t="shared" ca="1" si="6"/>
        <v>0.43386039336675669</v>
      </c>
      <c r="L67" s="98">
        <f t="shared" ca="1" si="7"/>
        <v>0.14460000000000001</v>
      </c>
      <c r="M67" s="98">
        <f t="shared" ca="1" si="8"/>
        <v>0.14460000000000001</v>
      </c>
      <c r="N67" s="102">
        <f t="shared" ca="1" si="9"/>
        <v>0.10299999999999999</v>
      </c>
      <c r="O67" s="98">
        <f t="shared" ca="1" si="10"/>
        <v>4</v>
      </c>
      <c r="P67" s="98">
        <f t="shared" ca="1" si="11"/>
        <v>0.62668723486309308</v>
      </c>
      <c r="Q67" s="98">
        <f t="shared" ca="1" si="12"/>
        <v>0.15670000000000001</v>
      </c>
      <c r="R67" s="102">
        <f t="shared" ca="1" si="13"/>
        <v>0.15670000000000001</v>
      </c>
      <c r="S67" s="102">
        <f t="shared" ca="1" si="14"/>
        <v>0.112</v>
      </c>
      <c r="T67" s="96">
        <f t="shared" ca="1" si="15"/>
        <v>0.113</v>
      </c>
      <c r="U67" s="97">
        <f t="shared" ca="1" si="16"/>
        <v>0.15820000000000001</v>
      </c>
      <c r="V67" s="98">
        <f t="shared" si="17"/>
        <v>1.0371999999999999</v>
      </c>
      <c r="W67" s="99">
        <f t="shared" ca="1" si="18"/>
        <v>155.1942</v>
      </c>
      <c r="X67" s="103">
        <f t="shared" si="19"/>
        <v>0.12273791994286554</v>
      </c>
      <c r="Y67" s="103">
        <f t="shared" si="27"/>
        <v>0.12273791994286554</v>
      </c>
      <c r="Z67" s="104">
        <f t="shared" si="29"/>
        <v>0.14041218041463818</v>
      </c>
      <c r="AA67" s="103">
        <f t="shared" si="29"/>
        <v>0.11232974433171056</v>
      </c>
      <c r="AB67" s="103">
        <f t="shared" si="29"/>
        <v>9.4076160877807583E-2</v>
      </c>
      <c r="AC67" s="103">
        <f t="shared" si="21"/>
        <v>2.5</v>
      </c>
      <c r="AD67" s="58">
        <f t="shared" si="22"/>
        <v>1.171133059377957</v>
      </c>
      <c r="AE67" s="103">
        <f t="shared" si="23"/>
        <v>0.46845322375118281</v>
      </c>
      <c r="AF67" s="103">
        <f t="shared" si="28"/>
        <v>0.46845322375118281</v>
      </c>
      <c r="AG67" s="103">
        <f t="shared" si="24"/>
        <v>7.3368697757982868E-2</v>
      </c>
      <c r="AH67" s="103">
        <f t="shared" si="25"/>
        <v>0.10526813156580152</v>
      </c>
      <c r="AI67" s="103">
        <f t="shared" ca="1" si="26"/>
        <v>0.10772666666666667</v>
      </c>
    </row>
    <row r="68" spans="2:35" ht="16">
      <c r="B68" s="64">
        <v>1.1000000000000001</v>
      </c>
      <c r="C68" s="63">
        <f t="shared" ca="1" si="0"/>
        <v>3</v>
      </c>
      <c r="D68" s="63">
        <f t="shared" ca="1" si="1"/>
        <v>0.44545454545454544</v>
      </c>
      <c r="E68" s="63">
        <f t="shared" ca="1" si="2"/>
        <v>0.14849999999999999</v>
      </c>
      <c r="F68" s="63">
        <f t="shared" ca="1" si="3"/>
        <v>0.14849999999999999</v>
      </c>
      <c r="G68" s="60"/>
      <c r="H68" s="60"/>
      <c r="I68" s="60">
        <f t="shared" ca="1" si="4"/>
        <v>0.106</v>
      </c>
      <c r="J68" s="63">
        <f t="shared" ca="1" si="5"/>
        <v>3</v>
      </c>
      <c r="K68" s="63">
        <f t="shared" ca="1" si="6"/>
        <v>0.40909090909090906</v>
      </c>
      <c r="L68" s="63">
        <f t="shared" ca="1" si="7"/>
        <v>0.13639999999999999</v>
      </c>
      <c r="M68" s="63">
        <f t="shared" ca="1" si="8"/>
        <v>0.13639999999999999</v>
      </c>
      <c r="N68" s="60">
        <f t="shared" ca="1" si="9"/>
        <v>9.7000000000000003E-2</v>
      </c>
      <c r="O68" s="63">
        <f t="shared" ca="1" si="10"/>
        <v>4</v>
      </c>
      <c r="P68" s="63">
        <f t="shared" ca="1" si="11"/>
        <v>0.59090909090909083</v>
      </c>
      <c r="Q68" s="63">
        <f t="shared" ca="1" si="12"/>
        <v>0.1477</v>
      </c>
      <c r="R68" s="60">
        <f t="shared" ca="1" si="13"/>
        <v>0.1477</v>
      </c>
      <c r="S68" s="60">
        <f t="shared" ca="1" si="14"/>
        <v>0.106</v>
      </c>
      <c r="T68" s="91">
        <f t="shared" ca="1" si="15"/>
        <v>0.106</v>
      </c>
      <c r="U68" s="64">
        <f t="shared" ca="1" si="16"/>
        <v>0.14839999999999998</v>
      </c>
      <c r="V68" s="63">
        <f t="shared" si="17"/>
        <v>1.1000000000000001</v>
      </c>
      <c r="W68" s="209">
        <f t="shared" ca="1" si="18"/>
        <v>145.58039999999997</v>
      </c>
      <c r="X68" s="58">
        <f t="shared" si="19"/>
        <v>0.11918282365569903</v>
      </c>
      <c r="Y68" s="58">
        <f t="shared" si="27"/>
        <v>0.11918282365569903</v>
      </c>
      <c r="Z68" s="58">
        <f t="shared" si="29"/>
        <v>0.13634515026211969</v>
      </c>
      <c r="AA68" s="58">
        <f t="shared" si="29"/>
        <v>0.10907612020969577</v>
      </c>
      <c r="AB68" s="58">
        <f t="shared" si="29"/>
        <v>9.1351250675620194E-2</v>
      </c>
      <c r="AC68" s="58">
        <f t="shared" si="21"/>
        <v>2.5</v>
      </c>
      <c r="AD68" s="58">
        <f t="shared" si="22"/>
        <v>1.1261237623160369</v>
      </c>
      <c r="AE68" s="58">
        <f t="shared" si="23"/>
        <v>0.45044950492641478</v>
      </c>
      <c r="AF68" s="58">
        <f t="shared" si="28"/>
        <v>0.45044950492641478</v>
      </c>
      <c r="AG68" s="58">
        <f t="shared" si="24"/>
        <v>7.0548972462046583E-2</v>
      </c>
      <c r="AH68" s="58">
        <f t="shared" si="25"/>
        <v>0.10122243874989292</v>
      </c>
      <c r="AI68" s="58">
        <f t="shared" ca="1" si="26"/>
        <v>0.10105333333333333</v>
      </c>
    </row>
    <row r="69" spans="2:35">
      <c r="B69" s="95">
        <v>1.1499999999999999</v>
      </c>
      <c r="C69" s="92">
        <f t="shared" ca="1" si="0"/>
        <v>3</v>
      </c>
      <c r="D69" s="92">
        <f t="shared" ca="1" si="1"/>
        <v>0.42608695652173917</v>
      </c>
      <c r="E69" s="92">
        <f t="shared" ca="1" si="2"/>
        <v>0.14199999999999999</v>
      </c>
      <c r="F69" s="92">
        <f t="shared" ca="1" si="3"/>
        <v>0.14199999999999999</v>
      </c>
      <c r="G69" s="93"/>
      <c r="H69" s="93"/>
      <c r="I69" s="93">
        <f t="shared" ca="1" si="4"/>
        <v>0.10100000000000001</v>
      </c>
      <c r="J69" s="92">
        <f t="shared" ca="1" si="5"/>
        <v>3</v>
      </c>
      <c r="K69" s="92">
        <f t="shared" ca="1" si="6"/>
        <v>0.39130434782608697</v>
      </c>
      <c r="L69" s="92">
        <f t="shared" ca="1" si="7"/>
        <v>0.13039999999999999</v>
      </c>
      <c r="M69" s="92">
        <f t="shared" ca="1" si="8"/>
        <v>0.13039999999999999</v>
      </c>
      <c r="N69" s="93">
        <f t="shared" ca="1" si="9"/>
        <v>9.2999999999999999E-2</v>
      </c>
      <c r="O69" s="92">
        <f t="shared" ca="1" si="10"/>
        <v>4</v>
      </c>
      <c r="P69" s="92">
        <f t="shared" ca="1" si="11"/>
        <v>0.56521739130434789</v>
      </c>
      <c r="Q69" s="92">
        <f t="shared" ca="1" si="12"/>
        <v>0.14130000000000001</v>
      </c>
      <c r="R69" s="93">
        <f t="shared" ca="1" si="13"/>
        <v>0.14130000000000001</v>
      </c>
      <c r="S69" s="93">
        <f t="shared" ca="1" si="14"/>
        <v>0.10100000000000001</v>
      </c>
      <c r="T69" s="94">
        <f t="shared" ca="1" si="15"/>
        <v>0.10100000000000001</v>
      </c>
      <c r="U69" s="95">
        <f t="shared" ca="1" si="16"/>
        <v>0.1414</v>
      </c>
      <c r="V69" s="92">
        <f t="shared" si="17"/>
        <v>1.1499999999999999</v>
      </c>
      <c r="W69" s="209">
        <f t="shared" ca="1" si="18"/>
        <v>138.71340000000001</v>
      </c>
      <c r="X69" s="58">
        <f t="shared" si="19"/>
        <v>0.11656310103003922</v>
      </c>
      <c r="Y69" s="58">
        <f t="shared" si="27"/>
        <v>0.11656310103003922</v>
      </c>
      <c r="Z69" s="58">
        <f t="shared" si="29"/>
        <v>0.13334818757836486</v>
      </c>
      <c r="AA69" s="58">
        <f t="shared" si="29"/>
        <v>0.1066785500626919</v>
      </c>
      <c r="AB69" s="58">
        <f t="shared" si="29"/>
        <v>8.9343285677504464E-2</v>
      </c>
      <c r="AC69" s="58">
        <f t="shared" si="21"/>
        <v>2.5</v>
      </c>
      <c r="AD69" s="58">
        <f t="shared" si="22"/>
        <v>1.0932412728747622</v>
      </c>
      <c r="AE69" s="58">
        <f t="shared" si="23"/>
        <v>0.43729650914990492</v>
      </c>
      <c r="AF69" s="58">
        <f t="shared" si="28"/>
        <v>0.43729650914990492</v>
      </c>
      <c r="AG69" s="58">
        <f t="shared" si="24"/>
        <v>6.8488962790192259E-2</v>
      </c>
      <c r="AH69" s="58">
        <f t="shared" si="25"/>
        <v>9.8266772698971494E-2</v>
      </c>
      <c r="AI69" s="58">
        <f t="shared" ca="1" si="26"/>
        <v>9.6286666666666673E-2</v>
      </c>
    </row>
    <row r="70" spans="2:35" s="99" customFormat="1" ht="16">
      <c r="B70" s="97">
        <v>1.2101</v>
      </c>
      <c r="C70" s="98">
        <f t="shared" ca="1" si="0"/>
        <v>3</v>
      </c>
      <c r="D70" s="98">
        <f t="shared" ca="1" si="1"/>
        <v>0.40492521279233123</v>
      </c>
      <c r="E70" s="98">
        <f t="shared" ca="1" si="2"/>
        <v>0.13500000000000001</v>
      </c>
      <c r="F70" s="98">
        <f t="shared" ca="1" si="3"/>
        <v>0.13500000000000001</v>
      </c>
      <c r="G70" s="102"/>
      <c r="H70" s="102"/>
      <c r="I70" s="102">
        <f t="shared" ca="1" si="4"/>
        <v>9.6000000000000002E-2</v>
      </c>
      <c r="J70" s="98">
        <f t="shared" ca="1" si="5"/>
        <v>3</v>
      </c>
      <c r="K70" s="98">
        <f t="shared" ca="1" si="6"/>
        <v>0.37187009338071236</v>
      </c>
      <c r="L70" s="98">
        <f t="shared" ca="1" si="7"/>
        <v>0.124</v>
      </c>
      <c r="M70" s="98">
        <f t="shared" ca="1" si="8"/>
        <v>0.124</v>
      </c>
      <c r="N70" s="102">
        <f t="shared" ca="1" si="9"/>
        <v>8.8999999999999996E-2</v>
      </c>
      <c r="O70" s="98">
        <f t="shared" ca="1" si="10"/>
        <v>4</v>
      </c>
      <c r="P70" s="98">
        <f t="shared" ca="1" si="11"/>
        <v>0.53714569043880678</v>
      </c>
      <c r="Q70" s="98">
        <f t="shared" ca="1" si="12"/>
        <v>0.1343</v>
      </c>
      <c r="R70" s="102">
        <f t="shared" ca="1" si="13"/>
        <v>0.1343</v>
      </c>
      <c r="S70" s="102">
        <f t="shared" ca="1" si="14"/>
        <v>9.6000000000000002E-2</v>
      </c>
      <c r="T70" s="105">
        <f t="shared" ca="1" si="15"/>
        <v>9.6000000000000002E-2</v>
      </c>
      <c r="U70" s="97">
        <f t="shared" ca="1" si="16"/>
        <v>0.13439999999999999</v>
      </c>
      <c r="V70" s="98">
        <f t="shared" si="17"/>
        <v>1.2101</v>
      </c>
      <c r="W70" s="99">
        <f t="shared" ca="1" si="18"/>
        <v>131.84639999999999</v>
      </c>
      <c r="X70" s="103">
        <f t="shared" si="19"/>
        <v>0.11363166820989484</v>
      </c>
      <c r="Y70" s="103">
        <f t="shared" si="27"/>
        <v>0.11363166820989484</v>
      </c>
      <c r="Z70" s="103">
        <f t="shared" si="29"/>
        <v>0.1299946284321197</v>
      </c>
      <c r="AA70" s="103">
        <f t="shared" si="29"/>
        <v>0.10399570274569576</v>
      </c>
      <c r="AB70" s="103">
        <f t="shared" si="29"/>
        <v>8.7096401049520197E-2</v>
      </c>
      <c r="AC70" s="103">
        <f t="shared" si="21"/>
        <v>2.5</v>
      </c>
      <c r="AD70" s="58">
        <f t="shared" si="22"/>
        <v>1.0567373850671626</v>
      </c>
      <c r="AE70" s="103">
        <f t="shared" si="23"/>
        <v>0.42269495402686508</v>
      </c>
      <c r="AF70" s="103">
        <f t="shared" si="28"/>
        <v>0.42269495402686508</v>
      </c>
      <c r="AG70" s="103">
        <f t="shared" si="24"/>
        <v>6.6202081133064722E-2</v>
      </c>
      <c r="AH70" s="103">
        <f t="shared" si="25"/>
        <v>9.4985594669179815E-2</v>
      </c>
      <c r="AI70" s="103">
        <f t="shared" ca="1" si="26"/>
        <v>9.1520000000000004E-2</v>
      </c>
    </row>
    <row r="71" spans="2:35">
      <c r="B71" s="95">
        <v>1.25</v>
      </c>
      <c r="C71" s="92">
        <f t="shared" ca="1" si="0"/>
        <v>3</v>
      </c>
      <c r="D71" s="92">
        <f t="shared" ca="1" si="1"/>
        <v>0.39200000000000002</v>
      </c>
      <c r="E71" s="92">
        <f t="shared" ca="1" si="2"/>
        <v>0.13070000000000001</v>
      </c>
      <c r="F71" s="92">
        <f t="shared" ca="1" si="3"/>
        <v>0.13070000000000001</v>
      </c>
      <c r="G71" s="93"/>
      <c r="H71" s="93"/>
      <c r="I71" s="93">
        <f t="shared" ca="1" si="4"/>
        <v>9.2999999999999999E-2</v>
      </c>
      <c r="J71" s="92">
        <f t="shared" ca="1" si="5"/>
        <v>3</v>
      </c>
      <c r="K71" s="92">
        <f t="shared" ca="1" si="6"/>
        <v>0.36</v>
      </c>
      <c r="L71" s="92">
        <f t="shared" ca="1" si="7"/>
        <v>0.12</v>
      </c>
      <c r="M71" s="92">
        <f t="shared" ca="1" si="8"/>
        <v>0.12</v>
      </c>
      <c r="N71" s="93">
        <f t="shared" ca="1" si="9"/>
        <v>8.5999999999999993E-2</v>
      </c>
      <c r="O71" s="92">
        <f t="shared" ca="1" si="10"/>
        <v>4</v>
      </c>
      <c r="P71" s="92">
        <f t="shared" ca="1" si="11"/>
        <v>0.52</v>
      </c>
      <c r="Q71" s="92">
        <f t="shared" ca="1" si="12"/>
        <v>0.13</v>
      </c>
      <c r="R71" s="93">
        <f t="shared" ca="1" si="13"/>
        <v>0.13</v>
      </c>
      <c r="S71" s="93">
        <f t="shared" ca="1" si="14"/>
        <v>9.2999999999999999E-2</v>
      </c>
      <c r="T71" s="96">
        <f t="shared" ca="1" si="15"/>
        <v>9.2999999999999999E-2</v>
      </c>
      <c r="U71" s="97">
        <f t="shared" ca="1" si="16"/>
        <v>0.13019999999999998</v>
      </c>
      <c r="V71" s="98">
        <f t="shared" si="17"/>
        <v>1.25</v>
      </c>
      <c r="W71" s="99">
        <f t="shared" ca="1" si="18"/>
        <v>127.72619999999998</v>
      </c>
      <c r="X71" s="58">
        <f t="shared" si="19"/>
        <v>0.11180339887498948</v>
      </c>
      <c r="Y71" s="58">
        <f t="shared" si="27"/>
        <v>0.11180339887498948</v>
      </c>
      <c r="Z71" s="58">
        <f t="shared" si="29"/>
        <v>0.12790308831298797</v>
      </c>
      <c r="AA71" s="58">
        <f t="shared" si="29"/>
        <v>0.10232247065039038</v>
      </c>
      <c r="AB71" s="58">
        <f t="shared" si="29"/>
        <v>8.5695069169701946E-2</v>
      </c>
      <c r="AC71" s="58">
        <f t="shared" si="21"/>
        <v>2.5</v>
      </c>
      <c r="AD71" s="58">
        <f t="shared" si="22"/>
        <v>1.0341286512153041</v>
      </c>
      <c r="AE71" s="58">
        <f t="shared" si="23"/>
        <v>0.41365146048612161</v>
      </c>
      <c r="AF71" s="58">
        <f t="shared" si="28"/>
        <v>0.41365146048612161</v>
      </c>
      <c r="AG71" s="58">
        <f t="shared" si="24"/>
        <v>6.4785697787564475E-2</v>
      </c>
      <c r="AH71" s="58">
        <f t="shared" si="25"/>
        <v>9.2953392477809912E-2</v>
      </c>
      <c r="AI71" s="58">
        <f t="shared" ca="1" si="26"/>
        <v>8.8659999999999989E-2</v>
      </c>
    </row>
    <row r="72" spans="2:35">
      <c r="B72" s="95">
        <v>1.3</v>
      </c>
      <c r="C72" s="92">
        <f t="shared" ca="1" si="0"/>
        <v>3</v>
      </c>
      <c r="D72" s="92">
        <f t="shared" ca="1" si="1"/>
        <v>0.37692307692307692</v>
      </c>
      <c r="E72" s="92">
        <f t="shared" ca="1" si="2"/>
        <v>0.12559999999999999</v>
      </c>
      <c r="F72" s="92">
        <f t="shared" ca="1" si="3"/>
        <v>0.12559999999999999</v>
      </c>
      <c r="G72" s="93"/>
      <c r="H72" s="93"/>
      <c r="I72" s="93">
        <f t="shared" ca="1" si="4"/>
        <v>0.09</v>
      </c>
      <c r="J72" s="92">
        <f t="shared" ca="1" si="5"/>
        <v>3</v>
      </c>
      <c r="K72" s="92">
        <f t="shared" ca="1" si="6"/>
        <v>0.34615384615384615</v>
      </c>
      <c r="L72" s="92">
        <f t="shared" ca="1" si="7"/>
        <v>0.1154</v>
      </c>
      <c r="M72" s="92">
        <f t="shared" ca="1" si="8"/>
        <v>0.1154</v>
      </c>
      <c r="N72" s="93">
        <f t="shared" ca="1" si="9"/>
        <v>8.2000000000000003E-2</v>
      </c>
      <c r="O72" s="92">
        <f t="shared" ca="1" si="10"/>
        <v>4</v>
      </c>
      <c r="P72" s="92">
        <f t="shared" ca="1" si="11"/>
        <v>0.5</v>
      </c>
      <c r="Q72" s="92">
        <f t="shared" ca="1" si="12"/>
        <v>0.125</v>
      </c>
      <c r="R72" s="93">
        <f t="shared" ca="1" si="13"/>
        <v>0.125</v>
      </c>
      <c r="S72" s="93">
        <f t="shared" ca="1" si="14"/>
        <v>8.8999999999999996E-2</v>
      </c>
      <c r="T72" s="94">
        <f t="shared" ca="1" si="15"/>
        <v>0.09</v>
      </c>
      <c r="U72" s="95">
        <f t="shared" ca="1" si="16"/>
        <v>0.126</v>
      </c>
      <c r="V72" s="92">
        <f t="shared" si="17"/>
        <v>1.3</v>
      </c>
      <c r="W72" s="209">
        <f t="shared" ca="1" si="18"/>
        <v>123.60599999999999</v>
      </c>
      <c r="X72" s="58">
        <f t="shared" si="19"/>
        <v>0.10963225241337865</v>
      </c>
      <c r="Y72" s="58">
        <f t="shared" si="27"/>
        <v>0.10963225241337865</v>
      </c>
      <c r="Z72" s="58">
        <f t="shared" si="29"/>
        <v>0.12541929676090519</v>
      </c>
      <c r="AA72" s="58">
        <f t="shared" si="29"/>
        <v>0.10033543740872417</v>
      </c>
      <c r="AB72" s="58">
        <f t="shared" si="29"/>
        <v>8.4030928829806464E-2</v>
      </c>
      <c r="AC72" s="58">
        <f t="shared" si="21"/>
        <v>2.5</v>
      </c>
      <c r="AD72" s="58">
        <f t="shared" si="22"/>
        <v>1.0074395843640978</v>
      </c>
      <c r="AE72" s="58">
        <f t="shared" si="23"/>
        <v>0.40297583374563911</v>
      </c>
      <c r="AF72" s="58">
        <f t="shared" si="28"/>
        <v>0.40297583374563911</v>
      </c>
      <c r="AG72" s="58">
        <f t="shared" si="24"/>
        <v>6.3113691294733681E-2</v>
      </c>
      <c r="AH72" s="58">
        <f t="shared" si="25"/>
        <v>9.0554426640270039E-2</v>
      </c>
      <c r="AI72" s="58">
        <f t="shared" ca="1" si="26"/>
        <v>8.5799999999999987E-2</v>
      </c>
    </row>
    <row r="73" spans="2:35" ht="16">
      <c r="B73" s="64">
        <v>1.35</v>
      </c>
      <c r="C73" s="63">
        <f t="shared" ca="1" si="0"/>
        <v>3</v>
      </c>
      <c r="D73" s="63">
        <f t="shared" ca="1" si="1"/>
        <v>0.36296296296296293</v>
      </c>
      <c r="E73" s="63">
        <f t="shared" ca="1" si="2"/>
        <v>0.121</v>
      </c>
      <c r="F73" s="63">
        <f t="shared" ca="1" si="3"/>
        <v>0.121</v>
      </c>
      <c r="G73" s="60"/>
      <c r="H73" s="60"/>
      <c r="I73" s="60">
        <f t="shared" ca="1" si="4"/>
        <v>8.5999999999999993E-2</v>
      </c>
      <c r="J73" s="63">
        <f t="shared" ca="1" si="5"/>
        <v>3</v>
      </c>
      <c r="K73" s="63">
        <f t="shared" ca="1" si="6"/>
        <v>0.33333333333333331</v>
      </c>
      <c r="L73" s="63">
        <f t="shared" ca="1" si="7"/>
        <v>0.1111</v>
      </c>
      <c r="M73" s="63">
        <f t="shared" ca="1" si="8"/>
        <v>0.1111</v>
      </c>
      <c r="N73" s="60">
        <f t="shared" ca="1" si="9"/>
        <v>7.9000000000000001E-2</v>
      </c>
      <c r="O73" s="63">
        <f t="shared" ca="1" si="10"/>
        <v>4</v>
      </c>
      <c r="P73" s="63">
        <f t="shared" ca="1" si="11"/>
        <v>0.48148148148148145</v>
      </c>
      <c r="Q73" s="63">
        <f t="shared" ca="1" si="12"/>
        <v>0.12039999999999999</v>
      </c>
      <c r="R73" s="60">
        <f t="shared" ca="1" si="13"/>
        <v>0.12039999999999999</v>
      </c>
      <c r="S73" s="60">
        <f t="shared" ca="1" si="14"/>
        <v>8.5999999999999993E-2</v>
      </c>
      <c r="T73" s="91">
        <f t="shared" ca="1" si="15"/>
        <v>8.5999999999999993E-2</v>
      </c>
      <c r="U73" s="64">
        <f t="shared" ca="1" si="16"/>
        <v>0.12039999999999998</v>
      </c>
      <c r="V73" s="63">
        <f t="shared" si="17"/>
        <v>1.35</v>
      </c>
      <c r="W73" s="209">
        <f t="shared" ca="1" si="18"/>
        <v>118.11239999999998</v>
      </c>
      <c r="X73" s="58">
        <f t="shared" si="19"/>
        <v>0.1075828707279838</v>
      </c>
      <c r="Y73" s="58">
        <f t="shared" si="27"/>
        <v>0.1075828707279838</v>
      </c>
      <c r="Z73" s="58">
        <f t="shared" si="29"/>
        <v>0.12307480411281346</v>
      </c>
      <c r="AA73" s="58">
        <f t="shared" si="29"/>
        <v>9.8459843290250787E-2</v>
      </c>
      <c r="AB73" s="58">
        <f t="shared" si="29"/>
        <v>8.2460118755585024E-2</v>
      </c>
      <c r="AC73" s="58">
        <f t="shared" si="21"/>
        <v>2.5</v>
      </c>
      <c r="AD73" s="58">
        <f t="shared" si="22"/>
        <v>1</v>
      </c>
      <c r="AE73" s="58">
        <f t="shared" si="23"/>
        <v>0.4</v>
      </c>
      <c r="AF73" s="58">
        <f t="shared" si="28"/>
        <v>0.4</v>
      </c>
      <c r="AG73" s="58">
        <f t="shared" si="24"/>
        <v>6.2647619047619063E-2</v>
      </c>
      <c r="AH73" s="58">
        <f t="shared" si="25"/>
        <v>8.9885714285714291E-2</v>
      </c>
      <c r="AI73" s="58">
        <f t="shared" ca="1" si="26"/>
        <v>8.1986666666666652E-2</v>
      </c>
    </row>
    <row r="74" spans="2:35" ht="16">
      <c r="B74" s="64">
        <v>1.3847</v>
      </c>
      <c r="C74" s="63">
        <f t="shared" ca="1" si="0"/>
        <v>3</v>
      </c>
      <c r="D74" s="63">
        <f t="shared" ca="1" si="1"/>
        <v>0.35386726366722032</v>
      </c>
      <c r="E74" s="63">
        <f t="shared" ca="1" si="2"/>
        <v>0.11799999999999999</v>
      </c>
      <c r="F74" s="63">
        <f t="shared" ca="1" si="3"/>
        <v>0.11799999999999999</v>
      </c>
      <c r="G74" s="60"/>
      <c r="H74" s="60"/>
      <c r="I74" s="60">
        <f t="shared" ca="1" si="4"/>
        <v>8.4000000000000005E-2</v>
      </c>
      <c r="J74" s="63">
        <f t="shared" ca="1" si="5"/>
        <v>3</v>
      </c>
      <c r="K74" s="63">
        <f t="shared" ca="1" si="6"/>
        <v>0.32498014010254928</v>
      </c>
      <c r="L74" s="63">
        <f t="shared" ca="1" si="7"/>
        <v>0.10829999999999999</v>
      </c>
      <c r="M74" s="63">
        <f t="shared" ca="1" si="8"/>
        <v>0.10829999999999999</v>
      </c>
      <c r="N74" s="60">
        <f t="shared" ca="1" si="9"/>
        <v>7.6999999999999999E-2</v>
      </c>
      <c r="O74" s="63">
        <f t="shared" ca="1" si="10"/>
        <v>4</v>
      </c>
      <c r="P74" s="63">
        <f t="shared" ca="1" si="11"/>
        <v>0.46941575792590451</v>
      </c>
      <c r="Q74" s="63">
        <f t="shared" ca="1" si="12"/>
        <v>0.1174</v>
      </c>
      <c r="R74" s="60">
        <f t="shared" ca="1" si="13"/>
        <v>0.1174</v>
      </c>
      <c r="S74" s="60">
        <f t="shared" ca="1" si="14"/>
        <v>8.4000000000000005E-2</v>
      </c>
      <c r="T74" s="91">
        <f t="shared" ca="1" si="15"/>
        <v>8.4000000000000005E-2</v>
      </c>
      <c r="U74" s="64">
        <f t="shared" ca="1" si="16"/>
        <v>0.1176</v>
      </c>
      <c r="V74" s="63">
        <f t="shared" si="17"/>
        <v>1.3847</v>
      </c>
      <c r="W74" s="209">
        <f t="shared" ca="1" si="18"/>
        <v>115.3656</v>
      </c>
      <c r="X74" s="58">
        <f t="shared" si="19"/>
        <v>0.10622632744498714</v>
      </c>
      <c r="Y74" s="58">
        <f t="shared" si="27"/>
        <v>0.10622632744498714</v>
      </c>
      <c r="Z74" s="58">
        <f t="shared" si="29"/>
        <v>0.12152291859706528</v>
      </c>
      <c r="AA74" s="58">
        <f t="shared" si="29"/>
        <v>9.7218334877652246E-2</v>
      </c>
      <c r="AB74" s="58">
        <f t="shared" si="29"/>
        <v>8.1420355460033747E-2</v>
      </c>
      <c r="AC74" s="58">
        <f t="shared" si="21"/>
        <v>2.5</v>
      </c>
      <c r="AD74" s="58">
        <f t="shared" si="22"/>
        <v>1</v>
      </c>
      <c r="AE74" s="58">
        <f t="shared" si="23"/>
        <v>0.4</v>
      </c>
      <c r="AF74" s="58">
        <f t="shared" si="28"/>
        <v>0.4</v>
      </c>
      <c r="AG74" s="58">
        <f t="shared" si="24"/>
        <v>6.2647619047619063E-2</v>
      </c>
      <c r="AH74" s="58">
        <f t="shared" si="25"/>
        <v>8.9885714285714291E-2</v>
      </c>
      <c r="AI74" s="58">
        <f t="shared" ca="1" si="26"/>
        <v>8.0079999999999998E-2</v>
      </c>
    </row>
    <row r="75" spans="2:35" ht="16">
      <c r="B75" s="64">
        <v>1.45</v>
      </c>
      <c r="C75" s="63">
        <f t="shared" ca="1" si="0"/>
        <v>3</v>
      </c>
      <c r="D75" s="63">
        <f t="shared" ca="1" si="1"/>
        <v>0.34800000000000003</v>
      </c>
      <c r="E75" s="63">
        <f t="shared" ca="1" si="2"/>
        <v>0.11600000000000001</v>
      </c>
      <c r="F75" s="63">
        <f t="shared" ca="1" si="3"/>
        <v>0.11600000000000001</v>
      </c>
      <c r="G75" s="60"/>
      <c r="H75" s="60"/>
      <c r="I75" s="60">
        <f t="shared" ca="1" si="4"/>
        <v>8.3000000000000004E-2</v>
      </c>
      <c r="J75" s="63">
        <f t="shared" ca="1" si="5"/>
        <v>3</v>
      </c>
      <c r="K75" s="63">
        <f t="shared" ca="1" si="6"/>
        <v>0.32000000000000006</v>
      </c>
      <c r="L75" s="63">
        <f t="shared" ca="1" si="7"/>
        <v>0.1067</v>
      </c>
      <c r="M75" s="63">
        <f t="shared" ca="1" si="8"/>
        <v>0.1067</v>
      </c>
      <c r="N75" s="60">
        <f t="shared" ca="1" si="9"/>
        <v>7.5999999999999998E-2</v>
      </c>
      <c r="O75" s="63">
        <f t="shared" ca="1" si="10"/>
        <v>4</v>
      </c>
      <c r="P75" s="63">
        <f t="shared" ca="1" si="11"/>
        <v>0.44827586206896552</v>
      </c>
      <c r="Q75" s="63">
        <f t="shared" ca="1" si="12"/>
        <v>0.11210000000000001</v>
      </c>
      <c r="R75" s="60">
        <f t="shared" ca="1" si="13"/>
        <v>0.11210000000000001</v>
      </c>
      <c r="S75" s="60">
        <f t="shared" ca="1" si="14"/>
        <v>0.08</v>
      </c>
      <c r="T75" s="91">
        <f t="shared" ca="1" si="15"/>
        <v>8.3000000000000004E-2</v>
      </c>
      <c r="U75" s="64">
        <f t="shared" ca="1" si="16"/>
        <v>0.1162</v>
      </c>
      <c r="V75" s="63">
        <f t="shared" si="17"/>
        <v>1.45</v>
      </c>
      <c r="W75" s="209">
        <f t="shared" ca="1" si="18"/>
        <v>113.9922</v>
      </c>
      <c r="X75" s="58">
        <f t="shared" si="19"/>
        <v>0.10380684981717496</v>
      </c>
      <c r="Y75" s="58">
        <f t="shared" si="27"/>
        <v>0.10380684981717496</v>
      </c>
      <c r="Z75" s="58">
        <f t="shared" si="29"/>
        <v>0.11875503619084815</v>
      </c>
      <c r="AA75" s="58">
        <f t="shared" si="29"/>
        <v>9.5004028952678538E-2</v>
      </c>
      <c r="AB75" s="58">
        <f t="shared" si="29"/>
        <v>7.9565874247868262E-2</v>
      </c>
      <c r="AC75" s="58">
        <f t="shared" si="21"/>
        <v>2.5</v>
      </c>
      <c r="AD75" s="58">
        <f t="shared" si="22"/>
        <v>1</v>
      </c>
      <c r="AE75" s="58">
        <f t="shared" si="23"/>
        <v>0.4</v>
      </c>
      <c r="AF75" s="58">
        <f t="shared" si="28"/>
        <v>0.4</v>
      </c>
      <c r="AG75" s="58">
        <f t="shared" si="24"/>
        <v>6.2647619047619063E-2</v>
      </c>
      <c r="AH75" s="58">
        <f t="shared" si="25"/>
        <v>8.9885714285714291E-2</v>
      </c>
      <c r="AI75" s="58">
        <f t="shared" ca="1" si="26"/>
        <v>7.9126666666666665E-2</v>
      </c>
    </row>
    <row r="76" spans="2:35" ht="16">
      <c r="B76" s="64">
        <v>1.5</v>
      </c>
      <c r="C76" s="63">
        <f t="shared" ca="1" si="0"/>
        <v>3</v>
      </c>
      <c r="D76" s="63">
        <f t="shared" ca="1" si="1"/>
        <v>0.34800000000000003</v>
      </c>
      <c r="E76" s="63">
        <f t="shared" ca="1" si="2"/>
        <v>0.11600000000000001</v>
      </c>
      <c r="F76" s="63">
        <f t="shared" ca="1" si="3"/>
        <v>0.11600000000000001</v>
      </c>
      <c r="G76" s="60"/>
      <c r="H76" s="60"/>
      <c r="I76" s="60">
        <f t="shared" ca="1" si="4"/>
        <v>8.3000000000000004E-2</v>
      </c>
      <c r="J76" s="63">
        <f t="shared" ca="1" si="5"/>
        <v>3</v>
      </c>
      <c r="K76" s="63">
        <f t="shared" ca="1" si="6"/>
        <v>0.32000000000000006</v>
      </c>
      <c r="L76" s="63">
        <f t="shared" ca="1" si="7"/>
        <v>0.1067</v>
      </c>
      <c r="M76" s="63">
        <f t="shared" ca="1" si="8"/>
        <v>0.1067</v>
      </c>
      <c r="N76" s="60">
        <f t="shared" ca="1" si="9"/>
        <v>7.5999999999999998E-2</v>
      </c>
      <c r="O76" s="63">
        <f t="shared" ca="1" si="10"/>
        <v>4</v>
      </c>
      <c r="P76" s="63">
        <f t="shared" ca="1" si="11"/>
        <v>0.43600000000000005</v>
      </c>
      <c r="Q76" s="63">
        <f t="shared" ca="1" si="12"/>
        <v>0.109</v>
      </c>
      <c r="R76" s="60">
        <f t="shared" ca="1" si="13"/>
        <v>0.109</v>
      </c>
      <c r="S76" s="60">
        <f t="shared" ca="1" si="14"/>
        <v>7.8E-2</v>
      </c>
      <c r="T76" s="91">
        <f t="shared" ca="1" si="15"/>
        <v>8.3000000000000004E-2</v>
      </c>
      <c r="U76" s="64">
        <f t="shared" ca="1" si="16"/>
        <v>0.1162</v>
      </c>
      <c r="V76" s="63">
        <f t="shared" si="17"/>
        <v>1.5</v>
      </c>
      <c r="W76" s="209">
        <f t="shared" ca="1" si="18"/>
        <v>113.9922</v>
      </c>
      <c r="X76" s="58">
        <f t="shared" si="19"/>
        <v>0.10206207261596577</v>
      </c>
      <c r="Y76" s="58">
        <f t="shared" si="27"/>
        <v>0.10206207261596577</v>
      </c>
      <c r="Z76" s="58">
        <f t="shared" si="29"/>
        <v>0.11675901107266484</v>
      </c>
      <c r="AA76" s="58">
        <f t="shared" si="29"/>
        <v>9.340720885813189E-2</v>
      </c>
      <c r="AB76" s="58">
        <f t="shared" si="29"/>
        <v>7.8228537418685448E-2</v>
      </c>
      <c r="AC76" s="58">
        <f t="shared" si="21"/>
        <v>2.5</v>
      </c>
      <c r="AD76" s="58">
        <f t="shared" si="22"/>
        <v>1</v>
      </c>
      <c r="AE76" s="58">
        <f t="shared" si="23"/>
        <v>0.4</v>
      </c>
      <c r="AF76" s="58">
        <f t="shared" si="28"/>
        <v>0.4</v>
      </c>
      <c r="AG76" s="58">
        <f t="shared" si="24"/>
        <v>6.2647619047619063E-2</v>
      </c>
      <c r="AH76" s="58">
        <f t="shared" si="25"/>
        <v>8.9885714285714291E-2</v>
      </c>
      <c r="AI76" s="58">
        <f t="shared" ca="1" si="26"/>
        <v>7.9126666666666665E-2</v>
      </c>
    </row>
    <row r="77" spans="2:35" ht="16">
      <c r="B77" s="64">
        <v>1.55</v>
      </c>
      <c r="C77" s="63">
        <f t="shared" ca="1" si="0"/>
        <v>3</v>
      </c>
      <c r="D77" s="63">
        <f t="shared" ca="1" si="1"/>
        <v>0.34800000000000003</v>
      </c>
      <c r="E77" s="63">
        <f t="shared" ca="1" si="2"/>
        <v>0.11600000000000001</v>
      </c>
      <c r="F77" s="63">
        <f t="shared" ca="1" si="3"/>
        <v>0.11600000000000001</v>
      </c>
      <c r="G77" s="60"/>
      <c r="H77" s="60"/>
      <c r="I77" s="60">
        <f t="shared" ca="1" si="4"/>
        <v>8.3000000000000004E-2</v>
      </c>
      <c r="J77" s="63">
        <f t="shared" ca="1" si="5"/>
        <v>3</v>
      </c>
      <c r="K77" s="63">
        <f t="shared" ca="1" si="6"/>
        <v>0.32000000000000006</v>
      </c>
      <c r="L77" s="63">
        <f t="shared" ca="1" si="7"/>
        <v>0.1067</v>
      </c>
      <c r="M77" s="63">
        <f t="shared" ca="1" si="8"/>
        <v>0.1067</v>
      </c>
      <c r="N77" s="60">
        <f t="shared" ca="1" si="9"/>
        <v>7.5999999999999998E-2</v>
      </c>
      <c r="O77" s="63">
        <f t="shared" ca="1" si="10"/>
        <v>4</v>
      </c>
      <c r="P77" s="63">
        <f t="shared" ca="1" si="11"/>
        <v>0.43600000000000005</v>
      </c>
      <c r="Q77" s="63">
        <f t="shared" ca="1" si="12"/>
        <v>0.109</v>
      </c>
      <c r="R77" s="60">
        <f t="shared" ca="1" si="13"/>
        <v>0.109</v>
      </c>
      <c r="S77" s="60">
        <f t="shared" ca="1" si="14"/>
        <v>7.8E-2</v>
      </c>
      <c r="T77" s="91">
        <f t="shared" ca="1" si="15"/>
        <v>8.3000000000000004E-2</v>
      </c>
      <c r="U77" s="64">
        <f t="shared" ca="1" si="16"/>
        <v>0.1162</v>
      </c>
      <c r="V77" s="63">
        <f t="shared" si="17"/>
        <v>1.55</v>
      </c>
      <c r="W77" s="209">
        <f t="shared" ca="1" si="18"/>
        <v>113.9922</v>
      </c>
      <c r="X77" s="58">
        <f t="shared" si="19"/>
        <v>0.10040241611281236</v>
      </c>
      <c r="Y77" s="58">
        <f t="shared" si="27"/>
        <v>0.10040241611281236</v>
      </c>
      <c r="Z77" s="58">
        <f t="shared" si="29"/>
        <v>0.11486036403305735</v>
      </c>
      <c r="AA77" s="58">
        <f t="shared" si="29"/>
        <v>9.1888291226445901E-2</v>
      </c>
      <c r="AB77" s="58">
        <f t="shared" si="29"/>
        <v>7.6956443902148425E-2</v>
      </c>
      <c r="AC77" s="58">
        <f t="shared" si="21"/>
        <v>2.5</v>
      </c>
      <c r="AD77" s="58">
        <f t="shared" si="22"/>
        <v>1</v>
      </c>
      <c r="AE77" s="58">
        <f t="shared" si="23"/>
        <v>0.4</v>
      </c>
      <c r="AF77" s="58">
        <f t="shared" si="28"/>
        <v>0.4</v>
      </c>
      <c r="AG77" s="58">
        <f t="shared" si="24"/>
        <v>6.2647619047619063E-2</v>
      </c>
      <c r="AH77" s="58">
        <f t="shared" si="25"/>
        <v>8.9885714285714291E-2</v>
      </c>
      <c r="AI77" s="58">
        <f t="shared" ca="1" si="26"/>
        <v>7.9126666666666665E-2</v>
      </c>
    </row>
    <row r="78" spans="2:35" ht="16">
      <c r="B78" s="64">
        <v>1.6</v>
      </c>
      <c r="C78" s="63">
        <f t="shared" ca="1" si="0"/>
        <v>3</v>
      </c>
      <c r="D78" s="63">
        <f t="shared" ca="1" si="1"/>
        <v>0.34800000000000003</v>
      </c>
      <c r="E78" s="63">
        <f t="shared" ca="1" si="2"/>
        <v>0.11600000000000001</v>
      </c>
      <c r="F78" s="63">
        <f t="shared" ca="1" si="3"/>
        <v>0.11600000000000001</v>
      </c>
      <c r="G78" s="60"/>
      <c r="H78" s="60"/>
      <c r="I78" s="60">
        <f t="shared" ca="1" si="4"/>
        <v>8.3000000000000004E-2</v>
      </c>
      <c r="J78" s="63">
        <f t="shared" ca="1" si="5"/>
        <v>3</v>
      </c>
      <c r="K78" s="63">
        <f t="shared" ca="1" si="6"/>
        <v>0.32000000000000006</v>
      </c>
      <c r="L78" s="63">
        <f t="shared" ca="1" si="7"/>
        <v>0.1067</v>
      </c>
      <c r="M78" s="63">
        <f t="shared" ca="1" si="8"/>
        <v>0.1067</v>
      </c>
      <c r="N78" s="60">
        <f t="shared" ca="1" si="9"/>
        <v>7.5999999999999998E-2</v>
      </c>
      <c r="O78" s="63">
        <f t="shared" ca="1" si="10"/>
        <v>4</v>
      </c>
      <c r="P78" s="63">
        <f t="shared" ca="1" si="11"/>
        <v>0.43600000000000005</v>
      </c>
      <c r="Q78" s="63">
        <f t="shared" ca="1" si="12"/>
        <v>0.109</v>
      </c>
      <c r="R78" s="60">
        <f t="shared" ca="1" si="13"/>
        <v>0.109</v>
      </c>
      <c r="S78" s="60">
        <f t="shared" ca="1" si="14"/>
        <v>7.8E-2</v>
      </c>
      <c r="T78" s="91">
        <f t="shared" ca="1" si="15"/>
        <v>8.3000000000000004E-2</v>
      </c>
      <c r="U78" s="64">
        <f t="shared" ca="1" si="16"/>
        <v>0.1162</v>
      </c>
      <c r="V78" s="63">
        <f t="shared" si="17"/>
        <v>1.6</v>
      </c>
      <c r="W78" s="209">
        <f t="shared" ca="1" si="18"/>
        <v>113.9922</v>
      </c>
      <c r="X78" s="58">
        <f t="shared" si="19"/>
        <v>9.8821176880261846E-2</v>
      </c>
      <c r="Y78" s="58">
        <f t="shared" si="27"/>
        <v>9.8821176880261846E-2</v>
      </c>
      <c r="Z78" s="58">
        <f t="shared" si="29"/>
        <v>0.11305142635101956</v>
      </c>
      <c r="AA78" s="58">
        <f t="shared" si="29"/>
        <v>9.0441141080815662E-2</v>
      </c>
      <c r="AB78" s="58">
        <f t="shared" si="29"/>
        <v>7.5744455655183104E-2</v>
      </c>
      <c r="AC78" s="58">
        <f t="shared" si="21"/>
        <v>2.5</v>
      </c>
      <c r="AD78" s="58">
        <f t="shared" si="22"/>
        <v>1</v>
      </c>
      <c r="AE78" s="58">
        <f t="shared" si="23"/>
        <v>0.4</v>
      </c>
      <c r="AF78" s="58">
        <f t="shared" si="28"/>
        <v>0.4</v>
      </c>
      <c r="AG78" s="58">
        <f t="shared" si="24"/>
        <v>6.2647619047619063E-2</v>
      </c>
      <c r="AH78" s="58">
        <f t="shared" si="25"/>
        <v>8.9885714285714291E-2</v>
      </c>
      <c r="AI78" s="58">
        <f t="shared" ca="1" si="26"/>
        <v>7.9126666666666665E-2</v>
      </c>
    </row>
    <row r="79" spans="2:35" ht="16">
      <c r="B79" s="64">
        <v>1.65</v>
      </c>
      <c r="C79" s="63">
        <f t="shared" ca="1" si="0"/>
        <v>3</v>
      </c>
      <c r="D79" s="63">
        <f t="shared" ca="1" si="1"/>
        <v>0.34800000000000003</v>
      </c>
      <c r="E79" s="63">
        <f t="shared" ca="1" si="2"/>
        <v>0.11600000000000001</v>
      </c>
      <c r="F79" s="63">
        <f t="shared" ca="1" si="3"/>
        <v>0.11600000000000001</v>
      </c>
      <c r="G79" s="60"/>
      <c r="H79" s="60"/>
      <c r="I79" s="60">
        <f t="shared" ca="1" si="4"/>
        <v>8.3000000000000004E-2</v>
      </c>
      <c r="J79" s="63">
        <f t="shared" ca="1" si="5"/>
        <v>3</v>
      </c>
      <c r="K79" s="63">
        <f t="shared" ca="1" si="6"/>
        <v>0.32000000000000006</v>
      </c>
      <c r="L79" s="63">
        <f t="shared" ca="1" si="7"/>
        <v>0.1067</v>
      </c>
      <c r="M79" s="63">
        <f t="shared" ca="1" si="8"/>
        <v>0.1067</v>
      </c>
      <c r="N79" s="60">
        <f t="shared" ca="1" si="9"/>
        <v>7.5999999999999998E-2</v>
      </c>
      <c r="O79" s="63">
        <f t="shared" ca="1" si="10"/>
        <v>4</v>
      </c>
      <c r="P79" s="63">
        <f t="shared" ca="1" si="11"/>
        <v>0.43600000000000005</v>
      </c>
      <c r="Q79" s="63">
        <f t="shared" ca="1" si="12"/>
        <v>0.109</v>
      </c>
      <c r="R79" s="60">
        <f t="shared" ca="1" si="13"/>
        <v>0.109</v>
      </c>
      <c r="S79" s="60">
        <f t="shared" ca="1" si="14"/>
        <v>7.8E-2</v>
      </c>
      <c r="T79" s="91">
        <f t="shared" ca="1" si="15"/>
        <v>8.3000000000000004E-2</v>
      </c>
      <c r="U79" s="64">
        <f t="shared" ca="1" si="16"/>
        <v>0.1162</v>
      </c>
      <c r="V79" s="63">
        <f t="shared" si="17"/>
        <v>1.65</v>
      </c>
      <c r="W79" s="209">
        <f t="shared" ca="1" si="18"/>
        <v>113.9922</v>
      </c>
      <c r="X79" s="58">
        <f t="shared" si="19"/>
        <v>9.7312368020190373E-2</v>
      </c>
      <c r="Y79" s="58">
        <f t="shared" si="27"/>
        <v>9.7312368020190373E-2</v>
      </c>
      <c r="Z79" s="58">
        <f t="shared" si="29"/>
        <v>0.1113253490150978</v>
      </c>
      <c r="AA79" s="58">
        <f t="shared" si="29"/>
        <v>8.9060279212078236E-2</v>
      </c>
      <c r="AB79" s="58">
        <f t="shared" si="29"/>
        <v>7.4587983840115515E-2</v>
      </c>
      <c r="AC79" s="58">
        <f t="shared" si="21"/>
        <v>2.5</v>
      </c>
      <c r="AD79" s="58">
        <f t="shared" si="22"/>
        <v>1</v>
      </c>
      <c r="AE79" s="58">
        <f t="shared" si="23"/>
        <v>0.4</v>
      </c>
      <c r="AF79" s="58">
        <f t="shared" si="28"/>
        <v>0.4</v>
      </c>
      <c r="AG79" s="58">
        <f t="shared" si="24"/>
        <v>6.2647619047619063E-2</v>
      </c>
      <c r="AH79" s="58">
        <f t="shared" si="25"/>
        <v>8.9885714285714291E-2</v>
      </c>
      <c r="AI79" s="58">
        <f t="shared" ca="1" si="26"/>
        <v>7.9126666666666665E-2</v>
      </c>
    </row>
    <row r="80" spans="2:35" ht="16">
      <c r="B80" s="64">
        <v>1.7</v>
      </c>
      <c r="C80" s="63">
        <f t="shared" ca="1" si="0"/>
        <v>3</v>
      </c>
      <c r="D80" s="63">
        <f t="shared" ca="1" si="1"/>
        <v>0.34800000000000003</v>
      </c>
      <c r="E80" s="63">
        <f t="shared" ca="1" si="2"/>
        <v>0.11600000000000001</v>
      </c>
      <c r="F80" s="63">
        <f t="shared" ca="1" si="3"/>
        <v>0.11600000000000001</v>
      </c>
      <c r="G80" s="60"/>
      <c r="H80" s="60"/>
      <c r="I80" s="60">
        <f t="shared" ca="1" si="4"/>
        <v>8.3000000000000004E-2</v>
      </c>
      <c r="J80" s="63">
        <f t="shared" ca="1" si="5"/>
        <v>3</v>
      </c>
      <c r="K80" s="63">
        <f t="shared" ca="1" si="6"/>
        <v>0.32000000000000006</v>
      </c>
      <c r="L80" s="63">
        <f t="shared" ca="1" si="7"/>
        <v>0.1067</v>
      </c>
      <c r="M80" s="63">
        <f t="shared" ca="1" si="8"/>
        <v>0.1067</v>
      </c>
      <c r="N80" s="60">
        <f t="shared" ca="1" si="9"/>
        <v>7.5999999999999998E-2</v>
      </c>
      <c r="O80" s="63">
        <f t="shared" ca="1" si="10"/>
        <v>4</v>
      </c>
      <c r="P80" s="63">
        <f t="shared" ca="1" si="11"/>
        <v>0.43600000000000005</v>
      </c>
      <c r="Q80" s="63">
        <f t="shared" ca="1" si="12"/>
        <v>0.109</v>
      </c>
      <c r="R80" s="60">
        <f t="shared" ca="1" si="13"/>
        <v>0.109</v>
      </c>
      <c r="S80" s="60">
        <f t="shared" ca="1" si="14"/>
        <v>7.8E-2</v>
      </c>
      <c r="T80" s="91">
        <f t="shared" ca="1" si="15"/>
        <v>8.3000000000000004E-2</v>
      </c>
      <c r="U80" s="64">
        <f t="shared" ca="1" si="16"/>
        <v>0.1162</v>
      </c>
      <c r="V80" s="63">
        <f t="shared" si="17"/>
        <v>1.7</v>
      </c>
      <c r="W80" s="209">
        <f t="shared" ca="1" si="18"/>
        <v>113.9922</v>
      </c>
      <c r="X80" s="58">
        <f t="shared" si="19"/>
        <v>9.5870623605921301E-2</v>
      </c>
      <c r="Y80" s="58">
        <f t="shared" si="27"/>
        <v>9.5870623605921301E-2</v>
      </c>
      <c r="Z80" s="58">
        <f t="shared" si="29"/>
        <v>0.10967599340517398</v>
      </c>
      <c r="AA80" s="58">
        <f t="shared" si="29"/>
        <v>8.774079472413919E-2</v>
      </c>
      <c r="AB80" s="58">
        <f t="shared" si="29"/>
        <v>7.3482915581466565E-2</v>
      </c>
      <c r="AC80" s="58">
        <f t="shared" si="21"/>
        <v>2.5</v>
      </c>
      <c r="AD80" s="58">
        <f t="shared" si="22"/>
        <v>1</v>
      </c>
      <c r="AE80" s="58">
        <f t="shared" si="23"/>
        <v>0.4</v>
      </c>
      <c r="AF80" s="58">
        <f t="shared" si="28"/>
        <v>0.4</v>
      </c>
      <c r="AG80" s="58">
        <f t="shared" si="24"/>
        <v>6.2647619047619063E-2</v>
      </c>
      <c r="AH80" s="58">
        <f t="shared" si="25"/>
        <v>8.9885714285714291E-2</v>
      </c>
      <c r="AI80" s="58">
        <f t="shared" ca="1" si="26"/>
        <v>7.9126666666666665E-2</v>
      </c>
    </row>
    <row r="81" spans="2:35" ht="16">
      <c r="B81" s="64">
        <v>1.75</v>
      </c>
      <c r="C81" s="63">
        <f t="shared" ca="1" si="0"/>
        <v>3</v>
      </c>
      <c r="D81" s="63">
        <f t="shared" ca="1" si="1"/>
        <v>0.34800000000000003</v>
      </c>
      <c r="E81" s="63">
        <f t="shared" ca="1" si="2"/>
        <v>0.11600000000000001</v>
      </c>
      <c r="F81" s="63">
        <f t="shared" ca="1" si="3"/>
        <v>0.11600000000000001</v>
      </c>
      <c r="G81" s="60"/>
      <c r="H81" s="60"/>
      <c r="I81" s="60">
        <f t="shared" ca="1" si="4"/>
        <v>8.3000000000000004E-2</v>
      </c>
      <c r="J81" s="63">
        <f t="shared" ca="1" si="5"/>
        <v>3</v>
      </c>
      <c r="K81" s="63">
        <f t="shared" ca="1" si="6"/>
        <v>0.32000000000000006</v>
      </c>
      <c r="L81" s="63">
        <f t="shared" ca="1" si="7"/>
        <v>0.1067</v>
      </c>
      <c r="M81" s="63">
        <f t="shared" ca="1" si="8"/>
        <v>0.1067</v>
      </c>
      <c r="N81" s="60">
        <f t="shared" ca="1" si="9"/>
        <v>7.5999999999999998E-2</v>
      </c>
      <c r="O81" s="63">
        <f t="shared" ca="1" si="10"/>
        <v>4</v>
      </c>
      <c r="P81" s="63">
        <f t="shared" ca="1" si="11"/>
        <v>0.43600000000000005</v>
      </c>
      <c r="Q81" s="63">
        <f t="shared" ca="1" si="12"/>
        <v>0.109</v>
      </c>
      <c r="R81" s="60">
        <f t="shared" ca="1" si="13"/>
        <v>0.109</v>
      </c>
      <c r="S81" s="60">
        <f t="shared" ca="1" si="14"/>
        <v>7.8E-2</v>
      </c>
      <c r="T81" s="91">
        <f t="shared" ca="1" si="15"/>
        <v>8.3000000000000004E-2</v>
      </c>
      <c r="U81" s="64">
        <f t="shared" ca="1" si="16"/>
        <v>0.1162</v>
      </c>
      <c r="V81" s="63">
        <f t="shared" si="17"/>
        <v>1.75</v>
      </c>
      <c r="W81" s="209">
        <f t="shared" ca="1" si="18"/>
        <v>113.9922</v>
      </c>
      <c r="X81" s="58">
        <f t="shared" si="19"/>
        <v>9.4491118252306799E-2</v>
      </c>
      <c r="Y81" s="58">
        <f t="shared" si="27"/>
        <v>9.4491118252306799E-2</v>
      </c>
      <c r="Z81" s="58">
        <f t="shared" si="29"/>
        <v>0.10809783928063897</v>
      </c>
      <c r="AA81" s="58">
        <f t="shared" si="29"/>
        <v>8.6478271424511199E-2</v>
      </c>
      <c r="AB81" s="58">
        <f t="shared" si="29"/>
        <v>7.2425552318028108E-2</v>
      </c>
      <c r="AC81" s="58">
        <f t="shared" si="21"/>
        <v>2.5</v>
      </c>
      <c r="AD81" s="58">
        <f t="shared" si="22"/>
        <v>1</v>
      </c>
      <c r="AE81" s="58">
        <f t="shared" si="23"/>
        <v>0.4</v>
      </c>
      <c r="AF81" s="58">
        <f t="shared" si="28"/>
        <v>0.4</v>
      </c>
      <c r="AG81" s="58">
        <f t="shared" si="24"/>
        <v>6.2647619047619063E-2</v>
      </c>
      <c r="AH81" s="58">
        <f t="shared" si="25"/>
        <v>8.9885714285714291E-2</v>
      </c>
      <c r="AI81" s="58">
        <f t="shared" ca="1" si="26"/>
        <v>7.9126666666666665E-2</v>
      </c>
    </row>
    <row r="82" spans="2:35" ht="16">
      <c r="B82" s="64">
        <v>1.8</v>
      </c>
      <c r="C82" s="63">
        <f t="shared" ca="1" si="0"/>
        <v>3</v>
      </c>
      <c r="D82" s="63">
        <f t="shared" ca="1" si="1"/>
        <v>0.34800000000000003</v>
      </c>
      <c r="E82" s="63">
        <f t="shared" ca="1" si="2"/>
        <v>0.11600000000000001</v>
      </c>
      <c r="F82" s="63">
        <f t="shared" ca="1" si="3"/>
        <v>0.11600000000000001</v>
      </c>
      <c r="G82" s="60"/>
      <c r="H82" s="60"/>
      <c r="I82" s="60">
        <f t="shared" ca="1" si="4"/>
        <v>8.3000000000000004E-2</v>
      </c>
      <c r="J82" s="63">
        <f t="shared" ca="1" si="5"/>
        <v>3</v>
      </c>
      <c r="K82" s="63">
        <f t="shared" ca="1" si="6"/>
        <v>0.32000000000000006</v>
      </c>
      <c r="L82" s="63">
        <f t="shared" ca="1" si="7"/>
        <v>0.1067</v>
      </c>
      <c r="M82" s="63">
        <f t="shared" ca="1" si="8"/>
        <v>0.1067</v>
      </c>
      <c r="N82" s="60">
        <f t="shared" ca="1" si="9"/>
        <v>7.5999999999999998E-2</v>
      </c>
      <c r="O82" s="63">
        <f t="shared" ca="1" si="10"/>
        <v>4</v>
      </c>
      <c r="P82" s="63">
        <f t="shared" ca="1" si="11"/>
        <v>0.43600000000000005</v>
      </c>
      <c r="Q82" s="63">
        <f t="shared" ca="1" si="12"/>
        <v>0.109</v>
      </c>
      <c r="R82" s="60">
        <f t="shared" ca="1" si="13"/>
        <v>0.109</v>
      </c>
      <c r="S82" s="60">
        <f t="shared" ca="1" si="14"/>
        <v>7.8E-2</v>
      </c>
      <c r="T82" s="91">
        <f t="shared" ca="1" si="15"/>
        <v>8.3000000000000004E-2</v>
      </c>
      <c r="U82" s="64">
        <f t="shared" ca="1" si="16"/>
        <v>0.1162</v>
      </c>
      <c r="V82" s="63">
        <f t="shared" si="17"/>
        <v>1.8</v>
      </c>
      <c r="W82" s="209">
        <f t="shared" ca="1" si="18"/>
        <v>113.9922</v>
      </c>
      <c r="X82" s="58">
        <f t="shared" si="19"/>
        <v>9.3169499062491237E-2</v>
      </c>
      <c r="Y82" s="58">
        <f t="shared" si="27"/>
        <v>9.3169499062491237E-2</v>
      </c>
      <c r="Z82" s="58">
        <f t="shared" si="29"/>
        <v>0.10658590692748997</v>
      </c>
      <c r="AA82" s="58">
        <f t="shared" si="29"/>
        <v>8.5268725541991996E-2</v>
      </c>
      <c r="AB82" s="58">
        <f t="shared" si="29"/>
        <v>7.1412557641418281E-2</v>
      </c>
      <c r="AC82" s="58">
        <f t="shared" si="21"/>
        <v>2.5</v>
      </c>
      <c r="AD82" s="58">
        <f t="shared" si="22"/>
        <v>1</v>
      </c>
      <c r="AE82" s="58">
        <f t="shared" si="23"/>
        <v>0.4</v>
      </c>
      <c r="AF82" s="58">
        <f t="shared" si="28"/>
        <v>0.4</v>
      </c>
      <c r="AG82" s="58">
        <f t="shared" si="24"/>
        <v>6.2647619047619063E-2</v>
      </c>
      <c r="AH82" s="58">
        <f t="shared" si="25"/>
        <v>8.9885714285714291E-2</v>
      </c>
      <c r="AI82" s="58">
        <f t="shared" ca="1" si="26"/>
        <v>7.9126666666666665E-2</v>
      </c>
    </row>
    <row r="83" spans="2:35" ht="16">
      <c r="B83" s="64">
        <v>1.85</v>
      </c>
      <c r="C83" s="63">
        <f t="shared" ca="1" si="0"/>
        <v>3</v>
      </c>
      <c r="D83" s="63">
        <f t="shared" ca="1" si="1"/>
        <v>0.34800000000000003</v>
      </c>
      <c r="E83" s="63">
        <f t="shared" ca="1" si="2"/>
        <v>0.11600000000000001</v>
      </c>
      <c r="F83" s="63">
        <f t="shared" ca="1" si="3"/>
        <v>0.11600000000000001</v>
      </c>
      <c r="G83" s="60"/>
      <c r="H83" s="60"/>
      <c r="I83" s="60">
        <f t="shared" ca="1" si="4"/>
        <v>8.3000000000000004E-2</v>
      </c>
      <c r="J83" s="63">
        <f t="shared" ca="1" si="5"/>
        <v>3</v>
      </c>
      <c r="K83" s="63">
        <f t="shared" ca="1" si="6"/>
        <v>0.32000000000000006</v>
      </c>
      <c r="L83" s="63">
        <f t="shared" ca="1" si="7"/>
        <v>0.1067</v>
      </c>
      <c r="M83" s="63">
        <f t="shared" ca="1" si="8"/>
        <v>0.1067</v>
      </c>
      <c r="N83" s="60">
        <f t="shared" ca="1" si="9"/>
        <v>7.5999999999999998E-2</v>
      </c>
      <c r="O83" s="63">
        <f t="shared" ca="1" si="10"/>
        <v>4</v>
      </c>
      <c r="P83" s="63">
        <f t="shared" ca="1" si="11"/>
        <v>0.43600000000000005</v>
      </c>
      <c r="Q83" s="63">
        <f t="shared" ca="1" si="12"/>
        <v>0.109</v>
      </c>
      <c r="R83" s="60">
        <f t="shared" ca="1" si="13"/>
        <v>0.109</v>
      </c>
      <c r="S83" s="60">
        <f t="shared" ca="1" si="14"/>
        <v>7.8E-2</v>
      </c>
      <c r="T83" s="91">
        <f t="shared" ca="1" si="15"/>
        <v>8.3000000000000004E-2</v>
      </c>
      <c r="U83" s="64">
        <f t="shared" ca="1" si="16"/>
        <v>0.1162</v>
      </c>
      <c r="V83" s="63">
        <f t="shared" si="17"/>
        <v>1.85</v>
      </c>
      <c r="W83" s="209">
        <f t="shared" ca="1" si="18"/>
        <v>113.9922</v>
      </c>
      <c r="X83" s="58">
        <f t="shared" si="19"/>
        <v>9.1901827761725979E-2</v>
      </c>
      <c r="Y83" s="58">
        <f t="shared" si="27"/>
        <v>9.1901827761725979E-2</v>
      </c>
      <c r="Z83" s="58">
        <f t="shared" ref="Z83:AB96" si="30">$R$5*Y$41*$R$11*$Y83*$AG$5</f>
        <v>0.10513569095941452</v>
      </c>
      <c r="AA83" s="58">
        <f t="shared" si="30"/>
        <v>8.4108552767531625E-2</v>
      </c>
      <c r="AB83" s="58">
        <f t="shared" si="30"/>
        <v>7.0440912942807729E-2</v>
      </c>
      <c r="AC83" s="58">
        <f t="shared" si="21"/>
        <v>2.5</v>
      </c>
      <c r="AD83" s="58">
        <f t="shared" si="22"/>
        <v>1</v>
      </c>
      <c r="AE83" s="58">
        <f t="shared" si="23"/>
        <v>0.4</v>
      </c>
      <c r="AF83" s="58">
        <f t="shared" si="28"/>
        <v>0.4</v>
      </c>
      <c r="AG83" s="58">
        <f t="shared" si="24"/>
        <v>6.2647619047619063E-2</v>
      </c>
      <c r="AH83" s="58">
        <f t="shared" si="25"/>
        <v>8.9885714285714291E-2</v>
      </c>
      <c r="AI83" s="58">
        <f t="shared" ca="1" si="26"/>
        <v>7.9126666666666665E-2</v>
      </c>
    </row>
    <row r="84" spans="2:35" ht="16">
      <c r="B84" s="64">
        <v>1.9</v>
      </c>
      <c r="C84" s="63">
        <f t="shared" ca="1" si="0"/>
        <v>3</v>
      </c>
      <c r="D84" s="63">
        <f t="shared" ca="1" si="1"/>
        <v>0.34800000000000003</v>
      </c>
      <c r="E84" s="63">
        <f t="shared" ca="1" si="2"/>
        <v>0.11600000000000001</v>
      </c>
      <c r="F84" s="63">
        <f t="shared" ca="1" si="3"/>
        <v>0.11600000000000001</v>
      </c>
      <c r="G84" s="60"/>
      <c r="H84" s="60"/>
      <c r="I84" s="60">
        <f t="shared" ca="1" si="4"/>
        <v>8.3000000000000004E-2</v>
      </c>
      <c r="J84" s="63">
        <f t="shared" ca="1" si="5"/>
        <v>3</v>
      </c>
      <c r="K84" s="63">
        <f t="shared" ca="1" si="6"/>
        <v>0.32000000000000006</v>
      </c>
      <c r="L84" s="63">
        <f t="shared" ca="1" si="7"/>
        <v>0.1067</v>
      </c>
      <c r="M84" s="63">
        <f t="shared" ca="1" si="8"/>
        <v>0.1067</v>
      </c>
      <c r="N84" s="60">
        <f t="shared" ca="1" si="9"/>
        <v>7.5999999999999998E-2</v>
      </c>
      <c r="O84" s="63">
        <f t="shared" ca="1" si="10"/>
        <v>4</v>
      </c>
      <c r="P84" s="63">
        <f t="shared" ca="1" si="11"/>
        <v>0.43600000000000005</v>
      </c>
      <c r="Q84" s="63">
        <f t="shared" ca="1" si="12"/>
        <v>0.109</v>
      </c>
      <c r="R84" s="60">
        <f t="shared" ca="1" si="13"/>
        <v>0.109</v>
      </c>
      <c r="S84" s="60">
        <f t="shared" ca="1" si="14"/>
        <v>7.8E-2</v>
      </c>
      <c r="T84" s="91">
        <f t="shared" ca="1" si="15"/>
        <v>8.3000000000000004E-2</v>
      </c>
      <c r="U84" s="64">
        <f t="shared" ca="1" si="16"/>
        <v>0.1162</v>
      </c>
      <c r="V84" s="63">
        <f t="shared" si="17"/>
        <v>1.9</v>
      </c>
      <c r="W84" s="209">
        <f t="shared" ca="1" si="18"/>
        <v>113.9922</v>
      </c>
      <c r="X84" s="58">
        <f t="shared" si="19"/>
        <v>9.0684531263751464E-2</v>
      </c>
      <c r="Y84" s="58">
        <f t="shared" si="27"/>
        <v>9.0684531263751464E-2</v>
      </c>
      <c r="Z84" s="58">
        <f t="shared" si="30"/>
        <v>0.10374310376573168</v>
      </c>
      <c r="AA84" s="58">
        <f t="shared" si="30"/>
        <v>8.2994483012585357E-2</v>
      </c>
      <c r="AB84" s="58">
        <f t="shared" si="30"/>
        <v>6.9507879523040231E-2</v>
      </c>
      <c r="AC84" s="58">
        <f t="shared" si="21"/>
        <v>2.5</v>
      </c>
      <c r="AD84" s="58">
        <f t="shared" si="22"/>
        <v>1</v>
      </c>
      <c r="AE84" s="58">
        <f t="shared" si="23"/>
        <v>0.4</v>
      </c>
      <c r="AF84" s="58">
        <f t="shared" si="28"/>
        <v>0.4</v>
      </c>
      <c r="AG84" s="58">
        <f t="shared" si="24"/>
        <v>6.2647619047619063E-2</v>
      </c>
      <c r="AH84" s="58">
        <f t="shared" si="25"/>
        <v>8.9885714285714291E-2</v>
      </c>
      <c r="AI84" s="58">
        <f t="shared" ca="1" si="26"/>
        <v>7.9126666666666665E-2</v>
      </c>
    </row>
    <row r="85" spans="2:35" ht="16">
      <c r="B85" s="72">
        <v>1.9450000000000001</v>
      </c>
      <c r="C85" s="63">
        <f t="shared" ca="1" si="0"/>
        <v>3</v>
      </c>
      <c r="D85" s="63">
        <f t="shared" ca="1" si="1"/>
        <v>0.34800000000000003</v>
      </c>
      <c r="E85" s="63">
        <f t="shared" ca="1" si="2"/>
        <v>0.11600000000000001</v>
      </c>
      <c r="F85" s="63">
        <f t="shared" ca="1" si="3"/>
        <v>0.11600000000000001</v>
      </c>
      <c r="G85" s="60"/>
      <c r="H85" s="60"/>
      <c r="I85" s="60">
        <f t="shared" ca="1" si="4"/>
        <v>8.3000000000000004E-2</v>
      </c>
      <c r="J85" s="63">
        <f t="shared" ca="1" si="5"/>
        <v>3</v>
      </c>
      <c r="K85" s="63">
        <f t="shared" ca="1" si="6"/>
        <v>0.32000000000000006</v>
      </c>
      <c r="L85" s="63">
        <f t="shared" ca="1" si="7"/>
        <v>0.1067</v>
      </c>
      <c r="M85" s="63">
        <f t="shared" ca="1" si="8"/>
        <v>0.1067</v>
      </c>
      <c r="N85" s="60">
        <f t="shared" ca="1" si="9"/>
        <v>7.5999999999999998E-2</v>
      </c>
      <c r="O85" s="63">
        <f t="shared" ca="1" si="10"/>
        <v>4</v>
      </c>
      <c r="P85" s="63">
        <f t="shared" ca="1" si="11"/>
        <v>0.43600000000000005</v>
      </c>
      <c r="Q85" s="63">
        <f t="shared" ca="1" si="12"/>
        <v>0.109</v>
      </c>
      <c r="R85" s="60">
        <f t="shared" ca="1" si="13"/>
        <v>0.109</v>
      </c>
      <c r="S85" s="60">
        <f t="shared" ca="1" si="14"/>
        <v>7.8E-2</v>
      </c>
      <c r="T85" s="91">
        <f t="shared" ca="1" si="15"/>
        <v>8.3000000000000004E-2</v>
      </c>
      <c r="U85" s="64">
        <f t="shared" ca="1" si="16"/>
        <v>0.1162</v>
      </c>
      <c r="V85" s="63">
        <f t="shared" si="17"/>
        <v>1.9450000000000001</v>
      </c>
      <c r="W85" s="209">
        <f t="shared" ca="1" si="18"/>
        <v>113.9922</v>
      </c>
      <c r="X85" s="58">
        <f t="shared" si="19"/>
        <v>8.9629342422759342E-2</v>
      </c>
      <c r="Y85" s="58">
        <f t="shared" si="27"/>
        <v>8.9629342422759342E-2</v>
      </c>
      <c r="Z85" s="58">
        <f t="shared" si="30"/>
        <v>0.10253596773163669</v>
      </c>
      <c r="AA85" s="58">
        <f t="shared" si="30"/>
        <v>8.2028774185309364E-2</v>
      </c>
      <c r="AB85" s="58">
        <f t="shared" si="30"/>
        <v>6.8699098380196583E-2</v>
      </c>
      <c r="AC85" s="58">
        <f t="shared" si="21"/>
        <v>2.5</v>
      </c>
      <c r="AD85" s="58">
        <f t="shared" si="22"/>
        <v>1</v>
      </c>
      <c r="AE85" s="58">
        <f t="shared" si="23"/>
        <v>0.4</v>
      </c>
      <c r="AF85" s="58">
        <f t="shared" si="28"/>
        <v>0.4</v>
      </c>
      <c r="AG85" s="58">
        <f t="shared" si="24"/>
        <v>6.2647619047619063E-2</v>
      </c>
      <c r="AH85" s="58">
        <f t="shared" si="25"/>
        <v>8.9885714285714291E-2</v>
      </c>
      <c r="AI85" s="58">
        <f t="shared" ca="1" si="26"/>
        <v>7.9126666666666665E-2</v>
      </c>
    </row>
    <row r="86" spans="2:35" ht="16">
      <c r="B86" s="64">
        <v>2</v>
      </c>
      <c r="C86" s="63">
        <f t="shared" ca="1" si="0"/>
        <v>3</v>
      </c>
      <c r="D86" s="63">
        <f t="shared" ca="1" si="1"/>
        <v>0.34800000000000003</v>
      </c>
      <c r="E86" s="63">
        <f t="shared" ca="1" si="2"/>
        <v>0.11600000000000001</v>
      </c>
      <c r="F86" s="63">
        <f t="shared" ca="1" si="3"/>
        <v>0.11600000000000001</v>
      </c>
      <c r="G86" s="60"/>
      <c r="H86" s="60"/>
      <c r="I86" s="60">
        <f t="shared" ca="1" si="4"/>
        <v>8.3000000000000004E-2</v>
      </c>
      <c r="J86" s="63">
        <f t="shared" ca="1" si="5"/>
        <v>3</v>
      </c>
      <c r="K86" s="63">
        <f t="shared" ca="1" si="6"/>
        <v>0.32000000000000006</v>
      </c>
      <c r="L86" s="63">
        <f t="shared" ca="1" si="7"/>
        <v>0.1067</v>
      </c>
      <c r="M86" s="63">
        <f t="shared" ca="1" si="8"/>
        <v>0.1067</v>
      </c>
      <c r="N86" s="60">
        <f t="shared" ca="1" si="9"/>
        <v>7.5999999999999998E-2</v>
      </c>
      <c r="O86" s="63">
        <f t="shared" ca="1" si="10"/>
        <v>4</v>
      </c>
      <c r="P86" s="63">
        <f t="shared" ca="1" si="11"/>
        <v>0.43600000000000005</v>
      </c>
      <c r="Q86" s="63">
        <f t="shared" ca="1" si="12"/>
        <v>0.109</v>
      </c>
      <c r="R86" s="60">
        <f t="shared" ca="1" si="13"/>
        <v>0.109</v>
      </c>
      <c r="S86" s="60">
        <f t="shared" ca="1" si="14"/>
        <v>7.8E-2</v>
      </c>
      <c r="T86" s="91">
        <f t="shared" ca="1" si="15"/>
        <v>8.3000000000000004E-2</v>
      </c>
      <c r="U86" s="64">
        <f t="shared" ca="1" si="16"/>
        <v>0.1162</v>
      </c>
      <c r="V86" s="63">
        <f t="shared" si="17"/>
        <v>2</v>
      </c>
      <c r="W86" s="209">
        <f t="shared" ca="1" si="18"/>
        <v>113.9922</v>
      </c>
      <c r="X86" s="58">
        <f t="shared" si="19"/>
        <v>8.8388347648318433E-2</v>
      </c>
      <c r="Y86" s="58">
        <f t="shared" si="27"/>
        <v>8.8388347648318433E-2</v>
      </c>
      <c r="Z86" s="58">
        <f t="shared" si="30"/>
        <v>0.10111626970967628</v>
      </c>
      <c r="AA86" s="58">
        <f t="shared" si="30"/>
        <v>8.089301576774105E-2</v>
      </c>
      <c r="AB86" s="58">
        <f t="shared" si="30"/>
        <v>6.7747900705483116E-2</v>
      </c>
      <c r="AC86" s="58">
        <f t="shared" si="21"/>
        <v>2.5</v>
      </c>
      <c r="AD86" s="58">
        <f t="shared" si="22"/>
        <v>1</v>
      </c>
      <c r="AE86" s="58">
        <f t="shared" si="23"/>
        <v>0.4</v>
      </c>
      <c r="AF86" s="58">
        <f t="shared" si="28"/>
        <v>0.4</v>
      </c>
      <c r="AG86" s="58">
        <f t="shared" si="24"/>
        <v>6.2647619047619063E-2</v>
      </c>
      <c r="AH86" s="58">
        <f t="shared" si="25"/>
        <v>8.9885714285714291E-2</v>
      </c>
      <c r="AI86" s="58">
        <f t="shared" ca="1" si="26"/>
        <v>7.9126666666666665E-2</v>
      </c>
    </row>
    <row r="87" spans="2:35" ht="16">
      <c r="B87" s="72">
        <v>2.0779999999999998</v>
      </c>
      <c r="C87" s="63">
        <f t="shared" ca="1" si="0"/>
        <v>3</v>
      </c>
      <c r="D87" s="63">
        <f t="shared" ca="1" si="1"/>
        <v>0.34800000000000003</v>
      </c>
      <c r="E87" s="63">
        <f t="shared" ca="1" si="2"/>
        <v>0.11600000000000001</v>
      </c>
      <c r="F87" s="63">
        <f t="shared" ca="1" si="3"/>
        <v>0.11600000000000001</v>
      </c>
      <c r="G87" s="60"/>
      <c r="H87" s="60"/>
      <c r="I87" s="60">
        <f t="shared" ca="1" si="4"/>
        <v>8.3000000000000004E-2</v>
      </c>
      <c r="J87" s="63">
        <f t="shared" ca="1" si="5"/>
        <v>3</v>
      </c>
      <c r="K87" s="63">
        <f t="shared" ca="1" si="6"/>
        <v>0.32000000000000006</v>
      </c>
      <c r="L87" s="63">
        <f t="shared" ca="1" si="7"/>
        <v>0.1067</v>
      </c>
      <c r="M87" s="63">
        <f t="shared" ca="1" si="8"/>
        <v>0.1067</v>
      </c>
      <c r="N87" s="60">
        <f t="shared" ca="1" si="9"/>
        <v>7.5999999999999998E-2</v>
      </c>
      <c r="O87" s="63">
        <f t="shared" ca="1" si="10"/>
        <v>4</v>
      </c>
      <c r="P87" s="63">
        <f t="shared" ca="1" si="11"/>
        <v>0.43600000000000005</v>
      </c>
      <c r="Q87" s="63">
        <f t="shared" ca="1" si="12"/>
        <v>0.109</v>
      </c>
      <c r="R87" s="60">
        <f t="shared" ca="1" si="13"/>
        <v>0.109</v>
      </c>
      <c r="S87" s="60">
        <f t="shared" ca="1" si="14"/>
        <v>7.8E-2</v>
      </c>
      <c r="T87" s="91">
        <f t="shared" ca="1" si="15"/>
        <v>8.3000000000000004E-2</v>
      </c>
      <c r="U87" s="64">
        <f t="shared" ca="1" si="16"/>
        <v>0.1162</v>
      </c>
      <c r="V87" s="63">
        <f t="shared" si="17"/>
        <v>2.0779999999999998</v>
      </c>
      <c r="W87" s="209">
        <f t="shared" ca="1" si="18"/>
        <v>113.9922</v>
      </c>
      <c r="X87" s="58">
        <f t="shared" si="19"/>
        <v>8.6713604919597648E-2</v>
      </c>
      <c r="Y87" s="58">
        <f t="shared" si="27"/>
        <v>8.6713604919597648E-2</v>
      </c>
      <c r="Z87" s="58">
        <f t="shared" si="30"/>
        <v>9.9200364028019711E-2</v>
      </c>
      <c r="AA87" s="58">
        <f t="shared" si="30"/>
        <v>7.936029122241578E-2</v>
      </c>
      <c r="AB87" s="58">
        <f t="shared" si="30"/>
        <v>6.6464243898773201E-2</v>
      </c>
      <c r="AC87" s="58">
        <f t="shared" si="21"/>
        <v>2.5</v>
      </c>
      <c r="AD87" s="58">
        <f t="shared" si="22"/>
        <v>1</v>
      </c>
      <c r="AE87" s="58">
        <f t="shared" si="23"/>
        <v>0.4</v>
      </c>
      <c r="AF87" s="58">
        <f t="shared" si="28"/>
        <v>0.4</v>
      </c>
      <c r="AG87" s="58">
        <f t="shared" si="24"/>
        <v>6.2647619047619063E-2</v>
      </c>
      <c r="AH87" s="58">
        <f t="shared" si="25"/>
        <v>8.9885714285714291E-2</v>
      </c>
      <c r="AI87" s="58">
        <f t="shared" ca="1" si="26"/>
        <v>7.9126666666666665E-2</v>
      </c>
    </row>
    <row r="88" spans="2:35" ht="16">
      <c r="B88" s="64">
        <v>2.1</v>
      </c>
      <c r="C88" s="63">
        <f t="shared" ca="1" si="0"/>
        <v>3</v>
      </c>
      <c r="D88" s="63">
        <f t="shared" ca="1" si="1"/>
        <v>0.34800000000000003</v>
      </c>
      <c r="E88" s="63">
        <f t="shared" ca="1" si="2"/>
        <v>0.11600000000000001</v>
      </c>
      <c r="F88" s="63">
        <f t="shared" ca="1" si="3"/>
        <v>0.11600000000000001</v>
      </c>
      <c r="G88" s="60"/>
      <c r="H88" s="60"/>
      <c r="I88" s="60">
        <f t="shared" ca="1" si="4"/>
        <v>8.3000000000000004E-2</v>
      </c>
      <c r="J88" s="63">
        <f t="shared" ca="1" si="5"/>
        <v>3</v>
      </c>
      <c r="K88" s="63">
        <f t="shared" ca="1" si="6"/>
        <v>0.32000000000000006</v>
      </c>
      <c r="L88" s="63">
        <f t="shared" ca="1" si="7"/>
        <v>0.1067</v>
      </c>
      <c r="M88" s="63">
        <f t="shared" ca="1" si="8"/>
        <v>0.1067</v>
      </c>
      <c r="N88" s="60">
        <f t="shared" ca="1" si="9"/>
        <v>7.5999999999999998E-2</v>
      </c>
      <c r="O88" s="63">
        <f t="shared" ca="1" si="10"/>
        <v>4</v>
      </c>
      <c r="P88" s="63">
        <f t="shared" ca="1" si="11"/>
        <v>0.43600000000000005</v>
      </c>
      <c r="Q88" s="63">
        <f t="shared" ca="1" si="12"/>
        <v>0.109</v>
      </c>
      <c r="R88" s="60">
        <f t="shared" ca="1" si="13"/>
        <v>0.109</v>
      </c>
      <c r="S88" s="60">
        <f t="shared" ca="1" si="14"/>
        <v>7.8E-2</v>
      </c>
      <c r="T88" s="91">
        <f t="shared" ca="1" si="15"/>
        <v>8.3000000000000004E-2</v>
      </c>
      <c r="U88" s="64">
        <f t="shared" ca="1" si="16"/>
        <v>0.1162</v>
      </c>
      <c r="V88" s="63">
        <f t="shared" si="17"/>
        <v>2.1</v>
      </c>
      <c r="W88" s="209">
        <f t="shared" ca="1" si="18"/>
        <v>113.9922</v>
      </c>
      <c r="X88" s="58">
        <f t="shared" si="19"/>
        <v>8.6258194917794268E-2</v>
      </c>
      <c r="Y88" s="58">
        <f t="shared" si="27"/>
        <v>8.6258194917794268E-2</v>
      </c>
      <c r="Z88" s="58">
        <f t="shared" si="30"/>
        <v>9.867937498595665E-2</v>
      </c>
      <c r="AA88" s="58">
        <f t="shared" si="30"/>
        <v>7.894349998876532E-2</v>
      </c>
      <c r="AB88" s="58">
        <f t="shared" si="30"/>
        <v>6.6115181240590959E-2</v>
      </c>
      <c r="AC88" s="58">
        <f t="shared" si="21"/>
        <v>2.5</v>
      </c>
      <c r="AD88" s="58">
        <f t="shared" si="22"/>
        <v>1</v>
      </c>
      <c r="AE88" s="58">
        <f t="shared" si="23"/>
        <v>0.4</v>
      </c>
      <c r="AF88" s="58">
        <f t="shared" si="28"/>
        <v>0.4</v>
      </c>
      <c r="AG88" s="58">
        <f t="shared" si="24"/>
        <v>6.2647619047619063E-2</v>
      </c>
      <c r="AH88" s="58">
        <f t="shared" si="25"/>
        <v>8.9885714285714291E-2</v>
      </c>
      <c r="AI88" s="58">
        <f t="shared" ca="1" si="26"/>
        <v>7.9126666666666665E-2</v>
      </c>
    </row>
    <row r="89" spans="2:35" ht="16">
      <c r="B89" s="64">
        <v>2.15</v>
      </c>
      <c r="C89" s="63">
        <f t="shared" ca="1" si="0"/>
        <v>3</v>
      </c>
      <c r="D89" s="63">
        <f t="shared" ca="1" si="1"/>
        <v>0.34800000000000003</v>
      </c>
      <c r="E89" s="63">
        <f t="shared" ca="1" si="2"/>
        <v>0.11600000000000001</v>
      </c>
      <c r="F89" s="63">
        <f t="shared" ca="1" si="3"/>
        <v>0.11600000000000001</v>
      </c>
      <c r="G89" s="60"/>
      <c r="H89" s="60"/>
      <c r="I89" s="60">
        <f t="shared" ca="1" si="4"/>
        <v>8.3000000000000004E-2</v>
      </c>
      <c r="J89" s="63">
        <f t="shared" ca="1" si="5"/>
        <v>3</v>
      </c>
      <c r="K89" s="63">
        <f t="shared" ca="1" si="6"/>
        <v>0.32000000000000006</v>
      </c>
      <c r="L89" s="63">
        <f t="shared" ca="1" si="7"/>
        <v>0.1067</v>
      </c>
      <c r="M89" s="63">
        <f t="shared" ca="1" si="8"/>
        <v>0.1067</v>
      </c>
      <c r="N89" s="60">
        <f t="shared" ca="1" si="9"/>
        <v>7.5999999999999998E-2</v>
      </c>
      <c r="O89" s="63">
        <f t="shared" ca="1" si="10"/>
        <v>4</v>
      </c>
      <c r="P89" s="63">
        <f t="shared" ca="1" si="11"/>
        <v>0.43600000000000005</v>
      </c>
      <c r="Q89" s="63">
        <f t="shared" ca="1" si="12"/>
        <v>0.109</v>
      </c>
      <c r="R89" s="60">
        <f t="shared" ca="1" si="13"/>
        <v>0.109</v>
      </c>
      <c r="S89" s="60">
        <f t="shared" ca="1" si="14"/>
        <v>7.8E-2</v>
      </c>
      <c r="T89" s="91">
        <f t="shared" ca="1" si="15"/>
        <v>8.3000000000000004E-2</v>
      </c>
      <c r="U89" s="64">
        <f t="shared" ca="1" si="16"/>
        <v>0.1162</v>
      </c>
      <c r="V89" s="63">
        <f t="shared" si="17"/>
        <v>2.15</v>
      </c>
      <c r="W89" s="209">
        <f t="shared" ca="1" si="18"/>
        <v>113.9922</v>
      </c>
      <c r="X89" s="58">
        <f t="shared" si="19"/>
        <v>8.5249292433809187E-2</v>
      </c>
      <c r="Y89" s="58">
        <f t="shared" si="27"/>
        <v>8.5249292433809187E-2</v>
      </c>
      <c r="Z89" s="58">
        <f t="shared" si="30"/>
        <v>9.7525190544277704E-2</v>
      </c>
      <c r="AA89" s="58">
        <f t="shared" si="30"/>
        <v>7.802015243542218E-2</v>
      </c>
      <c r="AB89" s="58">
        <f t="shared" si="30"/>
        <v>6.5341877664666065E-2</v>
      </c>
      <c r="AC89" s="58">
        <f t="shared" si="21"/>
        <v>2.5</v>
      </c>
      <c r="AD89" s="58">
        <f t="shared" si="22"/>
        <v>1</v>
      </c>
      <c r="AE89" s="58">
        <f t="shared" si="23"/>
        <v>0.4</v>
      </c>
      <c r="AF89" s="58">
        <f t="shared" si="28"/>
        <v>0.4</v>
      </c>
      <c r="AG89" s="58">
        <f t="shared" si="24"/>
        <v>6.2647619047619063E-2</v>
      </c>
      <c r="AH89" s="58">
        <f t="shared" si="25"/>
        <v>8.9885714285714291E-2</v>
      </c>
      <c r="AI89" s="58">
        <f t="shared" ca="1" si="26"/>
        <v>7.9126666666666665E-2</v>
      </c>
    </row>
    <row r="90" spans="2:35" ht="16">
      <c r="B90" s="64">
        <v>2.2000000000000002</v>
      </c>
      <c r="C90" s="63">
        <f t="shared" ca="1" si="0"/>
        <v>3</v>
      </c>
      <c r="D90" s="63">
        <f t="shared" ca="1" si="1"/>
        <v>0.34800000000000003</v>
      </c>
      <c r="E90" s="63">
        <f t="shared" ca="1" si="2"/>
        <v>0.11600000000000001</v>
      </c>
      <c r="F90" s="63">
        <f t="shared" ca="1" si="3"/>
        <v>0.11600000000000001</v>
      </c>
      <c r="G90" s="60"/>
      <c r="H90" s="60"/>
      <c r="I90" s="60">
        <f t="shared" ca="1" si="4"/>
        <v>8.3000000000000004E-2</v>
      </c>
      <c r="J90" s="63">
        <f t="shared" ca="1" si="5"/>
        <v>3</v>
      </c>
      <c r="K90" s="63">
        <f t="shared" ca="1" si="6"/>
        <v>0.32000000000000006</v>
      </c>
      <c r="L90" s="63">
        <f t="shared" ca="1" si="7"/>
        <v>0.1067</v>
      </c>
      <c r="M90" s="63">
        <f t="shared" ca="1" si="8"/>
        <v>0.1067</v>
      </c>
      <c r="N90" s="60">
        <f t="shared" ca="1" si="9"/>
        <v>7.5999999999999998E-2</v>
      </c>
      <c r="O90" s="63">
        <f t="shared" ca="1" si="10"/>
        <v>4</v>
      </c>
      <c r="P90" s="63">
        <f t="shared" ca="1" si="11"/>
        <v>0.43600000000000005</v>
      </c>
      <c r="Q90" s="63">
        <f t="shared" ca="1" si="12"/>
        <v>0.109</v>
      </c>
      <c r="R90" s="60">
        <f t="shared" ca="1" si="13"/>
        <v>0.109</v>
      </c>
      <c r="S90" s="60">
        <f t="shared" ca="1" si="14"/>
        <v>7.8E-2</v>
      </c>
      <c r="T90" s="91">
        <f t="shared" ca="1" si="15"/>
        <v>8.3000000000000004E-2</v>
      </c>
      <c r="U90" s="64">
        <f t="shared" ca="1" si="16"/>
        <v>0.1162</v>
      </c>
      <c r="V90" s="63">
        <f t="shared" si="17"/>
        <v>2.2000000000000002</v>
      </c>
      <c r="W90" s="209">
        <f t="shared" ca="1" si="18"/>
        <v>113.9922</v>
      </c>
      <c r="X90" s="58">
        <f t="shared" si="19"/>
        <v>8.4274982807905255E-2</v>
      </c>
      <c r="Y90" s="58">
        <f t="shared" si="27"/>
        <v>8.4274982807905255E-2</v>
      </c>
      <c r="Z90" s="58">
        <f t="shared" si="30"/>
        <v>9.6410580332243617E-2</v>
      </c>
      <c r="AA90" s="58">
        <f t="shared" si="30"/>
        <v>7.7128464265794908E-2</v>
      </c>
      <c r="AB90" s="58">
        <f t="shared" si="30"/>
        <v>6.459508882260323E-2</v>
      </c>
      <c r="AC90" s="58">
        <f t="shared" si="21"/>
        <v>2.5</v>
      </c>
      <c r="AD90" s="58">
        <f t="shared" si="22"/>
        <v>1</v>
      </c>
      <c r="AE90" s="58">
        <f t="shared" si="23"/>
        <v>0.4</v>
      </c>
      <c r="AF90" s="58">
        <f t="shared" si="28"/>
        <v>0.4</v>
      </c>
      <c r="AG90" s="58">
        <f t="shared" si="24"/>
        <v>6.2647619047619063E-2</v>
      </c>
      <c r="AH90" s="58">
        <f t="shared" si="25"/>
        <v>8.9885714285714291E-2</v>
      </c>
      <c r="AI90" s="58">
        <f t="shared" ca="1" si="26"/>
        <v>7.9126666666666665E-2</v>
      </c>
    </row>
    <row r="91" spans="2:35" ht="16">
      <c r="B91" s="64">
        <v>2.25</v>
      </c>
      <c r="C91" s="63">
        <f t="shared" ca="1" si="0"/>
        <v>3</v>
      </c>
      <c r="D91" s="63">
        <f t="shared" ca="1" si="1"/>
        <v>0.34800000000000003</v>
      </c>
      <c r="E91" s="63">
        <f t="shared" ca="1" si="2"/>
        <v>0.11600000000000001</v>
      </c>
      <c r="F91" s="63">
        <f t="shared" ca="1" si="3"/>
        <v>0.11600000000000001</v>
      </c>
      <c r="G91" s="60"/>
      <c r="H91" s="60"/>
      <c r="I91" s="60">
        <f t="shared" ca="1" si="4"/>
        <v>8.3000000000000004E-2</v>
      </c>
      <c r="J91" s="63">
        <f t="shared" ca="1" si="5"/>
        <v>3</v>
      </c>
      <c r="K91" s="63">
        <f t="shared" ca="1" si="6"/>
        <v>0.32000000000000006</v>
      </c>
      <c r="L91" s="63">
        <f t="shared" ca="1" si="7"/>
        <v>0.1067</v>
      </c>
      <c r="M91" s="63">
        <f t="shared" ca="1" si="8"/>
        <v>0.1067</v>
      </c>
      <c r="N91" s="60">
        <f t="shared" ca="1" si="9"/>
        <v>7.5999999999999998E-2</v>
      </c>
      <c r="O91" s="63">
        <f t="shared" ca="1" si="10"/>
        <v>4</v>
      </c>
      <c r="P91" s="63">
        <f t="shared" ca="1" si="11"/>
        <v>0.43600000000000005</v>
      </c>
      <c r="Q91" s="63">
        <f t="shared" ca="1" si="12"/>
        <v>0.109</v>
      </c>
      <c r="R91" s="60">
        <f t="shared" ca="1" si="13"/>
        <v>0.109</v>
      </c>
      <c r="S91" s="60">
        <f t="shared" ca="1" si="14"/>
        <v>7.8E-2</v>
      </c>
      <c r="T91" s="91">
        <f t="shared" ca="1" si="15"/>
        <v>8.3000000000000004E-2</v>
      </c>
      <c r="U91" s="64">
        <f t="shared" ca="1" si="16"/>
        <v>0.1162</v>
      </c>
      <c r="V91" s="63">
        <f t="shared" si="17"/>
        <v>2.25</v>
      </c>
      <c r="W91" s="209">
        <f t="shared" ca="1" si="18"/>
        <v>113.9922</v>
      </c>
      <c r="X91" s="58">
        <f t="shared" si="19"/>
        <v>8.3333333333333329E-2</v>
      </c>
      <c r="Y91" s="58">
        <f t="shared" si="27"/>
        <v>8.3333333333333329E-2</v>
      </c>
      <c r="Z91" s="58">
        <f t="shared" si="30"/>
        <v>9.5333333333333325E-2</v>
      </c>
      <c r="AA91" s="58">
        <f t="shared" si="30"/>
        <v>7.6266666666666677E-2</v>
      </c>
      <c r="AB91" s="58">
        <f t="shared" si="30"/>
        <v>6.3873333333333338E-2</v>
      </c>
      <c r="AC91" s="58">
        <f t="shared" si="21"/>
        <v>2.5</v>
      </c>
      <c r="AD91" s="58">
        <f t="shared" si="22"/>
        <v>1</v>
      </c>
      <c r="AE91" s="58">
        <f t="shared" si="23"/>
        <v>0.4</v>
      </c>
      <c r="AF91" s="58">
        <f t="shared" si="28"/>
        <v>0.4</v>
      </c>
      <c r="AG91" s="58">
        <f t="shared" si="24"/>
        <v>6.2647619047619063E-2</v>
      </c>
      <c r="AH91" s="58">
        <f t="shared" si="25"/>
        <v>8.9885714285714291E-2</v>
      </c>
      <c r="AI91" s="58">
        <f t="shared" ca="1" si="26"/>
        <v>7.9126666666666665E-2</v>
      </c>
    </row>
    <row r="92" spans="2:35" ht="16">
      <c r="B92" s="64">
        <v>2.2999999999999998</v>
      </c>
      <c r="C92" s="63">
        <f t="shared" ca="1" si="0"/>
        <v>3</v>
      </c>
      <c r="D92" s="63">
        <f t="shared" ca="1" si="1"/>
        <v>0.34800000000000003</v>
      </c>
      <c r="E92" s="63">
        <f t="shared" ca="1" si="2"/>
        <v>0.11600000000000001</v>
      </c>
      <c r="F92" s="63">
        <f t="shared" ca="1" si="3"/>
        <v>0.11600000000000001</v>
      </c>
      <c r="G92" s="60"/>
      <c r="H92" s="60"/>
      <c r="I92" s="60">
        <f t="shared" ca="1" si="4"/>
        <v>8.3000000000000004E-2</v>
      </c>
      <c r="J92" s="63">
        <f t="shared" ca="1" si="5"/>
        <v>3</v>
      </c>
      <c r="K92" s="63">
        <f t="shared" ca="1" si="6"/>
        <v>0.32000000000000006</v>
      </c>
      <c r="L92" s="63">
        <f t="shared" ca="1" si="7"/>
        <v>0.1067</v>
      </c>
      <c r="M92" s="63">
        <f t="shared" ca="1" si="8"/>
        <v>0.1067</v>
      </c>
      <c r="N92" s="60">
        <f t="shared" ca="1" si="9"/>
        <v>7.5999999999999998E-2</v>
      </c>
      <c r="O92" s="63">
        <f t="shared" ca="1" si="10"/>
        <v>4</v>
      </c>
      <c r="P92" s="63">
        <f t="shared" ca="1" si="11"/>
        <v>0.43600000000000005</v>
      </c>
      <c r="Q92" s="63">
        <f t="shared" ca="1" si="12"/>
        <v>0.109</v>
      </c>
      <c r="R92" s="60">
        <f t="shared" ca="1" si="13"/>
        <v>0.109</v>
      </c>
      <c r="S92" s="60">
        <f t="shared" ca="1" si="14"/>
        <v>7.8E-2</v>
      </c>
      <c r="T92" s="91">
        <f t="shared" ca="1" si="15"/>
        <v>8.3000000000000004E-2</v>
      </c>
      <c r="U92" s="64">
        <f t="shared" ca="1" si="16"/>
        <v>0.1162</v>
      </c>
      <c r="V92" s="63">
        <f t="shared" si="17"/>
        <v>2.2999999999999998</v>
      </c>
      <c r="W92" s="209">
        <f t="shared" ca="1" si="18"/>
        <v>113.9922</v>
      </c>
      <c r="X92" s="58">
        <f t="shared" si="19"/>
        <v>8.2422559174473387E-2</v>
      </c>
      <c r="Y92" s="58">
        <f t="shared" si="27"/>
        <v>8.2422559174473387E-2</v>
      </c>
      <c r="Z92" s="58">
        <f t="shared" si="30"/>
        <v>9.4291407695597559E-2</v>
      </c>
      <c r="AA92" s="58">
        <f t="shared" si="30"/>
        <v>7.5433126156478056E-2</v>
      </c>
      <c r="AB92" s="58">
        <f t="shared" si="30"/>
        <v>6.3175243156050359E-2</v>
      </c>
      <c r="AC92" s="58">
        <f t="shared" si="21"/>
        <v>2.5</v>
      </c>
      <c r="AD92" s="58">
        <f t="shared" si="22"/>
        <v>1</v>
      </c>
      <c r="AE92" s="58">
        <f t="shared" si="23"/>
        <v>0.4</v>
      </c>
      <c r="AF92" s="58">
        <f t="shared" si="28"/>
        <v>0.4</v>
      </c>
      <c r="AG92" s="58">
        <f t="shared" si="24"/>
        <v>6.2647619047619063E-2</v>
      </c>
      <c r="AH92" s="58">
        <f t="shared" si="25"/>
        <v>8.9885714285714291E-2</v>
      </c>
      <c r="AI92" s="58">
        <f t="shared" ca="1" si="26"/>
        <v>7.9126666666666665E-2</v>
      </c>
    </row>
    <row r="93" spans="2:35" ht="16">
      <c r="B93" s="64">
        <v>2.35</v>
      </c>
      <c r="C93" s="63">
        <f t="shared" ca="1" si="0"/>
        <v>3</v>
      </c>
      <c r="D93" s="63">
        <f t="shared" ca="1" si="1"/>
        <v>0.34800000000000003</v>
      </c>
      <c r="E93" s="63">
        <f t="shared" ca="1" si="2"/>
        <v>0.11600000000000001</v>
      </c>
      <c r="F93" s="63">
        <f t="shared" ca="1" si="3"/>
        <v>0.11600000000000001</v>
      </c>
      <c r="G93" s="60"/>
      <c r="H93" s="60"/>
      <c r="I93" s="60">
        <f t="shared" ca="1" si="4"/>
        <v>8.3000000000000004E-2</v>
      </c>
      <c r="J93" s="63">
        <f t="shared" ca="1" si="5"/>
        <v>3</v>
      </c>
      <c r="K93" s="63">
        <f t="shared" ca="1" si="6"/>
        <v>0.32000000000000006</v>
      </c>
      <c r="L93" s="63">
        <f t="shared" ca="1" si="7"/>
        <v>0.1067</v>
      </c>
      <c r="M93" s="63">
        <f t="shared" ca="1" si="8"/>
        <v>0.1067</v>
      </c>
      <c r="N93" s="60">
        <f t="shared" ca="1" si="9"/>
        <v>7.5999999999999998E-2</v>
      </c>
      <c r="O93" s="63">
        <f t="shared" ca="1" si="10"/>
        <v>4</v>
      </c>
      <c r="P93" s="63">
        <f t="shared" ca="1" si="11"/>
        <v>0.43600000000000005</v>
      </c>
      <c r="Q93" s="63">
        <f t="shared" ca="1" si="12"/>
        <v>0.109</v>
      </c>
      <c r="R93" s="60">
        <f t="shared" ca="1" si="13"/>
        <v>0.109</v>
      </c>
      <c r="S93" s="60">
        <f t="shared" ca="1" si="14"/>
        <v>7.8E-2</v>
      </c>
      <c r="T93" s="91">
        <f t="shared" ca="1" si="15"/>
        <v>8.3000000000000004E-2</v>
      </c>
      <c r="U93" s="64">
        <f t="shared" ca="1" si="16"/>
        <v>0.1162</v>
      </c>
      <c r="V93" s="63">
        <f t="shared" si="17"/>
        <v>2.35</v>
      </c>
      <c r="W93" s="209">
        <f t="shared" ca="1" si="18"/>
        <v>113.9922</v>
      </c>
      <c r="X93" s="58">
        <f t="shared" si="19"/>
        <v>8.1541009131680275E-2</v>
      </c>
      <c r="Y93" s="58">
        <f t="shared" si="27"/>
        <v>8.1541009131680275E-2</v>
      </c>
      <c r="Z93" s="58">
        <f t="shared" si="30"/>
        <v>9.3282914446642246E-2</v>
      </c>
      <c r="AA93" s="58">
        <f t="shared" si="30"/>
        <v>7.4626331557313796E-2</v>
      </c>
      <c r="AB93" s="58">
        <f t="shared" si="30"/>
        <v>6.2499552679250302E-2</v>
      </c>
      <c r="AC93" s="58">
        <f t="shared" si="21"/>
        <v>2.5</v>
      </c>
      <c r="AD93" s="58">
        <f t="shared" si="22"/>
        <v>1</v>
      </c>
      <c r="AE93" s="58">
        <f t="shared" si="23"/>
        <v>0.4</v>
      </c>
      <c r="AF93" s="58">
        <f t="shared" si="28"/>
        <v>0.4</v>
      </c>
      <c r="AG93" s="58">
        <f t="shared" si="24"/>
        <v>6.2647619047619063E-2</v>
      </c>
      <c r="AH93" s="58">
        <f t="shared" si="25"/>
        <v>8.9885714285714291E-2</v>
      </c>
      <c r="AI93" s="58">
        <f t="shared" ca="1" si="26"/>
        <v>7.9126666666666665E-2</v>
      </c>
    </row>
    <row r="94" spans="2:35" ht="16">
      <c r="B94" s="64">
        <v>2.4</v>
      </c>
      <c r="C94" s="63">
        <f t="shared" ca="1" si="0"/>
        <v>3</v>
      </c>
      <c r="D94" s="63">
        <f t="shared" ca="1" si="1"/>
        <v>0.34800000000000003</v>
      </c>
      <c r="E94" s="63">
        <f t="shared" ca="1" si="2"/>
        <v>0.11600000000000001</v>
      </c>
      <c r="F94" s="63">
        <f t="shared" ca="1" si="3"/>
        <v>0.11600000000000001</v>
      </c>
      <c r="G94" s="60"/>
      <c r="H94" s="60"/>
      <c r="I94" s="60">
        <f t="shared" ca="1" si="4"/>
        <v>8.3000000000000004E-2</v>
      </c>
      <c r="J94" s="63">
        <f t="shared" ca="1" si="5"/>
        <v>3</v>
      </c>
      <c r="K94" s="63">
        <f t="shared" ca="1" si="6"/>
        <v>0.32000000000000006</v>
      </c>
      <c r="L94" s="63">
        <f t="shared" ca="1" si="7"/>
        <v>0.1067</v>
      </c>
      <c r="M94" s="63">
        <f t="shared" ca="1" si="8"/>
        <v>0.1067</v>
      </c>
      <c r="N94" s="60">
        <f t="shared" ca="1" si="9"/>
        <v>7.5999999999999998E-2</v>
      </c>
      <c r="O94" s="63">
        <f t="shared" ca="1" si="10"/>
        <v>4</v>
      </c>
      <c r="P94" s="63">
        <f t="shared" ca="1" si="11"/>
        <v>0.43600000000000005</v>
      </c>
      <c r="Q94" s="63">
        <f t="shared" ca="1" si="12"/>
        <v>0.109</v>
      </c>
      <c r="R94" s="60">
        <f t="shared" ca="1" si="13"/>
        <v>0.109</v>
      </c>
      <c r="S94" s="60">
        <f t="shared" ca="1" si="14"/>
        <v>7.8E-2</v>
      </c>
      <c r="T94" s="91">
        <f t="shared" ca="1" si="15"/>
        <v>8.3000000000000004E-2</v>
      </c>
      <c r="U94" s="64">
        <f t="shared" ca="1" si="16"/>
        <v>0.1162</v>
      </c>
      <c r="V94" s="63">
        <f t="shared" si="17"/>
        <v>2.4</v>
      </c>
      <c r="W94" s="209">
        <f t="shared" ca="1" si="18"/>
        <v>113.9922</v>
      </c>
      <c r="X94" s="58">
        <f t="shared" si="19"/>
        <v>8.068715304598785E-2</v>
      </c>
      <c r="Y94" s="58">
        <f t="shared" si="27"/>
        <v>8.068715304598785E-2</v>
      </c>
      <c r="Z94" s="58">
        <f t="shared" si="30"/>
        <v>9.2306103084610111E-2</v>
      </c>
      <c r="AA94" s="58">
        <f t="shared" si="30"/>
        <v>7.3844882467688083E-2</v>
      </c>
      <c r="AB94" s="58">
        <f t="shared" si="30"/>
        <v>6.1845089066688771E-2</v>
      </c>
      <c r="AC94" s="58">
        <f t="shared" si="21"/>
        <v>2.5</v>
      </c>
      <c r="AD94" s="58">
        <f t="shared" si="22"/>
        <v>1</v>
      </c>
      <c r="AE94" s="58">
        <f t="shared" si="23"/>
        <v>0.4</v>
      </c>
      <c r="AF94" s="58">
        <f t="shared" si="28"/>
        <v>0.4</v>
      </c>
      <c r="AG94" s="58">
        <f t="shared" si="24"/>
        <v>6.2647619047619063E-2</v>
      </c>
      <c r="AH94" s="58">
        <f t="shared" si="25"/>
        <v>8.9885714285714291E-2</v>
      </c>
      <c r="AI94" s="58">
        <f t="shared" ca="1" si="26"/>
        <v>7.9126666666666665E-2</v>
      </c>
    </row>
    <row r="95" spans="2:35" ht="16">
      <c r="B95" s="64">
        <v>2.4500000000000002</v>
      </c>
      <c r="C95" s="63">
        <f t="shared" ca="1" si="0"/>
        <v>3</v>
      </c>
      <c r="D95" s="63">
        <f t="shared" ca="1" si="1"/>
        <v>0.34800000000000003</v>
      </c>
      <c r="E95" s="63">
        <f t="shared" ca="1" si="2"/>
        <v>0.11600000000000001</v>
      </c>
      <c r="F95" s="63">
        <f t="shared" ca="1" si="3"/>
        <v>0.11600000000000001</v>
      </c>
      <c r="G95" s="60"/>
      <c r="H95" s="60"/>
      <c r="I95" s="60">
        <f t="shared" ca="1" si="4"/>
        <v>8.3000000000000004E-2</v>
      </c>
      <c r="J95" s="63">
        <f t="shared" ca="1" si="5"/>
        <v>3</v>
      </c>
      <c r="K95" s="63">
        <f t="shared" ca="1" si="6"/>
        <v>0.32000000000000006</v>
      </c>
      <c r="L95" s="63">
        <f t="shared" ca="1" si="7"/>
        <v>0.1067</v>
      </c>
      <c r="M95" s="63">
        <f t="shared" ca="1" si="8"/>
        <v>0.1067</v>
      </c>
      <c r="N95" s="60">
        <f t="shared" ca="1" si="9"/>
        <v>7.5999999999999998E-2</v>
      </c>
      <c r="O95" s="63">
        <f t="shared" ca="1" si="10"/>
        <v>4</v>
      </c>
      <c r="P95" s="63">
        <f t="shared" ca="1" si="11"/>
        <v>0.43600000000000005</v>
      </c>
      <c r="Q95" s="63">
        <f t="shared" ca="1" si="12"/>
        <v>0.109</v>
      </c>
      <c r="R95" s="60">
        <f t="shared" ca="1" si="13"/>
        <v>0.109</v>
      </c>
      <c r="S95" s="60">
        <f t="shared" ca="1" si="14"/>
        <v>7.8E-2</v>
      </c>
      <c r="T95" s="91">
        <f t="shared" ca="1" si="15"/>
        <v>8.3000000000000004E-2</v>
      </c>
      <c r="U95" s="64">
        <f t="shared" ca="1" si="16"/>
        <v>0.1162</v>
      </c>
      <c r="V95" s="63">
        <f t="shared" si="17"/>
        <v>2.4500000000000002</v>
      </c>
      <c r="W95" s="209">
        <f t="shared" ca="1" si="18"/>
        <v>113.9922</v>
      </c>
      <c r="X95" s="58">
        <f t="shared" si="19"/>
        <v>7.9859570624992493E-2</v>
      </c>
      <c r="Y95" s="58">
        <f t="shared" si="27"/>
        <v>7.9859570624992493E-2</v>
      </c>
      <c r="Z95" s="58">
        <f t="shared" si="30"/>
        <v>9.1359348794991399E-2</v>
      </c>
      <c r="AA95" s="58">
        <f t="shared" si="30"/>
        <v>7.308747903599315E-2</v>
      </c>
      <c r="AB95" s="58">
        <f t="shared" si="30"/>
        <v>6.1210763692644242E-2</v>
      </c>
      <c r="AC95" s="58">
        <f t="shared" si="21"/>
        <v>2.5</v>
      </c>
      <c r="AD95" s="58">
        <f t="shared" si="22"/>
        <v>1</v>
      </c>
      <c r="AE95" s="58">
        <f t="shared" si="23"/>
        <v>0.4</v>
      </c>
      <c r="AF95" s="58">
        <f t="shared" si="28"/>
        <v>0.4</v>
      </c>
      <c r="AG95" s="58">
        <f t="shared" si="24"/>
        <v>6.2647619047619063E-2</v>
      </c>
      <c r="AH95" s="58">
        <f t="shared" si="25"/>
        <v>8.9885714285714291E-2</v>
      </c>
      <c r="AI95" s="58">
        <f t="shared" ca="1" si="26"/>
        <v>7.9126666666666665E-2</v>
      </c>
    </row>
    <row r="96" spans="2:35" ht="16">
      <c r="B96" s="64">
        <v>2.5</v>
      </c>
      <c r="C96" s="63">
        <f t="shared" ca="1" si="0"/>
        <v>3</v>
      </c>
      <c r="D96" s="63">
        <f t="shared" ca="1" si="1"/>
        <v>0.34800000000000003</v>
      </c>
      <c r="E96" s="63">
        <f t="shared" ca="1" si="2"/>
        <v>0.11600000000000001</v>
      </c>
      <c r="F96" s="63">
        <f t="shared" ca="1" si="3"/>
        <v>0.11600000000000001</v>
      </c>
      <c r="G96" s="60"/>
      <c r="H96" s="60"/>
      <c r="I96" s="60">
        <f t="shared" ca="1" si="4"/>
        <v>8.3000000000000004E-2</v>
      </c>
      <c r="J96" s="63">
        <f t="shared" ca="1" si="5"/>
        <v>3</v>
      </c>
      <c r="K96" s="63">
        <f t="shared" ca="1" si="6"/>
        <v>0.32000000000000006</v>
      </c>
      <c r="L96" s="63">
        <f t="shared" ca="1" si="7"/>
        <v>0.1067</v>
      </c>
      <c r="M96" s="63">
        <f t="shared" ca="1" si="8"/>
        <v>0.1067</v>
      </c>
      <c r="N96" s="60">
        <f t="shared" ca="1" si="9"/>
        <v>7.5999999999999998E-2</v>
      </c>
      <c r="O96" s="63">
        <f t="shared" ca="1" si="10"/>
        <v>4</v>
      </c>
      <c r="P96" s="63">
        <f t="shared" ca="1" si="11"/>
        <v>0.43600000000000005</v>
      </c>
      <c r="Q96" s="63">
        <f t="shared" ca="1" si="12"/>
        <v>0.109</v>
      </c>
      <c r="R96" s="60">
        <f t="shared" ca="1" si="13"/>
        <v>0.109</v>
      </c>
      <c r="S96" s="60">
        <f t="shared" ca="1" si="14"/>
        <v>7.8E-2</v>
      </c>
      <c r="T96" s="91">
        <f t="shared" ca="1" si="15"/>
        <v>8.3000000000000004E-2</v>
      </c>
      <c r="U96" s="64">
        <f t="shared" ca="1" si="16"/>
        <v>0.1162</v>
      </c>
      <c r="V96" s="63">
        <f t="shared" si="17"/>
        <v>2.5</v>
      </c>
      <c r="W96" s="209">
        <f t="shared" ca="1" si="18"/>
        <v>113.9922</v>
      </c>
      <c r="X96" s="58">
        <f t="shared" si="19"/>
        <v>7.9056941504209485E-2</v>
      </c>
      <c r="Y96" s="58">
        <f t="shared" si="27"/>
        <v>7.9056941504209485E-2</v>
      </c>
      <c r="Z96" s="58">
        <f t="shared" si="30"/>
        <v>9.0441141080815662E-2</v>
      </c>
      <c r="AA96" s="58">
        <f t="shared" si="30"/>
        <v>7.2352912864652522E-2</v>
      </c>
      <c r="AB96" s="58">
        <f t="shared" si="30"/>
        <v>6.0595564524146481E-2</v>
      </c>
      <c r="AC96" s="58">
        <f t="shared" si="21"/>
        <v>2.5</v>
      </c>
      <c r="AD96" s="58">
        <f t="shared" si="22"/>
        <v>1</v>
      </c>
      <c r="AE96" s="58">
        <f t="shared" si="23"/>
        <v>0.4</v>
      </c>
      <c r="AF96" s="58">
        <f t="shared" si="28"/>
        <v>0.4</v>
      </c>
      <c r="AG96" s="58">
        <f t="shared" si="24"/>
        <v>6.2647619047619063E-2</v>
      </c>
      <c r="AH96" s="58">
        <f t="shared" si="25"/>
        <v>8.9885714285714291E-2</v>
      </c>
      <c r="AI96" s="58">
        <f t="shared" ca="1" si="26"/>
        <v>7.9126666666666665E-2</v>
      </c>
    </row>
  </sheetData>
  <mergeCells count="21">
    <mergeCell ref="A23:B23"/>
    <mergeCell ref="I23:J23"/>
    <mergeCell ref="P3:S3"/>
    <mergeCell ref="J14:K14"/>
    <mergeCell ref="L14:M14"/>
    <mergeCell ref="A15:B15"/>
    <mergeCell ref="I15:J15"/>
    <mergeCell ref="A30:B30"/>
    <mergeCell ref="I30:J30"/>
    <mergeCell ref="D31:F31"/>
    <mergeCell ref="L31:M31"/>
    <mergeCell ref="A32:B32"/>
    <mergeCell ref="I32:J32"/>
    <mergeCell ref="A37:F37"/>
    <mergeCell ref="I37:N37"/>
    <mergeCell ref="D33:F33"/>
    <mergeCell ref="L33:M33"/>
    <mergeCell ref="A34:B34"/>
    <mergeCell ref="I34:J34"/>
    <mergeCell ref="D35:F35"/>
    <mergeCell ref="L35:M35"/>
  </mergeCells>
  <phoneticPr fontId="7" type="noConversion"/>
  <dataValidations count="8">
    <dataValidation type="list" allowBlank="1" showInputMessage="1" showErrorMessage="1" sqref="I6" xr:uid="{00000000-0002-0000-0300-000000000000}">
      <formula1>INDIRECT("斷層"&amp;$O$1)</formula1>
    </dataValidation>
    <dataValidation type="list" allowBlank="1" showInputMessage="1" showErrorMessage="1" sqref="B2 I2" xr:uid="{00000000-0002-0000-0300-000001000000}">
      <formula1>縣市</formula1>
    </dataValidation>
    <dataValidation type="list" allowBlank="1" showInputMessage="1" showErrorMessage="1" sqref="B6" xr:uid="{00000000-0002-0000-0300-000002000000}">
      <formula1>INDIRECT($B$2&amp;$B$3)</formula1>
    </dataValidation>
    <dataValidation type="list" allowBlank="1" showInputMessage="1" showErrorMessage="1" sqref="B5 I5" xr:uid="{00000000-0002-0000-0300-000003000000}">
      <formula1>地盤種類</formula1>
    </dataValidation>
    <dataValidation type="list" allowBlank="1" showInputMessage="1" showErrorMessage="1" sqref="HW4 WUI4 WKM4 WAQ4 VQU4 VGY4 UXC4 UNG4 UDK4 TTO4 TJS4 SZW4 SQA4 SGE4 RWI4 RMM4 RCQ4 QSU4 QIY4 PZC4 PPG4 PFK4 OVO4 OLS4 OBW4 NSA4 NIE4 MYI4 MOM4 MEQ4 LUU4 LKY4 LBC4 KRG4 KHK4 JXO4 JNS4 JDW4 IUA4 IKE4 IAI4 HQM4 HGQ4 GWU4 GMY4 GDC4 FTG4 FJK4 EZO4 EPS4 EFW4 DWA4 DME4 DCI4 CSM4 CIQ4 BYU4 BOY4 BFC4 AVG4 ALK4 ABO4 RS4" xr:uid="{00000000-0002-0000-0300-000004000000}">
      <formula1>INDIRECT(#REF!)</formula1>
    </dataValidation>
    <dataValidation type="list" allowBlank="1" showInputMessage="1" showErrorMessage="1" sqref="HW3 WUI3 WKM3 WAQ3 VQU3 VGY3 UXC3 UNG3 UDK3 TTO3 TJS3 SZW3 SQA3 SGE3 RWI3 RMM3 RCQ3 QSU3 QIY3 PZC3 PPG3 PFK3 OVO3 OLS3 OBW3 NSA3 NIE3 MYI3 MOM3 MEQ3 LUU3 LKY3 LBC3 KRG3 KHK3 JXO3 JNS3 JDW3 IUA3 IKE3 IAI3 HQM3 HGQ3 GWU3 GMY3 GDC3 FTG3 FJK3 EZO3 EPS3 EFW3 DWA3 DME3 DCI3 CSM3 CIQ3 BYU3 BOY3 BFC3 AVG3 ALK3 ABO3 RS3" xr:uid="{00000000-0002-0000-0300-000005000000}">
      <formula1>行政區</formula1>
    </dataValidation>
    <dataValidation type="list" allowBlank="1" showInputMessage="1" showErrorMessage="1" sqref="B11" xr:uid="{00000000-0002-0000-0300-000006000000}">
      <formula1>構造</formula1>
    </dataValidation>
    <dataValidation type="list" allowBlank="1" showInputMessage="1" showErrorMessage="1" sqref="B3 I3" xr:uid="{00000000-0002-0000-0300-000007000000}">
      <formula1>INDEX(INDIRECT(B2),,1)</formula1>
    </dataValidation>
  </dataValidations>
  <pageMargins left="0.74803149606299213" right="0.19685039370078741" top="0.78740157480314965" bottom="0.59055118110236227" header="0.51181102362204722" footer="0.51181102362204722"/>
  <pageSetup paperSize="9" scale="90" orientation="portrait" horizontalDpi="1200" verticalDpi="12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工作表3"/>
  <dimension ref="A1:AV2634"/>
  <sheetViews>
    <sheetView workbookViewId="0">
      <selection activeCell="R11" sqref="R11"/>
    </sheetView>
  </sheetViews>
  <sheetFormatPr defaultRowHeight="17"/>
  <cols>
    <col min="1" max="1" width="17.36328125" style="3" bestFit="1" customWidth="1"/>
    <col min="2" max="2" width="9" style="12"/>
    <col min="3" max="3" width="10.08984375" style="5" bestFit="1" customWidth="1"/>
    <col min="4" max="4" width="12.36328125" style="3" bestFit="1" customWidth="1"/>
    <col min="5" max="5" width="9.81640625" style="3" customWidth="1"/>
    <col min="6" max="6" width="9.453125" style="7" bestFit="1" customWidth="1"/>
    <col min="7" max="7" width="7" style="3" bestFit="1" customWidth="1"/>
    <col min="8" max="8" width="9.6328125" style="3" bestFit="1" customWidth="1"/>
    <col min="9" max="11" width="9.6328125" style="3" customWidth="1"/>
    <col min="12" max="12" width="10.453125" bestFit="1" customWidth="1"/>
    <col min="285" max="285" width="8.7265625" customWidth="1"/>
    <col min="541" max="541" width="8.7265625" customWidth="1"/>
    <col min="797" max="797" width="8.7265625" customWidth="1"/>
    <col min="1053" max="1053" width="8.7265625" customWidth="1"/>
    <col min="1309" max="1309" width="8.7265625" customWidth="1"/>
    <col min="1565" max="1565" width="8.7265625" customWidth="1"/>
    <col min="1821" max="1821" width="8.7265625" customWidth="1"/>
    <col min="2077" max="2077" width="8.7265625" customWidth="1"/>
    <col min="2333" max="2333" width="8.7265625" customWidth="1"/>
    <col min="2589" max="2589" width="8.7265625" customWidth="1"/>
    <col min="2845" max="2845" width="8.7265625" customWidth="1"/>
    <col min="3101" max="3101" width="8.7265625" customWidth="1"/>
    <col min="3357" max="3357" width="8.7265625" customWidth="1"/>
    <col min="3613" max="3613" width="8.7265625" customWidth="1"/>
    <col min="3869" max="3869" width="8.7265625" customWidth="1"/>
    <col min="4125" max="4125" width="8.7265625" customWidth="1"/>
    <col min="4381" max="4381" width="8.7265625" customWidth="1"/>
    <col min="4637" max="4637" width="8.7265625" customWidth="1"/>
    <col min="4893" max="4893" width="8.7265625" customWidth="1"/>
    <col min="5149" max="5149" width="8.7265625" customWidth="1"/>
    <col min="5405" max="5405" width="8.7265625" customWidth="1"/>
    <col min="5661" max="5661" width="8.7265625" customWidth="1"/>
    <col min="5917" max="5917" width="8.7265625" customWidth="1"/>
    <col min="6173" max="6173" width="8.7265625" customWidth="1"/>
    <col min="6429" max="6429" width="8.7265625" customWidth="1"/>
    <col min="6685" max="6685" width="8.7265625" customWidth="1"/>
    <col min="6941" max="6941" width="8.7265625" customWidth="1"/>
    <col min="7197" max="7197" width="8.7265625" customWidth="1"/>
    <col min="7453" max="7453" width="8.7265625" customWidth="1"/>
    <col min="7709" max="7709" width="8.7265625" customWidth="1"/>
    <col min="7965" max="7965" width="8.7265625" customWidth="1"/>
    <col min="8221" max="8221" width="8.7265625" customWidth="1"/>
    <col min="8477" max="8477" width="8.7265625" customWidth="1"/>
    <col min="8733" max="8733" width="8.7265625" customWidth="1"/>
    <col min="8989" max="8989" width="8.7265625" customWidth="1"/>
    <col min="9245" max="9245" width="8.7265625" customWidth="1"/>
    <col min="9501" max="9501" width="8.7265625" customWidth="1"/>
    <col min="9757" max="9757" width="8.7265625" customWidth="1"/>
    <col min="10013" max="10013" width="8.7265625" customWidth="1"/>
    <col min="10269" max="10269" width="8.7265625" customWidth="1"/>
    <col min="10525" max="10525" width="8.7265625" customWidth="1"/>
    <col min="10781" max="10781" width="8.7265625" customWidth="1"/>
    <col min="11037" max="11037" width="8.7265625" customWidth="1"/>
    <col min="11293" max="11293" width="8.7265625" customWidth="1"/>
    <col min="11549" max="11549" width="8.7265625" customWidth="1"/>
    <col min="11805" max="11805" width="8.7265625" customWidth="1"/>
    <col min="12061" max="12061" width="8.7265625" customWidth="1"/>
    <col min="12317" max="12317" width="8.7265625" customWidth="1"/>
    <col min="12573" max="12573" width="8.7265625" customWidth="1"/>
    <col min="12829" max="12829" width="8.7265625" customWidth="1"/>
    <col min="13085" max="13085" width="8.7265625" customWidth="1"/>
    <col min="13341" max="13341" width="8.7265625" customWidth="1"/>
    <col min="13597" max="13597" width="8.7265625" customWidth="1"/>
    <col min="13853" max="13853" width="8.7265625" customWidth="1"/>
    <col min="14109" max="14109" width="8.7265625" customWidth="1"/>
    <col min="14365" max="14365" width="8.7265625" customWidth="1"/>
    <col min="14621" max="14621" width="8.7265625" customWidth="1"/>
    <col min="14877" max="14877" width="8.7265625" customWidth="1"/>
    <col min="15133" max="15133" width="8.7265625" customWidth="1"/>
    <col min="15389" max="15389" width="8.7265625" customWidth="1"/>
    <col min="15645" max="15645" width="8.7265625" customWidth="1"/>
    <col min="15901" max="15901" width="8.7265625" customWidth="1"/>
    <col min="16157" max="16157" width="8.7265625" customWidth="1"/>
  </cols>
  <sheetData>
    <row r="1" spans="1:48" ht="19">
      <c r="A1" s="10" t="s">
        <v>599</v>
      </c>
      <c r="B1" s="22" t="s">
        <v>727</v>
      </c>
      <c r="C1" s="22" t="s">
        <v>21</v>
      </c>
      <c r="D1" s="22" t="s">
        <v>22</v>
      </c>
      <c r="E1" s="23" t="s">
        <v>603</v>
      </c>
      <c r="F1" s="7" t="s">
        <v>602</v>
      </c>
      <c r="G1" s="4" t="s">
        <v>23</v>
      </c>
      <c r="H1" s="5" t="s">
        <v>24</v>
      </c>
      <c r="I1" s="7" t="s">
        <v>602</v>
      </c>
      <c r="J1" s="7" t="s">
        <v>600</v>
      </c>
      <c r="K1" s="7" t="s">
        <v>601</v>
      </c>
      <c r="L1" s="11" t="s">
        <v>377</v>
      </c>
    </row>
    <row r="2" spans="1:48">
      <c r="A2" s="20" t="s">
        <v>639</v>
      </c>
      <c r="B2" s="24" t="s">
        <v>598</v>
      </c>
      <c r="C2" s="19" t="s">
        <v>871</v>
      </c>
      <c r="D2" s="19" t="s">
        <v>598</v>
      </c>
      <c r="E2" s="17" t="s">
        <v>436</v>
      </c>
      <c r="F2" s="17" t="s">
        <v>490</v>
      </c>
      <c r="G2" s="6">
        <v>42.5</v>
      </c>
      <c r="H2" s="5">
        <v>100</v>
      </c>
      <c r="I2" s="7" t="s">
        <v>490</v>
      </c>
      <c r="J2" s="1">
        <v>0.6</v>
      </c>
      <c r="K2" s="1">
        <v>0.8</v>
      </c>
      <c r="L2" s="1">
        <v>1.6</v>
      </c>
    </row>
    <row r="3" spans="1:48">
      <c r="A3" s="20" t="s">
        <v>1723</v>
      </c>
      <c r="B3" s="24" t="s">
        <v>638</v>
      </c>
      <c r="C3" s="19" t="s">
        <v>871</v>
      </c>
      <c r="D3" s="19" t="s">
        <v>598</v>
      </c>
      <c r="E3" s="17" t="s">
        <v>434</v>
      </c>
      <c r="F3" s="17" t="s">
        <v>490</v>
      </c>
      <c r="G3" s="6">
        <v>42.5</v>
      </c>
      <c r="H3" s="5">
        <v>103</v>
      </c>
      <c r="I3" s="7" t="s">
        <v>491</v>
      </c>
      <c r="J3" s="1">
        <v>0.6</v>
      </c>
      <c r="K3" s="1">
        <v>0.8</v>
      </c>
      <c r="L3" s="1">
        <v>1.3</v>
      </c>
    </row>
    <row r="4" spans="1:48">
      <c r="B4" s="24" t="s">
        <v>559</v>
      </c>
      <c r="C4" s="19" t="s">
        <v>871</v>
      </c>
      <c r="D4" s="19" t="s">
        <v>598</v>
      </c>
      <c r="E4" s="17" t="s">
        <v>432</v>
      </c>
      <c r="F4" s="17" t="s">
        <v>490</v>
      </c>
      <c r="G4" s="6">
        <v>42.5</v>
      </c>
      <c r="H4" s="5">
        <v>104</v>
      </c>
      <c r="I4" s="7" t="s">
        <v>489</v>
      </c>
      <c r="J4" s="1">
        <v>0.6</v>
      </c>
      <c r="K4" s="1">
        <v>0.8</v>
      </c>
      <c r="L4" s="1">
        <v>1.05</v>
      </c>
    </row>
    <row r="5" spans="1:48">
      <c r="B5" s="24" t="s">
        <v>729</v>
      </c>
      <c r="C5" s="19" t="s">
        <v>871</v>
      </c>
      <c r="D5" s="19" t="s">
        <v>598</v>
      </c>
      <c r="E5" s="14" t="s">
        <v>439</v>
      </c>
      <c r="F5" s="14" t="s">
        <v>491</v>
      </c>
      <c r="G5" s="6">
        <v>42.5</v>
      </c>
      <c r="H5" s="5">
        <v>105</v>
      </c>
      <c r="I5" s="5"/>
      <c r="J5" s="5"/>
      <c r="K5" s="5"/>
      <c r="L5" s="7"/>
    </row>
    <row r="6" spans="1:48">
      <c r="B6" s="24" t="s">
        <v>428</v>
      </c>
      <c r="C6" s="19" t="s">
        <v>871</v>
      </c>
      <c r="D6" s="19" t="s">
        <v>598</v>
      </c>
      <c r="E6" s="14" t="s">
        <v>441</v>
      </c>
      <c r="F6" s="14" t="s">
        <v>491</v>
      </c>
      <c r="G6" s="6">
        <v>42.5</v>
      </c>
      <c r="H6" s="5">
        <v>106</v>
      </c>
      <c r="I6" s="5"/>
      <c r="J6" s="5"/>
      <c r="K6" s="5"/>
      <c r="L6" s="7"/>
    </row>
    <row r="7" spans="1:48">
      <c r="B7" s="24" t="s">
        <v>730</v>
      </c>
      <c r="C7" s="19" t="s">
        <v>871</v>
      </c>
      <c r="D7" s="19" t="s">
        <v>598</v>
      </c>
      <c r="E7" s="14" t="s">
        <v>444</v>
      </c>
      <c r="F7" s="14" t="s">
        <v>491</v>
      </c>
      <c r="G7" s="6">
        <v>42.5</v>
      </c>
      <c r="H7" s="5">
        <v>108</v>
      </c>
      <c r="I7" s="5"/>
      <c r="J7" s="5"/>
      <c r="K7" s="5"/>
      <c r="L7" s="7"/>
    </row>
    <row r="8" spans="1:48">
      <c r="B8" s="24" t="s">
        <v>731</v>
      </c>
      <c r="C8" s="19" t="s">
        <v>871</v>
      </c>
      <c r="D8" s="19" t="s">
        <v>598</v>
      </c>
      <c r="E8" s="14" t="s">
        <v>446</v>
      </c>
      <c r="F8" s="14" t="s">
        <v>491</v>
      </c>
      <c r="G8" s="6">
        <v>42.5</v>
      </c>
      <c r="H8" s="5">
        <v>110</v>
      </c>
      <c r="I8" s="5"/>
      <c r="J8" s="5"/>
      <c r="K8" s="5"/>
      <c r="L8" s="7"/>
    </row>
    <row r="9" spans="1:48">
      <c r="B9" s="24" t="s">
        <v>732</v>
      </c>
      <c r="C9" s="19" t="s">
        <v>871</v>
      </c>
      <c r="D9" s="19" t="s">
        <v>598</v>
      </c>
      <c r="E9" s="14" t="s">
        <v>448</v>
      </c>
      <c r="F9" s="14" t="s">
        <v>491</v>
      </c>
      <c r="G9" s="6">
        <v>42.5</v>
      </c>
      <c r="H9" s="5">
        <v>111</v>
      </c>
      <c r="I9" s="5"/>
      <c r="J9" s="5"/>
      <c r="K9" s="5"/>
      <c r="L9" s="7"/>
    </row>
    <row r="10" spans="1:48">
      <c r="B10" s="24" t="s">
        <v>733</v>
      </c>
      <c r="C10" s="19" t="s">
        <v>871</v>
      </c>
      <c r="D10" s="19" t="s">
        <v>598</v>
      </c>
      <c r="E10" s="14" t="s">
        <v>451</v>
      </c>
      <c r="F10" s="14" t="s">
        <v>491</v>
      </c>
      <c r="G10" s="6">
        <v>42.5</v>
      </c>
      <c r="H10" s="5">
        <v>112</v>
      </c>
      <c r="I10" s="5"/>
      <c r="J10" s="5"/>
      <c r="K10" s="5"/>
      <c r="L10" s="7"/>
      <c r="AQ10" s="16"/>
      <c r="AR10" s="16"/>
      <c r="AS10" s="16"/>
      <c r="AV10" s="16"/>
    </row>
    <row r="11" spans="1:48">
      <c r="B11" s="24" t="s">
        <v>429</v>
      </c>
      <c r="C11" s="19" t="s">
        <v>871</v>
      </c>
      <c r="D11" s="19" t="s">
        <v>598</v>
      </c>
      <c r="E11" s="14" t="s">
        <v>453</v>
      </c>
      <c r="F11" s="14" t="s">
        <v>491</v>
      </c>
      <c r="G11" s="6">
        <v>42.5</v>
      </c>
      <c r="H11" s="5">
        <v>114</v>
      </c>
      <c r="I11" s="5"/>
      <c r="J11" s="5"/>
      <c r="K11" s="5"/>
      <c r="L11" s="7"/>
      <c r="AQ11" s="16"/>
      <c r="AR11" s="16"/>
      <c r="AS11" s="16"/>
      <c r="AV11" s="16"/>
    </row>
    <row r="12" spans="1:48">
      <c r="B12" s="24" t="s">
        <v>430</v>
      </c>
      <c r="C12" s="19" t="s">
        <v>871</v>
      </c>
      <c r="D12" s="19" t="s">
        <v>598</v>
      </c>
      <c r="E12" s="14" t="s">
        <v>456</v>
      </c>
      <c r="F12" s="14" t="s">
        <v>491</v>
      </c>
      <c r="G12" s="6">
        <v>42.5</v>
      </c>
      <c r="H12" s="5">
        <v>115</v>
      </c>
      <c r="I12" s="5"/>
      <c r="J12" s="5"/>
      <c r="K12" s="5"/>
      <c r="L12" s="7"/>
      <c r="AQ12" s="16"/>
      <c r="AR12" s="16"/>
      <c r="AS12" s="16"/>
      <c r="AV12" s="16"/>
    </row>
    <row r="13" spans="1:48">
      <c r="B13" s="24" t="s">
        <v>734</v>
      </c>
      <c r="C13" s="19" t="s">
        <v>871</v>
      </c>
      <c r="D13" s="19" t="s">
        <v>598</v>
      </c>
      <c r="E13" s="14" t="s">
        <v>458</v>
      </c>
      <c r="F13" s="14" t="s">
        <v>491</v>
      </c>
      <c r="G13" s="6">
        <v>42.5</v>
      </c>
      <c r="H13" s="5">
        <v>116</v>
      </c>
      <c r="I13" s="5"/>
      <c r="J13" s="5"/>
      <c r="K13" s="5"/>
      <c r="L13" s="7"/>
      <c r="AQ13" s="16"/>
      <c r="AR13" s="16"/>
      <c r="AS13" s="16"/>
      <c r="AV13" s="16"/>
    </row>
    <row r="14" spans="1:48">
      <c r="A14" s="22" t="s">
        <v>728</v>
      </c>
      <c r="B14" s="24" t="s">
        <v>34</v>
      </c>
      <c r="C14" s="19" t="s">
        <v>871</v>
      </c>
      <c r="D14" s="19" t="s">
        <v>598</v>
      </c>
      <c r="E14" s="14" t="s">
        <v>460</v>
      </c>
      <c r="F14" s="14" t="s">
        <v>491</v>
      </c>
      <c r="G14" s="6">
        <v>37.5</v>
      </c>
      <c r="H14" s="5">
        <v>231</v>
      </c>
      <c r="I14" s="5"/>
      <c r="J14" s="5"/>
      <c r="K14" s="5"/>
      <c r="L14" s="8"/>
      <c r="AQ14" s="16"/>
      <c r="AR14" s="16"/>
      <c r="AS14" s="16"/>
      <c r="AV14" s="16"/>
    </row>
    <row r="15" spans="1:48">
      <c r="B15" s="24" t="s">
        <v>37</v>
      </c>
      <c r="C15" s="19" t="s">
        <v>871</v>
      </c>
      <c r="D15" s="19" t="s">
        <v>598</v>
      </c>
      <c r="E15" s="14" t="s">
        <v>463</v>
      </c>
      <c r="F15" s="14" t="s">
        <v>491</v>
      </c>
      <c r="G15" s="6">
        <v>37.5</v>
      </c>
      <c r="H15" s="5">
        <v>234</v>
      </c>
      <c r="I15" s="5"/>
      <c r="J15" s="5"/>
      <c r="K15" s="5"/>
      <c r="L15" s="8"/>
      <c r="AQ15" s="16"/>
      <c r="AR15" s="16"/>
      <c r="AS15" s="16"/>
      <c r="AV15" s="16"/>
    </row>
    <row r="16" spans="1:48">
      <c r="B16" s="24" t="s">
        <v>38</v>
      </c>
      <c r="C16" s="19" t="s">
        <v>871</v>
      </c>
      <c r="D16" s="19" t="s">
        <v>598</v>
      </c>
      <c r="E16" s="14" t="s">
        <v>464</v>
      </c>
      <c r="F16" s="14" t="s">
        <v>491</v>
      </c>
      <c r="G16" s="6">
        <v>37.5</v>
      </c>
      <c r="H16" s="5">
        <v>235</v>
      </c>
      <c r="I16" s="5"/>
      <c r="J16" s="5"/>
      <c r="K16" s="5"/>
      <c r="L16" s="8"/>
      <c r="AQ16" s="16"/>
      <c r="AR16" s="16"/>
      <c r="AS16" s="16"/>
      <c r="AV16" s="16"/>
    </row>
    <row r="17" spans="2:48">
      <c r="B17" s="24" t="s">
        <v>36</v>
      </c>
      <c r="C17" s="19" t="s">
        <v>871</v>
      </c>
      <c r="D17" s="19" t="s">
        <v>598</v>
      </c>
      <c r="E17" s="14" t="s">
        <v>466</v>
      </c>
      <c r="F17" s="14" t="s">
        <v>491</v>
      </c>
      <c r="G17" s="6">
        <v>37.5</v>
      </c>
      <c r="H17" s="5">
        <v>236</v>
      </c>
      <c r="I17" s="5"/>
      <c r="J17" s="5"/>
      <c r="K17" s="5"/>
      <c r="L17" s="8"/>
      <c r="AQ17" s="16"/>
      <c r="AR17" s="16"/>
      <c r="AS17" s="16"/>
      <c r="AV17" s="16"/>
    </row>
    <row r="18" spans="2:48">
      <c r="B18" s="24" t="s">
        <v>30</v>
      </c>
      <c r="C18" s="19" t="s">
        <v>871</v>
      </c>
      <c r="D18" s="19" t="s">
        <v>598</v>
      </c>
      <c r="E18" s="14" t="s">
        <v>468</v>
      </c>
      <c r="F18" s="14" t="s">
        <v>491</v>
      </c>
      <c r="G18" s="6">
        <v>37.5</v>
      </c>
      <c r="H18" s="5">
        <v>238</v>
      </c>
      <c r="I18" s="5"/>
      <c r="J18" s="5"/>
      <c r="K18" s="5"/>
      <c r="L18" s="8"/>
      <c r="AQ18" s="16"/>
      <c r="AR18" s="16"/>
      <c r="AS18" s="16"/>
      <c r="AV18" s="16"/>
    </row>
    <row r="19" spans="2:48">
      <c r="B19" s="24" t="s">
        <v>32</v>
      </c>
      <c r="C19" s="19" t="s">
        <v>871</v>
      </c>
      <c r="D19" s="19" t="s">
        <v>598</v>
      </c>
      <c r="E19" s="14" t="s">
        <v>469</v>
      </c>
      <c r="F19" s="14" t="s">
        <v>491</v>
      </c>
      <c r="G19" s="6">
        <v>37.5</v>
      </c>
      <c r="H19" s="5">
        <v>241</v>
      </c>
      <c r="I19" s="5"/>
      <c r="J19" s="5"/>
      <c r="K19" s="5"/>
      <c r="L19" s="8"/>
      <c r="AQ19" s="16"/>
      <c r="AR19" s="16"/>
      <c r="AS19" s="16"/>
      <c r="AV19" s="16"/>
    </row>
    <row r="20" spans="2:48">
      <c r="B20" s="24" t="s">
        <v>35</v>
      </c>
      <c r="C20" s="19" t="s">
        <v>871</v>
      </c>
      <c r="D20" s="19" t="s">
        <v>598</v>
      </c>
      <c r="E20" s="14" t="s">
        <v>470</v>
      </c>
      <c r="F20" s="14" t="s">
        <v>491</v>
      </c>
      <c r="G20" s="6">
        <v>37.5</v>
      </c>
      <c r="H20" s="5">
        <v>242</v>
      </c>
      <c r="I20" s="5"/>
      <c r="J20" s="5"/>
      <c r="K20" s="5"/>
      <c r="L20" s="8"/>
      <c r="AQ20" s="16"/>
      <c r="AR20" s="16"/>
      <c r="AS20" s="16"/>
      <c r="AV20" s="16"/>
    </row>
    <row r="21" spans="2:48">
      <c r="B21" s="24" t="s">
        <v>33</v>
      </c>
      <c r="C21" s="19" t="s">
        <v>871</v>
      </c>
      <c r="D21" s="19" t="s">
        <v>598</v>
      </c>
      <c r="E21" s="14" t="s">
        <v>471</v>
      </c>
      <c r="F21" s="14" t="s">
        <v>491</v>
      </c>
      <c r="G21" s="6">
        <v>37.5</v>
      </c>
      <c r="H21" s="5">
        <v>243</v>
      </c>
      <c r="I21" s="5"/>
      <c r="J21" s="5"/>
      <c r="K21" s="5"/>
      <c r="L21" s="8"/>
      <c r="AQ21" s="16"/>
      <c r="AR21" s="16"/>
      <c r="AS21" s="16"/>
      <c r="AV21" s="16"/>
    </row>
    <row r="22" spans="2:48">
      <c r="B22" s="24" t="s">
        <v>1034</v>
      </c>
      <c r="C22" s="19" t="s">
        <v>871</v>
      </c>
      <c r="D22" s="19" t="s">
        <v>598</v>
      </c>
      <c r="E22" s="14" t="s">
        <v>472</v>
      </c>
      <c r="F22" s="14" t="s">
        <v>491</v>
      </c>
      <c r="G22" s="6">
        <v>37.5</v>
      </c>
      <c r="H22" s="5">
        <v>247</v>
      </c>
      <c r="I22" s="5"/>
      <c r="J22" s="5"/>
      <c r="K22" s="5"/>
      <c r="L22" s="9"/>
      <c r="AQ22" s="16"/>
      <c r="AR22" s="16"/>
      <c r="AS22" s="16"/>
      <c r="AV22" s="16"/>
    </row>
    <row r="23" spans="2:48">
      <c r="B23" s="24" t="s">
        <v>31</v>
      </c>
      <c r="C23" s="19" t="s">
        <v>871</v>
      </c>
      <c r="D23" s="19" t="s">
        <v>598</v>
      </c>
      <c r="E23" s="14" t="s">
        <v>473</v>
      </c>
      <c r="F23" s="14" t="s">
        <v>491</v>
      </c>
      <c r="G23" s="6">
        <v>37.5</v>
      </c>
      <c r="H23" s="5">
        <v>248</v>
      </c>
      <c r="I23" s="5"/>
      <c r="J23" s="5"/>
      <c r="K23" s="5"/>
      <c r="L23" s="9"/>
      <c r="AQ23" s="16"/>
      <c r="AR23" s="16"/>
      <c r="AS23" s="16"/>
      <c r="AV23" s="16"/>
    </row>
    <row r="24" spans="2:48">
      <c r="B24" s="24" t="s">
        <v>29</v>
      </c>
      <c r="C24" s="19" t="s">
        <v>871</v>
      </c>
      <c r="D24" s="19" t="s">
        <v>598</v>
      </c>
      <c r="E24" s="14" t="s">
        <v>474</v>
      </c>
      <c r="F24" s="14" t="s">
        <v>491</v>
      </c>
      <c r="G24" s="6">
        <v>57</v>
      </c>
      <c r="H24" s="5">
        <v>202</v>
      </c>
      <c r="I24" s="5"/>
      <c r="J24" s="5"/>
      <c r="K24" s="5"/>
      <c r="L24" s="8"/>
      <c r="AQ24" s="16"/>
      <c r="AR24" s="16"/>
      <c r="AS24" s="16"/>
      <c r="AV24" s="16"/>
    </row>
    <row r="25" spans="2:48">
      <c r="B25" s="24" t="s">
        <v>1035</v>
      </c>
      <c r="C25" s="19" t="s">
        <v>871</v>
      </c>
      <c r="D25" s="19" t="s">
        <v>598</v>
      </c>
      <c r="E25" s="14" t="s">
        <v>475</v>
      </c>
      <c r="F25" s="14" t="s">
        <v>491</v>
      </c>
      <c r="G25" s="6"/>
      <c r="H25" s="5">
        <v>290</v>
      </c>
      <c r="I25" s="5"/>
      <c r="J25" s="5"/>
      <c r="K25" s="5"/>
      <c r="L25" s="8"/>
      <c r="AQ25" s="16"/>
      <c r="AR25" s="16"/>
      <c r="AS25" s="16"/>
      <c r="AV25" s="16"/>
    </row>
    <row r="26" spans="2:48">
      <c r="B26" s="24" t="s">
        <v>1036</v>
      </c>
      <c r="C26" s="19" t="s">
        <v>871</v>
      </c>
      <c r="D26" s="19" t="s">
        <v>598</v>
      </c>
      <c r="E26" s="14" t="s">
        <v>477</v>
      </c>
      <c r="F26" s="14" t="s">
        <v>491</v>
      </c>
      <c r="G26" s="6">
        <v>35</v>
      </c>
      <c r="H26" s="5">
        <v>890</v>
      </c>
      <c r="I26" s="5"/>
      <c r="J26" s="5"/>
      <c r="K26" s="5"/>
      <c r="AQ26" s="16"/>
      <c r="AR26" s="16"/>
      <c r="AS26" s="16"/>
      <c r="AV26" s="16"/>
    </row>
    <row r="27" spans="2:48">
      <c r="B27" s="24" t="s">
        <v>1037</v>
      </c>
      <c r="C27" s="19" t="s">
        <v>871</v>
      </c>
      <c r="D27" s="19" t="s">
        <v>598</v>
      </c>
      <c r="E27" s="14" t="s">
        <v>478</v>
      </c>
      <c r="F27" s="14" t="s">
        <v>491</v>
      </c>
      <c r="G27" s="6">
        <v>35</v>
      </c>
      <c r="H27" s="5">
        <v>891</v>
      </c>
      <c r="I27" s="5"/>
      <c r="J27" s="5"/>
      <c r="K27" s="5"/>
      <c r="AQ27" s="16"/>
      <c r="AR27" s="16"/>
      <c r="AS27" s="16"/>
      <c r="AV27" s="16"/>
    </row>
    <row r="28" spans="2:48">
      <c r="C28" s="19" t="s">
        <v>871</v>
      </c>
      <c r="D28" s="19" t="s">
        <v>598</v>
      </c>
      <c r="E28" s="14" t="s">
        <v>479</v>
      </c>
      <c r="F28" s="14" t="s">
        <v>491</v>
      </c>
      <c r="G28" s="6">
        <v>35</v>
      </c>
      <c r="H28" s="5">
        <v>892</v>
      </c>
      <c r="I28" s="5"/>
      <c r="J28" s="5"/>
      <c r="K28" s="5"/>
      <c r="AQ28" s="16"/>
      <c r="AR28" s="16"/>
      <c r="AS28" s="16"/>
      <c r="AV28" s="16"/>
    </row>
    <row r="29" spans="2:48">
      <c r="C29" s="19" t="s">
        <v>871</v>
      </c>
      <c r="D29" s="19" t="s">
        <v>598</v>
      </c>
      <c r="E29" s="14" t="s">
        <v>480</v>
      </c>
      <c r="F29" s="14" t="s">
        <v>491</v>
      </c>
      <c r="G29" s="6">
        <v>35</v>
      </c>
      <c r="H29" s="5">
        <v>893</v>
      </c>
      <c r="I29" s="5"/>
      <c r="J29" s="5"/>
      <c r="K29" s="5"/>
      <c r="AQ29" s="16"/>
      <c r="AR29" s="16"/>
      <c r="AS29" s="16"/>
      <c r="AV29" s="16"/>
    </row>
    <row r="30" spans="2:48">
      <c r="C30" s="19" t="s">
        <v>871</v>
      </c>
      <c r="D30" s="19" t="s">
        <v>598</v>
      </c>
      <c r="E30" s="14" t="s">
        <v>481</v>
      </c>
      <c r="F30" s="14" t="s">
        <v>491</v>
      </c>
      <c r="G30" s="6">
        <v>35</v>
      </c>
      <c r="H30" s="5">
        <v>894</v>
      </c>
      <c r="I30" s="5"/>
      <c r="J30" s="5"/>
      <c r="K30" s="5"/>
      <c r="AQ30" s="16"/>
      <c r="AR30" s="16"/>
      <c r="AS30" s="16"/>
      <c r="AV30" s="16"/>
    </row>
    <row r="31" spans="2:48">
      <c r="C31" s="19" t="s">
        <v>871</v>
      </c>
      <c r="D31" s="19" t="s">
        <v>598</v>
      </c>
      <c r="E31" s="14" t="s">
        <v>482</v>
      </c>
      <c r="F31" s="14" t="s">
        <v>491</v>
      </c>
      <c r="G31" s="6">
        <v>35</v>
      </c>
      <c r="H31" s="5">
        <v>896</v>
      </c>
      <c r="I31" s="5"/>
      <c r="J31" s="5"/>
      <c r="K31" s="5"/>
      <c r="AQ31" s="16"/>
      <c r="AR31" s="16"/>
      <c r="AS31" s="16"/>
      <c r="AV31" s="16"/>
    </row>
    <row r="32" spans="2:48">
      <c r="C32" s="19" t="s">
        <v>871</v>
      </c>
      <c r="D32" s="19" t="s">
        <v>598</v>
      </c>
      <c r="E32" s="14" t="s">
        <v>483</v>
      </c>
      <c r="F32" s="14" t="s">
        <v>491</v>
      </c>
      <c r="G32" s="6">
        <v>42</v>
      </c>
      <c r="H32" s="5">
        <v>209</v>
      </c>
      <c r="I32" s="5"/>
      <c r="J32" s="5"/>
      <c r="K32" s="5"/>
      <c r="AQ32" s="16"/>
      <c r="AR32" s="16"/>
      <c r="AS32" s="16"/>
      <c r="AV32" s="16"/>
    </row>
    <row r="33" spans="2:48">
      <c r="C33" s="21" t="s">
        <v>871</v>
      </c>
      <c r="D33" s="21" t="s">
        <v>25</v>
      </c>
      <c r="E33" s="14" t="s">
        <v>640</v>
      </c>
      <c r="F33" s="14" t="s">
        <v>491</v>
      </c>
      <c r="G33" s="6">
        <v>42</v>
      </c>
      <c r="H33" s="5">
        <v>210</v>
      </c>
      <c r="I33" s="5"/>
      <c r="J33" s="5"/>
      <c r="K33" s="5"/>
      <c r="AQ33" s="16"/>
      <c r="AR33" s="16"/>
      <c r="AS33" s="16"/>
      <c r="AV33" s="16"/>
    </row>
    <row r="34" spans="2:48">
      <c r="C34" s="18" t="s">
        <v>871</v>
      </c>
      <c r="D34" s="18" t="s">
        <v>597</v>
      </c>
      <c r="E34" s="17" t="s">
        <v>521</v>
      </c>
      <c r="F34" s="17" t="s">
        <v>490</v>
      </c>
      <c r="G34" s="6">
        <v>42</v>
      </c>
      <c r="H34" s="5">
        <v>211</v>
      </c>
      <c r="I34" s="5"/>
      <c r="J34" s="5"/>
      <c r="K34" s="5"/>
      <c r="AQ34" s="16"/>
      <c r="AR34" s="16"/>
      <c r="AS34" s="16"/>
      <c r="AV34" s="16"/>
    </row>
    <row r="35" spans="2:48">
      <c r="C35" s="18" t="s">
        <v>871</v>
      </c>
      <c r="D35" s="18" t="s">
        <v>597</v>
      </c>
      <c r="E35" s="17" t="s">
        <v>522</v>
      </c>
      <c r="F35" s="17" t="s">
        <v>490</v>
      </c>
      <c r="G35" s="6">
        <v>42</v>
      </c>
      <c r="H35" s="5">
        <v>212</v>
      </c>
      <c r="I35" s="5"/>
      <c r="J35" s="5"/>
      <c r="K35" s="5"/>
      <c r="AQ35" s="16"/>
      <c r="AR35" s="16"/>
      <c r="AS35" s="16"/>
      <c r="AV35" s="16"/>
    </row>
    <row r="36" spans="2:48">
      <c r="C36" s="18" t="s">
        <v>871</v>
      </c>
      <c r="D36" s="18" t="s">
        <v>597</v>
      </c>
      <c r="E36" s="17" t="s">
        <v>523</v>
      </c>
      <c r="F36" s="17" t="s">
        <v>490</v>
      </c>
      <c r="G36" s="5"/>
      <c r="H36" s="5">
        <v>817</v>
      </c>
      <c r="I36" s="5"/>
      <c r="J36" s="5"/>
      <c r="K36" s="5"/>
      <c r="AQ36" s="16"/>
      <c r="AR36" s="16"/>
      <c r="AS36" s="16"/>
      <c r="AV36" s="16"/>
    </row>
    <row r="37" spans="2:48">
      <c r="C37" s="18" t="s">
        <v>871</v>
      </c>
      <c r="D37" s="18" t="s">
        <v>597</v>
      </c>
      <c r="E37" s="17" t="s">
        <v>524</v>
      </c>
      <c r="F37" s="17" t="s">
        <v>490</v>
      </c>
      <c r="G37" s="5"/>
      <c r="H37" s="5">
        <v>819</v>
      </c>
      <c r="I37" s="5"/>
      <c r="J37" s="5"/>
      <c r="K37" s="5"/>
      <c r="AQ37" s="16"/>
      <c r="AR37" s="16"/>
      <c r="AS37" s="16"/>
      <c r="AV37" s="16"/>
    </row>
    <row r="38" spans="2:48">
      <c r="C38" s="18" t="s">
        <v>871</v>
      </c>
      <c r="D38" s="18" t="s">
        <v>597</v>
      </c>
      <c r="E38" s="17" t="s">
        <v>525</v>
      </c>
      <c r="F38" s="17" t="s">
        <v>490</v>
      </c>
      <c r="AQ38" s="16"/>
      <c r="AR38" s="16"/>
      <c r="AS38" s="16"/>
      <c r="AV38" s="16"/>
    </row>
    <row r="39" spans="2:48">
      <c r="C39" s="18" t="s">
        <v>871</v>
      </c>
      <c r="D39" s="18" t="s">
        <v>597</v>
      </c>
      <c r="E39" s="17" t="s">
        <v>526</v>
      </c>
      <c r="F39" s="17" t="s">
        <v>490</v>
      </c>
      <c r="AQ39" s="16"/>
      <c r="AR39" s="16"/>
      <c r="AS39" s="16"/>
      <c r="AV39" s="16"/>
    </row>
    <row r="40" spans="2:48">
      <c r="C40" s="18" t="s">
        <v>871</v>
      </c>
      <c r="D40" s="18" t="s">
        <v>597</v>
      </c>
      <c r="E40" s="17" t="s">
        <v>527</v>
      </c>
      <c r="F40" s="17" t="s">
        <v>490</v>
      </c>
      <c r="AQ40" s="16"/>
      <c r="AR40" s="16"/>
      <c r="AS40" s="16"/>
      <c r="AV40" s="16"/>
    </row>
    <row r="41" spans="2:48">
      <c r="B41"/>
      <c r="C41" s="18" t="s">
        <v>871</v>
      </c>
      <c r="D41" s="18" t="s">
        <v>597</v>
      </c>
      <c r="E41" s="17" t="s">
        <v>528</v>
      </c>
      <c r="F41" s="17" t="s">
        <v>490</v>
      </c>
      <c r="AQ41" s="16"/>
      <c r="AR41" s="16"/>
      <c r="AS41" s="16"/>
      <c r="AV41" s="16"/>
    </row>
    <row r="42" spans="2:48">
      <c r="B42"/>
      <c r="C42" s="18" t="s">
        <v>871</v>
      </c>
      <c r="D42" s="18" t="s">
        <v>597</v>
      </c>
      <c r="E42" s="17" t="s">
        <v>529</v>
      </c>
      <c r="F42" s="17" t="s">
        <v>490</v>
      </c>
      <c r="AQ42" s="16"/>
      <c r="AR42" s="16"/>
      <c r="AS42" s="16"/>
      <c r="AV42" s="16"/>
    </row>
    <row r="43" spans="2:48">
      <c r="B43"/>
      <c r="C43" s="18" t="s">
        <v>871</v>
      </c>
      <c r="D43" s="18" t="s">
        <v>597</v>
      </c>
      <c r="E43" s="17" t="s">
        <v>530</v>
      </c>
      <c r="F43" s="17" t="s">
        <v>490</v>
      </c>
      <c r="AQ43" s="16"/>
      <c r="AR43" s="16"/>
      <c r="AS43" s="16"/>
      <c r="AV43" s="16"/>
    </row>
    <row r="44" spans="2:48">
      <c r="B44"/>
      <c r="C44" s="18" t="s">
        <v>871</v>
      </c>
      <c r="D44" s="18" t="s">
        <v>597</v>
      </c>
      <c r="E44" s="17" t="s">
        <v>531</v>
      </c>
      <c r="F44" s="17" t="s">
        <v>490</v>
      </c>
      <c r="AQ44" s="16"/>
      <c r="AR44" s="16"/>
      <c r="AS44" s="16"/>
      <c r="AV44" s="16"/>
    </row>
    <row r="45" spans="2:48">
      <c r="B45"/>
      <c r="C45" s="18" t="s">
        <v>871</v>
      </c>
      <c r="D45" s="18" t="s">
        <v>597</v>
      </c>
      <c r="E45" s="17" t="s">
        <v>532</v>
      </c>
      <c r="F45" s="17" t="s">
        <v>490</v>
      </c>
      <c r="AQ45" s="16"/>
      <c r="AR45" s="16"/>
      <c r="AS45" s="16"/>
      <c r="AV45" s="16"/>
    </row>
    <row r="46" spans="2:48">
      <c r="B46"/>
      <c r="C46" s="18" t="s">
        <v>871</v>
      </c>
      <c r="D46" s="18" t="s">
        <v>597</v>
      </c>
      <c r="E46" s="17" t="s">
        <v>533</v>
      </c>
      <c r="F46" s="17" t="s">
        <v>490</v>
      </c>
      <c r="AQ46" s="16"/>
      <c r="AR46" s="16"/>
      <c r="AS46" s="16"/>
      <c r="AV46" s="16"/>
    </row>
    <row r="47" spans="2:48">
      <c r="B47"/>
      <c r="C47" s="18" t="s">
        <v>871</v>
      </c>
      <c r="D47" s="18" t="s">
        <v>597</v>
      </c>
      <c r="E47" s="17" t="s">
        <v>534</v>
      </c>
      <c r="F47" s="17" t="s">
        <v>490</v>
      </c>
      <c r="AQ47" s="16"/>
      <c r="AR47" s="16"/>
      <c r="AS47" s="16"/>
      <c r="AV47" s="16"/>
    </row>
    <row r="48" spans="2:48">
      <c r="B48"/>
      <c r="C48" s="18" t="s">
        <v>871</v>
      </c>
      <c r="D48" s="18" t="s">
        <v>597</v>
      </c>
      <c r="E48" s="17" t="s">
        <v>535</v>
      </c>
      <c r="F48" s="17" t="s">
        <v>490</v>
      </c>
      <c r="AQ48" s="16"/>
      <c r="AR48" s="16"/>
      <c r="AS48" s="16"/>
      <c r="AV48" s="16"/>
    </row>
    <row r="49" spans="2:48">
      <c r="B49"/>
      <c r="C49" s="18" t="s">
        <v>871</v>
      </c>
      <c r="D49" s="18" t="s">
        <v>597</v>
      </c>
      <c r="E49" s="17" t="s">
        <v>536</v>
      </c>
      <c r="F49" s="17" t="s">
        <v>490</v>
      </c>
      <c r="AQ49" s="16"/>
      <c r="AR49" s="16"/>
      <c r="AS49" s="16"/>
      <c r="AV49" s="16"/>
    </row>
    <row r="50" spans="2:48">
      <c r="B50"/>
      <c r="C50" s="18" t="s">
        <v>871</v>
      </c>
      <c r="D50" s="18" t="s">
        <v>597</v>
      </c>
      <c r="E50" s="17" t="s">
        <v>537</v>
      </c>
      <c r="F50" s="17" t="s">
        <v>490</v>
      </c>
      <c r="AQ50" s="16"/>
      <c r="AR50" s="16"/>
      <c r="AS50" s="16"/>
      <c r="AV50" s="16"/>
    </row>
    <row r="51" spans="2:48">
      <c r="B51"/>
      <c r="C51" s="18" t="s">
        <v>871</v>
      </c>
      <c r="D51" s="18" t="s">
        <v>597</v>
      </c>
      <c r="E51" s="17" t="s">
        <v>538</v>
      </c>
      <c r="F51" s="17" t="s">
        <v>490</v>
      </c>
      <c r="AQ51" s="16"/>
      <c r="AR51" s="16"/>
      <c r="AS51" s="16"/>
      <c r="AV51" s="16"/>
    </row>
    <row r="52" spans="2:48">
      <c r="B52"/>
      <c r="C52" s="18" t="s">
        <v>871</v>
      </c>
      <c r="D52" s="18" t="s">
        <v>597</v>
      </c>
      <c r="E52" s="17" t="s">
        <v>539</v>
      </c>
      <c r="F52" s="17" t="s">
        <v>490</v>
      </c>
      <c r="AQ52" s="16"/>
      <c r="AR52" s="16"/>
      <c r="AS52" s="16"/>
      <c r="AV52" s="16"/>
    </row>
    <row r="53" spans="2:48">
      <c r="B53"/>
      <c r="C53" s="18" t="s">
        <v>871</v>
      </c>
      <c r="D53" s="18" t="s">
        <v>597</v>
      </c>
      <c r="E53" s="17" t="s">
        <v>540</v>
      </c>
      <c r="F53" s="17" t="s">
        <v>490</v>
      </c>
      <c r="AQ53" s="16"/>
      <c r="AR53" s="16"/>
      <c r="AS53" s="16"/>
      <c r="AV53" s="16"/>
    </row>
    <row r="54" spans="2:48">
      <c r="B54"/>
      <c r="C54" s="18" t="s">
        <v>871</v>
      </c>
      <c r="D54" s="18" t="s">
        <v>597</v>
      </c>
      <c r="E54" s="17" t="s">
        <v>541</v>
      </c>
      <c r="F54" s="17" t="s">
        <v>490</v>
      </c>
      <c r="AQ54" s="16"/>
      <c r="AR54" s="16"/>
      <c r="AS54" s="16"/>
      <c r="AV54" s="16"/>
    </row>
    <row r="55" spans="2:48">
      <c r="B55"/>
      <c r="C55" s="18" t="s">
        <v>871</v>
      </c>
      <c r="D55" s="18" t="s">
        <v>597</v>
      </c>
      <c r="E55" s="17" t="s">
        <v>542</v>
      </c>
      <c r="F55" s="17" t="s">
        <v>490</v>
      </c>
      <c r="AQ55" s="16"/>
      <c r="AR55" s="16"/>
      <c r="AS55" s="16"/>
      <c r="AV55" s="16"/>
    </row>
    <row r="56" spans="2:48">
      <c r="B56"/>
      <c r="C56" s="18" t="s">
        <v>871</v>
      </c>
      <c r="D56" s="18" t="s">
        <v>597</v>
      </c>
      <c r="E56" s="17" t="s">
        <v>543</v>
      </c>
      <c r="F56" s="17" t="s">
        <v>490</v>
      </c>
      <c r="AQ56" s="16"/>
      <c r="AR56" s="16"/>
      <c r="AS56" s="16"/>
      <c r="AV56" s="16"/>
    </row>
    <row r="57" spans="2:48">
      <c r="B57"/>
      <c r="C57" s="18" t="s">
        <v>871</v>
      </c>
      <c r="D57" s="18" t="s">
        <v>597</v>
      </c>
      <c r="E57" s="17" t="s">
        <v>544</v>
      </c>
      <c r="F57" s="17" t="s">
        <v>490</v>
      </c>
      <c r="AQ57" s="16"/>
      <c r="AR57" s="16"/>
      <c r="AS57" s="16"/>
      <c r="AV57" s="16"/>
    </row>
    <row r="58" spans="2:48">
      <c r="B58"/>
      <c r="C58" s="18" t="s">
        <v>871</v>
      </c>
      <c r="D58" s="18" t="s">
        <v>597</v>
      </c>
      <c r="E58" s="17" t="s">
        <v>545</v>
      </c>
      <c r="F58" s="17" t="s">
        <v>490</v>
      </c>
      <c r="AQ58" s="16"/>
      <c r="AR58" s="16"/>
      <c r="AS58" s="16"/>
      <c r="AV58" s="16"/>
    </row>
    <row r="59" spans="2:48">
      <c r="B59"/>
      <c r="C59" s="18" t="s">
        <v>871</v>
      </c>
      <c r="D59" s="18" t="s">
        <v>597</v>
      </c>
      <c r="E59" s="17" t="s">
        <v>546</v>
      </c>
      <c r="F59" s="17" t="s">
        <v>490</v>
      </c>
      <c r="AQ59" s="16"/>
      <c r="AR59" s="16"/>
      <c r="AS59" s="16"/>
      <c r="AV59" s="16"/>
    </row>
    <row r="60" spans="2:48">
      <c r="B60"/>
      <c r="C60" s="18" t="s">
        <v>871</v>
      </c>
      <c r="D60" s="18" t="s">
        <v>597</v>
      </c>
      <c r="E60" s="17" t="s">
        <v>547</v>
      </c>
      <c r="F60" s="17" t="s">
        <v>490</v>
      </c>
      <c r="AQ60" s="16"/>
      <c r="AR60" s="16"/>
      <c r="AS60" s="16"/>
      <c r="AV60" s="16"/>
    </row>
    <row r="61" spans="2:48">
      <c r="B61"/>
      <c r="C61" s="18" t="s">
        <v>871</v>
      </c>
      <c r="D61" s="18" t="s">
        <v>597</v>
      </c>
      <c r="E61" s="17" t="s">
        <v>548</v>
      </c>
      <c r="F61" s="17" t="s">
        <v>490</v>
      </c>
      <c r="AQ61" s="16"/>
      <c r="AR61" s="16"/>
      <c r="AS61" s="16"/>
      <c r="AV61" s="16"/>
    </row>
    <row r="62" spans="2:48">
      <c r="B62"/>
      <c r="C62" s="18" t="s">
        <v>871</v>
      </c>
      <c r="D62" s="18" t="s">
        <v>597</v>
      </c>
      <c r="E62" s="17" t="s">
        <v>549</v>
      </c>
      <c r="F62" s="17" t="s">
        <v>490</v>
      </c>
      <c r="AQ62" s="16"/>
      <c r="AR62" s="16"/>
      <c r="AS62" s="16"/>
      <c r="AV62" s="16"/>
    </row>
    <row r="63" spans="2:48">
      <c r="B63"/>
      <c r="C63" s="18" t="s">
        <v>871</v>
      </c>
      <c r="D63" s="18" t="s">
        <v>597</v>
      </c>
      <c r="E63" s="17" t="s">
        <v>550</v>
      </c>
      <c r="F63" s="17" t="s">
        <v>490</v>
      </c>
      <c r="AQ63" s="16"/>
      <c r="AR63" s="16"/>
      <c r="AS63" s="16"/>
      <c r="AV63" s="16"/>
    </row>
    <row r="64" spans="2:48">
      <c r="B64"/>
      <c r="C64" s="18" t="s">
        <v>871</v>
      </c>
      <c r="D64" s="18" t="s">
        <v>597</v>
      </c>
      <c r="E64" s="17" t="s">
        <v>551</v>
      </c>
      <c r="F64" s="17" t="s">
        <v>490</v>
      </c>
      <c r="AQ64" s="16"/>
      <c r="AR64" s="16"/>
      <c r="AS64" s="16"/>
      <c r="AV64" s="16"/>
    </row>
    <row r="65" spans="2:48">
      <c r="B65"/>
      <c r="C65" s="18" t="s">
        <v>871</v>
      </c>
      <c r="D65" s="18" t="s">
        <v>597</v>
      </c>
      <c r="E65" s="17" t="s">
        <v>552</v>
      </c>
      <c r="F65" s="17" t="s">
        <v>490</v>
      </c>
      <c r="AQ65" s="16"/>
      <c r="AR65" s="16"/>
      <c r="AS65" s="16"/>
      <c r="AV65" s="16"/>
    </row>
    <row r="66" spans="2:48">
      <c r="B66"/>
      <c r="C66" s="18" t="s">
        <v>871</v>
      </c>
      <c r="D66" s="18" t="s">
        <v>597</v>
      </c>
      <c r="E66" s="17" t="s">
        <v>553</v>
      </c>
      <c r="F66" s="17" t="s">
        <v>490</v>
      </c>
      <c r="AQ66" s="16"/>
      <c r="AR66" s="16"/>
      <c r="AS66" s="16"/>
      <c r="AV66" s="16"/>
    </row>
    <row r="67" spans="2:48">
      <c r="B67"/>
      <c r="C67" s="18" t="s">
        <v>871</v>
      </c>
      <c r="D67" s="18" t="s">
        <v>597</v>
      </c>
      <c r="E67" s="17" t="s">
        <v>554</v>
      </c>
      <c r="F67" s="17" t="s">
        <v>490</v>
      </c>
      <c r="AQ67" s="16"/>
      <c r="AR67" s="16"/>
      <c r="AS67" s="16"/>
      <c r="AV67" s="16"/>
    </row>
    <row r="68" spans="2:48">
      <c r="B68"/>
      <c r="C68" s="18" t="s">
        <v>871</v>
      </c>
      <c r="D68" s="18" t="s">
        <v>597</v>
      </c>
      <c r="E68" s="17" t="s">
        <v>555</v>
      </c>
      <c r="F68" s="17" t="s">
        <v>490</v>
      </c>
      <c r="AQ68" s="16"/>
      <c r="AR68" s="16"/>
      <c r="AS68" s="16"/>
      <c r="AV68" s="16"/>
    </row>
    <row r="69" spans="2:48">
      <c r="B69"/>
      <c r="C69" s="18" t="s">
        <v>871</v>
      </c>
      <c r="D69" s="18" t="s">
        <v>597</v>
      </c>
      <c r="E69" s="17" t="s">
        <v>556</v>
      </c>
      <c r="F69" s="17" t="s">
        <v>490</v>
      </c>
      <c r="AQ69" s="16"/>
      <c r="AR69" s="16"/>
      <c r="AS69" s="16"/>
      <c r="AV69" s="16"/>
    </row>
    <row r="70" spans="2:48">
      <c r="B70"/>
      <c r="C70" s="18" t="s">
        <v>871</v>
      </c>
      <c r="D70" s="18" t="s">
        <v>597</v>
      </c>
      <c r="E70" s="17" t="s">
        <v>557</v>
      </c>
      <c r="F70" s="17" t="s">
        <v>490</v>
      </c>
      <c r="AQ70" s="16"/>
      <c r="AR70" s="16"/>
      <c r="AS70" s="16"/>
      <c r="AV70" s="16"/>
    </row>
    <row r="71" spans="2:48">
      <c r="B71"/>
      <c r="C71" s="18" t="s">
        <v>871</v>
      </c>
      <c r="D71" s="18" t="s">
        <v>597</v>
      </c>
      <c r="E71" s="17" t="s">
        <v>558</v>
      </c>
      <c r="F71" s="17" t="s">
        <v>490</v>
      </c>
      <c r="AQ71" s="16"/>
      <c r="AR71" s="16"/>
      <c r="AS71" s="16"/>
      <c r="AV71" s="16"/>
    </row>
    <row r="72" spans="2:48">
      <c r="B72"/>
      <c r="C72" s="18" t="s">
        <v>871</v>
      </c>
      <c r="D72" s="18" t="s">
        <v>597</v>
      </c>
      <c r="E72" s="14" t="s">
        <v>560</v>
      </c>
      <c r="F72" s="14" t="s">
        <v>491</v>
      </c>
      <c r="AQ72" s="16"/>
      <c r="AR72" s="16"/>
      <c r="AS72" s="16"/>
      <c r="AV72" s="16"/>
    </row>
    <row r="73" spans="2:48">
      <c r="B73"/>
      <c r="C73" s="18" t="s">
        <v>871</v>
      </c>
      <c r="D73" s="18" t="s">
        <v>597</v>
      </c>
      <c r="E73" s="14" t="s">
        <v>561</v>
      </c>
      <c r="F73" s="14" t="s">
        <v>491</v>
      </c>
      <c r="AQ73" s="16"/>
      <c r="AR73" s="16"/>
      <c r="AS73" s="16"/>
      <c r="AV73" s="16"/>
    </row>
    <row r="74" spans="2:48">
      <c r="B74"/>
      <c r="C74" s="18" t="s">
        <v>871</v>
      </c>
      <c r="D74" s="18" t="s">
        <v>597</v>
      </c>
      <c r="E74" s="14" t="s">
        <v>562</v>
      </c>
      <c r="F74" s="14" t="s">
        <v>491</v>
      </c>
      <c r="AQ74" s="16"/>
      <c r="AR74" s="16"/>
      <c r="AS74" s="16"/>
      <c r="AV74" s="16"/>
    </row>
    <row r="75" spans="2:48">
      <c r="B75"/>
      <c r="C75" s="18" t="s">
        <v>871</v>
      </c>
      <c r="D75" s="18" t="s">
        <v>597</v>
      </c>
      <c r="E75" s="14" t="s">
        <v>563</v>
      </c>
      <c r="F75" s="14" t="s">
        <v>491</v>
      </c>
      <c r="AQ75" s="16"/>
      <c r="AR75" s="16"/>
      <c r="AS75" s="16"/>
      <c r="AV75" s="16"/>
    </row>
    <row r="76" spans="2:48">
      <c r="B76"/>
      <c r="C76" s="19" t="s">
        <v>871</v>
      </c>
      <c r="D76" s="19" t="s">
        <v>655</v>
      </c>
      <c r="E76" s="17" t="s">
        <v>641</v>
      </c>
      <c r="F76" s="17" t="s">
        <v>490</v>
      </c>
      <c r="AQ76" s="16"/>
      <c r="AR76" s="16"/>
      <c r="AS76" s="16"/>
      <c r="AV76" s="16"/>
    </row>
    <row r="77" spans="2:48">
      <c r="B77"/>
      <c r="C77" s="19" t="s">
        <v>871</v>
      </c>
      <c r="D77" s="19" t="s">
        <v>655</v>
      </c>
      <c r="E77" s="17" t="s">
        <v>642</v>
      </c>
      <c r="F77" s="17" t="s">
        <v>490</v>
      </c>
      <c r="AQ77" s="16"/>
      <c r="AR77" s="16"/>
      <c r="AS77" s="16"/>
      <c r="AV77" s="16"/>
    </row>
    <row r="78" spans="2:48">
      <c r="B78"/>
      <c r="C78" s="19" t="s">
        <v>871</v>
      </c>
      <c r="D78" s="19" t="s">
        <v>655</v>
      </c>
      <c r="E78" s="17" t="s">
        <v>643</v>
      </c>
      <c r="F78" s="17" t="s">
        <v>490</v>
      </c>
      <c r="AQ78" s="16"/>
      <c r="AR78" s="16"/>
      <c r="AS78" s="16"/>
      <c r="AV78" s="16"/>
    </row>
    <row r="79" spans="2:48">
      <c r="B79"/>
      <c r="C79" s="19" t="s">
        <v>871</v>
      </c>
      <c r="D79" s="19" t="s">
        <v>655</v>
      </c>
      <c r="E79" s="17" t="s">
        <v>644</v>
      </c>
      <c r="F79" s="17" t="s">
        <v>490</v>
      </c>
      <c r="AQ79" s="16"/>
      <c r="AR79" s="16"/>
      <c r="AS79" s="16"/>
      <c r="AV79" s="16"/>
    </row>
    <row r="80" spans="2:48">
      <c r="B80"/>
      <c r="C80" s="19" t="s">
        <v>871</v>
      </c>
      <c r="D80" s="19" t="s">
        <v>655</v>
      </c>
      <c r="E80" s="17" t="s">
        <v>645</v>
      </c>
      <c r="F80" s="17" t="s">
        <v>490</v>
      </c>
      <c r="AQ80" s="16"/>
      <c r="AR80" s="16"/>
      <c r="AS80" s="16"/>
      <c r="AV80" s="16"/>
    </row>
    <row r="81" spans="2:48">
      <c r="B81"/>
      <c r="C81" s="19" t="s">
        <v>871</v>
      </c>
      <c r="D81" s="19" t="s">
        <v>655</v>
      </c>
      <c r="E81" s="17" t="s">
        <v>646</v>
      </c>
      <c r="F81" s="17" t="s">
        <v>490</v>
      </c>
      <c r="AQ81" s="16"/>
      <c r="AR81" s="16"/>
      <c r="AS81" s="16"/>
      <c r="AV81" s="16"/>
    </row>
    <row r="82" spans="2:48">
      <c r="B82"/>
      <c r="C82" s="19" t="s">
        <v>871</v>
      </c>
      <c r="D82" s="19" t="s">
        <v>655</v>
      </c>
      <c r="E82" s="17" t="s">
        <v>647</v>
      </c>
      <c r="F82" s="17" t="s">
        <v>490</v>
      </c>
      <c r="AQ82" s="16"/>
      <c r="AR82" s="16"/>
      <c r="AS82" s="16"/>
      <c r="AV82" s="16"/>
    </row>
    <row r="83" spans="2:48">
      <c r="B83"/>
      <c r="C83" s="19" t="s">
        <v>871</v>
      </c>
      <c r="D83" s="19" t="s">
        <v>655</v>
      </c>
      <c r="E83" s="17" t="s">
        <v>648</v>
      </c>
      <c r="F83" s="17" t="s">
        <v>490</v>
      </c>
      <c r="AQ83" s="16"/>
      <c r="AR83" s="16"/>
      <c r="AS83" s="16"/>
      <c r="AV83" s="16"/>
    </row>
    <row r="84" spans="2:48">
      <c r="B84"/>
      <c r="C84" s="19" t="s">
        <v>871</v>
      </c>
      <c r="D84" s="19" t="s">
        <v>655</v>
      </c>
      <c r="E84" s="17" t="s">
        <v>649</v>
      </c>
      <c r="F84" s="17" t="s">
        <v>490</v>
      </c>
      <c r="AQ84" s="16"/>
      <c r="AR84" s="16"/>
      <c r="AS84" s="16"/>
      <c r="AV84" s="16"/>
    </row>
    <row r="85" spans="2:48">
      <c r="B85"/>
      <c r="C85" s="19" t="s">
        <v>871</v>
      </c>
      <c r="D85" s="19" t="s">
        <v>655</v>
      </c>
      <c r="E85" s="17" t="s">
        <v>650</v>
      </c>
      <c r="F85" s="17" t="s">
        <v>490</v>
      </c>
      <c r="AQ85" s="16"/>
      <c r="AR85" s="16"/>
      <c r="AS85" s="16"/>
      <c r="AV85" s="16"/>
    </row>
    <row r="86" spans="2:48">
      <c r="B86"/>
      <c r="C86" s="19" t="s">
        <v>871</v>
      </c>
      <c r="D86" s="19" t="s">
        <v>655</v>
      </c>
      <c r="E86" s="17" t="s">
        <v>651</v>
      </c>
      <c r="F86" s="17" t="s">
        <v>490</v>
      </c>
      <c r="AQ86" s="16"/>
      <c r="AR86" s="16"/>
      <c r="AS86" s="16"/>
      <c r="AV86" s="16"/>
    </row>
    <row r="87" spans="2:48">
      <c r="B87"/>
      <c r="C87" s="19" t="s">
        <v>871</v>
      </c>
      <c r="D87" s="19" t="s">
        <v>655</v>
      </c>
      <c r="E87" s="17" t="s">
        <v>652</v>
      </c>
      <c r="F87" s="17" t="s">
        <v>490</v>
      </c>
      <c r="AQ87" s="16"/>
      <c r="AR87" s="16"/>
      <c r="AS87" s="16"/>
      <c r="AV87" s="16"/>
    </row>
    <row r="88" spans="2:48">
      <c r="B88"/>
      <c r="C88" s="19" t="s">
        <v>871</v>
      </c>
      <c r="D88" s="19" t="s">
        <v>655</v>
      </c>
      <c r="E88" s="17" t="s">
        <v>653</v>
      </c>
      <c r="F88" s="17" t="s">
        <v>490</v>
      </c>
      <c r="AQ88" s="16"/>
      <c r="AR88" s="16"/>
      <c r="AS88" s="16"/>
      <c r="AV88" s="16"/>
    </row>
    <row r="89" spans="2:48">
      <c r="B89"/>
      <c r="C89" s="19" t="s">
        <v>871</v>
      </c>
      <c r="D89" s="19" t="s">
        <v>655</v>
      </c>
      <c r="E89" s="17" t="s">
        <v>654</v>
      </c>
      <c r="F89" s="17" t="s">
        <v>490</v>
      </c>
      <c r="AQ89" s="16"/>
      <c r="AR89" s="16"/>
      <c r="AS89" s="16"/>
      <c r="AV89" s="16"/>
    </row>
    <row r="90" spans="2:48">
      <c r="B90"/>
      <c r="C90" s="19" t="s">
        <v>871</v>
      </c>
      <c r="D90" s="19" t="s">
        <v>655</v>
      </c>
      <c r="E90" s="14" t="s">
        <v>658</v>
      </c>
      <c r="F90" s="14" t="s">
        <v>491</v>
      </c>
      <c r="AQ90" s="16"/>
      <c r="AR90" s="16"/>
      <c r="AS90" s="16"/>
      <c r="AV90" s="16"/>
    </row>
    <row r="91" spans="2:48">
      <c r="B91"/>
      <c r="C91" s="19" t="s">
        <v>871</v>
      </c>
      <c r="D91" s="19" t="s">
        <v>655</v>
      </c>
      <c r="E91" s="14" t="s">
        <v>659</v>
      </c>
      <c r="F91" s="14" t="s">
        <v>491</v>
      </c>
      <c r="AQ91" s="16"/>
      <c r="AR91" s="16"/>
      <c r="AS91" s="16"/>
      <c r="AV91" s="16"/>
    </row>
    <row r="92" spans="2:48">
      <c r="B92"/>
      <c r="C92" s="19" t="s">
        <v>871</v>
      </c>
      <c r="D92" s="19" t="s">
        <v>655</v>
      </c>
      <c r="E92" s="14" t="s">
        <v>660</v>
      </c>
      <c r="F92" s="14" t="s">
        <v>491</v>
      </c>
      <c r="AQ92" s="16"/>
      <c r="AR92" s="16"/>
      <c r="AS92" s="16"/>
      <c r="AV92" s="16"/>
    </row>
    <row r="93" spans="2:48">
      <c r="B93"/>
      <c r="C93" s="19" t="s">
        <v>871</v>
      </c>
      <c r="D93" s="19" t="s">
        <v>655</v>
      </c>
      <c r="E93" s="14" t="s">
        <v>661</v>
      </c>
      <c r="F93" s="14" t="s">
        <v>491</v>
      </c>
      <c r="AQ93" s="16"/>
      <c r="AR93" s="16"/>
      <c r="AS93" s="16"/>
      <c r="AV93" s="16"/>
    </row>
    <row r="94" spans="2:48">
      <c r="B94"/>
      <c r="C94" s="19" t="s">
        <v>871</v>
      </c>
      <c r="D94" s="19" t="s">
        <v>655</v>
      </c>
      <c r="E94" s="14" t="s">
        <v>662</v>
      </c>
      <c r="F94" s="14" t="s">
        <v>491</v>
      </c>
      <c r="AQ94" s="16"/>
      <c r="AR94" s="16"/>
      <c r="AS94" s="16"/>
      <c r="AV94" s="16"/>
    </row>
    <row r="95" spans="2:48">
      <c r="B95"/>
      <c r="C95" s="19" t="s">
        <v>871</v>
      </c>
      <c r="D95" s="19" t="s">
        <v>655</v>
      </c>
      <c r="E95" s="14" t="s">
        <v>663</v>
      </c>
      <c r="F95" s="14" t="s">
        <v>491</v>
      </c>
      <c r="AQ95" s="16"/>
      <c r="AR95" s="16"/>
      <c r="AS95" s="16"/>
      <c r="AV95" s="16"/>
    </row>
    <row r="96" spans="2:48">
      <c r="B96"/>
      <c r="C96" s="19" t="s">
        <v>871</v>
      </c>
      <c r="D96" s="19" t="s">
        <v>655</v>
      </c>
      <c r="E96" s="14" t="s">
        <v>664</v>
      </c>
      <c r="F96" s="14" t="s">
        <v>491</v>
      </c>
      <c r="AQ96" s="16"/>
      <c r="AR96" s="16"/>
      <c r="AS96" s="16"/>
      <c r="AV96" s="16"/>
    </row>
    <row r="97" spans="2:48">
      <c r="B97"/>
      <c r="C97" s="19" t="s">
        <v>871</v>
      </c>
      <c r="D97" s="19" t="s">
        <v>655</v>
      </c>
      <c r="E97" s="14" t="s">
        <v>665</v>
      </c>
      <c r="F97" s="14" t="s">
        <v>491</v>
      </c>
      <c r="AQ97" s="16"/>
      <c r="AR97" s="16"/>
      <c r="AS97" s="16"/>
      <c r="AV97" s="16"/>
    </row>
    <row r="98" spans="2:48">
      <c r="B98"/>
      <c r="C98" s="19" t="s">
        <v>871</v>
      </c>
      <c r="D98" s="19" t="s">
        <v>655</v>
      </c>
      <c r="E98" s="14" t="s">
        <v>666</v>
      </c>
      <c r="F98" s="14" t="s">
        <v>491</v>
      </c>
      <c r="AQ98" s="16"/>
      <c r="AR98" s="16"/>
      <c r="AS98" s="16"/>
      <c r="AV98" s="16"/>
    </row>
    <row r="99" spans="2:48">
      <c r="B99"/>
      <c r="C99" s="19" t="s">
        <v>871</v>
      </c>
      <c r="D99" s="19" t="s">
        <v>655</v>
      </c>
      <c r="E99" s="14" t="s">
        <v>667</v>
      </c>
      <c r="F99" s="14" t="s">
        <v>491</v>
      </c>
      <c r="AQ99" s="16"/>
      <c r="AR99" s="16"/>
      <c r="AS99" s="16"/>
      <c r="AV99" s="16"/>
    </row>
    <row r="100" spans="2:48">
      <c r="B100"/>
      <c r="C100" s="19" t="s">
        <v>871</v>
      </c>
      <c r="D100" s="19" t="s">
        <v>655</v>
      </c>
      <c r="E100" s="14" t="s">
        <v>668</v>
      </c>
      <c r="F100" s="14" t="s">
        <v>491</v>
      </c>
      <c r="AQ100" s="16"/>
      <c r="AR100" s="16"/>
      <c r="AS100" s="16"/>
      <c r="AV100" s="16"/>
    </row>
    <row r="101" spans="2:48">
      <c r="B101"/>
      <c r="C101" s="19" t="s">
        <v>871</v>
      </c>
      <c r="D101" s="19" t="s">
        <v>655</v>
      </c>
      <c r="E101" s="14" t="s">
        <v>669</v>
      </c>
      <c r="F101" s="14" t="s">
        <v>491</v>
      </c>
      <c r="AQ101" s="16"/>
      <c r="AR101" s="16"/>
      <c r="AS101" s="16"/>
      <c r="AV101" s="16"/>
    </row>
    <row r="102" spans="2:48">
      <c r="B102"/>
      <c r="C102" s="19" t="s">
        <v>871</v>
      </c>
      <c r="D102" s="19" t="s">
        <v>655</v>
      </c>
      <c r="E102" s="14" t="s">
        <v>670</v>
      </c>
      <c r="F102" s="14" t="s">
        <v>491</v>
      </c>
      <c r="AQ102" s="16"/>
      <c r="AR102" s="16"/>
      <c r="AS102" s="16"/>
      <c r="AV102" s="16"/>
    </row>
    <row r="103" spans="2:48">
      <c r="B103"/>
      <c r="C103" s="19" t="s">
        <v>871</v>
      </c>
      <c r="D103" s="19" t="s">
        <v>655</v>
      </c>
      <c r="E103" s="14" t="s">
        <v>671</v>
      </c>
      <c r="F103" s="14" t="s">
        <v>491</v>
      </c>
      <c r="AQ103" s="16"/>
      <c r="AR103" s="16"/>
      <c r="AS103" s="16"/>
      <c r="AV103" s="16"/>
    </row>
    <row r="104" spans="2:48">
      <c r="B104"/>
      <c r="C104" s="19" t="s">
        <v>871</v>
      </c>
      <c r="D104" s="19" t="s">
        <v>655</v>
      </c>
      <c r="E104" s="14" t="s">
        <v>672</v>
      </c>
      <c r="F104" s="14" t="s">
        <v>491</v>
      </c>
      <c r="AQ104" s="16"/>
      <c r="AR104" s="16"/>
      <c r="AS104" s="16"/>
      <c r="AV104" s="16"/>
    </row>
    <row r="105" spans="2:48">
      <c r="B105"/>
      <c r="C105" s="19" t="s">
        <v>871</v>
      </c>
      <c r="D105" s="19" t="s">
        <v>655</v>
      </c>
      <c r="E105" s="14" t="s">
        <v>673</v>
      </c>
      <c r="F105" s="14" t="s">
        <v>491</v>
      </c>
      <c r="AQ105" s="16"/>
      <c r="AR105" s="16"/>
      <c r="AS105" s="16"/>
      <c r="AV105" s="16"/>
    </row>
    <row r="106" spans="2:48">
      <c r="B106"/>
      <c r="C106" s="19" t="s">
        <v>871</v>
      </c>
      <c r="D106" s="19" t="s">
        <v>655</v>
      </c>
      <c r="E106" s="14" t="s">
        <v>674</v>
      </c>
      <c r="F106" s="14" t="s">
        <v>491</v>
      </c>
      <c r="AQ106" s="16"/>
      <c r="AR106" s="16"/>
      <c r="AS106" s="16"/>
      <c r="AV106" s="16"/>
    </row>
    <row r="107" spans="2:48">
      <c r="B107"/>
      <c r="C107" s="19" t="s">
        <v>871</v>
      </c>
      <c r="D107" s="19" t="s">
        <v>655</v>
      </c>
      <c r="E107" s="14" t="s">
        <v>675</v>
      </c>
      <c r="F107" s="14" t="s">
        <v>491</v>
      </c>
      <c r="AQ107" s="16"/>
      <c r="AR107" s="16"/>
      <c r="AS107" s="16"/>
      <c r="AV107" s="16"/>
    </row>
    <row r="108" spans="2:48">
      <c r="B108"/>
      <c r="C108" s="19" t="s">
        <v>871</v>
      </c>
      <c r="D108" s="19" t="s">
        <v>655</v>
      </c>
      <c r="E108" s="13" t="s">
        <v>676</v>
      </c>
      <c r="F108" s="13" t="s">
        <v>489</v>
      </c>
      <c r="AQ108" s="16"/>
      <c r="AR108" s="16"/>
      <c r="AS108" s="16"/>
      <c r="AV108" s="16"/>
    </row>
    <row r="109" spans="2:48">
      <c r="B109"/>
      <c r="C109" s="18" t="s">
        <v>871</v>
      </c>
      <c r="D109" s="18" t="s">
        <v>657</v>
      </c>
      <c r="E109" s="17" t="s">
        <v>677</v>
      </c>
      <c r="F109" s="17" t="s">
        <v>490</v>
      </c>
      <c r="AQ109" s="16"/>
      <c r="AR109" s="16"/>
      <c r="AS109" s="16"/>
      <c r="AV109" s="16"/>
    </row>
    <row r="110" spans="2:48">
      <c r="B110"/>
      <c r="C110" s="18" t="s">
        <v>871</v>
      </c>
      <c r="D110" s="18" t="s">
        <v>657</v>
      </c>
      <c r="E110" s="17" t="s">
        <v>678</v>
      </c>
      <c r="F110" s="17" t="s">
        <v>490</v>
      </c>
      <c r="AQ110" s="16"/>
      <c r="AR110" s="16"/>
      <c r="AS110" s="16"/>
      <c r="AV110" s="16"/>
    </row>
    <row r="111" spans="2:48">
      <c r="B111"/>
      <c r="C111" s="18" t="s">
        <v>871</v>
      </c>
      <c r="D111" s="18" t="s">
        <v>657</v>
      </c>
      <c r="E111" s="17" t="s">
        <v>679</v>
      </c>
      <c r="F111" s="17" t="s">
        <v>490</v>
      </c>
      <c r="AQ111" s="16"/>
      <c r="AR111" s="16"/>
      <c r="AS111" s="16"/>
      <c r="AV111" s="16"/>
    </row>
    <row r="112" spans="2:48">
      <c r="B112"/>
      <c r="C112" s="18" t="s">
        <v>871</v>
      </c>
      <c r="D112" s="18" t="s">
        <v>657</v>
      </c>
      <c r="E112" s="17" t="s">
        <v>680</v>
      </c>
      <c r="F112" s="17" t="s">
        <v>490</v>
      </c>
      <c r="AQ112" s="16"/>
      <c r="AR112" s="16"/>
      <c r="AS112" s="16"/>
      <c r="AV112" s="16"/>
    </row>
    <row r="113" spans="2:48">
      <c r="B113"/>
      <c r="C113" s="18" t="s">
        <v>871</v>
      </c>
      <c r="D113" s="18" t="s">
        <v>657</v>
      </c>
      <c r="E113" s="17" t="s">
        <v>681</v>
      </c>
      <c r="F113" s="17" t="s">
        <v>490</v>
      </c>
      <c r="AQ113" s="16"/>
      <c r="AR113" s="16"/>
      <c r="AS113" s="16"/>
      <c r="AV113" s="16"/>
    </row>
    <row r="114" spans="2:48">
      <c r="B114"/>
      <c r="C114" s="18" t="s">
        <v>871</v>
      </c>
      <c r="D114" s="18" t="s">
        <v>657</v>
      </c>
      <c r="E114" s="17" t="s">
        <v>682</v>
      </c>
      <c r="F114" s="17" t="s">
        <v>490</v>
      </c>
      <c r="AQ114" s="16"/>
      <c r="AR114" s="16"/>
      <c r="AS114" s="16"/>
      <c r="AV114" s="16"/>
    </row>
    <row r="115" spans="2:48">
      <c r="B115"/>
      <c r="C115" s="18" t="s">
        <v>871</v>
      </c>
      <c r="D115" s="18" t="s">
        <v>657</v>
      </c>
      <c r="E115" s="17" t="s">
        <v>683</v>
      </c>
      <c r="F115" s="17" t="s">
        <v>490</v>
      </c>
      <c r="AQ115" s="16"/>
      <c r="AR115" s="16"/>
      <c r="AS115" s="16"/>
      <c r="AV115" s="16"/>
    </row>
    <row r="116" spans="2:48">
      <c r="B116"/>
      <c r="C116" s="18" t="s">
        <v>871</v>
      </c>
      <c r="D116" s="18" t="s">
        <v>657</v>
      </c>
      <c r="E116" s="17" t="s">
        <v>684</v>
      </c>
      <c r="F116" s="17" t="s">
        <v>490</v>
      </c>
      <c r="AQ116" s="16"/>
      <c r="AR116" s="16"/>
      <c r="AS116" s="16"/>
      <c r="AV116" s="16"/>
    </row>
    <row r="117" spans="2:48">
      <c r="B117"/>
      <c r="C117" s="18" t="s">
        <v>871</v>
      </c>
      <c r="D117" s="18" t="s">
        <v>657</v>
      </c>
      <c r="E117" s="17" t="s">
        <v>685</v>
      </c>
      <c r="F117" s="17" t="s">
        <v>490</v>
      </c>
      <c r="AQ117" s="16"/>
      <c r="AR117" s="16"/>
      <c r="AS117" s="16"/>
      <c r="AV117" s="16"/>
    </row>
    <row r="118" spans="2:48">
      <c r="B118"/>
      <c r="C118" s="18" t="s">
        <v>871</v>
      </c>
      <c r="D118" s="18" t="s">
        <v>657</v>
      </c>
      <c r="E118" s="17" t="s">
        <v>686</v>
      </c>
      <c r="F118" s="17" t="s">
        <v>490</v>
      </c>
      <c r="AQ118" s="16"/>
      <c r="AR118" s="16"/>
      <c r="AS118" s="16"/>
      <c r="AV118" s="16"/>
    </row>
    <row r="119" spans="2:48">
      <c r="B119"/>
      <c r="C119" s="18" t="s">
        <v>871</v>
      </c>
      <c r="D119" s="18" t="s">
        <v>657</v>
      </c>
      <c r="E119" s="17" t="s">
        <v>687</v>
      </c>
      <c r="F119" s="17" t="s">
        <v>490</v>
      </c>
      <c r="AQ119" s="16"/>
      <c r="AR119" s="16"/>
      <c r="AS119" s="16"/>
      <c r="AV119" s="16"/>
    </row>
    <row r="120" spans="2:48">
      <c r="B120"/>
      <c r="C120" s="18" t="s">
        <v>871</v>
      </c>
      <c r="D120" s="18" t="s">
        <v>657</v>
      </c>
      <c r="E120" s="17" t="s">
        <v>688</v>
      </c>
      <c r="F120" s="17" t="s">
        <v>490</v>
      </c>
      <c r="AQ120" s="16"/>
      <c r="AR120" s="16"/>
      <c r="AS120" s="16"/>
      <c r="AV120" s="16"/>
    </row>
    <row r="121" spans="2:48">
      <c r="B121"/>
      <c r="C121" s="18" t="s">
        <v>871</v>
      </c>
      <c r="D121" s="18" t="s">
        <v>657</v>
      </c>
      <c r="E121" s="17" t="s">
        <v>689</v>
      </c>
      <c r="F121" s="17" t="s">
        <v>490</v>
      </c>
      <c r="AQ121" s="16"/>
      <c r="AR121" s="16"/>
      <c r="AS121" s="16"/>
      <c r="AV121" s="16"/>
    </row>
    <row r="122" spans="2:48">
      <c r="B122"/>
      <c r="C122" s="18" t="s">
        <v>871</v>
      </c>
      <c r="D122" s="18" t="s">
        <v>657</v>
      </c>
      <c r="E122" s="17" t="s">
        <v>690</v>
      </c>
      <c r="F122" s="17" t="s">
        <v>490</v>
      </c>
      <c r="AQ122" s="16"/>
      <c r="AR122" s="16"/>
      <c r="AS122" s="16"/>
      <c r="AV122" s="16"/>
    </row>
    <row r="123" spans="2:48">
      <c r="B123"/>
      <c r="C123" s="18" t="s">
        <v>871</v>
      </c>
      <c r="D123" s="18" t="s">
        <v>657</v>
      </c>
      <c r="E123" s="14" t="s">
        <v>691</v>
      </c>
      <c r="F123" s="14" t="s">
        <v>491</v>
      </c>
      <c r="AQ123" s="16"/>
      <c r="AR123" s="16"/>
      <c r="AS123" s="16"/>
      <c r="AV123" s="16"/>
    </row>
    <row r="124" spans="2:48">
      <c r="B124"/>
      <c r="C124" s="18" t="s">
        <v>871</v>
      </c>
      <c r="D124" s="18" t="s">
        <v>657</v>
      </c>
      <c r="E124" s="14" t="s">
        <v>692</v>
      </c>
      <c r="F124" s="14" t="s">
        <v>491</v>
      </c>
      <c r="AQ124" s="16"/>
      <c r="AR124" s="16"/>
      <c r="AS124" s="16"/>
      <c r="AV124" s="16"/>
    </row>
    <row r="125" spans="2:48">
      <c r="B125"/>
      <c r="C125" s="18" t="s">
        <v>871</v>
      </c>
      <c r="D125" s="18" t="s">
        <v>657</v>
      </c>
      <c r="E125" s="14" t="s">
        <v>693</v>
      </c>
      <c r="F125" s="14" t="s">
        <v>491</v>
      </c>
      <c r="AQ125" s="16"/>
      <c r="AR125" s="16"/>
      <c r="AS125" s="16"/>
      <c r="AV125" s="16"/>
    </row>
    <row r="126" spans="2:48">
      <c r="B126"/>
      <c r="C126" s="18" t="s">
        <v>871</v>
      </c>
      <c r="D126" s="18" t="s">
        <v>657</v>
      </c>
      <c r="E126" s="14" t="s">
        <v>694</v>
      </c>
      <c r="F126" s="14" t="s">
        <v>491</v>
      </c>
      <c r="AQ126" s="16"/>
      <c r="AR126" s="16"/>
      <c r="AS126" s="16"/>
      <c r="AV126" s="16"/>
    </row>
    <row r="127" spans="2:48">
      <c r="B127"/>
      <c r="C127" s="18" t="s">
        <v>871</v>
      </c>
      <c r="D127" s="18" t="s">
        <v>657</v>
      </c>
      <c r="E127" s="14" t="s">
        <v>695</v>
      </c>
      <c r="F127" s="14" t="s">
        <v>491</v>
      </c>
      <c r="AQ127" s="16"/>
      <c r="AR127" s="16"/>
      <c r="AS127" s="16"/>
      <c r="AV127" s="16"/>
    </row>
    <row r="128" spans="2:48">
      <c r="B128"/>
      <c r="C128" s="18" t="s">
        <v>871</v>
      </c>
      <c r="D128" s="18" t="s">
        <v>657</v>
      </c>
      <c r="E128" s="14" t="s">
        <v>696</v>
      </c>
      <c r="F128" s="14" t="s">
        <v>491</v>
      </c>
      <c r="AQ128" s="16"/>
      <c r="AR128" s="16"/>
      <c r="AS128" s="16"/>
      <c r="AV128" s="16"/>
    </row>
    <row r="129" spans="2:48">
      <c r="B129"/>
      <c r="C129" s="18" t="s">
        <v>871</v>
      </c>
      <c r="D129" s="18" t="s">
        <v>657</v>
      </c>
      <c r="E129" s="14" t="s">
        <v>697</v>
      </c>
      <c r="F129" s="14" t="s">
        <v>491</v>
      </c>
      <c r="AQ129" s="16"/>
      <c r="AR129" s="16"/>
      <c r="AS129" s="16"/>
      <c r="AV129" s="16"/>
    </row>
    <row r="130" spans="2:48">
      <c r="B130"/>
      <c r="C130" s="18" t="s">
        <v>871</v>
      </c>
      <c r="D130" s="18" t="s">
        <v>657</v>
      </c>
      <c r="E130" s="14" t="s">
        <v>698</v>
      </c>
      <c r="F130" s="14" t="s">
        <v>491</v>
      </c>
      <c r="AQ130" s="16"/>
      <c r="AR130" s="16"/>
      <c r="AS130" s="16"/>
      <c r="AV130" s="16"/>
    </row>
    <row r="131" spans="2:48">
      <c r="B131"/>
      <c r="C131" s="18" t="s">
        <v>871</v>
      </c>
      <c r="D131" s="18" t="s">
        <v>657</v>
      </c>
      <c r="E131" s="14" t="s">
        <v>699</v>
      </c>
      <c r="F131" s="14" t="s">
        <v>491</v>
      </c>
      <c r="AQ131" s="16"/>
      <c r="AR131" s="16"/>
      <c r="AS131" s="16"/>
      <c r="AV131" s="16"/>
    </row>
    <row r="132" spans="2:48">
      <c r="B132"/>
      <c r="C132" s="18" t="s">
        <v>871</v>
      </c>
      <c r="D132" s="18" t="s">
        <v>657</v>
      </c>
      <c r="E132" s="14" t="s">
        <v>700</v>
      </c>
      <c r="F132" s="14" t="s">
        <v>491</v>
      </c>
      <c r="AQ132" s="16"/>
      <c r="AR132" s="16"/>
      <c r="AS132" s="16"/>
      <c r="AV132" s="16"/>
    </row>
    <row r="133" spans="2:48">
      <c r="B133"/>
      <c r="C133" s="18" t="s">
        <v>871</v>
      </c>
      <c r="D133" s="18" t="s">
        <v>657</v>
      </c>
      <c r="E133" s="14" t="s">
        <v>701</v>
      </c>
      <c r="F133" s="14" t="s">
        <v>491</v>
      </c>
      <c r="AQ133" s="16"/>
      <c r="AR133" s="16"/>
      <c r="AS133" s="16"/>
      <c r="AV133" s="16"/>
    </row>
    <row r="134" spans="2:48">
      <c r="B134"/>
      <c r="C134" s="18" t="s">
        <v>871</v>
      </c>
      <c r="D134" s="18" t="s">
        <v>657</v>
      </c>
      <c r="E134" s="14" t="s">
        <v>702</v>
      </c>
      <c r="F134" s="14" t="s">
        <v>491</v>
      </c>
      <c r="AQ134" s="16"/>
      <c r="AR134" s="16"/>
      <c r="AS134" s="16"/>
      <c r="AV134" s="16"/>
    </row>
    <row r="135" spans="2:48">
      <c r="B135"/>
      <c r="C135" s="18" t="s">
        <v>871</v>
      </c>
      <c r="D135" s="18" t="s">
        <v>657</v>
      </c>
      <c r="E135" s="14" t="s">
        <v>703</v>
      </c>
      <c r="F135" s="14" t="s">
        <v>491</v>
      </c>
      <c r="AQ135" s="16"/>
      <c r="AR135" s="16"/>
      <c r="AS135" s="16"/>
      <c r="AV135" s="16"/>
    </row>
    <row r="136" spans="2:48">
      <c r="B136"/>
      <c r="C136" s="18" t="s">
        <v>871</v>
      </c>
      <c r="D136" s="18" t="s">
        <v>657</v>
      </c>
      <c r="E136" s="14" t="s">
        <v>704</v>
      </c>
      <c r="F136" s="14" t="s">
        <v>491</v>
      </c>
      <c r="AQ136" s="16"/>
      <c r="AR136" s="16"/>
      <c r="AS136" s="16"/>
      <c r="AV136" s="16"/>
    </row>
    <row r="137" spans="2:48">
      <c r="B137"/>
      <c r="C137" s="18" t="s">
        <v>871</v>
      </c>
      <c r="D137" s="18" t="s">
        <v>657</v>
      </c>
      <c r="E137" s="14" t="s">
        <v>705</v>
      </c>
      <c r="F137" s="14" t="s">
        <v>491</v>
      </c>
      <c r="AQ137" s="16"/>
      <c r="AR137" s="16"/>
      <c r="AS137" s="16"/>
      <c r="AV137" s="16"/>
    </row>
    <row r="138" spans="2:48">
      <c r="B138"/>
      <c r="C138" s="18" t="s">
        <v>871</v>
      </c>
      <c r="D138" s="18" t="s">
        <v>657</v>
      </c>
      <c r="E138" s="14" t="s">
        <v>706</v>
      </c>
      <c r="F138" s="14" t="s">
        <v>491</v>
      </c>
      <c r="AQ138" s="16"/>
      <c r="AR138" s="16"/>
      <c r="AS138" s="16"/>
      <c r="AV138" s="16"/>
    </row>
    <row r="139" spans="2:48">
      <c r="B139"/>
      <c r="C139" s="18" t="s">
        <v>871</v>
      </c>
      <c r="D139" s="18" t="s">
        <v>657</v>
      </c>
      <c r="E139" s="14" t="s">
        <v>707</v>
      </c>
      <c r="F139" s="14" t="s">
        <v>491</v>
      </c>
      <c r="AQ139" s="16"/>
      <c r="AR139" s="16"/>
      <c r="AS139" s="16"/>
      <c r="AV139" s="16"/>
    </row>
    <row r="140" spans="2:48">
      <c r="B140"/>
      <c r="C140" s="18" t="s">
        <v>871</v>
      </c>
      <c r="D140" s="18" t="s">
        <v>657</v>
      </c>
      <c r="E140" s="14" t="s">
        <v>708</v>
      </c>
      <c r="F140" s="14" t="s">
        <v>491</v>
      </c>
      <c r="AQ140" s="16"/>
      <c r="AR140" s="16"/>
      <c r="AS140" s="16"/>
      <c r="AV140" s="16"/>
    </row>
    <row r="141" spans="2:48">
      <c r="B141"/>
      <c r="C141" s="18" t="s">
        <v>871</v>
      </c>
      <c r="D141" s="18" t="s">
        <v>657</v>
      </c>
      <c r="E141" s="14" t="s">
        <v>709</v>
      </c>
      <c r="F141" s="14" t="s">
        <v>491</v>
      </c>
      <c r="AQ141" s="16"/>
      <c r="AR141" s="16"/>
      <c r="AS141" s="16"/>
      <c r="AV141" s="16"/>
    </row>
    <row r="142" spans="2:48">
      <c r="B142"/>
      <c r="C142" s="18" t="s">
        <v>871</v>
      </c>
      <c r="D142" s="18" t="s">
        <v>657</v>
      </c>
      <c r="E142" s="14" t="s">
        <v>710</v>
      </c>
      <c r="F142" s="14" t="s">
        <v>491</v>
      </c>
      <c r="AQ142" s="16"/>
      <c r="AR142" s="16"/>
      <c r="AS142" s="16"/>
      <c r="AV142" s="16"/>
    </row>
    <row r="143" spans="2:48">
      <c r="B143"/>
      <c r="C143" s="18" t="s">
        <v>871</v>
      </c>
      <c r="D143" s="18" t="s">
        <v>657</v>
      </c>
      <c r="E143" s="14" t="s">
        <v>711</v>
      </c>
      <c r="F143" s="14" t="s">
        <v>491</v>
      </c>
      <c r="AQ143" s="16"/>
      <c r="AR143" s="16"/>
      <c r="AS143" s="16"/>
      <c r="AV143" s="16"/>
    </row>
    <row r="144" spans="2:48">
      <c r="B144"/>
      <c r="C144" s="18" t="s">
        <v>871</v>
      </c>
      <c r="D144" s="18" t="s">
        <v>657</v>
      </c>
      <c r="E144" s="14" t="s">
        <v>712</v>
      </c>
      <c r="F144" s="14" t="s">
        <v>491</v>
      </c>
      <c r="AQ144" s="16"/>
      <c r="AR144" s="16"/>
      <c r="AS144" s="16"/>
      <c r="AV144" s="16"/>
    </row>
    <row r="145" spans="2:48">
      <c r="B145"/>
      <c r="C145" s="18" t="s">
        <v>871</v>
      </c>
      <c r="D145" s="18" t="s">
        <v>657</v>
      </c>
      <c r="E145" s="14" t="s">
        <v>713</v>
      </c>
      <c r="F145" s="14" t="s">
        <v>491</v>
      </c>
      <c r="AQ145" s="16"/>
      <c r="AR145" s="16"/>
      <c r="AS145" s="16"/>
      <c r="AV145" s="16"/>
    </row>
    <row r="146" spans="2:48">
      <c r="B146"/>
      <c r="C146" s="18" t="s">
        <v>871</v>
      </c>
      <c r="D146" s="18" t="s">
        <v>657</v>
      </c>
      <c r="E146" s="14" t="s">
        <v>714</v>
      </c>
      <c r="F146" s="14" t="s">
        <v>491</v>
      </c>
      <c r="AQ146" s="16"/>
      <c r="AR146" s="16"/>
      <c r="AS146" s="16"/>
      <c r="AV146" s="16"/>
    </row>
    <row r="147" spans="2:48">
      <c r="B147"/>
      <c r="C147" s="18" t="s">
        <v>871</v>
      </c>
      <c r="D147" s="18" t="s">
        <v>657</v>
      </c>
      <c r="E147" s="14" t="s">
        <v>715</v>
      </c>
      <c r="F147" s="14" t="s">
        <v>491</v>
      </c>
      <c r="AQ147" s="16"/>
      <c r="AR147" s="16"/>
      <c r="AS147" s="16"/>
      <c r="AV147" s="16"/>
    </row>
    <row r="148" spans="2:48">
      <c r="B148"/>
      <c r="C148" s="18" t="s">
        <v>871</v>
      </c>
      <c r="D148" s="18" t="s">
        <v>657</v>
      </c>
      <c r="E148" s="14" t="s">
        <v>716</v>
      </c>
      <c r="F148" s="14" t="s">
        <v>491</v>
      </c>
      <c r="AQ148" s="16"/>
      <c r="AR148" s="16"/>
      <c r="AS148" s="16"/>
      <c r="AV148" s="16"/>
    </row>
    <row r="149" spans="2:48">
      <c r="B149"/>
      <c r="C149" s="18" t="s">
        <v>871</v>
      </c>
      <c r="D149" s="18" t="s">
        <v>657</v>
      </c>
      <c r="E149" s="14" t="s">
        <v>717</v>
      </c>
      <c r="F149" s="14" t="s">
        <v>491</v>
      </c>
      <c r="AQ149" s="16"/>
      <c r="AR149" s="16"/>
      <c r="AS149" s="16"/>
      <c r="AV149" s="16"/>
    </row>
    <row r="150" spans="2:48">
      <c r="B150"/>
      <c r="C150" s="18" t="s">
        <v>871</v>
      </c>
      <c r="D150" s="18" t="s">
        <v>657</v>
      </c>
      <c r="E150" s="14" t="s">
        <v>718</v>
      </c>
      <c r="F150" s="14" t="s">
        <v>491</v>
      </c>
      <c r="AQ150" s="16"/>
      <c r="AR150" s="16"/>
      <c r="AS150" s="16"/>
      <c r="AV150" s="16"/>
    </row>
    <row r="151" spans="2:48">
      <c r="B151"/>
      <c r="C151" s="18" t="s">
        <v>871</v>
      </c>
      <c r="D151" s="18" t="s">
        <v>657</v>
      </c>
      <c r="E151" s="14" t="s">
        <v>719</v>
      </c>
      <c r="F151" s="14" t="s">
        <v>491</v>
      </c>
      <c r="AQ151" s="16"/>
      <c r="AR151" s="16"/>
      <c r="AS151" s="16"/>
      <c r="AV151" s="16"/>
    </row>
    <row r="152" spans="2:48">
      <c r="B152"/>
      <c r="C152" s="18" t="s">
        <v>871</v>
      </c>
      <c r="D152" s="18" t="s">
        <v>657</v>
      </c>
      <c r="E152" s="14" t="s">
        <v>720</v>
      </c>
      <c r="F152" s="14" t="s">
        <v>491</v>
      </c>
      <c r="AQ152" s="16"/>
      <c r="AR152" s="16"/>
      <c r="AS152" s="16"/>
      <c r="AV152" s="16"/>
    </row>
    <row r="153" spans="2:48">
      <c r="B153"/>
      <c r="C153" s="18" t="s">
        <v>871</v>
      </c>
      <c r="D153" s="18" t="s">
        <v>657</v>
      </c>
      <c r="E153" s="14" t="s">
        <v>721</v>
      </c>
      <c r="F153" s="14" t="s">
        <v>491</v>
      </c>
      <c r="AQ153" s="16"/>
      <c r="AR153" s="16"/>
      <c r="AS153" s="16"/>
      <c r="AV153" s="16"/>
    </row>
    <row r="154" spans="2:48">
      <c r="B154"/>
      <c r="C154" s="18" t="s">
        <v>871</v>
      </c>
      <c r="D154" s="18" t="s">
        <v>657</v>
      </c>
      <c r="E154" s="14" t="s">
        <v>722</v>
      </c>
      <c r="F154" s="14" t="s">
        <v>491</v>
      </c>
      <c r="AQ154" s="16"/>
      <c r="AR154" s="16"/>
      <c r="AS154" s="16"/>
      <c r="AV154" s="16"/>
    </row>
    <row r="155" spans="2:48">
      <c r="B155"/>
      <c r="C155" s="18" t="s">
        <v>871</v>
      </c>
      <c r="D155" s="18" t="s">
        <v>657</v>
      </c>
      <c r="E155" s="14" t="s">
        <v>723</v>
      </c>
      <c r="F155" s="14" t="s">
        <v>491</v>
      </c>
      <c r="AQ155" s="16"/>
      <c r="AR155" s="16"/>
      <c r="AS155" s="16"/>
      <c r="AV155" s="16"/>
    </row>
    <row r="156" spans="2:48">
      <c r="B156"/>
      <c r="C156" s="18" t="s">
        <v>871</v>
      </c>
      <c r="D156" s="18" t="s">
        <v>657</v>
      </c>
      <c r="E156" s="14" t="s">
        <v>724</v>
      </c>
      <c r="F156" s="14" t="s">
        <v>491</v>
      </c>
      <c r="AQ156" s="16"/>
      <c r="AR156" s="16"/>
      <c r="AS156" s="16"/>
      <c r="AV156" s="16"/>
    </row>
    <row r="157" spans="2:48">
      <c r="B157"/>
      <c r="C157" s="18" t="s">
        <v>871</v>
      </c>
      <c r="D157" s="18" t="s">
        <v>657</v>
      </c>
      <c r="E157" s="14" t="s">
        <v>725</v>
      </c>
      <c r="F157" s="14" t="s">
        <v>491</v>
      </c>
      <c r="AQ157" s="16"/>
      <c r="AR157" s="16"/>
      <c r="AS157" s="16"/>
      <c r="AV157" s="16"/>
    </row>
    <row r="158" spans="2:48">
      <c r="B158"/>
      <c r="C158" s="18" t="s">
        <v>871</v>
      </c>
      <c r="D158" s="18" t="s">
        <v>657</v>
      </c>
      <c r="E158" s="14" t="s">
        <v>726</v>
      </c>
      <c r="F158" s="14" t="s">
        <v>491</v>
      </c>
      <c r="AQ158" s="16"/>
      <c r="AR158" s="16"/>
      <c r="AS158" s="16"/>
      <c r="AV158" s="16"/>
    </row>
    <row r="159" spans="2:48">
      <c r="B159"/>
      <c r="C159" s="18" t="s">
        <v>871</v>
      </c>
      <c r="D159" s="18" t="s">
        <v>657</v>
      </c>
      <c r="E159" s="13" t="s">
        <v>735</v>
      </c>
      <c r="F159" s="13" t="s">
        <v>489</v>
      </c>
      <c r="AQ159" s="16"/>
      <c r="AR159" s="16"/>
      <c r="AS159" s="16"/>
      <c r="AV159" s="16"/>
    </row>
    <row r="160" spans="2:48">
      <c r="B160"/>
      <c r="C160" s="18" t="s">
        <v>871</v>
      </c>
      <c r="D160" s="18" t="s">
        <v>657</v>
      </c>
      <c r="E160" s="13" t="s">
        <v>736</v>
      </c>
      <c r="F160" s="13" t="s">
        <v>489</v>
      </c>
      <c r="AQ160" s="16"/>
      <c r="AR160" s="16"/>
      <c r="AS160" s="16"/>
      <c r="AV160" s="16"/>
    </row>
    <row r="161" spans="2:48">
      <c r="B161"/>
      <c r="C161" s="18" t="s">
        <v>871</v>
      </c>
      <c r="D161" s="18" t="s">
        <v>657</v>
      </c>
      <c r="E161" s="13" t="s">
        <v>737</v>
      </c>
      <c r="F161" s="13" t="s">
        <v>489</v>
      </c>
      <c r="AQ161" s="16"/>
      <c r="AR161" s="16"/>
      <c r="AS161" s="16"/>
      <c r="AV161" s="16"/>
    </row>
    <row r="162" spans="2:48">
      <c r="B162"/>
      <c r="C162" s="19" t="s">
        <v>871</v>
      </c>
      <c r="D162" s="19" t="s">
        <v>656</v>
      </c>
      <c r="E162" s="14" t="s">
        <v>640</v>
      </c>
      <c r="F162" s="14" t="s">
        <v>491</v>
      </c>
      <c r="AQ162" s="16"/>
      <c r="AR162" s="16"/>
      <c r="AS162" s="16"/>
      <c r="AV162" s="16"/>
    </row>
    <row r="163" spans="2:48">
      <c r="B163"/>
      <c r="C163" s="19" t="s">
        <v>871</v>
      </c>
      <c r="D163" s="19" t="s">
        <v>779</v>
      </c>
      <c r="E163" s="14" t="s">
        <v>766</v>
      </c>
      <c r="F163" s="14" t="s">
        <v>491</v>
      </c>
      <c r="AQ163" s="16"/>
      <c r="AR163" s="16"/>
      <c r="AS163" s="16"/>
      <c r="AV163" s="16"/>
    </row>
    <row r="164" spans="2:48">
      <c r="B164"/>
      <c r="C164" s="19" t="s">
        <v>871</v>
      </c>
      <c r="D164" s="19" t="s">
        <v>779</v>
      </c>
      <c r="E164" s="14" t="s">
        <v>767</v>
      </c>
      <c r="F164" s="14" t="s">
        <v>491</v>
      </c>
      <c r="AQ164" s="16"/>
      <c r="AR164" s="16"/>
      <c r="AS164" s="16"/>
      <c r="AV164" s="16"/>
    </row>
    <row r="165" spans="2:48">
      <c r="B165"/>
      <c r="C165" s="19" t="s">
        <v>871</v>
      </c>
      <c r="D165" s="19" t="s">
        <v>779</v>
      </c>
      <c r="E165" s="14" t="s">
        <v>768</v>
      </c>
      <c r="F165" s="14" t="s">
        <v>491</v>
      </c>
      <c r="AQ165" s="16"/>
      <c r="AR165" s="16"/>
      <c r="AS165" s="16"/>
      <c r="AV165" s="16"/>
    </row>
    <row r="166" spans="2:48">
      <c r="B166"/>
      <c r="C166" s="19" t="s">
        <v>871</v>
      </c>
      <c r="D166" s="19" t="s">
        <v>779</v>
      </c>
      <c r="E166" s="14" t="s">
        <v>769</v>
      </c>
      <c r="F166" s="14" t="s">
        <v>491</v>
      </c>
      <c r="AQ166" s="16"/>
      <c r="AR166" s="16"/>
      <c r="AS166" s="16"/>
      <c r="AV166" s="16"/>
    </row>
    <row r="167" spans="2:48">
      <c r="B167"/>
      <c r="C167" s="19" t="s">
        <v>871</v>
      </c>
      <c r="D167" s="19" t="s">
        <v>779</v>
      </c>
      <c r="E167" s="14" t="s">
        <v>770</v>
      </c>
      <c r="F167" s="14" t="s">
        <v>491</v>
      </c>
      <c r="AQ167" s="16"/>
      <c r="AR167" s="16"/>
      <c r="AS167" s="16"/>
      <c r="AV167" s="16"/>
    </row>
    <row r="168" spans="2:48">
      <c r="B168"/>
      <c r="C168" s="19" t="s">
        <v>871</v>
      </c>
      <c r="D168" s="19" t="s">
        <v>779</v>
      </c>
      <c r="E168" s="14" t="s">
        <v>771</v>
      </c>
      <c r="F168" s="14" t="s">
        <v>491</v>
      </c>
      <c r="AQ168" s="16"/>
      <c r="AR168" s="16"/>
      <c r="AS168" s="16"/>
      <c r="AV168" s="16"/>
    </row>
    <row r="169" spans="2:48">
      <c r="B169"/>
      <c r="C169" s="19" t="s">
        <v>871</v>
      </c>
      <c r="D169" s="19" t="s">
        <v>779</v>
      </c>
      <c r="E169" s="14" t="s">
        <v>772</v>
      </c>
      <c r="F169" s="14" t="s">
        <v>491</v>
      </c>
      <c r="AQ169" s="16"/>
      <c r="AR169" s="16"/>
      <c r="AS169" s="16"/>
      <c r="AV169" s="16"/>
    </row>
    <row r="170" spans="2:48">
      <c r="B170"/>
      <c r="C170" s="19" t="s">
        <v>871</v>
      </c>
      <c r="D170" s="19" t="s">
        <v>779</v>
      </c>
      <c r="E170" s="14" t="s">
        <v>773</v>
      </c>
      <c r="F170" s="14" t="s">
        <v>491</v>
      </c>
      <c r="AQ170" s="16"/>
      <c r="AR170" s="16"/>
      <c r="AS170" s="16"/>
      <c r="AV170" s="16"/>
    </row>
    <row r="171" spans="2:48">
      <c r="B171"/>
      <c r="C171" s="19" t="s">
        <v>871</v>
      </c>
      <c r="D171" s="19" t="s">
        <v>779</v>
      </c>
      <c r="E171" s="14" t="s">
        <v>774</v>
      </c>
      <c r="F171" s="14" t="s">
        <v>491</v>
      </c>
      <c r="AQ171" s="16"/>
      <c r="AR171" s="16"/>
      <c r="AS171" s="16"/>
      <c r="AV171" s="16"/>
    </row>
    <row r="172" spans="2:48">
      <c r="B172"/>
      <c r="C172" s="19" t="s">
        <v>871</v>
      </c>
      <c r="D172" s="19" t="s">
        <v>779</v>
      </c>
      <c r="E172" s="14" t="s">
        <v>775</v>
      </c>
      <c r="F172" s="14" t="s">
        <v>491</v>
      </c>
      <c r="AQ172" s="16"/>
      <c r="AR172" s="16"/>
      <c r="AS172" s="16"/>
      <c r="AV172" s="16"/>
    </row>
    <row r="173" spans="2:48">
      <c r="B173"/>
      <c r="C173" s="19" t="s">
        <v>871</v>
      </c>
      <c r="D173" s="19" t="s">
        <v>779</v>
      </c>
      <c r="E173" s="14" t="s">
        <v>776</v>
      </c>
      <c r="F173" s="14" t="s">
        <v>491</v>
      </c>
      <c r="AQ173" s="16"/>
      <c r="AR173" s="16"/>
      <c r="AS173" s="16"/>
      <c r="AV173" s="16"/>
    </row>
    <row r="174" spans="2:48">
      <c r="B174"/>
      <c r="C174" s="19" t="s">
        <v>871</v>
      </c>
      <c r="D174" s="19" t="s">
        <v>779</v>
      </c>
      <c r="E174" s="14" t="s">
        <v>777</v>
      </c>
      <c r="F174" s="14" t="s">
        <v>491</v>
      </c>
      <c r="AQ174" s="16"/>
      <c r="AR174" s="16"/>
      <c r="AS174" s="16"/>
      <c r="AV174" s="16"/>
    </row>
    <row r="175" spans="2:48">
      <c r="B175"/>
      <c r="C175" s="19" t="s">
        <v>871</v>
      </c>
      <c r="D175" s="19" t="s">
        <v>779</v>
      </c>
      <c r="E175" s="14" t="s">
        <v>778</v>
      </c>
      <c r="F175" s="14" t="s">
        <v>491</v>
      </c>
      <c r="AQ175" s="16"/>
      <c r="AR175" s="16"/>
      <c r="AS175" s="16"/>
      <c r="AV175" s="16"/>
    </row>
    <row r="176" spans="2:48">
      <c r="B176"/>
      <c r="C176" s="19" t="s">
        <v>871</v>
      </c>
      <c r="D176" s="19" t="s">
        <v>779</v>
      </c>
      <c r="E176" s="13" t="s">
        <v>738</v>
      </c>
      <c r="F176" s="13" t="s">
        <v>489</v>
      </c>
      <c r="AQ176" s="16"/>
      <c r="AR176" s="16"/>
      <c r="AS176" s="16"/>
      <c r="AV176" s="16"/>
    </row>
    <row r="177" spans="2:48">
      <c r="B177"/>
      <c r="C177" s="19" t="s">
        <v>871</v>
      </c>
      <c r="D177" s="19" t="s">
        <v>779</v>
      </c>
      <c r="E177" s="13" t="s">
        <v>739</v>
      </c>
      <c r="F177" s="13" t="s">
        <v>489</v>
      </c>
      <c r="AQ177" s="16"/>
      <c r="AR177" s="16"/>
      <c r="AS177" s="16"/>
      <c r="AV177" s="16"/>
    </row>
    <row r="178" spans="2:48">
      <c r="B178"/>
      <c r="C178" s="19" t="s">
        <v>871</v>
      </c>
      <c r="D178" s="19" t="s">
        <v>779</v>
      </c>
      <c r="E178" s="13" t="s">
        <v>740</v>
      </c>
      <c r="F178" s="13" t="s">
        <v>489</v>
      </c>
      <c r="AQ178" s="16"/>
      <c r="AR178" s="16"/>
      <c r="AS178" s="16"/>
      <c r="AV178" s="16"/>
    </row>
    <row r="179" spans="2:48">
      <c r="B179"/>
      <c r="C179" s="19" t="s">
        <v>871</v>
      </c>
      <c r="D179" s="19" t="s">
        <v>779</v>
      </c>
      <c r="E179" s="13" t="s">
        <v>741</v>
      </c>
      <c r="F179" s="13" t="s">
        <v>489</v>
      </c>
      <c r="AQ179" s="16"/>
      <c r="AR179" s="16"/>
      <c r="AS179" s="16"/>
      <c r="AV179" s="16"/>
    </row>
    <row r="180" spans="2:48">
      <c r="B180"/>
      <c r="C180" s="19" t="s">
        <v>871</v>
      </c>
      <c r="D180" s="19" t="s">
        <v>779</v>
      </c>
      <c r="E180" s="13" t="s">
        <v>742</v>
      </c>
      <c r="F180" s="13" t="s">
        <v>489</v>
      </c>
      <c r="AQ180" s="16"/>
      <c r="AR180" s="16"/>
      <c r="AS180" s="16"/>
      <c r="AV180" s="16"/>
    </row>
    <row r="181" spans="2:48">
      <c r="B181"/>
      <c r="C181" s="19" t="s">
        <v>871</v>
      </c>
      <c r="D181" s="19" t="s">
        <v>779</v>
      </c>
      <c r="E181" s="13" t="s">
        <v>743</v>
      </c>
      <c r="F181" s="13" t="s">
        <v>489</v>
      </c>
      <c r="AQ181" s="16"/>
      <c r="AR181" s="16"/>
      <c r="AS181" s="16"/>
      <c r="AV181" s="16"/>
    </row>
    <row r="182" spans="2:48">
      <c r="B182"/>
      <c r="C182" s="19" t="s">
        <v>871</v>
      </c>
      <c r="D182" s="19" t="s">
        <v>779</v>
      </c>
      <c r="E182" s="13" t="s">
        <v>744</v>
      </c>
      <c r="F182" s="13" t="s">
        <v>489</v>
      </c>
      <c r="AQ182" s="16"/>
      <c r="AR182" s="16"/>
      <c r="AS182" s="16"/>
      <c r="AV182" s="16"/>
    </row>
    <row r="183" spans="2:48">
      <c r="B183"/>
      <c r="C183" s="19" t="s">
        <v>871</v>
      </c>
      <c r="D183" s="19" t="s">
        <v>779</v>
      </c>
      <c r="E183" s="13" t="s">
        <v>745</v>
      </c>
      <c r="F183" s="13" t="s">
        <v>489</v>
      </c>
      <c r="AQ183" s="16"/>
      <c r="AR183" s="16"/>
      <c r="AS183" s="16"/>
      <c r="AV183" s="16"/>
    </row>
    <row r="184" spans="2:48">
      <c r="B184"/>
      <c r="C184" s="19" t="s">
        <v>871</v>
      </c>
      <c r="D184" s="19" t="s">
        <v>779</v>
      </c>
      <c r="E184" s="13" t="s">
        <v>746</v>
      </c>
      <c r="F184" s="13" t="s">
        <v>489</v>
      </c>
      <c r="AQ184" s="16"/>
      <c r="AR184" s="16"/>
      <c r="AS184" s="16"/>
      <c r="AV184" s="16"/>
    </row>
    <row r="185" spans="2:48">
      <c r="B185"/>
      <c r="C185" s="19" t="s">
        <v>871</v>
      </c>
      <c r="D185" s="19" t="s">
        <v>779</v>
      </c>
      <c r="E185" s="13" t="s">
        <v>747</v>
      </c>
      <c r="F185" s="13" t="s">
        <v>489</v>
      </c>
      <c r="AQ185" s="16"/>
      <c r="AR185" s="16"/>
      <c r="AS185" s="16"/>
      <c r="AV185" s="16"/>
    </row>
    <row r="186" spans="2:48">
      <c r="B186"/>
      <c r="C186" s="19" t="s">
        <v>871</v>
      </c>
      <c r="D186" s="19" t="s">
        <v>779</v>
      </c>
      <c r="E186" s="13" t="s">
        <v>748</v>
      </c>
      <c r="F186" s="13" t="s">
        <v>489</v>
      </c>
      <c r="AQ186" s="16"/>
      <c r="AR186" s="16"/>
      <c r="AS186" s="16"/>
      <c r="AV186" s="16"/>
    </row>
    <row r="187" spans="2:48">
      <c r="B187"/>
      <c r="C187" s="19" t="s">
        <v>871</v>
      </c>
      <c r="D187" s="19" t="s">
        <v>779</v>
      </c>
      <c r="E187" s="13" t="s">
        <v>749</v>
      </c>
      <c r="F187" s="13" t="s">
        <v>489</v>
      </c>
      <c r="AQ187" s="16"/>
      <c r="AR187" s="16"/>
      <c r="AS187" s="16"/>
      <c r="AV187" s="16"/>
    </row>
    <row r="188" spans="2:48">
      <c r="B188"/>
      <c r="C188" s="19" t="s">
        <v>871</v>
      </c>
      <c r="D188" s="19" t="s">
        <v>779</v>
      </c>
      <c r="E188" s="13" t="s">
        <v>750</v>
      </c>
      <c r="F188" s="13" t="s">
        <v>489</v>
      </c>
    </row>
    <row r="189" spans="2:48">
      <c r="B189"/>
      <c r="C189" s="19" t="s">
        <v>871</v>
      </c>
      <c r="D189" s="19" t="s">
        <v>779</v>
      </c>
      <c r="E189" s="13" t="s">
        <v>751</v>
      </c>
      <c r="F189" s="13" t="s">
        <v>489</v>
      </c>
    </row>
    <row r="190" spans="2:48">
      <c r="B190"/>
      <c r="C190" s="19" t="s">
        <v>871</v>
      </c>
      <c r="D190" s="19" t="s">
        <v>779</v>
      </c>
      <c r="E190" s="13" t="s">
        <v>752</v>
      </c>
      <c r="F190" s="13" t="s">
        <v>489</v>
      </c>
    </row>
    <row r="191" spans="2:48">
      <c r="B191"/>
      <c r="C191" s="19" t="s">
        <v>871</v>
      </c>
      <c r="D191" s="19" t="s">
        <v>779</v>
      </c>
      <c r="E191" s="13" t="s">
        <v>753</v>
      </c>
      <c r="F191" s="13" t="s">
        <v>489</v>
      </c>
    </row>
    <row r="192" spans="2:48">
      <c r="B192"/>
      <c r="C192" s="19" t="s">
        <v>871</v>
      </c>
      <c r="D192" s="19" t="s">
        <v>779</v>
      </c>
      <c r="E192" s="13" t="s">
        <v>754</v>
      </c>
      <c r="F192" s="13" t="s">
        <v>489</v>
      </c>
    </row>
    <row r="193" spans="2:6">
      <c r="B193"/>
      <c r="C193" s="19" t="s">
        <v>871</v>
      </c>
      <c r="D193" s="19" t="s">
        <v>779</v>
      </c>
      <c r="E193" s="13" t="s">
        <v>755</v>
      </c>
      <c r="F193" s="13" t="s">
        <v>489</v>
      </c>
    </row>
    <row r="194" spans="2:6">
      <c r="B194"/>
      <c r="C194" s="19" t="s">
        <v>871</v>
      </c>
      <c r="D194" s="19" t="s">
        <v>779</v>
      </c>
      <c r="E194" s="13" t="s">
        <v>756</v>
      </c>
      <c r="F194" s="13" t="s">
        <v>489</v>
      </c>
    </row>
    <row r="195" spans="2:6">
      <c r="B195"/>
      <c r="C195" s="19" t="s">
        <v>871</v>
      </c>
      <c r="D195" s="19" t="s">
        <v>779</v>
      </c>
      <c r="E195" s="13" t="s">
        <v>757</v>
      </c>
      <c r="F195" s="13" t="s">
        <v>489</v>
      </c>
    </row>
    <row r="196" spans="2:6">
      <c r="B196"/>
      <c r="C196" s="19" t="s">
        <v>871</v>
      </c>
      <c r="D196" s="19" t="s">
        <v>779</v>
      </c>
      <c r="E196" s="13" t="s">
        <v>758</v>
      </c>
      <c r="F196" s="13" t="s">
        <v>489</v>
      </c>
    </row>
    <row r="197" spans="2:6">
      <c r="B197"/>
      <c r="C197" s="19" t="s">
        <v>871</v>
      </c>
      <c r="D197" s="19" t="s">
        <v>779</v>
      </c>
      <c r="E197" s="13" t="s">
        <v>759</v>
      </c>
      <c r="F197" s="13" t="s">
        <v>489</v>
      </c>
    </row>
    <row r="198" spans="2:6">
      <c r="B198"/>
      <c r="C198" s="19" t="s">
        <v>871</v>
      </c>
      <c r="D198" s="19" t="s">
        <v>779</v>
      </c>
      <c r="E198" s="13" t="s">
        <v>760</v>
      </c>
      <c r="F198" s="13" t="s">
        <v>489</v>
      </c>
    </row>
    <row r="199" spans="2:6">
      <c r="B199"/>
      <c r="C199" s="19" t="s">
        <v>871</v>
      </c>
      <c r="D199" s="19" t="s">
        <v>779</v>
      </c>
      <c r="E199" s="13" t="s">
        <v>761</v>
      </c>
      <c r="F199" s="13" t="s">
        <v>489</v>
      </c>
    </row>
    <row r="200" spans="2:6">
      <c r="B200"/>
      <c r="C200" s="19" t="s">
        <v>871</v>
      </c>
      <c r="D200" s="19" t="s">
        <v>779</v>
      </c>
      <c r="E200" s="13" t="s">
        <v>762</v>
      </c>
      <c r="F200" s="13" t="s">
        <v>489</v>
      </c>
    </row>
    <row r="201" spans="2:6">
      <c r="B201"/>
      <c r="C201" s="19" t="s">
        <v>871</v>
      </c>
      <c r="D201" s="19" t="s">
        <v>779</v>
      </c>
      <c r="E201" s="13" t="s">
        <v>763</v>
      </c>
      <c r="F201" s="13" t="s">
        <v>489</v>
      </c>
    </row>
    <row r="202" spans="2:6">
      <c r="B202"/>
      <c r="C202" s="19" t="s">
        <v>871</v>
      </c>
      <c r="D202" s="19" t="s">
        <v>779</v>
      </c>
      <c r="E202" s="13" t="s">
        <v>764</v>
      </c>
      <c r="F202" s="13" t="s">
        <v>489</v>
      </c>
    </row>
    <row r="203" spans="2:6">
      <c r="B203"/>
      <c r="C203" s="19" t="s">
        <v>871</v>
      </c>
      <c r="D203" s="19" t="s">
        <v>779</v>
      </c>
      <c r="E203" s="13" t="s">
        <v>765</v>
      </c>
      <c r="F203" s="13" t="s">
        <v>489</v>
      </c>
    </row>
    <row r="204" spans="2:6">
      <c r="B204"/>
      <c r="C204" s="18" t="s">
        <v>871</v>
      </c>
      <c r="D204" s="18" t="s">
        <v>797</v>
      </c>
      <c r="E204" s="17" t="s">
        <v>798</v>
      </c>
      <c r="F204" s="17" t="s">
        <v>490</v>
      </c>
    </row>
    <row r="205" spans="2:6">
      <c r="B205"/>
      <c r="C205" s="18" t="s">
        <v>871</v>
      </c>
      <c r="D205" s="18" t="s">
        <v>797</v>
      </c>
      <c r="E205" s="17" t="s">
        <v>799</v>
      </c>
      <c r="F205" s="17" t="s">
        <v>490</v>
      </c>
    </row>
    <row r="206" spans="2:6">
      <c r="B206"/>
      <c r="C206" s="18" t="s">
        <v>871</v>
      </c>
      <c r="D206" s="18" t="s">
        <v>797</v>
      </c>
      <c r="E206" s="17" t="s">
        <v>800</v>
      </c>
      <c r="F206" s="17" t="s">
        <v>490</v>
      </c>
    </row>
    <row r="207" spans="2:6">
      <c r="B207"/>
      <c r="C207" s="18" t="s">
        <v>871</v>
      </c>
      <c r="D207" s="18" t="s">
        <v>797</v>
      </c>
      <c r="E207" s="17" t="s">
        <v>801</v>
      </c>
      <c r="F207" s="17" t="s">
        <v>490</v>
      </c>
    </row>
    <row r="208" spans="2:6">
      <c r="B208"/>
      <c r="C208" s="18" t="s">
        <v>871</v>
      </c>
      <c r="D208" s="18" t="s">
        <v>797</v>
      </c>
      <c r="E208" s="17" t="s">
        <v>802</v>
      </c>
      <c r="F208" s="17" t="s">
        <v>490</v>
      </c>
    </row>
    <row r="209" spans="2:6">
      <c r="B209"/>
      <c r="C209" s="18" t="s">
        <v>871</v>
      </c>
      <c r="D209" s="18" t="s">
        <v>797</v>
      </c>
      <c r="E209" s="14" t="s">
        <v>803</v>
      </c>
      <c r="F209" s="14" t="s">
        <v>491</v>
      </c>
    </row>
    <row r="210" spans="2:6">
      <c r="B210"/>
      <c r="C210" s="18" t="s">
        <v>871</v>
      </c>
      <c r="D210" s="18" t="s">
        <v>797</v>
      </c>
      <c r="E210" s="14" t="s">
        <v>804</v>
      </c>
      <c r="F210" s="14" t="s">
        <v>491</v>
      </c>
    </row>
    <row r="211" spans="2:6">
      <c r="B211"/>
      <c r="C211" s="18" t="s">
        <v>871</v>
      </c>
      <c r="D211" s="18" t="s">
        <v>797</v>
      </c>
      <c r="E211" s="14" t="s">
        <v>805</v>
      </c>
      <c r="F211" s="14" t="s">
        <v>491</v>
      </c>
    </row>
    <row r="212" spans="2:6">
      <c r="B212"/>
      <c r="C212" s="18" t="s">
        <v>871</v>
      </c>
      <c r="D212" s="18" t="s">
        <v>797</v>
      </c>
      <c r="E212" s="14" t="s">
        <v>465</v>
      </c>
      <c r="F212" s="14" t="s">
        <v>491</v>
      </c>
    </row>
    <row r="213" spans="2:6">
      <c r="B213"/>
      <c r="C213" s="18" t="s">
        <v>871</v>
      </c>
      <c r="D213" s="18" t="s">
        <v>797</v>
      </c>
      <c r="E213" s="14" t="s">
        <v>806</v>
      </c>
      <c r="F213" s="14" t="s">
        <v>491</v>
      </c>
    </row>
    <row r="214" spans="2:6">
      <c r="B214"/>
      <c r="C214" s="18" t="s">
        <v>871</v>
      </c>
      <c r="D214" s="18" t="s">
        <v>797</v>
      </c>
      <c r="E214" s="14" t="s">
        <v>807</v>
      </c>
      <c r="F214" s="14" t="s">
        <v>491</v>
      </c>
    </row>
    <row r="215" spans="2:6">
      <c r="B215"/>
      <c r="C215" s="18" t="s">
        <v>871</v>
      </c>
      <c r="D215" s="18" t="s">
        <v>797</v>
      </c>
      <c r="E215" s="14" t="s">
        <v>808</v>
      </c>
      <c r="F215" s="14" t="s">
        <v>491</v>
      </c>
    </row>
    <row r="216" spans="2:6">
      <c r="B216"/>
      <c r="C216" s="18" t="s">
        <v>871</v>
      </c>
      <c r="D216" s="18" t="s">
        <v>797</v>
      </c>
      <c r="E216" s="14" t="s">
        <v>809</v>
      </c>
      <c r="F216" s="14" t="s">
        <v>491</v>
      </c>
    </row>
    <row r="217" spans="2:6">
      <c r="B217"/>
      <c r="C217" s="18" t="s">
        <v>871</v>
      </c>
      <c r="D217" s="18" t="s">
        <v>797</v>
      </c>
      <c r="E217" s="14" t="s">
        <v>810</v>
      </c>
      <c r="F217" s="14" t="s">
        <v>491</v>
      </c>
    </row>
    <row r="218" spans="2:6">
      <c r="B218"/>
      <c r="C218" s="18" t="s">
        <v>871</v>
      </c>
      <c r="D218" s="18" t="s">
        <v>797</v>
      </c>
      <c r="E218" s="14" t="s">
        <v>811</v>
      </c>
      <c r="F218" s="14" t="s">
        <v>491</v>
      </c>
    </row>
    <row r="219" spans="2:6">
      <c r="B219"/>
      <c r="C219" s="18" t="s">
        <v>871</v>
      </c>
      <c r="D219" s="18" t="s">
        <v>797</v>
      </c>
      <c r="E219" s="14" t="s">
        <v>812</v>
      </c>
      <c r="F219" s="14" t="s">
        <v>491</v>
      </c>
    </row>
    <row r="220" spans="2:6">
      <c r="B220"/>
      <c r="C220" s="18" t="s">
        <v>871</v>
      </c>
      <c r="D220" s="18" t="s">
        <v>797</v>
      </c>
      <c r="E220" s="14" t="s">
        <v>813</v>
      </c>
      <c r="F220" s="14" t="s">
        <v>491</v>
      </c>
    </row>
    <row r="221" spans="2:6">
      <c r="B221"/>
      <c r="C221" s="18" t="s">
        <v>871</v>
      </c>
      <c r="D221" s="18" t="s">
        <v>797</v>
      </c>
      <c r="E221" s="14" t="s">
        <v>814</v>
      </c>
      <c r="F221" s="14" t="s">
        <v>491</v>
      </c>
    </row>
    <row r="222" spans="2:6">
      <c r="B222"/>
      <c r="C222" s="18" t="s">
        <v>871</v>
      </c>
      <c r="D222" s="18" t="s">
        <v>797</v>
      </c>
      <c r="E222" s="14" t="s">
        <v>815</v>
      </c>
      <c r="F222" s="14" t="s">
        <v>491</v>
      </c>
    </row>
    <row r="223" spans="2:6">
      <c r="B223"/>
      <c r="C223" s="18" t="s">
        <v>871</v>
      </c>
      <c r="D223" s="18" t="s">
        <v>797</v>
      </c>
      <c r="E223" s="14" t="s">
        <v>816</v>
      </c>
      <c r="F223" s="14" t="s">
        <v>491</v>
      </c>
    </row>
    <row r="224" spans="2:6">
      <c r="B224"/>
      <c r="C224" s="18" t="s">
        <v>871</v>
      </c>
      <c r="D224" s="18" t="s">
        <v>797</v>
      </c>
      <c r="E224" s="14" t="s">
        <v>817</v>
      </c>
      <c r="F224" s="14" t="s">
        <v>491</v>
      </c>
    </row>
    <row r="225" spans="2:6">
      <c r="B225"/>
      <c r="C225" s="18" t="s">
        <v>871</v>
      </c>
      <c r="D225" s="18" t="s">
        <v>797</v>
      </c>
      <c r="E225" s="14" t="s">
        <v>818</v>
      </c>
      <c r="F225" s="14" t="s">
        <v>491</v>
      </c>
    </row>
    <row r="226" spans="2:6">
      <c r="B226"/>
      <c r="C226" s="18" t="s">
        <v>871</v>
      </c>
      <c r="D226" s="18" t="s">
        <v>797</v>
      </c>
      <c r="E226" s="14" t="s">
        <v>819</v>
      </c>
      <c r="F226" s="14" t="s">
        <v>491</v>
      </c>
    </row>
    <row r="227" spans="2:6">
      <c r="B227"/>
      <c r="C227" s="18" t="s">
        <v>871</v>
      </c>
      <c r="D227" s="18" t="s">
        <v>797</v>
      </c>
      <c r="E227" s="14" t="s">
        <v>820</v>
      </c>
      <c r="F227" s="14" t="s">
        <v>491</v>
      </c>
    </row>
    <row r="228" spans="2:6">
      <c r="B228"/>
      <c r="C228" s="18" t="s">
        <v>871</v>
      </c>
      <c r="D228" s="18" t="s">
        <v>797</v>
      </c>
      <c r="E228" s="14" t="s">
        <v>821</v>
      </c>
      <c r="F228" s="14" t="s">
        <v>491</v>
      </c>
    </row>
    <row r="229" spans="2:6">
      <c r="B229"/>
      <c r="C229" s="18" t="s">
        <v>871</v>
      </c>
      <c r="D229" s="18" t="s">
        <v>797</v>
      </c>
      <c r="E229" s="14" t="s">
        <v>822</v>
      </c>
      <c r="F229" s="14" t="s">
        <v>491</v>
      </c>
    </row>
    <row r="230" spans="2:6">
      <c r="B230"/>
      <c r="C230" s="18" t="s">
        <v>871</v>
      </c>
      <c r="D230" s="18" t="s">
        <v>797</v>
      </c>
      <c r="E230" s="14" t="s">
        <v>823</v>
      </c>
      <c r="F230" s="14" t="s">
        <v>491</v>
      </c>
    </row>
    <row r="231" spans="2:6">
      <c r="B231"/>
      <c r="C231" s="18" t="s">
        <v>871</v>
      </c>
      <c r="D231" s="18" t="s">
        <v>797</v>
      </c>
      <c r="E231" s="14" t="s">
        <v>824</v>
      </c>
      <c r="F231" s="14" t="s">
        <v>491</v>
      </c>
    </row>
    <row r="232" spans="2:6">
      <c r="B232"/>
      <c r="C232" s="18" t="s">
        <v>871</v>
      </c>
      <c r="D232" s="18" t="s">
        <v>797</v>
      </c>
      <c r="E232" s="14" t="s">
        <v>825</v>
      </c>
      <c r="F232" s="14" t="s">
        <v>491</v>
      </c>
    </row>
    <row r="233" spans="2:6">
      <c r="B233"/>
      <c r="C233" s="18" t="s">
        <v>871</v>
      </c>
      <c r="D233" s="18" t="s">
        <v>797</v>
      </c>
      <c r="E233" s="14" t="s">
        <v>826</v>
      </c>
      <c r="F233" s="14" t="s">
        <v>491</v>
      </c>
    </row>
    <row r="234" spans="2:6">
      <c r="B234"/>
      <c r="C234" s="18" t="s">
        <v>871</v>
      </c>
      <c r="D234" s="18" t="s">
        <v>797</v>
      </c>
      <c r="E234" s="14" t="s">
        <v>827</v>
      </c>
      <c r="F234" s="14" t="s">
        <v>491</v>
      </c>
    </row>
    <row r="235" spans="2:6">
      <c r="B235"/>
      <c r="C235" s="18" t="s">
        <v>871</v>
      </c>
      <c r="D235" s="18" t="s">
        <v>797</v>
      </c>
      <c r="E235" s="14" t="s">
        <v>828</v>
      </c>
      <c r="F235" s="14" t="s">
        <v>491</v>
      </c>
    </row>
    <row r="236" spans="2:6">
      <c r="B236"/>
      <c r="C236" s="18" t="s">
        <v>871</v>
      </c>
      <c r="D236" s="18" t="s">
        <v>797</v>
      </c>
      <c r="E236" s="14" t="s">
        <v>829</v>
      </c>
      <c r="F236" s="14" t="s">
        <v>491</v>
      </c>
    </row>
    <row r="237" spans="2:6">
      <c r="B237"/>
      <c r="C237" s="18" t="s">
        <v>871</v>
      </c>
      <c r="D237" s="18" t="s">
        <v>797</v>
      </c>
      <c r="E237" s="14" t="s">
        <v>830</v>
      </c>
      <c r="F237" s="14" t="s">
        <v>491</v>
      </c>
    </row>
    <row r="238" spans="2:6">
      <c r="B238"/>
      <c r="C238" s="18" t="s">
        <v>871</v>
      </c>
      <c r="D238" s="18" t="s">
        <v>797</v>
      </c>
      <c r="E238" s="14" t="s">
        <v>831</v>
      </c>
      <c r="F238" s="14" t="s">
        <v>491</v>
      </c>
    </row>
    <row r="239" spans="2:6">
      <c r="B239"/>
      <c r="C239" s="18" t="s">
        <v>871</v>
      </c>
      <c r="D239" s="18" t="s">
        <v>797</v>
      </c>
      <c r="E239" s="14" t="s">
        <v>832</v>
      </c>
      <c r="F239" s="14" t="s">
        <v>491</v>
      </c>
    </row>
    <row r="240" spans="2:6">
      <c r="B240"/>
      <c r="C240" s="18" t="s">
        <v>871</v>
      </c>
      <c r="D240" s="18" t="s">
        <v>797</v>
      </c>
      <c r="E240" s="14" t="s">
        <v>833</v>
      </c>
      <c r="F240" s="14" t="s">
        <v>491</v>
      </c>
    </row>
    <row r="241" spans="2:6">
      <c r="B241"/>
      <c r="C241" s="18" t="s">
        <v>871</v>
      </c>
      <c r="D241" s="18" t="s">
        <v>797</v>
      </c>
      <c r="E241" s="14" t="s">
        <v>834</v>
      </c>
      <c r="F241" s="14" t="s">
        <v>491</v>
      </c>
    </row>
    <row r="242" spans="2:6">
      <c r="B242"/>
      <c r="C242" s="18" t="s">
        <v>871</v>
      </c>
      <c r="D242" s="18" t="s">
        <v>797</v>
      </c>
      <c r="E242" s="14" t="s">
        <v>835</v>
      </c>
      <c r="F242" s="14" t="s">
        <v>491</v>
      </c>
    </row>
    <row r="243" spans="2:6">
      <c r="B243"/>
      <c r="C243" s="18" t="s">
        <v>871</v>
      </c>
      <c r="D243" s="18" t="s">
        <v>797</v>
      </c>
      <c r="E243" s="14" t="s">
        <v>836</v>
      </c>
      <c r="F243" s="14" t="s">
        <v>491</v>
      </c>
    </row>
    <row r="244" spans="2:6">
      <c r="B244"/>
      <c r="C244" s="18" t="s">
        <v>871</v>
      </c>
      <c r="D244" s="18" t="s">
        <v>797</v>
      </c>
      <c r="E244" s="14" t="s">
        <v>837</v>
      </c>
      <c r="F244" s="14" t="s">
        <v>491</v>
      </c>
    </row>
    <row r="245" spans="2:6">
      <c r="B245"/>
      <c r="C245" s="18" t="s">
        <v>871</v>
      </c>
      <c r="D245" s="18" t="s">
        <v>797</v>
      </c>
      <c r="E245" s="14" t="s">
        <v>838</v>
      </c>
      <c r="F245" s="14" t="s">
        <v>491</v>
      </c>
    </row>
    <row r="246" spans="2:6">
      <c r="B246"/>
      <c r="C246" s="19" t="s">
        <v>871</v>
      </c>
      <c r="D246" s="19" t="s">
        <v>596</v>
      </c>
      <c r="E246" s="17" t="s">
        <v>588</v>
      </c>
      <c r="F246" s="17" t="s">
        <v>490</v>
      </c>
    </row>
    <row r="247" spans="2:6">
      <c r="B247"/>
      <c r="C247" s="19" t="s">
        <v>871</v>
      </c>
      <c r="D247" s="19" t="s">
        <v>596</v>
      </c>
      <c r="E247" s="17" t="s">
        <v>589</v>
      </c>
      <c r="F247" s="17" t="s">
        <v>490</v>
      </c>
    </row>
    <row r="248" spans="2:6">
      <c r="B248"/>
      <c r="C248" s="19" t="s">
        <v>871</v>
      </c>
      <c r="D248" s="19" t="s">
        <v>596</v>
      </c>
      <c r="E248" s="17" t="s">
        <v>590</v>
      </c>
      <c r="F248" s="17" t="s">
        <v>490</v>
      </c>
    </row>
    <row r="249" spans="2:6">
      <c r="B249"/>
      <c r="C249" s="19" t="s">
        <v>871</v>
      </c>
      <c r="D249" s="19" t="s">
        <v>596</v>
      </c>
      <c r="E249" s="17" t="s">
        <v>462</v>
      </c>
      <c r="F249" s="17" t="s">
        <v>490</v>
      </c>
    </row>
    <row r="250" spans="2:6">
      <c r="B250"/>
      <c r="C250" s="19" t="s">
        <v>871</v>
      </c>
      <c r="D250" s="19" t="s">
        <v>596</v>
      </c>
      <c r="E250" s="17" t="s">
        <v>591</v>
      </c>
      <c r="F250" s="17" t="s">
        <v>490</v>
      </c>
    </row>
    <row r="251" spans="2:6">
      <c r="B251"/>
      <c r="C251" s="19" t="s">
        <v>871</v>
      </c>
      <c r="D251" s="19" t="s">
        <v>596</v>
      </c>
      <c r="E251" s="17" t="s">
        <v>592</v>
      </c>
      <c r="F251" s="17" t="s">
        <v>490</v>
      </c>
    </row>
    <row r="252" spans="2:6">
      <c r="B252"/>
      <c r="C252" s="19" t="s">
        <v>871</v>
      </c>
      <c r="D252" s="19" t="s">
        <v>596</v>
      </c>
      <c r="E252" s="17" t="s">
        <v>593</v>
      </c>
      <c r="F252" s="17" t="s">
        <v>490</v>
      </c>
    </row>
    <row r="253" spans="2:6">
      <c r="B253"/>
      <c r="C253" s="19" t="s">
        <v>871</v>
      </c>
      <c r="D253" s="19" t="s">
        <v>596</v>
      </c>
      <c r="E253" s="17" t="s">
        <v>594</v>
      </c>
      <c r="F253" s="17" t="s">
        <v>490</v>
      </c>
    </row>
    <row r="254" spans="2:6">
      <c r="B254"/>
      <c r="C254" s="19" t="s">
        <v>871</v>
      </c>
      <c r="D254" s="19" t="s">
        <v>596</v>
      </c>
      <c r="E254" s="17" t="s">
        <v>595</v>
      </c>
      <c r="F254" s="17" t="s">
        <v>490</v>
      </c>
    </row>
    <row r="255" spans="2:6">
      <c r="B255"/>
      <c r="C255" s="19" t="s">
        <v>871</v>
      </c>
      <c r="D255" s="19" t="s">
        <v>596</v>
      </c>
      <c r="E255" s="14" t="s">
        <v>564</v>
      </c>
      <c r="F255" s="14" t="s">
        <v>491</v>
      </c>
    </row>
    <row r="256" spans="2:6">
      <c r="B256"/>
      <c r="C256" s="19" t="s">
        <v>871</v>
      </c>
      <c r="D256" s="19" t="s">
        <v>596</v>
      </c>
      <c r="E256" s="14" t="s">
        <v>565</v>
      </c>
      <c r="F256" s="14" t="s">
        <v>491</v>
      </c>
    </row>
    <row r="257" spans="2:6">
      <c r="B257"/>
      <c r="C257" s="19" t="s">
        <v>871</v>
      </c>
      <c r="D257" s="19" t="s">
        <v>596</v>
      </c>
      <c r="E257" s="14" t="s">
        <v>566</v>
      </c>
      <c r="F257" s="14" t="s">
        <v>491</v>
      </c>
    </row>
    <row r="258" spans="2:6">
      <c r="B258"/>
      <c r="C258" s="19" t="s">
        <v>871</v>
      </c>
      <c r="D258" s="19" t="s">
        <v>596</v>
      </c>
      <c r="E258" s="14" t="s">
        <v>567</v>
      </c>
      <c r="F258" s="14" t="s">
        <v>491</v>
      </c>
    </row>
    <row r="259" spans="2:6">
      <c r="B259"/>
      <c r="C259" s="19" t="s">
        <v>871</v>
      </c>
      <c r="D259" s="19" t="s">
        <v>596</v>
      </c>
      <c r="E259" s="14" t="s">
        <v>568</v>
      </c>
      <c r="F259" s="14" t="s">
        <v>491</v>
      </c>
    </row>
    <row r="260" spans="2:6">
      <c r="B260"/>
      <c r="C260" s="19" t="s">
        <v>871</v>
      </c>
      <c r="D260" s="19" t="s">
        <v>596</v>
      </c>
      <c r="E260" s="14" t="s">
        <v>569</v>
      </c>
      <c r="F260" s="14" t="s">
        <v>491</v>
      </c>
    </row>
    <row r="261" spans="2:6">
      <c r="B261"/>
      <c r="C261" s="19" t="s">
        <v>871</v>
      </c>
      <c r="D261" s="19" t="s">
        <v>596</v>
      </c>
      <c r="E261" s="14" t="s">
        <v>570</v>
      </c>
      <c r="F261" s="14" t="s">
        <v>491</v>
      </c>
    </row>
    <row r="262" spans="2:6">
      <c r="B262"/>
      <c r="C262" s="19" t="s">
        <v>871</v>
      </c>
      <c r="D262" s="19" t="s">
        <v>596</v>
      </c>
      <c r="E262" s="14" t="s">
        <v>571</v>
      </c>
      <c r="F262" s="14" t="s">
        <v>491</v>
      </c>
    </row>
    <row r="263" spans="2:6">
      <c r="B263"/>
      <c r="C263" s="19" t="s">
        <v>871</v>
      </c>
      <c r="D263" s="19" t="s">
        <v>596</v>
      </c>
      <c r="E263" s="14" t="s">
        <v>572</v>
      </c>
      <c r="F263" s="14" t="s">
        <v>491</v>
      </c>
    </row>
    <row r="264" spans="2:6">
      <c r="B264"/>
      <c r="C264" s="19" t="s">
        <v>871</v>
      </c>
      <c r="D264" s="19" t="s">
        <v>596</v>
      </c>
      <c r="E264" s="14" t="s">
        <v>573</v>
      </c>
      <c r="F264" s="14" t="s">
        <v>491</v>
      </c>
    </row>
    <row r="265" spans="2:6">
      <c r="B265"/>
      <c r="C265" s="19" t="s">
        <v>871</v>
      </c>
      <c r="D265" s="19" t="s">
        <v>596</v>
      </c>
      <c r="E265" s="14" t="s">
        <v>574</v>
      </c>
      <c r="F265" s="14" t="s">
        <v>491</v>
      </c>
    </row>
    <row r="266" spans="2:6">
      <c r="B266"/>
      <c r="C266" s="19" t="s">
        <v>871</v>
      </c>
      <c r="D266" s="19" t="s">
        <v>596</v>
      </c>
      <c r="E266" s="14" t="s">
        <v>575</v>
      </c>
      <c r="F266" s="14" t="s">
        <v>491</v>
      </c>
    </row>
    <row r="267" spans="2:6">
      <c r="B267"/>
      <c r="C267" s="19" t="s">
        <v>871</v>
      </c>
      <c r="D267" s="19" t="s">
        <v>596</v>
      </c>
      <c r="E267" s="14" t="s">
        <v>576</v>
      </c>
      <c r="F267" s="14" t="s">
        <v>491</v>
      </c>
    </row>
    <row r="268" spans="2:6">
      <c r="B268"/>
      <c r="C268" s="19" t="s">
        <v>871</v>
      </c>
      <c r="D268" s="19" t="s">
        <v>596</v>
      </c>
      <c r="E268" s="14" t="s">
        <v>577</v>
      </c>
      <c r="F268" s="14" t="s">
        <v>491</v>
      </c>
    </row>
    <row r="269" spans="2:6">
      <c r="B269"/>
      <c r="C269" s="19" t="s">
        <v>871</v>
      </c>
      <c r="D269" s="19" t="s">
        <v>596</v>
      </c>
      <c r="E269" s="14" t="s">
        <v>578</v>
      </c>
      <c r="F269" s="14" t="s">
        <v>491</v>
      </c>
    </row>
    <row r="270" spans="2:6">
      <c r="B270"/>
      <c r="C270" s="19" t="s">
        <v>871</v>
      </c>
      <c r="D270" s="19" t="s">
        <v>596</v>
      </c>
      <c r="E270" s="14" t="s">
        <v>579</v>
      </c>
      <c r="F270" s="14" t="s">
        <v>491</v>
      </c>
    </row>
    <row r="271" spans="2:6">
      <c r="B271"/>
      <c r="C271" s="19" t="s">
        <v>871</v>
      </c>
      <c r="D271" s="19" t="s">
        <v>596</v>
      </c>
      <c r="E271" s="14" t="s">
        <v>580</v>
      </c>
      <c r="F271" s="14" t="s">
        <v>491</v>
      </c>
    </row>
    <row r="272" spans="2:6">
      <c r="B272"/>
      <c r="C272" s="19" t="s">
        <v>871</v>
      </c>
      <c r="D272" s="19" t="s">
        <v>596</v>
      </c>
      <c r="E272" s="14" t="s">
        <v>581</v>
      </c>
      <c r="F272" s="14" t="s">
        <v>491</v>
      </c>
    </row>
    <row r="273" spans="2:6">
      <c r="B273"/>
      <c r="C273" s="19" t="s">
        <v>871</v>
      </c>
      <c r="D273" s="19" t="s">
        <v>596</v>
      </c>
      <c r="E273" s="14" t="s">
        <v>582</v>
      </c>
      <c r="F273" s="14" t="s">
        <v>491</v>
      </c>
    </row>
    <row r="274" spans="2:6">
      <c r="B274"/>
      <c r="C274" s="19" t="s">
        <v>871</v>
      </c>
      <c r="D274" s="19" t="s">
        <v>596</v>
      </c>
      <c r="E274" s="14" t="s">
        <v>583</v>
      </c>
      <c r="F274" s="14" t="s">
        <v>491</v>
      </c>
    </row>
    <row r="275" spans="2:6">
      <c r="B275"/>
      <c r="C275" s="19" t="s">
        <v>871</v>
      </c>
      <c r="D275" s="19" t="s">
        <v>596</v>
      </c>
      <c r="E275" s="14" t="s">
        <v>584</v>
      </c>
      <c r="F275" s="14" t="s">
        <v>491</v>
      </c>
    </row>
    <row r="276" spans="2:6">
      <c r="B276"/>
      <c r="C276" s="19" t="s">
        <v>871</v>
      </c>
      <c r="D276" s="19" t="s">
        <v>596</v>
      </c>
      <c r="E276" s="14" t="s">
        <v>585</v>
      </c>
      <c r="F276" s="14" t="s">
        <v>491</v>
      </c>
    </row>
    <row r="277" spans="2:6">
      <c r="B277"/>
      <c r="C277" s="19" t="s">
        <v>871</v>
      </c>
      <c r="D277" s="19" t="s">
        <v>596</v>
      </c>
      <c r="E277" s="14" t="s">
        <v>586</v>
      </c>
      <c r="F277" s="14" t="s">
        <v>491</v>
      </c>
    </row>
    <row r="278" spans="2:6">
      <c r="B278"/>
      <c r="C278" s="19" t="s">
        <v>871</v>
      </c>
      <c r="D278" s="19" t="s">
        <v>596</v>
      </c>
      <c r="E278" s="14" t="s">
        <v>587</v>
      </c>
      <c r="F278" s="14" t="s">
        <v>491</v>
      </c>
    </row>
    <row r="279" spans="2:6">
      <c r="B279"/>
      <c r="C279" s="18" t="s">
        <v>870</v>
      </c>
      <c r="D279" s="18" t="s">
        <v>429</v>
      </c>
      <c r="E279" s="14" t="s">
        <v>839</v>
      </c>
      <c r="F279" s="14" t="s">
        <v>491</v>
      </c>
    </row>
    <row r="280" spans="2:6">
      <c r="B280"/>
      <c r="C280" s="18" t="s">
        <v>870</v>
      </c>
      <c r="D280" s="18" t="s">
        <v>429</v>
      </c>
      <c r="E280" s="14" t="s">
        <v>840</v>
      </c>
      <c r="F280" s="14" t="s">
        <v>491</v>
      </c>
    </row>
    <row r="281" spans="2:6">
      <c r="B281"/>
      <c r="C281" s="18" t="s">
        <v>870</v>
      </c>
      <c r="D281" s="18" t="s">
        <v>429</v>
      </c>
      <c r="E281" s="14" t="s">
        <v>841</v>
      </c>
      <c r="F281" s="14" t="s">
        <v>491</v>
      </c>
    </row>
    <row r="282" spans="2:6">
      <c r="B282"/>
      <c r="C282" s="18" t="s">
        <v>870</v>
      </c>
      <c r="D282" s="18" t="s">
        <v>429</v>
      </c>
      <c r="E282" s="13" t="s">
        <v>842</v>
      </c>
      <c r="F282" s="13" t="s">
        <v>489</v>
      </c>
    </row>
    <row r="283" spans="2:6">
      <c r="B283"/>
      <c r="C283" s="18" t="s">
        <v>870</v>
      </c>
      <c r="D283" s="18" t="s">
        <v>429</v>
      </c>
      <c r="E283" s="13" t="s">
        <v>843</v>
      </c>
      <c r="F283" s="13" t="s">
        <v>489</v>
      </c>
    </row>
    <row r="284" spans="2:6">
      <c r="B284"/>
      <c r="C284" s="18" t="s">
        <v>870</v>
      </c>
      <c r="D284" s="18" t="s">
        <v>429</v>
      </c>
      <c r="E284" s="13" t="s">
        <v>844</v>
      </c>
      <c r="F284" s="13" t="s">
        <v>489</v>
      </c>
    </row>
    <row r="285" spans="2:6">
      <c r="B285"/>
      <c r="C285" s="18" t="s">
        <v>870</v>
      </c>
      <c r="D285" s="18" t="s">
        <v>429</v>
      </c>
      <c r="E285" s="13" t="s">
        <v>845</v>
      </c>
      <c r="F285" s="13" t="s">
        <v>489</v>
      </c>
    </row>
    <row r="286" spans="2:6">
      <c r="B286"/>
      <c r="C286" s="18" t="s">
        <v>870</v>
      </c>
      <c r="D286" s="18" t="s">
        <v>429</v>
      </c>
      <c r="E286" s="13" t="s">
        <v>846</v>
      </c>
      <c r="F286" s="13" t="s">
        <v>489</v>
      </c>
    </row>
    <row r="287" spans="2:6">
      <c r="B287"/>
      <c r="C287" s="18" t="s">
        <v>870</v>
      </c>
      <c r="D287" s="18" t="s">
        <v>429</v>
      </c>
      <c r="E287" s="13" t="s">
        <v>847</v>
      </c>
      <c r="F287" s="13" t="s">
        <v>489</v>
      </c>
    </row>
    <row r="288" spans="2:6">
      <c r="B288"/>
      <c r="C288" s="18" t="s">
        <v>870</v>
      </c>
      <c r="D288" s="18" t="s">
        <v>429</v>
      </c>
      <c r="E288" s="13" t="s">
        <v>848</v>
      </c>
      <c r="F288" s="13" t="s">
        <v>489</v>
      </c>
    </row>
    <row r="289" spans="2:6">
      <c r="B289"/>
      <c r="C289" s="18" t="s">
        <v>870</v>
      </c>
      <c r="D289" s="18" t="s">
        <v>429</v>
      </c>
      <c r="E289" s="13" t="s">
        <v>849</v>
      </c>
      <c r="F289" s="13" t="s">
        <v>489</v>
      </c>
    </row>
    <row r="290" spans="2:6">
      <c r="B290"/>
      <c r="C290" s="18" t="s">
        <v>870</v>
      </c>
      <c r="D290" s="18" t="s">
        <v>429</v>
      </c>
      <c r="E290" s="13" t="s">
        <v>850</v>
      </c>
      <c r="F290" s="13" t="s">
        <v>489</v>
      </c>
    </row>
    <row r="291" spans="2:6">
      <c r="B291"/>
      <c r="C291" s="18" t="s">
        <v>870</v>
      </c>
      <c r="D291" s="18" t="s">
        <v>429</v>
      </c>
      <c r="E291" s="13" t="s">
        <v>851</v>
      </c>
      <c r="F291" s="13" t="s">
        <v>489</v>
      </c>
    </row>
    <row r="292" spans="2:6">
      <c r="B292"/>
      <c r="C292" s="18" t="s">
        <v>870</v>
      </c>
      <c r="D292" s="18" t="s">
        <v>429</v>
      </c>
      <c r="E292" s="13" t="s">
        <v>852</v>
      </c>
      <c r="F292" s="13" t="s">
        <v>489</v>
      </c>
    </row>
    <row r="293" spans="2:6">
      <c r="B293"/>
      <c r="C293" s="18" t="s">
        <v>870</v>
      </c>
      <c r="D293" s="18" t="s">
        <v>429</v>
      </c>
      <c r="E293" s="13" t="s">
        <v>853</v>
      </c>
      <c r="F293" s="13" t="s">
        <v>489</v>
      </c>
    </row>
    <row r="294" spans="2:6">
      <c r="B294"/>
      <c r="C294" s="18" t="s">
        <v>870</v>
      </c>
      <c r="D294" s="18" t="s">
        <v>429</v>
      </c>
      <c r="E294" s="13" t="s">
        <v>854</v>
      </c>
      <c r="F294" s="13" t="s">
        <v>489</v>
      </c>
    </row>
    <row r="295" spans="2:6">
      <c r="B295"/>
      <c r="C295" s="18" t="s">
        <v>870</v>
      </c>
      <c r="D295" s="18" t="s">
        <v>429</v>
      </c>
      <c r="E295" s="13" t="s">
        <v>855</v>
      </c>
      <c r="F295" s="13" t="s">
        <v>489</v>
      </c>
    </row>
    <row r="296" spans="2:6">
      <c r="B296"/>
      <c r="C296" s="18" t="s">
        <v>870</v>
      </c>
      <c r="D296" s="18" t="s">
        <v>429</v>
      </c>
      <c r="E296" s="13" t="s">
        <v>856</v>
      </c>
      <c r="F296" s="13" t="s">
        <v>489</v>
      </c>
    </row>
    <row r="297" spans="2:6">
      <c r="B297"/>
      <c r="C297" s="18" t="s">
        <v>870</v>
      </c>
      <c r="D297" s="18" t="s">
        <v>429</v>
      </c>
      <c r="E297" s="13" t="s">
        <v>857</v>
      </c>
      <c r="F297" s="13" t="s">
        <v>489</v>
      </c>
    </row>
    <row r="298" spans="2:6">
      <c r="B298"/>
      <c r="C298" s="18" t="s">
        <v>870</v>
      </c>
      <c r="D298" s="18" t="s">
        <v>429</v>
      </c>
      <c r="E298" s="13" t="s">
        <v>858</v>
      </c>
      <c r="F298" s="13" t="s">
        <v>489</v>
      </c>
    </row>
    <row r="299" spans="2:6">
      <c r="B299"/>
      <c r="C299" s="18" t="s">
        <v>870</v>
      </c>
      <c r="D299" s="18" t="s">
        <v>429</v>
      </c>
      <c r="E299" s="13" t="s">
        <v>859</v>
      </c>
      <c r="F299" s="13" t="s">
        <v>489</v>
      </c>
    </row>
    <row r="300" spans="2:6">
      <c r="B300"/>
      <c r="C300" s="18" t="s">
        <v>870</v>
      </c>
      <c r="D300" s="18" t="s">
        <v>429</v>
      </c>
      <c r="E300" s="13" t="s">
        <v>860</v>
      </c>
      <c r="F300" s="13" t="s">
        <v>489</v>
      </c>
    </row>
    <row r="301" spans="2:6">
      <c r="B301"/>
      <c r="C301" s="18" t="s">
        <v>870</v>
      </c>
      <c r="D301" s="18" t="s">
        <v>429</v>
      </c>
      <c r="E301" s="13" t="s">
        <v>861</v>
      </c>
      <c r="F301" s="13" t="s">
        <v>489</v>
      </c>
    </row>
    <row r="302" spans="2:6">
      <c r="B302"/>
      <c r="C302" s="18" t="s">
        <v>870</v>
      </c>
      <c r="D302" s="18" t="s">
        <v>429</v>
      </c>
      <c r="E302" s="13" t="s">
        <v>862</v>
      </c>
      <c r="F302" s="13" t="s">
        <v>489</v>
      </c>
    </row>
    <row r="303" spans="2:6">
      <c r="B303"/>
      <c r="C303" s="18" t="s">
        <v>870</v>
      </c>
      <c r="D303" s="18" t="s">
        <v>429</v>
      </c>
      <c r="E303" s="13" t="s">
        <v>863</v>
      </c>
      <c r="F303" s="13" t="s">
        <v>489</v>
      </c>
    </row>
    <row r="304" spans="2:6">
      <c r="B304"/>
      <c r="C304" s="18" t="s">
        <v>870</v>
      </c>
      <c r="D304" s="18" t="s">
        <v>429</v>
      </c>
      <c r="E304" s="13" t="s">
        <v>864</v>
      </c>
      <c r="F304" s="13" t="s">
        <v>489</v>
      </c>
    </row>
    <row r="305" spans="2:6">
      <c r="B305"/>
      <c r="C305" s="18" t="s">
        <v>870</v>
      </c>
      <c r="D305" s="18" t="s">
        <v>429</v>
      </c>
      <c r="E305" s="13" t="s">
        <v>865</v>
      </c>
      <c r="F305" s="13" t="s">
        <v>489</v>
      </c>
    </row>
    <row r="306" spans="2:6">
      <c r="B306"/>
      <c r="C306" s="18" t="s">
        <v>870</v>
      </c>
      <c r="D306" s="18" t="s">
        <v>429</v>
      </c>
      <c r="E306" s="13" t="s">
        <v>866</v>
      </c>
      <c r="F306" s="13" t="s">
        <v>489</v>
      </c>
    </row>
    <row r="307" spans="2:6">
      <c r="B307"/>
      <c r="C307" s="18" t="s">
        <v>870</v>
      </c>
      <c r="D307" s="18" t="s">
        <v>429</v>
      </c>
      <c r="E307" s="13" t="s">
        <v>867</v>
      </c>
      <c r="F307" s="13" t="s">
        <v>489</v>
      </c>
    </row>
    <row r="308" spans="2:6">
      <c r="B308"/>
      <c r="C308" s="18" t="s">
        <v>870</v>
      </c>
      <c r="D308" s="18" t="s">
        <v>429</v>
      </c>
      <c r="E308" s="13" t="s">
        <v>868</v>
      </c>
      <c r="F308" s="13" t="s">
        <v>489</v>
      </c>
    </row>
    <row r="309" spans="2:6">
      <c r="B309"/>
      <c r="C309" s="18" t="s">
        <v>870</v>
      </c>
      <c r="D309" s="18" t="s">
        <v>429</v>
      </c>
      <c r="E309" s="13" t="s">
        <v>869</v>
      </c>
      <c r="F309" s="13" t="s">
        <v>489</v>
      </c>
    </row>
    <row r="310" spans="2:6">
      <c r="B310"/>
      <c r="C310" s="25" t="s">
        <v>870</v>
      </c>
      <c r="D310" s="25" t="s">
        <v>27</v>
      </c>
      <c r="E310" s="13" t="s">
        <v>780</v>
      </c>
      <c r="F310" s="13" t="s">
        <v>489</v>
      </c>
    </row>
    <row r="311" spans="2:6">
      <c r="B311"/>
      <c r="C311" s="25" t="s">
        <v>870</v>
      </c>
      <c r="D311" s="25" t="s">
        <v>27</v>
      </c>
      <c r="E311" s="13" t="s">
        <v>781</v>
      </c>
      <c r="F311" s="13" t="s">
        <v>489</v>
      </c>
    </row>
    <row r="312" spans="2:6">
      <c r="B312"/>
      <c r="C312" s="25" t="s">
        <v>870</v>
      </c>
      <c r="D312" s="25" t="s">
        <v>27</v>
      </c>
      <c r="E312" s="13" t="s">
        <v>782</v>
      </c>
      <c r="F312" s="13" t="s">
        <v>489</v>
      </c>
    </row>
    <row r="313" spans="2:6">
      <c r="B313"/>
      <c r="C313" s="25" t="s">
        <v>870</v>
      </c>
      <c r="D313" s="25" t="s">
        <v>27</v>
      </c>
      <c r="E313" s="13" t="s">
        <v>783</v>
      </c>
      <c r="F313" s="13" t="s">
        <v>489</v>
      </c>
    </row>
    <row r="314" spans="2:6">
      <c r="B314"/>
      <c r="C314" s="25" t="s">
        <v>870</v>
      </c>
      <c r="D314" s="25" t="s">
        <v>27</v>
      </c>
      <c r="E314" s="13" t="s">
        <v>784</v>
      </c>
      <c r="F314" s="13" t="s">
        <v>489</v>
      </c>
    </row>
    <row r="315" spans="2:6">
      <c r="B315"/>
      <c r="C315" s="25" t="s">
        <v>870</v>
      </c>
      <c r="D315" s="25" t="s">
        <v>27</v>
      </c>
      <c r="E315" s="13" t="s">
        <v>785</v>
      </c>
      <c r="F315" s="13" t="s">
        <v>489</v>
      </c>
    </row>
    <row r="316" spans="2:6">
      <c r="B316"/>
      <c r="C316" s="25" t="s">
        <v>870</v>
      </c>
      <c r="D316" s="25" t="s">
        <v>27</v>
      </c>
      <c r="E316" s="13" t="s">
        <v>786</v>
      </c>
      <c r="F316" s="13" t="s">
        <v>489</v>
      </c>
    </row>
    <row r="317" spans="2:6">
      <c r="B317"/>
      <c r="C317" s="25" t="s">
        <v>870</v>
      </c>
      <c r="D317" s="25" t="s">
        <v>27</v>
      </c>
      <c r="E317" s="13" t="s">
        <v>787</v>
      </c>
      <c r="F317" s="13" t="s">
        <v>489</v>
      </c>
    </row>
    <row r="318" spans="2:6">
      <c r="B318"/>
      <c r="C318" s="25" t="s">
        <v>870</v>
      </c>
      <c r="D318" s="25" t="s">
        <v>27</v>
      </c>
      <c r="E318" s="13" t="s">
        <v>788</v>
      </c>
      <c r="F318" s="13" t="s">
        <v>489</v>
      </c>
    </row>
    <row r="319" spans="2:6">
      <c r="B319"/>
      <c r="C319" s="25" t="s">
        <v>870</v>
      </c>
      <c r="D319" s="25" t="s">
        <v>27</v>
      </c>
      <c r="E319" s="13" t="s">
        <v>789</v>
      </c>
      <c r="F319" s="13" t="s">
        <v>489</v>
      </c>
    </row>
    <row r="320" spans="2:6">
      <c r="B320"/>
      <c r="C320" s="25" t="s">
        <v>870</v>
      </c>
      <c r="D320" s="25" t="s">
        <v>27</v>
      </c>
      <c r="E320" s="13" t="s">
        <v>790</v>
      </c>
      <c r="F320" s="13" t="s">
        <v>489</v>
      </c>
    </row>
    <row r="321" spans="2:6">
      <c r="B321"/>
      <c r="C321" s="25" t="s">
        <v>870</v>
      </c>
      <c r="D321" s="25" t="s">
        <v>27</v>
      </c>
      <c r="E321" s="13" t="s">
        <v>791</v>
      </c>
      <c r="F321" s="13" t="s">
        <v>489</v>
      </c>
    </row>
    <row r="322" spans="2:6">
      <c r="B322"/>
      <c r="C322" s="25" t="s">
        <v>870</v>
      </c>
      <c r="D322" s="25" t="s">
        <v>27</v>
      </c>
      <c r="E322" s="13" t="s">
        <v>792</v>
      </c>
      <c r="F322" s="13" t="s">
        <v>489</v>
      </c>
    </row>
    <row r="323" spans="2:6">
      <c r="B323"/>
      <c r="C323" s="25" t="s">
        <v>870</v>
      </c>
      <c r="D323" s="25" t="s">
        <v>27</v>
      </c>
      <c r="E323" s="13" t="s">
        <v>793</v>
      </c>
      <c r="F323" s="13" t="s">
        <v>489</v>
      </c>
    </row>
    <row r="324" spans="2:6">
      <c r="B324"/>
      <c r="C324" s="25" t="s">
        <v>870</v>
      </c>
      <c r="D324" s="25" t="s">
        <v>27</v>
      </c>
      <c r="E324" s="13" t="s">
        <v>794</v>
      </c>
      <c r="F324" s="13" t="s">
        <v>489</v>
      </c>
    </row>
    <row r="325" spans="2:6">
      <c r="B325"/>
      <c r="C325" s="25" t="s">
        <v>870</v>
      </c>
      <c r="D325" s="25" t="s">
        <v>27</v>
      </c>
      <c r="E325" s="13" t="s">
        <v>795</v>
      </c>
      <c r="F325" s="13" t="s">
        <v>489</v>
      </c>
    </row>
    <row r="326" spans="2:6">
      <c r="B326"/>
      <c r="C326" s="25" t="s">
        <v>870</v>
      </c>
      <c r="D326" s="25" t="s">
        <v>27</v>
      </c>
      <c r="E326" s="13" t="s">
        <v>796</v>
      </c>
      <c r="F326" s="13" t="s">
        <v>489</v>
      </c>
    </row>
    <row r="327" spans="2:6">
      <c r="B327"/>
      <c r="C327" s="26" t="s">
        <v>870</v>
      </c>
      <c r="D327" s="26" t="s">
        <v>28</v>
      </c>
      <c r="E327" s="13" t="s">
        <v>604</v>
      </c>
      <c r="F327" s="13" t="s">
        <v>489</v>
      </c>
    </row>
    <row r="328" spans="2:6">
      <c r="B328"/>
      <c r="C328" s="26" t="s">
        <v>870</v>
      </c>
      <c r="D328" s="26" t="s">
        <v>28</v>
      </c>
      <c r="E328" s="13" t="s">
        <v>605</v>
      </c>
      <c r="F328" s="13" t="s">
        <v>489</v>
      </c>
    </row>
    <row r="329" spans="2:6">
      <c r="B329"/>
      <c r="C329" s="26" t="s">
        <v>870</v>
      </c>
      <c r="D329" s="26" t="s">
        <v>28</v>
      </c>
      <c r="E329" s="13" t="s">
        <v>606</v>
      </c>
      <c r="F329" s="13" t="s">
        <v>489</v>
      </c>
    </row>
    <row r="330" spans="2:6">
      <c r="B330"/>
      <c r="C330" s="26" t="s">
        <v>870</v>
      </c>
      <c r="D330" s="26" t="s">
        <v>28</v>
      </c>
      <c r="E330" s="13" t="s">
        <v>607</v>
      </c>
      <c r="F330" s="13" t="s">
        <v>489</v>
      </c>
    </row>
    <row r="331" spans="2:6">
      <c r="B331"/>
      <c r="C331" s="26" t="s">
        <v>870</v>
      </c>
      <c r="D331" s="26" t="s">
        <v>28</v>
      </c>
      <c r="E331" s="13" t="s">
        <v>608</v>
      </c>
      <c r="F331" s="13" t="s">
        <v>489</v>
      </c>
    </row>
    <row r="332" spans="2:6">
      <c r="B332"/>
      <c r="C332" s="26" t="s">
        <v>870</v>
      </c>
      <c r="D332" s="26" t="s">
        <v>28</v>
      </c>
      <c r="E332" s="13" t="s">
        <v>609</v>
      </c>
      <c r="F332" s="13" t="s">
        <v>489</v>
      </c>
    </row>
    <row r="333" spans="2:6">
      <c r="B333"/>
      <c r="C333" s="26" t="s">
        <v>870</v>
      </c>
      <c r="D333" s="26" t="s">
        <v>28</v>
      </c>
      <c r="E333" s="13" t="s">
        <v>610</v>
      </c>
      <c r="F333" s="13" t="s">
        <v>489</v>
      </c>
    </row>
    <row r="334" spans="2:6">
      <c r="B334"/>
      <c r="C334" s="26" t="s">
        <v>870</v>
      </c>
      <c r="D334" s="26" t="s">
        <v>28</v>
      </c>
      <c r="E334" s="13" t="s">
        <v>611</v>
      </c>
      <c r="F334" s="13" t="s">
        <v>489</v>
      </c>
    </row>
    <row r="335" spans="2:6">
      <c r="B335"/>
      <c r="C335" s="26" t="s">
        <v>870</v>
      </c>
      <c r="D335" s="26" t="s">
        <v>28</v>
      </c>
      <c r="E335" s="13" t="s">
        <v>612</v>
      </c>
      <c r="F335" s="13" t="s">
        <v>489</v>
      </c>
    </row>
    <row r="336" spans="2:6">
      <c r="B336"/>
      <c r="C336" s="26" t="s">
        <v>870</v>
      </c>
      <c r="D336" s="26" t="s">
        <v>28</v>
      </c>
      <c r="E336" s="13" t="s">
        <v>613</v>
      </c>
      <c r="F336" s="13" t="s">
        <v>489</v>
      </c>
    </row>
    <row r="337" spans="2:6">
      <c r="B337"/>
      <c r="C337" s="26" t="s">
        <v>870</v>
      </c>
      <c r="D337" s="26" t="s">
        <v>28</v>
      </c>
      <c r="E337" s="13" t="s">
        <v>614</v>
      </c>
      <c r="F337" s="13" t="s">
        <v>489</v>
      </c>
    </row>
    <row r="338" spans="2:6">
      <c r="B338"/>
      <c r="C338" s="26" t="s">
        <v>870</v>
      </c>
      <c r="D338" s="26" t="s">
        <v>28</v>
      </c>
      <c r="E338" s="13" t="s">
        <v>615</v>
      </c>
      <c r="F338" s="13" t="s">
        <v>489</v>
      </c>
    </row>
    <row r="339" spans="2:6">
      <c r="B339"/>
      <c r="C339" s="26" t="s">
        <v>870</v>
      </c>
      <c r="D339" s="26" t="s">
        <v>28</v>
      </c>
      <c r="E339" s="13" t="s">
        <v>616</v>
      </c>
      <c r="F339" s="13" t="s">
        <v>489</v>
      </c>
    </row>
    <row r="340" spans="2:6">
      <c r="B340"/>
      <c r="C340" s="26" t="s">
        <v>870</v>
      </c>
      <c r="D340" s="26" t="s">
        <v>28</v>
      </c>
      <c r="E340" s="13" t="s">
        <v>617</v>
      </c>
      <c r="F340" s="13" t="s">
        <v>489</v>
      </c>
    </row>
    <row r="341" spans="2:6">
      <c r="B341"/>
      <c r="C341" s="26" t="s">
        <v>870</v>
      </c>
      <c r="D341" s="26" t="s">
        <v>28</v>
      </c>
      <c r="E341" s="13" t="s">
        <v>618</v>
      </c>
      <c r="F341" s="13" t="s">
        <v>489</v>
      </c>
    </row>
    <row r="342" spans="2:6">
      <c r="B342"/>
      <c r="C342" s="26" t="s">
        <v>870</v>
      </c>
      <c r="D342" s="26" t="s">
        <v>28</v>
      </c>
      <c r="E342" s="13" t="s">
        <v>619</v>
      </c>
      <c r="F342" s="13" t="s">
        <v>489</v>
      </c>
    </row>
    <row r="343" spans="2:6">
      <c r="B343"/>
      <c r="C343" s="26" t="s">
        <v>870</v>
      </c>
      <c r="D343" s="26" t="s">
        <v>28</v>
      </c>
      <c r="E343" s="13" t="s">
        <v>620</v>
      </c>
      <c r="F343" s="13" t="s">
        <v>489</v>
      </c>
    </row>
    <row r="344" spans="2:6">
      <c r="B344"/>
      <c r="C344" s="26" t="s">
        <v>870</v>
      </c>
      <c r="D344" s="26" t="s">
        <v>28</v>
      </c>
      <c r="E344" s="13" t="s">
        <v>621</v>
      </c>
      <c r="F344" s="13" t="s">
        <v>489</v>
      </c>
    </row>
    <row r="345" spans="2:6">
      <c r="B345"/>
      <c r="C345" s="26" t="s">
        <v>870</v>
      </c>
      <c r="D345" s="26" t="s">
        <v>28</v>
      </c>
      <c r="E345" s="13" t="s">
        <v>622</v>
      </c>
      <c r="F345" s="13" t="s">
        <v>489</v>
      </c>
    </row>
    <row r="346" spans="2:6">
      <c r="B346"/>
      <c r="C346" s="26" t="s">
        <v>870</v>
      </c>
      <c r="D346" s="26" t="s">
        <v>28</v>
      </c>
      <c r="E346" s="13" t="s">
        <v>623</v>
      </c>
      <c r="F346" s="13" t="s">
        <v>489</v>
      </c>
    </row>
    <row r="347" spans="2:6">
      <c r="B347"/>
      <c r="C347" s="26" t="s">
        <v>870</v>
      </c>
      <c r="D347" s="26" t="s">
        <v>28</v>
      </c>
      <c r="E347" s="13" t="s">
        <v>624</v>
      </c>
      <c r="F347" s="13" t="s">
        <v>489</v>
      </c>
    </row>
    <row r="348" spans="2:6">
      <c r="B348"/>
      <c r="C348" s="26" t="s">
        <v>870</v>
      </c>
      <c r="D348" s="26" t="s">
        <v>28</v>
      </c>
      <c r="E348" s="13" t="s">
        <v>625</v>
      </c>
      <c r="F348" s="13" t="s">
        <v>489</v>
      </c>
    </row>
    <row r="349" spans="2:6">
      <c r="B349"/>
      <c r="C349" s="26" t="s">
        <v>870</v>
      </c>
      <c r="D349" s="26" t="s">
        <v>28</v>
      </c>
      <c r="E349" s="13" t="s">
        <v>626</v>
      </c>
      <c r="F349" s="13" t="s">
        <v>489</v>
      </c>
    </row>
    <row r="350" spans="2:6">
      <c r="B350"/>
      <c r="C350" s="26" t="s">
        <v>870</v>
      </c>
      <c r="D350" s="26" t="s">
        <v>28</v>
      </c>
      <c r="E350" s="13" t="s">
        <v>627</v>
      </c>
      <c r="F350" s="13" t="s">
        <v>489</v>
      </c>
    </row>
    <row r="351" spans="2:6">
      <c r="B351"/>
      <c r="C351" s="26" t="s">
        <v>870</v>
      </c>
      <c r="D351" s="26" t="s">
        <v>28</v>
      </c>
      <c r="E351" s="13" t="s">
        <v>628</v>
      </c>
      <c r="F351" s="13" t="s">
        <v>489</v>
      </c>
    </row>
    <row r="352" spans="2:6">
      <c r="B352"/>
      <c r="C352" s="26" t="s">
        <v>870</v>
      </c>
      <c r="D352" s="26" t="s">
        <v>28</v>
      </c>
      <c r="E352" s="13" t="s">
        <v>629</v>
      </c>
      <c r="F352" s="13" t="s">
        <v>489</v>
      </c>
    </row>
    <row r="353" spans="2:6">
      <c r="B353"/>
      <c r="C353" s="26" t="s">
        <v>870</v>
      </c>
      <c r="D353" s="26" t="s">
        <v>28</v>
      </c>
      <c r="E353" s="13" t="s">
        <v>630</v>
      </c>
      <c r="F353" s="13" t="s">
        <v>489</v>
      </c>
    </row>
    <row r="354" spans="2:6">
      <c r="B354"/>
      <c r="C354" s="26" t="s">
        <v>870</v>
      </c>
      <c r="D354" s="26" t="s">
        <v>28</v>
      </c>
      <c r="E354" s="13" t="s">
        <v>631</v>
      </c>
      <c r="F354" s="13" t="s">
        <v>489</v>
      </c>
    </row>
    <row r="355" spans="2:6">
      <c r="B355"/>
      <c r="C355" s="26" t="s">
        <v>870</v>
      </c>
      <c r="D355" s="26" t="s">
        <v>28</v>
      </c>
      <c r="E355" s="13" t="s">
        <v>632</v>
      </c>
      <c r="F355" s="13" t="s">
        <v>489</v>
      </c>
    </row>
    <row r="356" spans="2:6">
      <c r="B356"/>
      <c r="C356" s="26" t="s">
        <v>870</v>
      </c>
      <c r="D356" s="26" t="s">
        <v>28</v>
      </c>
      <c r="E356" s="13" t="s">
        <v>633</v>
      </c>
      <c r="F356" s="13" t="s">
        <v>489</v>
      </c>
    </row>
    <row r="357" spans="2:6">
      <c r="B357"/>
      <c r="C357" s="26" t="s">
        <v>870</v>
      </c>
      <c r="D357" s="26" t="s">
        <v>28</v>
      </c>
      <c r="E357" s="13" t="s">
        <v>634</v>
      </c>
      <c r="F357" s="13" t="s">
        <v>489</v>
      </c>
    </row>
    <row r="358" spans="2:6">
      <c r="B358"/>
      <c r="C358" s="26" t="s">
        <v>870</v>
      </c>
      <c r="D358" s="26" t="s">
        <v>28</v>
      </c>
      <c r="E358" s="13" t="s">
        <v>635</v>
      </c>
      <c r="F358" s="13" t="s">
        <v>489</v>
      </c>
    </row>
    <row r="359" spans="2:6">
      <c r="B359"/>
      <c r="C359" s="26" t="s">
        <v>870</v>
      </c>
      <c r="D359" s="26" t="s">
        <v>28</v>
      </c>
      <c r="E359" s="13" t="s">
        <v>636</v>
      </c>
      <c r="F359" s="13" t="s">
        <v>489</v>
      </c>
    </row>
    <row r="360" spans="2:6">
      <c r="B360"/>
      <c r="C360" s="26" t="s">
        <v>870</v>
      </c>
      <c r="D360" s="26" t="s">
        <v>28</v>
      </c>
      <c r="E360" s="13" t="s">
        <v>637</v>
      </c>
      <c r="F360" s="13" t="s">
        <v>489</v>
      </c>
    </row>
    <row r="361" spans="2:6">
      <c r="B361"/>
      <c r="C361" s="25" t="s">
        <v>26</v>
      </c>
      <c r="D361" s="25" t="s">
        <v>34</v>
      </c>
      <c r="E361" s="27" t="s">
        <v>640</v>
      </c>
      <c r="F361" s="17" t="s">
        <v>490</v>
      </c>
    </row>
    <row r="362" spans="2:6">
      <c r="B362"/>
      <c r="C362" s="26" t="s">
        <v>26</v>
      </c>
      <c r="D362" s="26" t="s">
        <v>37</v>
      </c>
      <c r="E362" s="27" t="s">
        <v>640</v>
      </c>
      <c r="F362" s="17" t="s">
        <v>490</v>
      </c>
    </row>
    <row r="363" spans="2:6">
      <c r="B363"/>
      <c r="C363" s="25" t="s">
        <v>26</v>
      </c>
      <c r="D363" s="25" t="s">
        <v>38</v>
      </c>
      <c r="E363" s="17" t="s">
        <v>431</v>
      </c>
      <c r="F363" s="17" t="s">
        <v>490</v>
      </c>
    </row>
    <row r="364" spans="2:6">
      <c r="B364"/>
      <c r="C364" s="25" t="s">
        <v>26</v>
      </c>
      <c r="D364" s="25" t="s">
        <v>38</v>
      </c>
      <c r="E364" s="17" t="s">
        <v>433</v>
      </c>
      <c r="F364" s="17" t="s">
        <v>490</v>
      </c>
    </row>
    <row r="365" spans="2:6">
      <c r="B365"/>
      <c r="C365" s="25" t="s">
        <v>26</v>
      </c>
      <c r="D365" s="25" t="s">
        <v>38</v>
      </c>
      <c r="E365" s="17" t="s">
        <v>435</v>
      </c>
      <c r="F365" s="17" t="s">
        <v>490</v>
      </c>
    </row>
    <row r="366" spans="2:6">
      <c r="B366"/>
      <c r="C366" s="25" t="s">
        <v>26</v>
      </c>
      <c r="D366" s="25" t="s">
        <v>38</v>
      </c>
      <c r="E366" s="17" t="s">
        <v>438</v>
      </c>
      <c r="F366" s="17" t="s">
        <v>490</v>
      </c>
    </row>
    <row r="367" spans="2:6">
      <c r="B367"/>
      <c r="C367" s="25" t="s">
        <v>26</v>
      </c>
      <c r="D367" s="25" t="s">
        <v>38</v>
      </c>
      <c r="E367" s="17" t="s">
        <v>440</v>
      </c>
      <c r="F367" s="17" t="s">
        <v>490</v>
      </c>
    </row>
    <row r="368" spans="2:6">
      <c r="B368"/>
      <c r="C368" s="25" t="s">
        <v>26</v>
      </c>
      <c r="D368" s="25" t="s">
        <v>38</v>
      </c>
      <c r="E368" s="17" t="s">
        <v>443</v>
      </c>
      <c r="F368" s="17" t="s">
        <v>490</v>
      </c>
    </row>
    <row r="369" spans="2:6">
      <c r="B369"/>
      <c r="C369" s="25" t="s">
        <v>26</v>
      </c>
      <c r="D369" s="25" t="s">
        <v>38</v>
      </c>
      <c r="E369" s="17" t="s">
        <v>445</v>
      </c>
      <c r="F369" s="17" t="s">
        <v>490</v>
      </c>
    </row>
    <row r="370" spans="2:6">
      <c r="B370"/>
      <c r="C370" s="25" t="s">
        <v>26</v>
      </c>
      <c r="D370" s="25" t="s">
        <v>38</v>
      </c>
      <c r="E370" s="17" t="s">
        <v>447</v>
      </c>
      <c r="F370" s="17" t="s">
        <v>490</v>
      </c>
    </row>
    <row r="371" spans="2:6">
      <c r="B371"/>
      <c r="C371" s="25" t="s">
        <v>26</v>
      </c>
      <c r="D371" s="25" t="s">
        <v>38</v>
      </c>
      <c r="E371" s="17" t="s">
        <v>450</v>
      </c>
      <c r="F371" s="17" t="s">
        <v>490</v>
      </c>
    </row>
    <row r="372" spans="2:6">
      <c r="B372"/>
      <c r="C372" s="25" t="s">
        <v>26</v>
      </c>
      <c r="D372" s="25" t="s">
        <v>38</v>
      </c>
      <c r="E372" s="17" t="s">
        <v>452</v>
      </c>
      <c r="F372" s="17" t="s">
        <v>490</v>
      </c>
    </row>
    <row r="373" spans="2:6">
      <c r="B373"/>
      <c r="C373" s="25" t="s">
        <v>26</v>
      </c>
      <c r="D373" s="25" t="s">
        <v>38</v>
      </c>
      <c r="E373" s="17" t="s">
        <v>455</v>
      </c>
      <c r="F373" s="17" t="s">
        <v>490</v>
      </c>
    </row>
    <row r="374" spans="2:6">
      <c r="B374"/>
      <c r="C374" s="25" t="s">
        <v>26</v>
      </c>
      <c r="D374" s="25" t="s">
        <v>38</v>
      </c>
      <c r="E374" s="17" t="s">
        <v>457</v>
      </c>
      <c r="F374" s="17" t="s">
        <v>490</v>
      </c>
    </row>
    <row r="375" spans="2:6">
      <c r="B375"/>
      <c r="C375" s="26" t="s">
        <v>26</v>
      </c>
      <c r="D375" s="26" t="s">
        <v>36</v>
      </c>
      <c r="E375" s="17" t="s">
        <v>884</v>
      </c>
      <c r="F375" s="17" t="s">
        <v>490</v>
      </c>
    </row>
    <row r="376" spans="2:6">
      <c r="B376"/>
      <c r="C376" s="26" t="s">
        <v>26</v>
      </c>
      <c r="D376" s="26" t="s">
        <v>36</v>
      </c>
      <c r="E376" s="17" t="s">
        <v>885</v>
      </c>
      <c r="F376" s="17" t="s">
        <v>490</v>
      </c>
    </row>
    <row r="377" spans="2:6">
      <c r="B377"/>
      <c r="C377" s="26" t="s">
        <v>26</v>
      </c>
      <c r="D377" s="26" t="s">
        <v>36</v>
      </c>
      <c r="E377" s="17" t="s">
        <v>886</v>
      </c>
      <c r="F377" s="17" t="s">
        <v>490</v>
      </c>
    </row>
    <row r="378" spans="2:6">
      <c r="B378"/>
      <c r="C378" s="26" t="s">
        <v>26</v>
      </c>
      <c r="D378" s="26" t="s">
        <v>36</v>
      </c>
      <c r="E378" s="17" t="s">
        <v>887</v>
      </c>
      <c r="F378" s="17" t="s">
        <v>490</v>
      </c>
    </row>
    <row r="379" spans="2:6">
      <c r="B379"/>
      <c r="C379" s="26" t="s">
        <v>26</v>
      </c>
      <c r="D379" s="26" t="s">
        <v>36</v>
      </c>
      <c r="E379" s="17" t="s">
        <v>888</v>
      </c>
      <c r="F379" s="17" t="s">
        <v>490</v>
      </c>
    </row>
    <row r="380" spans="2:6">
      <c r="B380"/>
      <c r="C380" s="26" t="s">
        <v>26</v>
      </c>
      <c r="D380" s="26" t="s">
        <v>36</v>
      </c>
      <c r="E380" s="17" t="s">
        <v>889</v>
      </c>
      <c r="F380" s="17" t="s">
        <v>490</v>
      </c>
    </row>
    <row r="381" spans="2:6">
      <c r="B381"/>
      <c r="C381" s="26" t="s">
        <v>26</v>
      </c>
      <c r="D381" s="26" t="s">
        <v>36</v>
      </c>
      <c r="E381" s="17" t="s">
        <v>890</v>
      </c>
      <c r="F381" s="17" t="s">
        <v>490</v>
      </c>
    </row>
    <row r="382" spans="2:6">
      <c r="B382"/>
      <c r="C382" s="26" t="s">
        <v>26</v>
      </c>
      <c r="D382" s="26" t="s">
        <v>36</v>
      </c>
      <c r="E382" s="17" t="s">
        <v>891</v>
      </c>
      <c r="F382" s="17" t="s">
        <v>490</v>
      </c>
    </row>
    <row r="383" spans="2:6">
      <c r="B383"/>
      <c r="C383" s="26" t="s">
        <v>26</v>
      </c>
      <c r="D383" s="26" t="s">
        <v>36</v>
      </c>
      <c r="E383" s="17" t="s">
        <v>892</v>
      </c>
      <c r="F383" s="17" t="s">
        <v>490</v>
      </c>
    </row>
    <row r="384" spans="2:6">
      <c r="B384"/>
      <c r="C384" s="26" t="s">
        <v>26</v>
      </c>
      <c r="D384" s="26" t="s">
        <v>36</v>
      </c>
      <c r="E384" s="17" t="s">
        <v>893</v>
      </c>
      <c r="F384" s="17" t="s">
        <v>490</v>
      </c>
    </row>
    <row r="385" spans="2:6">
      <c r="B385"/>
      <c r="C385" s="26" t="s">
        <v>26</v>
      </c>
      <c r="D385" s="26" t="s">
        <v>36</v>
      </c>
      <c r="E385" s="17" t="s">
        <v>894</v>
      </c>
      <c r="F385" s="17" t="s">
        <v>490</v>
      </c>
    </row>
    <row r="386" spans="2:6">
      <c r="B386"/>
      <c r="C386" s="26" t="s">
        <v>26</v>
      </c>
      <c r="D386" s="26" t="s">
        <v>36</v>
      </c>
      <c r="E386" s="17" t="s">
        <v>895</v>
      </c>
      <c r="F386" s="17" t="s">
        <v>490</v>
      </c>
    </row>
    <row r="387" spans="2:6">
      <c r="B387"/>
      <c r="C387" s="26" t="s">
        <v>26</v>
      </c>
      <c r="D387" s="26" t="s">
        <v>36</v>
      </c>
      <c r="E387" s="17" t="s">
        <v>896</v>
      </c>
      <c r="F387" s="17" t="s">
        <v>490</v>
      </c>
    </row>
    <row r="388" spans="2:6">
      <c r="B388"/>
      <c r="C388" s="25" t="s">
        <v>26</v>
      </c>
      <c r="D388" s="25" t="s">
        <v>30</v>
      </c>
      <c r="E388" s="14" t="s">
        <v>640</v>
      </c>
      <c r="F388" s="14" t="s">
        <v>491</v>
      </c>
    </row>
    <row r="389" spans="2:6">
      <c r="B389"/>
      <c r="C389" s="26" t="s">
        <v>26</v>
      </c>
      <c r="D389" s="26" t="s">
        <v>32</v>
      </c>
      <c r="E389" s="13" t="s">
        <v>897</v>
      </c>
      <c r="F389" s="13" t="s">
        <v>489</v>
      </c>
    </row>
    <row r="390" spans="2:6">
      <c r="B390"/>
      <c r="C390" s="26" t="s">
        <v>26</v>
      </c>
      <c r="D390" s="26" t="s">
        <v>32</v>
      </c>
      <c r="E390" s="13" t="s">
        <v>898</v>
      </c>
      <c r="F390" s="13" t="s">
        <v>489</v>
      </c>
    </row>
    <row r="391" spans="2:6">
      <c r="B391"/>
      <c r="C391" s="26" t="s">
        <v>26</v>
      </c>
      <c r="D391" s="26" t="s">
        <v>32</v>
      </c>
      <c r="E391" s="13" t="s">
        <v>899</v>
      </c>
      <c r="F391" s="13" t="s">
        <v>489</v>
      </c>
    </row>
    <row r="392" spans="2:6">
      <c r="B392"/>
      <c r="C392" s="26" t="s">
        <v>26</v>
      </c>
      <c r="D392" s="26" t="s">
        <v>32</v>
      </c>
      <c r="E392" s="13" t="s">
        <v>900</v>
      </c>
      <c r="F392" s="13" t="s">
        <v>489</v>
      </c>
    </row>
    <row r="393" spans="2:6">
      <c r="B393"/>
      <c r="C393" s="26" t="s">
        <v>26</v>
      </c>
      <c r="D393" s="26" t="s">
        <v>32</v>
      </c>
      <c r="E393" s="13" t="s">
        <v>901</v>
      </c>
      <c r="F393" s="13" t="s">
        <v>489</v>
      </c>
    </row>
    <row r="394" spans="2:6">
      <c r="B394"/>
      <c r="C394" s="26" t="s">
        <v>26</v>
      </c>
      <c r="D394" s="26" t="s">
        <v>32</v>
      </c>
      <c r="E394" s="13" t="s">
        <v>902</v>
      </c>
      <c r="F394" s="13" t="s">
        <v>489</v>
      </c>
    </row>
    <row r="395" spans="2:6">
      <c r="B395"/>
      <c r="C395" s="26" t="s">
        <v>26</v>
      </c>
      <c r="D395" s="26" t="s">
        <v>32</v>
      </c>
      <c r="E395" s="13" t="s">
        <v>903</v>
      </c>
      <c r="F395" s="13" t="s">
        <v>489</v>
      </c>
    </row>
    <row r="396" spans="2:6">
      <c r="B396"/>
      <c r="C396" s="26" t="s">
        <v>26</v>
      </c>
      <c r="D396" s="26" t="s">
        <v>32</v>
      </c>
      <c r="E396" s="13" t="s">
        <v>904</v>
      </c>
      <c r="F396" s="13" t="s">
        <v>489</v>
      </c>
    </row>
    <row r="397" spans="2:6">
      <c r="B397"/>
      <c r="C397" s="26" t="s">
        <v>26</v>
      </c>
      <c r="D397" s="26" t="s">
        <v>32</v>
      </c>
      <c r="E397" s="13" t="s">
        <v>905</v>
      </c>
      <c r="F397" s="13" t="s">
        <v>489</v>
      </c>
    </row>
    <row r="398" spans="2:6">
      <c r="B398"/>
      <c r="C398" s="26" t="s">
        <v>26</v>
      </c>
      <c r="D398" s="26" t="s">
        <v>32</v>
      </c>
      <c r="E398" s="13" t="s">
        <v>906</v>
      </c>
      <c r="F398" s="13" t="s">
        <v>489</v>
      </c>
    </row>
    <row r="399" spans="2:6">
      <c r="B399"/>
      <c r="C399" s="26" t="s">
        <v>26</v>
      </c>
      <c r="D399" s="26" t="s">
        <v>32</v>
      </c>
      <c r="E399" s="13" t="s">
        <v>907</v>
      </c>
      <c r="F399" s="13" t="s">
        <v>489</v>
      </c>
    </row>
    <row r="400" spans="2:6">
      <c r="B400"/>
      <c r="C400" s="26" t="s">
        <v>26</v>
      </c>
      <c r="D400" s="26" t="s">
        <v>32</v>
      </c>
      <c r="E400" s="13" t="s">
        <v>908</v>
      </c>
      <c r="F400" s="13" t="s">
        <v>489</v>
      </c>
    </row>
    <row r="401" spans="2:6">
      <c r="B401"/>
      <c r="C401" s="26" t="s">
        <v>26</v>
      </c>
      <c r="D401" s="26" t="s">
        <v>32</v>
      </c>
      <c r="E401" s="13" t="s">
        <v>909</v>
      </c>
      <c r="F401" s="13" t="s">
        <v>489</v>
      </c>
    </row>
    <row r="402" spans="2:6">
      <c r="B402"/>
      <c r="C402" s="26" t="s">
        <v>26</v>
      </c>
      <c r="D402" s="26" t="s">
        <v>32</v>
      </c>
      <c r="E402" s="13" t="s">
        <v>910</v>
      </c>
      <c r="F402" s="13" t="s">
        <v>489</v>
      </c>
    </row>
    <row r="403" spans="2:6">
      <c r="B403"/>
      <c r="C403" s="26" t="s">
        <v>26</v>
      </c>
      <c r="D403" s="26" t="s">
        <v>32</v>
      </c>
      <c r="E403" s="13" t="s">
        <v>911</v>
      </c>
      <c r="F403" s="13" t="s">
        <v>489</v>
      </c>
    </row>
    <row r="404" spans="2:6">
      <c r="B404"/>
      <c r="C404" s="26" t="s">
        <v>26</v>
      </c>
      <c r="D404" s="26" t="s">
        <v>32</v>
      </c>
      <c r="E404" s="13" t="s">
        <v>912</v>
      </c>
      <c r="F404" s="13" t="s">
        <v>489</v>
      </c>
    </row>
    <row r="405" spans="2:6">
      <c r="B405"/>
      <c r="C405" s="26" t="s">
        <v>26</v>
      </c>
      <c r="D405" s="26" t="s">
        <v>32</v>
      </c>
      <c r="E405" s="13" t="s">
        <v>913</v>
      </c>
      <c r="F405" s="13" t="s">
        <v>489</v>
      </c>
    </row>
    <row r="406" spans="2:6">
      <c r="B406"/>
      <c r="C406" s="26" t="s">
        <v>26</v>
      </c>
      <c r="D406" s="26" t="s">
        <v>32</v>
      </c>
      <c r="E406" s="13" t="s">
        <v>914</v>
      </c>
      <c r="F406" s="13" t="s">
        <v>489</v>
      </c>
    </row>
    <row r="407" spans="2:6">
      <c r="B407"/>
      <c r="C407" s="26" t="s">
        <v>26</v>
      </c>
      <c r="D407" s="26" t="s">
        <v>32</v>
      </c>
      <c r="E407" s="13" t="s">
        <v>915</v>
      </c>
      <c r="F407" s="13" t="s">
        <v>489</v>
      </c>
    </row>
    <row r="408" spans="2:6">
      <c r="B408"/>
      <c r="C408" s="26" t="s">
        <v>26</v>
      </c>
      <c r="D408" s="26" t="s">
        <v>32</v>
      </c>
      <c r="E408" s="13" t="s">
        <v>916</v>
      </c>
      <c r="F408" s="13" t="s">
        <v>489</v>
      </c>
    </row>
    <row r="409" spans="2:6">
      <c r="B409"/>
      <c r="C409" s="26" t="s">
        <v>26</v>
      </c>
      <c r="D409" s="26" t="s">
        <v>32</v>
      </c>
      <c r="E409" s="13" t="s">
        <v>917</v>
      </c>
      <c r="F409" s="13" t="s">
        <v>489</v>
      </c>
    </row>
    <row r="410" spans="2:6">
      <c r="B410"/>
      <c r="C410" s="26" t="s">
        <v>26</v>
      </c>
      <c r="D410" s="26" t="s">
        <v>32</v>
      </c>
      <c r="E410" s="13" t="s">
        <v>918</v>
      </c>
      <c r="F410" s="13" t="s">
        <v>489</v>
      </c>
    </row>
    <row r="411" spans="2:6">
      <c r="B411"/>
      <c r="C411" s="26" t="s">
        <v>26</v>
      </c>
      <c r="D411" s="26" t="s">
        <v>32</v>
      </c>
      <c r="E411" s="13" t="s">
        <v>919</v>
      </c>
      <c r="F411" s="13" t="s">
        <v>489</v>
      </c>
    </row>
    <row r="412" spans="2:6">
      <c r="B412"/>
      <c r="C412" s="26" t="s">
        <v>26</v>
      </c>
      <c r="D412" s="26" t="s">
        <v>32</v>
      </c>
      <c r="E412" s="13" t="s">
        <v>920</v>
      </c>
      <c r="F412" s="13" t="s">
        <v>489</v>
      </c>
    </row>
    <row r="413" spans="2:6">
      <c r="B413"/>
      <c r="C413" s="26" t="s">
        <v>26</v>
      </c>
      <c r="D413" s="26" t="s">
        <v>32</v>
      </c>
      <c r="E413" s="13" t="s">
        <v>921</v>
      </c>
      <c r="F413" s="13" t="s">
        <v>489</v>
      </c>
    </row>
    <row r="414" spans="2:6">
      <c r="B414"/>
      <c r="C414" s="26" t="s">
        <v>26</v>
      </c>
      <c r="D414" s="26" t="s">
        <v>32</v>
      </c>
      <c r="E414" s="13" t="s">
        <v>922</v>
      </c>
      <c r="F414" s="13" t="s">
        <v>489</v>
      </c>
    </row>
    <row r="415" spans="2:6">
      <c r="B415"/>
      <c r="C415" s="26" t="s">
        <v>26</v>
      </c>
      <c r="D415" s="26" t="s">
        <v>32</v>
      </c>
      <c r="E415" s="13" t="s">
        <v>923</v>
      </c>
      <c r="F415" s="13" t="s">
        <v>489</v>
      </c>
    </row>
    <row r="416" spans="2:6">
      <c r="B416"/>
      <c r="C416" s="26" t="s">
        <v>26</v>
      </c>
      <c r="D416" s="26" t="s">
        <v>32</v>
      </c>
      <c r="E416" s="13" t="s">
        <v>924</v>
      </c>
      <c r="F416" s="13" t="s">
        <v>489</v>
      </c>
    </row>
    <row r="417" spans="2:6">
      <c r="B417"/>
      <c r="C417" s="26" t="s">
        <v>26</v>
      </c>
      <c r="D417" s="26" t="s">
        <v>32</v>
      </c>
      <c r="E417" s="13" t="s">
        <v>925</v>
      </c>
      <c r="F417" s="13" t="s">
        <v>489</v>
      </c>
    </row>
    <row r="418" spans="2:6">
      <c r="B418"/>
      <c r="C418" s="26" t="s">
        <v>26</v>
      </c>
      <c r="D418" s="26" t="s">
        <v>32</v>
      </c>
      <c r="E418" s="13" t="s">
        <v>926</v>
      </c>
      <c r="F418" s="13" t="s">
        <v>489</v>
      </c>
    </row>
    <row r="419" spans="2:6">
      <c r="B419"/>
      <c r="C419" s="26" t="s">
        <v>26</v>
      </c>
      <c r="D419" s="26" t="s">
        <v>32</v>
      </c>
      <c r="E419" s="13" t="s">
        <v>927</v>
      </c>
      <c r="F419" s="13" t="s">
        <v>489</v>
      </c>
    </row>
    <row r="420" spans="2:6">
      <c r="B420"/>
      <c r="C420" s="26" t="s">
        <v>26</v>
      </c>
      <c r="D420" s="26" t="s">
        <v>32</v>
      </c>
      <c r="E420" s="13" t="s">
        <v>928</v>
      </c>
      <c r="F420" s="13" t="s">
        <v>489</v>
      </c>
    </row>
    <row r="421" spans="2:6">
      <c r="B421"/>
      <c r="C421" s="26" t="s">
        <v>26</v>
      </c>
      <c r="D421" s="26" t="s">
        <v>32</v>
      </c>
      <c r="E421" s="13" t="s">
        <v>929</v>
      </c>
      <c r="F421" s="13" t="s">
        <v>489</v>
      </c>
    </row>
    <row r="422" spans="2:6">
      <c r="B422"/>
      <c r="C422" s="26" t="s">
        <v>26</v>
      </c>
      <c r="D422" s="26" t="s">
        <v>32</v>
      </c>
      <c r="E422" s="13" t="s">
        <v>930</v>
      </c>
      <c r="F422" s="13" t="s">
        <v>489</v>
      </c>
    </row>
    <row r="423" spans="2:6">
      <c r="B423"/>
      <c r="C423" s="26" t="s">
        <v>26</v>
      </c>
      <c r="D423" s="26" t="s">
        <v>32</v>
      </c>
      <c r="E423" s="13" t="s">
        <v>931</v>
      </c>
      <c r="F423" s="13" t="s">
        <v>489</v>
      </c>
    </row>
    <row r="424" spans="2:6">
      <c r="B424"/>
      <c r="C424" s="26" t="s">
        <v>26</v>
      </c>
      <c r="D424" s="26" t="s">
        <v>32</v>
      </c>
      <c r="E424" s="13" t="s">
        <v>932</v>
      </c>
      <c r="F424" s="13" t="s">
        <v>489</v>
      </c>
    </row>
    <row r="425" spans="2:6">
      <c r="B425"/>
      <c r="C425" s="26" t="s">
        <v>26</v>
      </c>
      <c r="D425" s="26" t="s">
        <v>32</v>
      </c>
      <c r="E425" s="13" t="s">
        <v>933</v>
      </c>
      <c r="F425" s="13" t="s">
        <v>489</v>
      </c>
    </row>
    <row r="426" spans="2:6">
      <c r="B426"/>
      <c r="C426" s="26" t="s">
        <v>26</v>
      </c>
      <c r="D426" s="26" t="s">
        <v>32</v>
      </c>
      <c r="E426" s="13" t="s">
        <v>934</v>
      </c>
      <c r="F426" s="13" t="s">
        <v>489</v>
      </c>
    </row>
    <row r="427" spans="2:6">
      <c r="B427"/>
      <c r="C427" s="25" t="s">
        <v>26</v>
      </c>
      <c r="D427" s="25" t="s">
        <v>35</v>
      </c>
      <c r="E427" s="17" t="s">
        <v>935</v>
      </c>
      <c r="F427" s="17" t="s">
        <v>490</v>
      </c>
    </row>
    <row r="428" spans="2:6">
      <c r="B428"/>
      <c r="C428" s="25" t="s">
        <v>26</v>
      </c>
      <c r="D428" s="25" t="s">
        <v>35</v>
      </c>
      <c r="E428" s="17" t="s">
        <v>936</v>
      </c>
      <c r="F428" s="17" t="s">
        <v>490</v>
      </c>
    </row>
    <row r="429" spans="2:6">
      <c r="B429"/>
      <c r="C429" s="25" t="s">
        <v>26</v>
      </c>
      <c r="D429" s="25" t="s">
        <v>35</v>
      </c>
      <c r="E429" s="17" t="s">
        <v>937</v>
      </c>
      <c r="F429" s="17" t="s">
        <v>490</v>
      </c>
    </row>
    <row r="430" spans="2:6">
      <c r="B430"/>
      <c r="C430" s="25" t="s">
        <v>26</v>
      </c>
      <c r="D430" s="25" t="s">
        <v>35</v>
      </c>
      <c r="E430" s="17" t="s">
        <v>938</v>
      </c>
      <c r="F430" s="17" t="s">
        <v>490</v>
      </c>
    </row>
    <row r="431" spans="2:6">
      <c r="B431"/>
      <c r="C431" s="25" t="s">
        <v>26</v>
      </c>
      <c r="D431" s="25" t="s">
        <v>35</v>
      </c>
      <c r="E431" s="17" t="s">
        <v>939</v>
      </c>
      <c r="F431" s="17" t="s">
        <v>490</v>
      </c>
    </row>
    <row r="432" spans="2:6">
      <c r="B432"/>
      <c r="C432" s="25" t="s">
        <v>26</v>
      </c>
      <c r="D432" s="25" t="s">
        <v>35</v>
      </c>
      <c r="E432" s="17" t="s">
        <v>940</v>
      </c>
      <c r="F432" s="17" t="s">
        <v>490</v>
      </c>
    </row>
    <row r="433" spans="2:6">
      <c r="B433"/>
      <c r="C433" s="25" t="s">
        <v>26</v>
      </c>
      <c r="D433" s="25" t="s">
        <v>35</v>
      </c>
      <c r="E433" s="17" t="s">
        <v>941</v>
      </c>
      <c r="F433" s="17" t="s">
        <v>490</v>
      </c>
    </row>
    <row r="434" spans="2:6">
      <c r="B434"/>
      <c r="C434" s="25" t="s">
        <v>26</v>
      </c>
      <c r="D434" s="25" t="s">
        <v>35</v>
      </c>
      <c r="E434" s="17" t="s">
        <v>942</v>
      </c>
      <c r="F434" s="17" t="s">
        <v>490</v>
      </c>
    </row>
    <row r="435" spans="2:6">
      <c r="B435"/>
      <c r="C435" s="25" t="s">
        <v>26</v>
      </c>
      <c r="D435" s="25" t="s">
        <v>35</v>
      </c>
      <c r="E435" s="17" t="s">
        <v>943</v>
      </c>
      <c r="F435" s="17" t="s">
        <v>490</v>
      </c>
    </row>
    <row r="436" spans="2:6">
      <c r="B436"/>
      <c r="C436" s="25" t="s">
        <v>26</v>
      </c>
      <c r="D436" s="25" t="s">
        <v>35</v>
      </c>
      <c r="E436" s="17" t="s">
        <v>944</v>
      </c>
      <c r="F436" s="17" t="s">
        <v>490</v>
      </c>
    </row>
    <row r="437" spans="2:6">
      <c r="B437"/>
      <c r="C437" s="25" t="s">
        <v>26</v>
      </c>
      <c r="D437" s="25" t="s">
        <v>35</v>
      </c>
      <c r="E437" s="17" t="s">
        <v>945</v>
      </c>
      <c r="F437" s="17" t="s">
        <v>490</v>
      </c>
    </row>
    <row r="438" spans="2:6">
      <c r="B438"/>
      <c r="C438" s="25" t="s">
        <v>26</v>
      </c>
      <c r="D438" s="25" t="s">
        <v>35</v>
      </c>
      <c r="E438" s="17" t="s">
        <v>946</v>
      </c>
      <c r="F438" s="17" t="s">
        <v>490</v>
      </c>
    </row>
    <row r="439" spans="2:6">
      <c r="B439"/>
      <c r="C439" s="25" t="s">
        <v>26</v>
      </c>
      <c r="D439" s="25" t="s">
        <v>35</v>
      </c>
      <c r="E439" s="17" t="s">
        <v>947</v>
      </c>
      <c r="F439" s="17" t="s">
        <v>490</v>
      </c>
    </row>
    <row r="440" spans="2:6">
      <c r="B440"/>
      <c r="C440" s="25" t="s">
        <v>26</v>
      </c>
      <c r="D440" s="25" t="s">
        <v>35</v>
      </c>
      <c r="E440" s="17" t="s">
        <v>948</v>
      </c>
      <c r="F440" s="17" t="s">
        <v>490</v>
      </c>
    </row>
    <row r="441" spans="2:6">
      <c r="B441"/>
      <c r="C441" s="25" t="s">
        <v>26</v>
      </c>
      <c r="D441" s="25" t="s">
        <v>35</v>
      </c>
      <c r="E441" s="17" t="s">
        <v>949</v>
      </c>
      <c r="F441" s="17" t="s">
        <v>490</v>
      </c>
    </row>
    <row r="442" spans="2:6">
      <c r="B442"/>
      <c r="C442" s="25" t="s">
        <v>26</v>
      </c>
      <c r="D442" s="25" t="s">
        <v>35</v>
      </c>
      <c r="E442" s="17" t="s">
        <v>950</v>
      </c>
      <c r="F442" s="17" t="s">
        <v>490</v>
      </c>
    </row>
    <row r="443" spans="2:6">
      <c r="B443"/>
      <c r="C443" s="25" t="s">
        <v>26</v>
      </c>
      <c r="D443" s="25" t="s">
        <v>35</v>
      </c>
      <c r="E443" s="17" t="s">
        <v>951</v>
      </c>
      <c r="F443" s="17" t="s">
        <v>490</v>
      </c>
    </row>
    <row r="444" spans="2:6">
      <c r="B444"/>
      <c r="C444" s="25" t="s">
        <v>26</v>
      </c>
      <c r="D444" s="25" t="s">
        <v>35</v>
      </c>
      <c r="E444" s="17" t="s">
        <v>952</v>
      </c>
      <c r="F444" s="17" t="s">
        <v>490</v>
      </c>
    </row>
    <row r="445" spans="2:6">
      <c r="B445"/>
      <c r="C445" s="25" t="s">
        <v>26</v>
      </c>
      <c r="D445" s="25" t="s">
        <v>35</v>
      </c>
      <c r="E445" s="17" t="s">
        <v>953</v>
      </c>
      <c r="F445" s="17" t="s">
        <v>490</v>
      </c>
    </row>
    <row r="446" spans="2:6">
      <c r="B446"/>
      <c r="C446" s="25" t="s">
        <v>26</v>
      </c>
      <c r="D446" s="25" t="s">
        <v>35</v>
      </c>
      <c r="E446" s="17" t="s">
        <v>954</v>
      </c>
      <c r="F446" s="17" t="s">
        <v>490</v>
      </c>
    </row>
    <row r="447" spans="2:6">
      <c r="B447"/>
      <c r="C447" s="25" t="s">
        <v>26</v>
      </c>
      <c r="D447" s="25" t="s">
        <v>35</v>
      </c>
      <c r="E447" s="17" t="s">
        <v>955</v>
      </c>
      <c r="F447" s="17" t="s">
        <v>490</v>
      </c>
    </row>
    <row r="448" spans="2:6">
      <c r="B448"/>
      <c r="C448" s="25" t="s">
        <v>26</v>
      </c>
      <c r="D448" s="25" t="s">
        <v>35</v>
      </c>
      <c r="E448" s="17" t="s">
        <v>956</v>
      </c>
      <c r="F448" s="17" t="s">
        <v>490</v>
      </c>
    </row>
    <row r="449" spans="2:6">
      <c r="B449"/>
      <c r="C449" s="25" t="s">
        <v>26</v>
      </c>
      <c r="D449" s="25" t="s">
        <v>35</v>
      </c>
      <c r="E449" s="17" t="s">
        <v>957</v>
      </c>
      <c r="F449" s="17" t="s">
        <v>490</v>
      </c>
    </row>
    <row r="450" spans="2:6">
      <c r="B450"/>
      <c r="C450" s="25" t="s">
        <v>26</v>
      </c>
      <c r="D450" s="25" t="s">
        <v>35</v>
      </c>
      <c r="E450" s="17" t="s">
        <v>958</v>
      </c>
      <c r="F450" s="17" t="s">
        <v>490</v>
      </c>
    </row>
    <row r="451" spans="2:6">
      <c r="B451"/>
      <c r="C451" s="25" t="s">
        <v>26</v>
      </c>
      <c r="D451" s="25" t="s">
        <v>35</v>
      </c>
      <c r="E451" s="17" t="s">
        <v>959</v>
      </c>
      <c r="F451" s="17" t="s">
        <v>490</v>
      </c>
    </row>
    <row r="452" spans="2:6">
      <c r="B452"/>
      <c r="C452" s="25" t="s">
        <v>26</v>
      </c>
      <c r="D452" s="25" t="s">
        <v>35</v>
      </c>
      <c r="E452" s="17" t="s">
        <v>960</v>
      </c>
      <c r="F452" s="17" t="s">
        <v>490</v>
      </c>
    </row>
    <row r="453" spans="2:6">
      <c r="B453"/>
      <c r="C453" s="25" t="s">
        <v>26</v>
      </c>
      <c r="D453" s="25" t="s">
        <v>35</v>
      </c>
      <c r="E453" s="17" t="s">
        <v>961</v>
      </c>
      <c r="F453" s="17" t="s">
        <v>490</v>
      </c>
    </row>
    <row r="454" spans="2:6">
      <c r="B454"/>
      <c r="C454" s="25" t="s">
        <v>26</v>
      </c>
      <c r="D454" s="25" t="s">
        <v>35</v>
      </c>
      <c r="E454" s="17" t="s">
        <v>962</v>
      </c>
      <c r="F454" s="17" t="s">
        <v>490</v>
      </c>
    </row>
    <row r="455" spans="2:6">
      <c r="B455"/>
      <c r="C455" s="25" t="s">
        <v>26</v>
      </c>
      <c r="D455" s="25" t="s">
        <v>35</v>
      </c>
      <c r="E455" s="17" t="s">
        <v>963</v>
      </c>
      <c r="F455" s="17" t="s">
        <v>490</v>
      </c>
    </row>
    <row r="456" spans="2:6">
      <c r="B456"/>
      <c r="C456" s="25" t="s">
        <v>26</v>
      </c>
      <c r="D456" s="25" t="s">
        <v>35</v>
      </c>
      <c r="E456" s="17" t="s">
        <v>964</v>
      </c>
      <c r="F456" s="17" t="s">
        <v>490</v>
      </c>
    </row>
    <row r="457" spans="2:6">
      <c r="B457"/>
      <c r="C457" s="25" t="s">
        <v>26</v>
      </c>
      <c r="D457" s="25" t="s">
        <v>35</v>
      </c>
      <c r="E457" s="17" t="s">
        <v>965</v>
      </c>
      <c r="F457" s="17" t="s">
        <v>490</v>
      </c>
    </row>
    <row r="458" spans="2:6">
      <c r="B458"/>
      <c r="C458" s="25" t="s">
        <v>26</v>
      </c>
      <c r="D458" s="25" t="s">
        <v>35</v>
      </c>
      <c r="E458" s="17" t="s">
        <v>966</v>
      </c>
      <c r="F458" s="17" t="s">
        <v>490</v>
      </c>
    </row>
    <row r="459" spans="2:6">
      <c r="B459"/>
      <c r="C459" s="25" t="s">
        <v>26</v>
      </c>
      <c r="D459" s="25" t="s">
        <v>35</v>
      </c>
      <c r="E459" s="17" t="s">
        <v>967</v>
      </c>
      <c r="F459" s="17" t="s">
        <v>490</v>
      </c>
    </row>
    <row r="460" spans="2:6">
      <c r="B460"/>
      <c r="C460" s="25" t="s">
        <v>26</v>
      </c>
      <c r="D460" s="25" t="s">
        <v>35</v>
      </c>
      <c r="E460" s="17" t="s">
        <v>968</v>
      </c>
      <c r="F460" s="17" t="s">
        <v>490</v>
      </c>
    </row>
    <row r="461" spans="2:6">
      <c r="B461"/>
      <c r="C461" s="25" t="s">
        <v>26</v>
      </c>
      <c r="D461" s="25" t="s">
        <v>35</v>
      </c>
      <c r="E461" s="17" t="s">
        <v>969</v>
      </c>
      <c r="F461" s="17" t="s">
        <v>490</v>
      </c>
    </row>
    <row r="462" spans="2:6">
      <c r="B462"/>
      <c r="C462" s="25" t="s">
        <v>26</v>
      </c>
      <c r="D462" s="25" t="s">
        <v>35</v>
      </c>
      <c r="E462" s="17" t="s">
        <v>970</v>
      </c>
      <c r="F462" s="17" t="s">
        <v>490</v>
      </c>
    </row>
    <row r="463" spans="2:6">
      <c r="B463"/>
      <c r="C463" s="25" t="s">
        <v>26</v>
      </c>
      <c r="D463" s="25" t="s">
        <v>35</v>
      </c>
      <c r="E463" s="17" t="s">
        <v>971</v>
      </c>
      <c r="F463" s="17" t="s">
        <v>490</v>
      </c>
    </row>
    <row r="464" spans="2:6">
      <c r="B464"/>
      <c r="C464" s="25" t="s">
        <v>26</v>
      </c>
      <c r="D464" s="25" t="s">
        <v>35</v>
      </c>
      <c r="E464" s="17" t="s">
        <v>972</v>
      </c>
      <c r="F464" s="17" t="s">
        <v>490</v>
      </c>
    </row>
    <row r="465" spans="2:6">
      <c r="B465"/>
      <c r="C465" s="25" t="s">
        <v>26</v>
      </c>
      <c r="D465" s="25" t="s">
        <v>35</v>
      </c>
      <c r="E465" s="17" t="s">
        <v>973</v>
      </c>
      <c r="F465" s="17" t="s">
        <v>490</v>
      </c>
    </row>
    <row r="466" spans="2:6">
      <c r="B466"/>
      <c r="C466" s="25" t="s">
        <v>26</v>
      </c>
      <c r="D466" s="25" t="s">
        <v>35</v>
      </c>
      <c r="E466" s="17" t="s">
        <v>974</v>
      </c>
      <c r="F466" s="17" t="s">
        <v>490</v>
      </c>
    </row>
    <row r="467" spans="2:6">
      <c r="B467"/>
      <c r="C467" s="25" t="s">
        <v>26</v>
      </c>
      <c r="D467" s="25" t="s">
        <v>35</v>
      </c>
      <c r="E467" s="17" t="s">
        <v>975</v>
      </c>
      <c r="F467" s="17" t="s">
        <v>490</v>
      </c>
    </row>
    <row r="468" spans="2:6">
      <c r="B468"/>
      <c r="C468" s="25" t="s">
        <v>26</v>
      </c>
      <c r="D468" s="25" t="s">
        <v>35</v>
      </c>
      <c r="E468" s="17" t="s">
        <v>976</v>
      </c>
      <c r="F468" s="17" t="s">
        <v>490</v>
      </c>
    </row>
    <row r="469" spans="2:6">
      <c r="B469"/>
      <c r="C469" s="25" t="s">
        <v>26</v>
      </c>
      <c r="D469" s="25" t="s">
        <v>35</v>
      </c>
      <c r="E469" s="17" t="s">
        <v>977</v>
      </c>
      <c r="F469" s="17" t="s">
        <v>490</v>
      </c>
    </row>
    <row r="470" spans="2:6">
      <c r="B470"/>
      <c r="C470" s="25" t="s">
        <v>26</v>
      </c>
      <c r="D470" s="25" t="s">
        <v>35</v>
      </c>
      <c r="E470" s="17" t="s">
        <v>978</v>
      </c>
      <c r="F470" s="17" t="s">
        <v>490</v>
      </c>
    </row>
    <row r="471" spans="2:6">
      <c r="B471"/>
      <c r="C471" s="25" t="s">
        <v>26</v>
      </c>
      <c r="D471" s="25" t="s">
        <v>35</v>
      </c>
      <c r="E471" s="17" t="s">
        <v>979</v>
      </c>
      <c r="F471" s="17" t="s">
        <v>490</v>
      </c>
    </row>
    <row r="472" spans="2:6">
      <c r="B472"/>
      <c r="C472" s="25" t="s">
        <v>26</v>
      </c>
      <c r="D472" s="25" t="s">
        <v>35</v>
      </c>
      <c r="E472" s="17" t="s">
        <v>980</v>
      </c>
      <c r="F472" s="17" t="s">
        <v>490</v>
      </c>
    </row>
    <row r="473" spans="2:6">
      <c r="B473"/>
      <c r="C473" s="25" t="s">
        <v>26</v>
      </c>
      <c r="D473" s="25" t="s">
        <v>35</v>
      </c>
      <c r="E473" s="17" t="s">
        <v>981</v>
      </c>
      <c r="F473" s="17" t="s">
        <v>490</v>
      </c>
    </row>
    <row r="474" spans="2:6">
      <c r="B474"/>
      <c r="C474" s="25" t="s">
        <v>26</v>
      </c>
      <c r="D474" s="25" t="s">
        <v>35</v>
      </c>
      <c r="E474" s="17" t="s">
        <v>982</v>
      </c>
      <c r="F474" s="17" t="s">
        <v>490</v>
      </c>
    </row>
    <row r="475" spans="2:6">
      <c r="B475"/>
      <c r="C475" s="25" t="s">
        <v>26</v>
      </c>
      <c r="D475" s="25" t="s">
        <v>35</v>
      </c>
      <c r="E475" s="17" t="s">
        <v>983</v>
      </c>
      <c r="F475" s="17" t="s">
        <v>490</v>
      </c>
    </row>
    <row r="476" spans="2:6">
      <c r="B476"/>
      <c r="C476" s="25" t="s">
        <v>26</v>
      </c>
      <c r="D476" s="25" t="s">
        <v>35</v>
      </c>
      <c r="E476" s="17" t="s">
        <v>984</v>
      </c>
      <c r="F476" s="17" t="s">
        <v>490</v>
      </c>
    </row>
    <row r="477" spans="2:6">
      <c r="B477"/>
      <c r="C477" s="25" t="s">
        <v>26</v>
      </c>
      <c r="D477" s="25" t="s">
        <v>35</v>
      </c>
      <c r="E477" s="17" t="s">
        <v>985</v>
      </c>
      <c r="F477" s="17" t="s">
        <v>490</v>
      </c>
    </row>
    <row r="478" spans="2:6">
      <c r="B478"/>
      <c r="C478" s="25" t="s">
        <v>26</v>
      </c>
      <c r="D478" s="25" t="s">
        <v>35</v>
      </c>
      <c r="E478" s="17" t="s">
        <v>986</v>
      </c>
      <c r="F478" s="17" t="s">
        <v>490</v>
      </c>
    </row>
    <row r="479" spans="2:6">
      <c r="B479"/>
      <c r="C479" s="25" t="s">
        <v>26</v>
      </c>
      <c r="D479" s="25" t="s">
        <v>35</v>
      </c>
      <c r="E479" s="17" t="s">
        <v>987</v>
      </c>
      <c r="F479" s="17" t="s">
        <v>490</v>
      </c>
    </row>
    <row r="480" spans="2:6">
      <c r="B480"/>
      <c r="C480" s="25" t="s">
        <v>26</v>
      </c>
      <c r="D480" s="25" t="s">
        <v>35</v>
      </c>
      <c r="E480" s="14" t="s">
        <v>988</v>
      </c>
      <c r="F480" s="14" t="s">
        <v>491</v>
      </c>
    </row>
    <row r="481" spans="2:6">
      <c r="B481"/>
      <c r="C481" s="25" t="s">
        <v>26</v>
      </c>
      <c r="D481" s="25" t="s">
        <v>35</v>
      </c>
      <c r="E481" s="14" t="s">
        <v>989</v>
      </c>
      <c r="F481" s="14" t="s">
        <v>491</v>
      </c>
    </row>
    <row r="482" spans="2:6">
      <c r="B482"/>
      <c r="C482" s="25" t="s">
        <v>26</v>
      </c>
      <c r="D482" s="25" t="s">
        <v>35</v>
      </c>
      <c r="E482" s="14" t="s">
        <v>990</v>
      </c>
      <c r="F482" s="14" t="s">
        <v>491</v>
      </c>
    </row>
    <row r="483" spans="2:6">
      <c r="B483"/>
      <c r="C483" s="25" t="s">
        <v>26</v>
      </c>
      <c r="D483" s="25" t="s">
        <v>35</v>
      </c>
      <c r="E483" s="14" t="s">
        <v>991</v>
      </c>
      <c r="F483" s="14" t="s">
        <v>491</v>
      </c>
    </row>
    <row r="484" spans="2:6">
      <c r="B484"/>
      <c r="C484" s="25" t="s">
        <v>26</v>
      </c>
      <c r="D484" s="25" t="s">
        <v>35</v>
      </c>
      <c r="E484" s="14" t="s">
        <v>992</v>
      </c>
      <c r="F484" s="14" t="s">
        <v>491</v>
      </c>
    </row>
    <row r="485" spans="2:6">
      <c r="B485"/>
      <c r="C485" s="25" t="s">
        <v>26</v>
      </c>
      <c r="D485" s="25" t="s">
        <v>35</v>
      </c>
      <c r="E485" s="14" t="s">
        <v>993</v>
      </c>
      <c r="F485" s="14" t="s">
        <v>491</v>
      </c>
    </row>
    <row r="486" spans="2:6">
      <c r="B486"/>
      <c r="C486" s="25" t="s">
        <v>26</v>
      </c>
      <c r="D486" s="25" t="s">
        <v>35</v>
      </c>
      <c r="E486" s="14" t="s">
        <v>994</v>
      </c>
      <c r="F486" s="14" t="s">
        <v>491</v>
      </c>
    </row>
    <row r="487" spans="2:6">
      <c r="B487"/>
      <c r="C487" s="25" t="s">
        <v>26</v>
      </c>
      <c r="D487" s="25" t="s">
        <v>35</v>
      </c>
      <c r="E487" s="14" t="s">
        <v>995</v>
      </c>
      <c r="F487" s="14" t="s">
        <v>491</v>
      </c>
    </row>
    <row r="488" spans="2:6">
      <c r="B488"/>
      <c r="C488" s="25" t="s">
        <v>26</v>
      </c>
      <c r="D488" s="25" t="s">
        <v>35</v>
      </c>
      <c r="E488" s="14" t="s">
        <v>996</v>
      </c>
      <c r="F488" s="14" t="s">
        <v>491</v>
      </c>
    </row>
    <row r="489" spans="2:6">
      <c r="B489"/>
      <c r="C489" s="25" t="s">
        <v>26</v>
      </c>
      <c r="D489" s="25" t="s">
        <v>35</v>
      </c>
      <c r="E489" s="14" t="s">
        <v>997</v>
      </c>
      <c r="F489" s="14" t="s">
        <v>491</v>
      </c>
    </row>
    <row r="490" spans="2:6">
      <c r="B490"/>
      <c r="C490" s="25" t="s">
        <v>26</v>
      </c>
      <c r="D490" s="25" t="s">
        <v>35</v>
      </c>
      <c r="E490" s="14" t="s">
        <v>998</v>
      </c>
      <c r="F490" s="14" t="s">
        <v>491</v>
      </c>
    </row>
    <row r="491" spans="2:6">
      <c r="B491"/>
      <c r="C491" s="25" t="s">
        <v>26</v>
      </c>
      <c r="D491" s="25" t="s">
        <v>35</v>
      </c>
      <c r="E491" s="14" t="s">
        <v>999</v>
      </c>
      <c r="F491" s="14" t="s">
        <v>491</v>
      </c>
    </row>
    <row r="492" spans="2:6">
      <c r="B492"/>
      <c r="C492" s="25" t="s">
        <v>26</v>
      </c>
      <c r="D492" s="25" t="s">
        <v>35</v>
      </c>
      <c r="E492" s="14" t="s">
        <v>1000</v>
      </c>
      <c r="F492" s="14" t="s">
        <v>491</v>
      </c>
    </row>
    <row r="493" spans="2:6">
      <c r="B493"/>
      <c r="C493" s="25" t="s">
        <v>26</v>
      </c>
      <c r="D493" s="25" t="s">
        <v>35</v>
      </c>
      <c r="E493" s="14" t="s">
        <v>1001</v>
      </c>
      <c r="F493" s="14" t="s">
        <v>491</v>
      </c>
    </row>
    <row r="494" spans="2:6">
      <c r="B494"/>
      <c r="C494" s="25" t="s">
        <v>26</v>
      </c>
      <c r="D494" s="25" t="s">
        <v>35</v>
      </c>
      <c r="E494" s="14" t="s">
        <v>1002</v>
      </c>
      <c r="F494" s="14" t="s">
        <v>491</v>
      </c>
    </row>
    <row r="495" spans="2:6">
      <c r="B495"/>
      <c r="C495" s="25" t="s">
        <v>26</v>
      </c>
      <c r="D495" s="25" t="s">
        <v>35</v>
      </c>
      <c r="E495" s="14" t="s">
        <v>1003</v>
      </c>
      <c r="F495" s="14" t="s">
        <v>491</v>
      </c>
    </row>
    <row r="496" spans="2:6">
      <c r="B496"/>
      <c r="C496" s="25" t="s">
        <v>26</v>
      </c>
      <c r="D496" s="25" t="s">
        <v>35</v>
      </c>
      <c r="E496" s="14" t="s">
        <v>1004</v>
      </c>
      <c r="F496" s="14" t="s">
        <v>491</v>
      </c>
    </row>
    <row r="497" spans="2:6">
      <c r="B497"/>
      <c r="C497" s="25" t="s">
        <v>26</v>
      </c>
      <c r="D497" s="25" t="s">
        <v>35</v>
      </c>
      <c r="E497" s="14" t="s">
        <v>1005</v>
      </c>
      <c r="F497" s="14" t="s">
        <v>491</v>
      </c>
    </row>
    <row r="498" spans="2:6">
      <c r="B498"/>
      <c r="C498" s="26" t="s">
        <v>26</v>
      </c>
      <c r="D498" s="26" t="s">
        <v>33</v>
      </c>
      <c r="E498" s="14" t="s">
        <v>1024</v>
      </c>
      <c r="F498" s="14" t="s">
        <v>491</v>
      </c>
    </row>
    <row r="499" spans="2:6">
      <c r="B499"/>
      <c r="C499" s="26" t="s">
        <v>26</v>
      </c>
      <c r="D499" s="26" t="s">
        <v>33</v>
      </c>
      <c r="E499" s="14" t="s">
        <v>1025</v>
      </c>
      <c r="F499" s="14" t="s">
        <v>491</v>
      </c>
    </row>
    <row r="500" spans="2:6">
      <c r="B500"/>
      <c r="C500" s="26" t="s">
        <v>26</v>
      </c>
      <c r="D500" s="26" t="s">
        <v>33</v>
      </c>
      <c r="E500" s="14" t="s">
        <v>1026</v>
      </c>
      <c r="F500" s="14" t="s">
        <v>491</v>
      </c>
    </row>
    <row r="501" spans="2:6">
      <c r="B501"/>
      <c r="C501" s="26" t="s">
        <v>26</v>
      </c>
      <c r="D501" s="26" t="s">
        <v>33</v>
      </c>
      <c r="E501" s="14" t="s">
        <v>1027</v>
      </c>
      <c r="F501" s="14" t="s">
        <v>491</v>
      </c>
    </row>
    <row r="502" spans="2:6">
      <c r="B502"/>
      <c r="C502" s="26" t="s">
        <v>26</v>
      </c>
      <c r="D502" s="26" t="s">
        <v>33</v>
      </c>
      <c r="E502" s="14" t="s">
        <v>1028</v>
      </c>
      <c r="F502" s="14" t="s">
        <v>491</v>
      </c>
    </row>
    <row r="503" spans="2:6">
      <c r="B503"/>
      <c r="C503" s="26" t="s">
        <v>26</v>
      </c>
      <c r="D503" s="26" t="s">
        <v>33</v>
      </c>
      <c r="E503" s="14" t="s">
        <v>1029</v>
      </c>
      <c r="F503" s="14" t="s">
        <v>491</v>
      </c>
    </row>
    <row r="504" spans="2:6">
      <c r="B504"/>
      <c r="C504" s="26" t="s">
        <v>26</v>
      </c>
      <c r="D504" s="26" t="s">
        <v>33</v>
      </c>
      <c r="E504" s="14" t="s">
        <v>1030</v>
      </c>
      <c r="F504" s="14" t="s">
        <v>491</v>
      </c>
    </row>
    <row r="505" spans="2:6">
      <c r="B505"/>
      <c r="C505" s="26" t="s">
        <v>26</v>
      </c>
      <c r="D505" s="26" t="s">
        <v>33</v>
      </c>
      <c r="E505" s="14" t="s">
        <v>1031</v>
      </c>
      <c r="F505" s="14" t="s">
        <v>491</v>
      </c>
    </row>
    <row r="506" spans="2:6">
      <c r="B506"/>
      <c r="C506" s="26" t="s">
        <v>26</v>
      </c>
      <c r="D506" s="26" t="s">
        <v>33</v>
      </c>
      <c r="E506" s="14" t="s">
        <v>1032</v>
      </c>
      <c r="F506" s="14" t="s">
        <v>491</v>
      </c>
    </row>
    <row r="507" spans="2:6">
      <c r="B507"/>
      <c r="C507" s="26" t="s">
        <v>26</v>
      </c>
      <c r="D507" s="26" t="s">
        <v>33</v>
      </c>
      <c r="E507" s="14" t="s">
        <v>1033</v>
      </c>
      <c r="F507" s="14" t="s">
        <v>491</v>
      </c>
    </row>
    <row r="508" spans="2:6">
      <c r="B508"/>
      <c r="C508" s="26" t="s">
        <v>26</v>
      </c>
      <c r="D508" s="26" t="s">
        <v>33</v>
      </c>
      <c r="E508" s="13" t="s">
        <v>1006</v>
      </c>
      <c r="F508" s="13" t="s">
        <v>489</v>
      </c>
    </row>
    <row r="509" spans="2:6">
      <c r="B509"/>
      <c r="C509" s="26" t="s">
        <v>26</v>
      </c>
      <c r="D509" s="26" t="s">
        <v>33</v>
      </c>
      <c r="E509" s="13" t="s">
        <v>1007</v>
      </c>
      <c r="F509" s="13" t="s">
        <v>489</v>
      </c>
    </row>
    <row r="510" spans="2:6">
      <c r="B510"/>
      <c r="C510" s="26" t="s">
        <v>26</v>
      </c>
      <c r="D510" s="26" t="s">
        <v>33</v>
      </c>
      <c r="E510" s="13" t="s">
        <v>1008</v>
      </c>
      <c r="F510" s="13" t="s">
        <v>489</v>
      </c>
    </row>
    <row r="511" spans="2:6">
      <c r="B511"/>
      <c r="C511" s="26" t="s">
        <v>26</v>
      </c>
      <c r="D511" s="26" t="s">
        <v>33</v>
      </c>
      <c r="E511" s="13" t="s">
        <v>1009</v>
      </c>
      <c r="F511" s="13" t="s">
        <v>489</v>
      </c>
    </row>
    <row r="512" spans="2:6">
      <c r="B512"/>
      <c r="C512" s="26" t="s">
        <v>26</v>
      </c>
      <c r="D512" s="26" t="s">
        <v>33</v>
      </c>
      <c r="E512" s="13" t="s">
        <v>1010</v>
      </c>
      <c r="F512" s="13" t="s">
        <v>489</v>
      </c>
    </row>
    <row r="513" spans="2:6">
      <c r="B513"/>
      <c r="C513" s="26" t="s">
        <v>26</v>
      </c>
      <c r="D513" s="26" t="s">
        <v>33</v>
      </c>
      <c r="E513" s="13" t="s">
        <v>1011</v>
      </c>
      <c r="F513" s="13" t="s">
        <v>489</v>
      </c>
    </row>
    <row r="514" spans="2:6">
      <c r="B514"/>
      <c r="C514" s="26" t="s">
        <v>26</v>
      </c>
      <c r="D514" s="26" t="s">
        <v>33</v>
      </c>
      <c r="E514" s="13" t="s">
        <v>1012</v>
      </c>
      <c r="F514" s="13" t="s">
        <v>489</v>
      </c>
    </row>
    <row r="515" spans="2:6">
      <c r="B515"/>
      <c r="C515" s="26" t="s">
        <v>26</v>
      </c>
      <c r="D515" s="26" t="s">
        <v>33</v>
      </c>
      <c r="E515" s="13" t="s">
        <v>961</v>
      </c>
      <c r="F515" s="13" t="s">
        <v>489</v>
      </c>
    </row>
    <row r="516" spans="2:6">
      <c r="B516"/>
      <c r="C516" s="26" t="s">
        <v>26</v>
      </c>
      <c r="D516" s="26" t="s">
        <v>33</v>
      </c>
      <c r="E516" s="13" t="s">
        <v>1013</v>
      </c>
      <c r="F516" s="13" t="s">
        <v>489</v>
      </c>
    </row>
    <row r="517" spans="2:6">
      <c r="B517"/>
      <c r="C517" s="26" t="s">
        <v>26</v>
      </c>
      <c r="D517" s="26" t="s">
        <v>33</v>
      </c>
      <c r="E517" s="13" t="s">
        <v>1014</v>
      </c>
      <c r="F517" s="13" t="s">
        <v>489</v>
      </c>
    </row>
    <row r="518" spans="2:6">
      <c r="B518"/>
      <c r="C518" s="26" t="s">
        <v>26</v>
      </c>
      <c r="D518" s="26" t="s">
        <v>33</v>
      </c>
      <c r="E518" s="13" t="s">
        <v>1015</v>
      </c>
      <c r="F518" s="13" t="s">
        <v>489</v>
      </c>
    </row>
    <row r="519" spans="2:6">
      <c r="B519"/>
      <c r="C519" s="26" t="s">
        <v>26</v>
      </c>
      <c r="D519" s="26" t="s">
        <v>33</v>
      </c>
      <c r="E519" s="13" t="s">
        <v>1016</v>
      </c>
      <c r="F519" s="13" t="s">
        <v>489</v>
      </c>
    </row>
    <row r="520" spans="2:6">
      <c r="B520"/>
      <c r="C520" s="26" t="s">
        <v>26</v>
      </c>
      <c r="D520" s="26" t="s">
        <v>33</v>
      </c>
      <c r="E520" s="13" t="s">
        <v>1017</v>
      </c>
      <c r="F520" s="13" t="s">
        <v>489</v>
      </c>
    </row>
    <row r="521" spans="2:6">
      <c r="B521"/>
      <c r="C521" s="26" t="s">
        <v>26</v>
      </c>
      <c r="D521" s="26" t="s">
        <v>33</v>
      </c>
      <c r="E521" s="13" t="s">
        <v>1018</v>
      </c>
      <c r="F521" s="13" t="s">
        <v>489</v>
      </c>
    </row>
    <row r="522" spans="2:6">
      <c r="B522"/>
      <c r="C522" s="26" t="s">
        <v>26</v>
      </c>
      <c r="D522" s="26" t="s">
        <v>33</v>
      </c>
      <c r="E522" s="13" t="s">
        <v>1019</v>
      </c>
      <c r="F522" s="13" t="s">
        <v>489</v>
      </c>
    </row>
    <row r="523" spans="2:6">
      <c r="B523"/>
      <c r="C523" s="26" t="s">
        <v>26</v>
      </c>
      <c r="D523" s="26" t="s">
        <v>33</v>
      </c>
      <c r="E523" s="13" t="s">
        <v>1020</v>
      </c>
      <c r="F523" s="13" t="s">
        <v>489</v>
      </c>
    </row>
    <row r="524" spans="2:6">
      <c r="B524"/>
      <c r="C524" s="26" t="s">
        <v>26</v>
      </c>
      <c r="D524" s="26" t="s">
        <v>33</v>
      </c>
      <c r="E524" s="13" t="s">
        <v>1021</v>
      </c>
      <c r="F524" s="13" t="s">
        <v>489</v>
      </c>
    </row>
    <row r="525" spans="2:6">
      <c r="B525"/>
      <c r="C525" s="26" t="s">
        <v>26</v>
      </c>
      <c r="D525" s="26" t="s">
        <v>33</v>
      </c>
      <c r="E525" s="13" t="s">
        <v>1022</v>
      </c>
      <c r="F525" s="13" t="s">
        <v>489</v>
      </c>
    </row>
    <row r="526" spans="2:6">
      <c r="B526"/>
      <c r="C526" s="26" t="s">
        <v>26</v>
      </c>
      <c r="D526" s="26" t="s">
        <v>33</v>
      </c>
      <c r="E526" s="13" t="s">
        <v>1023</v>
      </c>
      <c r="F526" s="13" t="s">
        <v>489</v>
      </c>
    </row>
    <row r="527" spans="2:6">
      <c r="B527"/>
      <c r="C527" s="25" t="s">
        <v>26</v>
      </c>
      <c r="D527" s="28" t="s">
        <v>1034</v>
      </c>
      <c r="E527" s="17" t="s">
        <v>1038</v>
      </c>
      <c r="F527" s="17" t="s">
        <v>490</v>
      </c>
    </row>
    <row r="528" spans="2:6">
      <c r="B528"/>
      <c r="C528" s="25" t="s">
        <v>26</v>
      </c>
      <c r="D528" s="28" t="s">
        <v>1034</v>
      </c>
      <c r="E528" s="17" t="s">
        <v>1039</v>
      </c>
      <c r="F528" s="17" t="s">
        <v>490</v>
      </c>
    </row>
    <row r="529" spans="2:6">
      <c r="B529"/>
      <c r="C529" s="25" t="s">
        <v>26</v>
      </c>
      <c r="D529" s="28" t="s">
        <v>1034</v>
      </c>
      <c r="E529" s="17" t="s">
        <v>1040</v>
      </c>
      <c r="F529" s="17" t="s">
        <v>490</v>
      </c>
    </row>
    <row r="530" spans="2:6">
      <c r="B530"/>
      <c r="C530" s="25" t="s">
        <v>26</v>
      </c>
      <c r="D530" s="28" t="s">
        <v>1034</v>
      </c>
      <c r="E530" s="17" t="s">
        <v>1041</v>
      </c>
      <c r="F530" s="17" t="s">
        <v>490</v>
      </c>
    </row>
    <row r="531" spans="2:6">
      <c r="B531"/>
      <c r="C531" s="25" t="s">
        <v>26</v>
      </c>
      <c r="D531" s="28" t="s">
        <v>1034</v>
      </c>
      <c r="E531" s="17" t="s">
        <v>1042</v>
      </c>
      <c r="F531" s="17" t="s">
        <v>490</v>
      </c>
    </row>
    <row r="532" spans="2:6">
      <c r="B532"/>
      <c r="C532" s="25" t="s">
        <v>26</v>
      </c>
      <c r="D532" s="28" t="s">
        <v>1034</v>
      </c>
      <c r="E532" s="17" t="s">
        <v>1043</v>
      </c>
      <c r="F532" s="17" t="s">
        <v>490</v>
      </c>
    </row>
    <row r="533" spans="2:6">
      <c r="B533"/>
      <c r="C533" s="25" t="s">
        <v>26</v>
      </c>
      <c r="D533" s="28" t="s">
        <v>1034</v>
      </c>
      <c r="E533" s="17" t="s">
        <v>1044</v>
      </c>
      <c r="F533" s="17" t="s">
        <v>490</v>
      </c>
    </row>
    <row r="534" spans="2:6">
      <c r="B534"/>
      <c r="C534" s="25" t="s">
        <v>26</v>
      </c>
      <c r="D534" s="28" t="s">
        <v>1034</v>
      </c>
      <c r="E534" s="17" t="s">
        <v>1045</v>
      </c>
      <c r="F534" s="17" t="s">
        <v>490</v>
      </c>
    </row>
    <row r="535" spans="2:6">
      <c r="B535"/>
      <c r="C535" s="25" t="s">
        <v>26</v>
      </c>
      <c r="D535" s="28" t="s">
        <v>1034</v>
      </c>
      <c r="E535" s="17" t="s">
        <v>1046</v>
      </c>
      <c r="F535" s="17" t="s">
        <v>490</v>
      </c>
    </row>
    <row r="536" spans="2:6">
      <c r="B536"/>
      <c r="C536" s="25" t="s">
        <v>26</v>
      </c>
      <c r="D536" s="28" t="s">
        <v>1034</v>
      </c>
      <c r="E536" s="17" t="s">
        <v>1047</v>
      </c>
      <c r="F536" s="17" t="s">
        <v>490</v>
      </c>
    </row>
    <row r="537" spans="2:6">
      <c r="B537"/>
      <c r="C537" s="25" t="s">
        <v>26</v>
      </c>
      <c r="D537" s="28" t="s">
        <v>1034</v>
      </c>
      <c r="E537" s="17" t="s">
        <v>1048</v>
      </c>
      <c r="F537" s="17" t="s">
        <v>490</v>
      </c>
    </row>
    <row r="538" spans="2:6">
      <c r="B538"/>
      <c r="C538" s="25" t="s">
        <v>26</v>
      </c>
      <c r="D538" s="28" t="s">
        <v>1034</v>
      </c>
      <c r="E538" s="17" t="s">
        <v>1049</v>
      </c>
      <c r="F538" s="17" t="s">
        <v>490</v>
      </c>
    </row>
    <row r="539" spans="2:6">
      <c r="B539"/>
      <c r="C539" s="25" t="s">
        <v>26</v>
      </c>
      <c r="D539" s="28" t="s">
        <v>1034</v>
      </c>
      <c r="E539" s="17" t="s">
        <v>1050</v>
      </c>
      <c r="F539" s="17" t="s">
        <v>490</v>
      </c>
    </row>
    <row r="540" spans="2:6">
      <c r="B540"/>
      <c r="C540" s="25" t="s">
        <v>26</v>
      </c>
      <c r="D540" s="28" t="s">
        <v>1034</v>
      </c>
      <c r="E540" s="17" t="s">
        <v>1051</v>
      </c>
      <c r="F540" s="17" t="s">
        <v>490</v>
      </c>
    </row>
    <row r="541" spans="2:6">
      <c r="B541"/>
      <c r="C541" s="25" t="s">
        <v>26</v>
      </c>
      <c r="D541" s="28" t="s">
        <v>1034</v>
      </c>
      <c r="E541" s="17" t="s">
        <v>1052</v>
      </c>
      <c r="F541" s="17" t="s">
        <v>490</v>
      </c>
    </row>
    <row r="542" spans="2:6">
      <c r="B542"/>
      <c r="C542" s="25" t="s">
        <v>26</v>
      </c>
      <c r="D542" s="28" t="s">
        <v>1034</v>
      </c>
      <c r="E542" s="17" t="s">
        <v>1053</v>
      </c>
      <c r="F542" s="17" t="s">
        <v>490</v>
      </c>
    </row>
    <row r="543" spans="2:6">
      <c r="B543"/>
      <c r="C543" s="25" t="s">
        <v>26</v>
      </c>
      <c r="D543" s="28" t="s">
        <v>1034</v>
      </c>
      <c r="E543" s="17" t="s">
        <v>1054</v>
      </c>
      <c r="F543" s="17" t="s">
        <v>490</v>
      </c>
    </row>
    <row r="544" spans="2:6">
      <c r="B544"/>
      <c r="C544" s="25" t="s">
        <v>26</v>
      </c>
      <c r="D544" s="28" t="s">
        <v>1034</v>
      </c>
      <c r="E544" s="17" t="s">
        <v>1055</v>
      </c>
      <c r="F544" s="17" t="s">
        <v>490</v>
      </c>
    </row>
    <row r="545" spans="2:6">
      <c r="B545"/>
      <c r="C545" s="25" t="s">
        <v>26</v>
      </c>
      <c r="D545" s="28" t="s">
        <v>1034</v>
      </c>
      <c r="E545" s="17" t="s">
        <v>1056</v>
      </c>
      <c r="F545" s="17" t="s">
        <v>490</v>
      </c>
    </row>
    <row r="546" spans="2:6">
      <c r="B546"/>
      <c r="C546" s="25" t="s">
        <v>26</v>
      </c>
      <c r="D546" s="28" t="s">
        <v>1034</v>
      </c>
      <c r="E546" s="17" t="s">
        <v>1057</v>
      </c>
      <c r="F546" s="17" t="s">
        <v>490</v>
      </c>
    </row>
    <row r="547" spans="2:6">
      <c r="B547"/>
      <c r="C547" s="25" t="s">
        <v>26</v>
      </c>
      <c r="D547" s="28" t="s">
        <v>1034</v>
      </c>
      <c r="E547" s="17" t="s">
        <v>1058</v>
      </c>
      <c r="F547" s="17" t="s">
        <v>490</v>
      </c>
    </row>
    <row r="548" spans="2:6">
      <c r="B548"/>
      <c r="C548" s="25" t="s">
        <v>26</v>
      </c>
      <c r="D548" s="28" t="s">
        <v>1034</v>
      </c>
      <c r="E548" s="17" t="s">
        <v>1059</v>
      </c>
      <c r="F548" s="17" t="s">
        <v>490</v>
      </c>
    </row>
    <row r="549" spans="2:6">
      <c r="B549"/>
      <c r="C549" s="25" t="s">
        <v>26</v>
      </c>
      <c r="D549" s="28" t="s">
        <v>1034</v>
      </c>
      <c r="E549" s="17" t="s">
        <v>1060</v>
      </c>
      <c r="F549" s="17" t="s">
        <v>490</v>
      </c>
    </row>
    <row r="550" spans="2:6">
      <c r="B550"/>
      <c r="C550" s="25" t="s">
        <v>26</v>
      </c>
      <c r="D550" s="28" t="s">
        <v>1034</v>
      </c>
      <c r="E550" s="17" t="s">
        <v>1061</v>
      </c>
      <c r="F550" s="17" t="s">
        <v>490</v>
      </c>
    </row>
    <row r="551" spans="2:6">
      <c r="B551"/>
      <c r="C551" s="25" t="s">
        <v>26</v>
      </c>
      <c r="D551" s="28" t="s">
        <v>1034</v>
      </c>
      <c r="E551" s="17" t="s">
        <v>1062</v>
      </c>
      <c r="F551" s="17" t="s">
        <v>490</v>
      </c>
    </row>
    <row r="552" spans="2:6">
      <c r="B552"/>
      <c r="C552" s="25" t="s">
        <v>26</v>
      </c>
      <c r="D552" s="28" t="s">
        <v>1034</v>
      </c>
      <c r="E552" s="17" t="s">
        <v>1063</v>
      </c>
      <c r="F552" s="17" t="s">
        <v>490</v>
      </c>
    </row>
    <row r="553" spans="2:6">
      <c r="B553"/>
      <c r="C553" s="25" t="s">
        <v>26</v>
      </c>
      <c r="D553" s="28" t="s">
        <v>1034</v>
      </c>
      <c r="E553" s="17" t="s">
        <v>1064</v>
      </c>
      <c r="F553" s="17" t="s">
        <v>490</v>
      </c>
    </row>
    <row r="554" spans="2:6">
      <c r="B554"/>
      <c r="C554" s="25" t="s">
        <v>26</v>
      </c>
      <c r="D554" s="28" t="s">
        <v>1034</v>
      </c>
      <c r="E554" s="17" t="s">
        <v>1065</v>
      </c>
      <c r="F554" s="17" t="s">
        <v>490</v>
      </c>
    </row>
    <row r="555" spans="2:6">
      <c r="B555"/>
      <c r="C555" s="25" t="s">
        <v>26</v>
      </c>
      <c r="D555" s="28" t="s">
        <v>1034</v>
      </c>
      <c r="E555" s="17" t="s">
        <v>1066</v>
      </c>
      <c r="F555" s="17" t="s">
        <v>490</v>
      </c>
    </row>
    <row r="556" spans="2:6">
      <c r="B556"/>
      <c r="C556" s="25" t="s">
        <v>26</v>
      </c>
      <c r="D556" s="28" t="s">
        <v>1034</v>
      </c>
      <c r="E556" s="17" t="s">
        <v>1067</v>
      </c>
      <c r="F556" s="17" t="s">
        <v>490</v>
      </c>
    </row>
    <row r="557" spans="2:6">
      <c r="B557"/>
      <c r="C557" s="25" t="s">
        <v>26</v>
      </c>
      <c r="D557" s="28" t="s">
        <v>1034</v>
      </c>
      <c r="E557" s="17" t="s">
        <v>1068</v>
      </c>
      <c r="F557" s="17" t="s">
        <v>490</v>
      </c>
    </row>
    <row r="558" spans="2:6">
      <c r="B558"/>
      <c r="C558" s="25" t="s">
        <v>26</v>
      </c>
      <c r="D558" s="28" t="s">
        <v>1034</v>
      </c>
      <c r="E558" s="17" t="s">
        <v>1069</v>
      </c>
      <c r="F558" s="17" t="s">
        <v>490</v>
      </c>
    </row>
    <row r="559" spans="2:6">
      <c r="B559"/>
      <c r="C559" s="25" t="s">
        <v>26</v>
      </c>
      <c r="D559" s="28" t="s">
        <v>1034</v>
      </c>
      <c r="E559" s="17" t="s">
        <v>1070</v>
      </c>
      <c r="F559" s="17" t="s">
        <v>490</v>
      </c>
    </row>
    <row r="560" spans="2:6">
      <c r="B560"/>
      <c r="C560" s="25" t="s">
        <v>26</v>
      </c>
      <c r="D560" s="28" t="s">
        <v>1034</v>
      </c>
      <c r="E560" s="17" t="s">
        <v>1071</v>
      </c>
      <c r="F560" s="17" t="s">
        <v>490</v>
      </c>
    </row>
    <row r="561" spans="2:6">
      <c r="B561"/>
      <c r="C561" s="25" t="s">
        <v>26</v>
      </c>
      <c r="D561" s="28" t="s">
        <v>1034</v>
      </c>
      <c r="E561" s="17" t="s">
        <v>1072</v>
      </c>
      <c r="F561" s="17" t="s">
        <v>490</v>
      </c>
    </row>
    <row r="562" spans="2:6">
      <c r="B562"/>
      <c r="C562" s="25" t="s">
        <v>26</v>
      </c>
      <c r="D562" s="28" t="s">
        <v>1034</v>
      </c>
      <c r="E562" s="17" t="s">
        <v>1073</v>
      </c>
      <c r="F562" s="17" t="s">
        <v>490</v>
      </c>
    </row>
    <row r="563" spans="2:6">
      <c r="B563"/>
      <c r="C563" s="25" t="s">
        <v>26</v>
      </c>
      <c r="D563" s="28" t="s">
        <v>1034</v>
      </c>
      <c r="E563" s="17" t="s">
        <v>1074</v>
      </c>
      <c r="F563" s="17" t="s">
        <v>490</v>
      </c>
    </row>
    <row r="564" spans="2:6">
      <c r="B564"/>
      <c r="C564" s="25" t="s">
        <v>26</v>
      </c>
      <c r="D564" s="28" t="s">
        <v>1034</v>
      </c>
      <c r="E564" s="17" t="s">
        <v>984</v>
      </c>
      <c r="F564" s="17" t="s">
        <v>490</v>
      </c>
    </row>
    <row r="565" spans="2:6">
      <c r="B565"/>
      <c r="C565" s="25" t="s">
        <v>26</v>
      </c>
      <c r="D565" s="28" t="s">
        <v>1034</v>
      </c>
      <c r="E565" s="14" t="s">
        <v>1075</v>
      </c>
      <c r="F565" s="14" t="s">
        <v>491</v>
      </c>
    </row>
    <row r="566" spans="2:6">
      <c r="B566"/>
      <c r="C566" s="25" t="s">
        <v>26</v>
      </c>
      <c r="D566" s="28" t="s">
        <v>1034</v>
      </c>
      <c r="E566" s="14" t="s">
        <v>1076</v>
      </c>
      <c r="F566" s="14" t="s">
        <v>491</v>
      </c>
    </row>
    <row r="567" spans="2:6">
      <c r="B567"/>
      <c r="C567" s="25" t="s">
        <v>26</v>
      </c>
      <c r="D567" s="28" t="s">
        <v>1034</v>
      </c>
      <c r="E567" s="14" t="s">
        <v>1077</v>
      </c>
      <c r="F567" s="14" t="s">
        <v>491</v>
      </c>
    </row>
    <row r="568" spans="2:6">
      <c r="B568"/>
      <c r="C568" s="25" t="s">
        <v>26</v>
      </c>
      <c r="D568" s="28" t="s">
        <v>1034</v>
      </c>
      <c r="E568" s="14" t="s">
        <v>1078</v>
      </c>
      <c r="F568" s="14" t="s">
        <v>491</v>
      </c>
    </row>
    <row r="569" spans="2:6">
      <c r="B569"/>
      <c r="C569" s="25" t="s">
        <v>26</v>
      </c>
      <c r="D569" s="28" t="s">
        <v>1034</v>
      </c>
      <c r="E569" s="14" t="s">
        <v>1079</v>
      </c>
      <c r="F569" s="14" t="s">
        <v>491</v>
      </c>
    </row>
    <row r="570" spans="2:6">
      <c r="B570"/>
      <c r="C570" s="25" t="s">
        <v>26</v>
      </c>
      <c r="D570" s="28" t="s">
        <v>1034</v>
      </c>
      <c r="E570" s="14" t="s">
        <v>1080</v>
      </c>
      <c r="F570" s="14" t="s">
        <v>491</v>
      </c>
    </row>
    <row r="571" spans="2:6">
      <c r="B571"/>
      <c r="C571" s="25" t="s">
        <v>26</v>
      </c>
      <c r="D571" s="28" t="s">
        <v>1034</v>
      </c>
      <c r="E571" s="14" t="s">
        <v>1081</v>
      </c>
      <c r="F571" s="14" t="s">
        <v>491</v>
      </c>
    </row>
    <row r="572" spans="2:6">
      <c r="B572"/>
      <c r="C572" s="25" t="s">
        <v>26</v>
      </c>
      <c r="D572" s="28" t="s">
        <v>1034</v>
      </c>
      <c r="E572" s="14" t="s">
        <v>1082</v>
      </c>
      <c r="F572" s="14" t="s">
        <v>491</v>
      </c>
    </row>
    <row r="573" spans="2:6">
      <c r="B573"/>
      <c r="C573" s="25" t="s">
        <v>26</v>
      </c>
      <c r="D573" s="28" t="s">
        <v>1034</v>
      </c>
      <c r="E573" s="14" t="s">
        <v>1083</v>
      </c>
      <c r="F573" s="14" t="s">
        <v>491</v>
      </c>
    </row>
    <row r="574" spans="2:6">
      <c r="B574"/>
      <c r="C574" s="25" t="s">
        <v>26</v>
      </c>
      <c r="D574" s="28" t="s">
        <v>1034</v>
      </c>
      <c r="E574" s="14" t="s">
        <v>967</v>
      </c>
      <c r="F574" s="14" t="s">
        <v>491</v>
      </c>
    </row>
    <row r="575" spans="2:6">
      <c r="B575"/>
      <c r="C575" s="25" t="s">
        <v>26</v>
      </c>
      <c r="D575" s="28" t="s">
        <v>1034</v>
      </c>
      <c r="E575" s="14" t="s">
        <v>968</v>
      </c>
      <c r="F575" s="14" t="s">
        <v>491</v>
      </c>
    </row>
    <row r="576" spans="2:6">
      <c r="B576"/>
      <c r="C576" s="25" t="s">
        <v>26</v>
      </c>
      <c r="D576" s="28" t="s">
        <v>1034</v>
      </c>
      <c r="E576" s="14" t="s">
        <v>995</v>
      </c>
      <c r="F576" s="14" t="s">
        <v>491</v>
      </c>
    </row>
    <row r="577" spans="2:6">
      <c r="B577"/>
      <c r="C577" s="25" t="s">
        <v>26</v>
      </c>
      <c r="D577" s="28" t="s">
        <v>1034</v>
      </c>
      <c r="E577" s="14" t="s">
        <v>1084</v>
      </c>
      <c r="F577" s="14" t="s">
        <v>491</v>
      </c>
    </row>
    <row r="578" spans="2:6">
      <c r="B578"/>
      <c r="C578" s="25" t="s">
        <v>26</v>
      </c>
      <c r="D578" s="28" t="s">
        <v>1034</v>
      </c>
      <c r="E578" s="14" t="s">
        <v>1085</v>
      </c>
      <c r="F578" s="14" t="s">
        <v>491</v>
      </c>
    </row>
    <row r="579" spans="2:6">
      <c r="B579"/>
      <c r="C579" s="25" t="s">
        <v>26</v>
      </c>
      <c r="D579" s="28" t="s">
        <v>1034</v>
      </c>
      <c r="E579" s="14" t="s">
        <v>1086</v>
      </c>
      <c r="F579" s="14" t="s">
        <v>491</v>
      </c>
    </row>
    <row r="580" spans="2:6">
      <c r="B580"/>
      <c r="C580" s="25" t="s">
        <v>26</v>
      </c>
      <c r="D580" s="28" t="s">
        <v>1034</v>
      </c>
      <c r="E580" s="14" t="s">
        <v>1087</v>
      </c>
      <c r="F580" s="14" t="s">
        <v>491</v>
      </c>
    </row>
    <row r="581" spans="2:6">
      <c r="B581"/>
      <c r="C581" s="25" t="s">
        <v>26</v>
      </c>
      <c r="D581" s="28" t="s">
        <v>1034</v>
      </c>
      <c r="E581" s="14" t="s">
        <v>1088</v>
      </c>
      <c r="F581" s="14" t="s">
        <v>491</v>
      </c>
    </row>
    <row r="582" spans="2:6">
      <c r="B582"/>
      <c r="C582" s="25" t="s">
        <v>26</v>
      </c>
      <c r="D582" s="28" t="s">
        <v>1034</v>
      </c>
      <c r="E582" s="14" t="s">
        <v>1089</v>
      </c>
      <c r="F582" s="14" t="s">
        <v>491</v>
      </c>
    </row>
    <row r="583" spans="2:6">
      <c r="B583"/>
      <c r="C583" s="25" t="s">
        <v>26</v>
      </c>
      <c r="D583" s="28" t="s">
        <v>1034</v>
      </c>
      <c r="E583" s="14" t="s">
        <v>1090</v>
      </c>
      <c r="F583" s="14" t="s">
        <v>491</v>
      </c>
    </row>
    <row r="584" spans="2:6">
      <c r="B584"/>
      <c r="C584" s="25" t="s">
        <v>26</v>
      </c>
      <c r="D584" s="28" t="s">
        <v>1034</v>
      </c>
      <c r="E584" s="14" t="s">
        <v>1091</v>
      </c>
      <c r="F584" s="14" t="s">
        <v>491</v>
      </c>
    </row>
    <row r="585" spans="2:6">
      <c r="B585"/>
      <c r="C585" s="25" t="s">
        <v>26</v>
      </c>
      <c r="D585" s="28" t="s">
        <v>1034</v>
      </c>
      <c r="E585" s="14" t="s">
        <v>1092</v>
      </c>
      <c r="F585" s="14" t="s">
        <v>491</v>
      </c>
    </row>
    <row r="586" spans="2:6">
      <c r="B586"/>
      <c r="C586" s="25" t="s">
        <v>26</v>
      </c>
      <c r="D586" s="28" t="s">
        <v>1034</v>
      </c>
      <c r="E586" s="14" t="s">
        <v>969</v>
      </c>
      <c r="F586" s="14" t="s">
        <v>491</v>
      </c>
    </row>
    <row r="587" spans="2:6">
      <c r="B587"/>
      <c r="C587" s="25" t="s">
        <v>26</v>
      </c>
      <c r="D587" s="28" t="s">
        <v>1034</v>
      </c>
      <c r="E587" s="14" t="s">
        <v>1093</v>
      </c>
      <c r="F587" s="14" t="s">
        <v>491</v>
      </c>
    </row>
    <row r="588" spans="2:6">
      <c r="B588"/>
      <c r="C588" s="25" t="s">
        <v>26</v>
      </c>
      <c r="D588" s="28" t="s">
        <v>1034</v>
      </c>
      <c r="E588" s="14" t="s">
        <v>1094</v>
      </c>
      <c r="F588" s="14" t="s">
        <v>491</v>
      </c>
    </row>
    <row r="589" spans="2:6">
      <c r="B589"/>
      <c r="C589" s="25" t="s">
        <v>26</v>
      </c>
      <c r="D589" s="28" t="s">
        <v>1034</v>
      </c>
      <c r="E589" s="14" t="s">
        <v>1095</v>
      </c>
      <c r="F589" s="14" t="s">
        <v>491</v>
      </c>
    </row>
    <row r="590" spans="2:6">
      <c r="B590"/>
      <c r="C590" s="25" t="s">
        <v>26</v>
      </c>
      <c r="D590" s="28" t="s">
        <v>1034</v>
      </c>
      <c r="E590" s="14" t="s">
        <v>1096</v>
      </c>
      <c r="F590" s="14" t="s">
        <v>491</v>
      </c>
    </row>
    <row r="591" spans="2:6">
      <c r="B591"/>
      <c r="C591" s="25" t="s">
        <v>26</v>
      </c>
      <c r="D591" s="28" t="s">
        <v>1034</v>
      </c>
      <c r="E591" s="14" t="s">
        <v>1097</v>
      </c>
      <c r="F591" s="14" t="s">
        <v>491</v>
      </c>
    </row>
    <row r="592" spans="2:6">
      <c r="B592"/>
      <c r="C592" s="25" t="s">
        <v>26</v>
      </c>
      <c r="D592" s="28" t="s">
        <v>1034</v>
      </c>
      <c r="E592" s="14" t="s">
        <v>1098</v>
      </c>
      <c r="F592" s="14" t="s">
        <v>491</v>
      </c>
    </row>
    <row r="593" spans="2:6">
      <c r="B593"/>
      <c r="C593" s="25" t="s">
        <v>26</v>
      </c>
      <c r="D593" s="28" t="s">
        <v>1034</v>
      </c>
      <c r="E593" s="14" t="s">
        <v>1099</v>
      </c>
      <c r="F593" s="14" t="s">
        <v>491</v>
      </c>
    </row>
    <row r="594" spans="2:6">
      <c r="B594"/>
      <c r="C594" s="25" t="s">
        <v>26</v>
      </c>
      <c r="D594" s="28" t="s">
        <v>1034</v>
      </c>
      <c r="E594" s="14" t="s">
        <v>1100</v>
      </c>
      <c r="F594" s="14" t="s">
        <v>491</v>
      </c>
    </row>
    <row r="595" spans="2:6">
      <c r="B595"/>
      <c r="C595" s="25" t="s">
        <v>26</v>
      </c>
      <c r="D595" s="28" t="s">
        <v>1034</v>
      </c>
      <c r="E595" s="14" t="s">
        <v>1101</v>
      </c>
      <c r="F595" s="14" t="s">
        <v>491</v>
      </c>
    </row>
    <row r="596" spans="2:6">
      <c r="B596"/>
      <c r="C596" s="25" t="s">
        <v>26</v>
      </c>
      <c r="D596" s="28" t="s">
        <v>1034</v>
      </c>
      <c r="E596" s="14" t="s">
        <v>935</v>
      </c>
      <c r="F596" s="14" t="s">
        <v>491</v>
      </c>
    </row>
    <row r="597" spans="2:6">
      <c r="B597"/>
      <c r="C597" s="25" t="s">
        <v>26</v>
      </c>
      <c r="D597" s="28" t="s">
        <v>1034</v>
      </c>
      <c r="E597" s="14" t="s">
        <v>1102</v>
      </c>
      <c r="F597" s="14" t="s">
        <v>491</v>
      </c>
    </row>
    <row r="598" spans="2:6">
      <c r="B598"/>
      <c r="C598" s="25" t="s">
        <v>26</v>
      </c>
      <c r="D598" s="28" t="s">
        <v>1034</v>
      </c>
      <c r="E598" s="14" t="s">
        <v>1103</v>
      </c>
      <c r="F598" s="14" t="s">
        <v>491</v>
      </c>
    </row>
    <row r="599" spans="2:6">
      <c r="B599"/>
      <c r="C599" s="25" t="s">
        <v>26</v>
      </c>
      <c r="D599" s="28" t="s">
        <v>1034</v>
      </c>
      <c r="E599" s="14" t="s">
        <v>1104</v>
      </c>
      <c r="F599" s="14" t="s">
        <v>491</v>
      </c>
    </row>
    <row r="600" spans="2:6">
      <c r="B600"/>
      <c r="C600" s="25" t="s">
        <v>26</v>
      </c>
      <c r="D600" s="28" t="s">
        <v>1034</v>
      </c>
      <c r="E600" s="14" t="s">
        <v>1105</v>
      </c>
      <c r="F600" s="14" t="s">
        <v>491</v>
      </c>
    </row>
    <row r="601" spans="2:6">
      <c r="B601"/>
      <c r="C601" s="25" t="s">
        <v>26</v>
      </c>
      <c r="D601" s="28" t="s">
        <v>1034</v>
      </c>
      <c r="E601" s="14" t="s">
        <v>1106</v>
      </c>
      <c r="F601" s="14" t="s">
        <v>491</v>
      </c>
    </row>
    <row r="602" spans="2:6">
      <c r="B602"/>
      <c r="C602" s="25" t="s">
        <v>26</v>
      </c>
      <c r="D602" s="28" t="s">
        <v>1034</v>
      </c>
      <c r="E602" s="14" t="s">
        <v>1107</v>
      </c>
      <c r="F602" s="14" t="s">
        <v>491</v>
      </c>
    </row>
    <row r="603" spans="2:6">
      <c r="B603"/>
      <c r="C603" s="25" t="s">
        <v>26</v>
      </c>
      <c r="D603" s="28" t="s">
        <v>1034</v>
      </c>
      <c r="E603" s="14" t="s">
        <v>1108</v>
      </c>
      <c r="F603" s="14" t="s">
        <v>491</v>
      </c>
    </row>
    <row r="604" spans="2:6">
      <c r="B604"/>
      <c r="C604" s="25" t="s">
        <v>26</v>
      </c>
      <c r="D604" s="28" t="s">
        <v>1034</v>
      </c>
      <c r="E604" s="14" t="s">
        <v>1109</v>
      </c>
      <c r="F604" s="14" t="s">
        <v>491</v>
      </c>
    </row>
    <row r="605" spans="2:6">
      <c r="B605"/>
      <c r="C605" s="25" t="s">
        <v>26</v>
      </c>
      <c r="D605" s="28" t="s">
        <v>1034</v>
      </c>
      <c r="E605" s="14" t="s">
        <v>937</v>
      </c>
      <c r="F605" s="14" t="s">
        <v>491</v>
      </c>
    </row>
    <row r="606" spans="2:6">
      <c r="B606"/>
      <c r="C606" s="25" t="s">
        <v>26</v>
      </c>
      <c r="D606" s="28" t="s">
        <v>1034</v>
      </c>
      <c r="E606" s="14" t="s">
        <v>1110</v>
      </c>
      <c r="F606" s="14" t="s">
        <v>491</v>
      </c>
    </row>
    <row r="607" spans="2:6">
      <c r="B607"/>
      <c r="C607" s="25" t="s">
        <v>26</v>
      </c>
      <c r="D607" s="28" t="s">
        <v>1034</v>
      </c>
      <c r="E607" s="14" t="s">
        <v>1111</v>
      </c>
      <c r="F607" s="14" t="s">
        <v>491</v>
      </c>
    </row>
    <row r="608" spans="2:6">
      <c r="B608"/>
      <c r="C608" s="25" t="s">
        <v>26</v>
      </c>
      <c r="D608" s="28" t="s">
        <v>1034</v>
      </c>
      <c r="E608" s="14" t="s">
        <v>1112</v>
      </c>
      <c r="F608" s="14" t="s">
        <v>491</v>
      </c>
    </row>
    <row r="609" spans="2:6">
      <c r="B609"/>
      <c r="C609" s="25" t="s">
        <v>26</v>
      </c>
      <c r="D609" s="28" t="s">
        <v>1034</v>
      </c>
      <c r="E609" s="14" t="s">
        <v>1113</v>
      </c>
      <c r="F609" s="14" t="s">
        <v>491</v>
      </c>
    </row>
    <row r="610" spans="2:6">
      <c r="B610"/>
      <c r="C610" s="25" t="s">
        <v>26</v>
      </c>
      <c r="D610" s="28" t="s">
        <v>1034</v>
      </c>
      <c r="E610" s="14" t="s">
        <v>1114</v>
      </c>
      <c r="F610" s="14" t="s">
        <v>491</v>
      </c>
    </row>
    <row r="611" spans="2:6">
      <c r="B611"/>
      <c r="C611" s="25" t="s">
        <v>26</v>
      </c>
      <c r="D611" s="28" t="s">
        <v>1034</v>
      </c>
      <c r="E611" s="14" t="s">
        <v>1115</v>
      </c>
      <c r="F611" s="14" t="s">
        <v>491</v>
      </c>
    </row>
    <row r="612" spans="2:6">
      <c r="B612"/>
      <c r="C612" s="25" t="s">
        <v>26</v>
      </c>
      <c r="D612" s="28" t="s">
        <v>1034</v>
      </c>
      <c r="E612" s="14" t="s">
        <v>957</v>
      </c>
      <c r="F612" s="14" t="s">
        <v>491</v>
      </c>
    </row>
    <row r="613" spans="2:6">
      <c r="B613"/>
      <c r="C613" s="25" t="s">
        <v>26</v>
      </c>
      <c r="D613" s="28" t="s">
        <v>1034</v>
      </c>
      <c r="E613" s="14" t="s">
        <v>1116</v>
      </c>
      <c r="F613" s="14" t="s">
        <v>491</v>
      </c>
    </row>
    <row r="614" spans="2:6">
      <c r="B614"/>
      <c r="C614" s="25" t="s">
        <v>26</v>
      </c>
      <c r="D614" s="28" t="s">
        <v>1034</v>
      </c>
      <c r="E614" s="14" t="s">
        <v>1117</v>
      </c>
      <c r="F614" s="14" t="s">
        <v>491</v>
      </c>
    </row>
    <row r="615" spans="2:6">
      <c r="B615"/>
      <c r="C615" s="25" t="s">
        <v>26</v>
      </c>
      <c r="D615" s="28" t="s">
        <v>1034</v>
      </c>
      <c r="E615" s="14" t="s">
        <v>1118</v>
      </c>
      <c r="F615" s="14" t="s">
        <v>491</v>
      </c>
    </row>
    <row r="616" spans="2:6">
      <c r="B616"/>
      <c r="C616" s="25" t="s">
        <v>26</v>
      </c>
      <c r="D616" s="28" t="s">
        <v>1034</v>
      </c>
      <c r="E616" s="14" t="s">
        <v>1119</v>
      </c>
      <c r="F616" s="14" t="s">
        <v>491</v>
      </c>
    </row>
    <row r="617" spans="2:6">
      <c r="B617"/>
      <c r="C617" s="25" t="s">
        <v>26</v>
      </c>
      <c r="D617" s="28" t="s">
        <v>1034</v>
      </c>
      <c r="E617" s="14" t="s">
        <v>1120</v>
      </c>
      <c r="F617" s="14" t="s">
        <v>491</v>
      </c>
    </row>
    <row r="618" spans="2:6">
      <c r="B618"/>
      <c r="C618" s="25" t="s">
        <v>26</v>
      </c>
      <c r="D618" s="28" t="s">
        <v>1034</v>
      </c>
      <c r="E618" s="14" t="s">
        <v>1121</v>
      </c>
      <c r="F618" s="14" t="s">
        <v>491</v>
      </c>
    </row>
    <row r="619" spans="2:6">
      <c r="B619"/>
      <c r="C619" s="25" t="s">
        <v>26</v>
      </c>
      <c r="D619" s="28" t="s">
        <v>1034</v>
      </c>
      <c r="E619" s="14" t="s">
        <v>1122</v>
      </c>
      <c r="F619" s="14" t="s">
        <v>491</v>
      </c>
    </row>
    <row r="620" spans="2:6">
      <c r="B620"/>
      <c r="C620" s="25" t="s">
        <v>26</v>
      </c>
      <c r="D620" s="28" t="s">
        <v>1034</v>
      </c>
      <c r="E620" s="14" t="s">
        <v>929</v>
      </c>
      <c r="F620" s="14" t="s">
        <v>491</v>
      </c>
    </row>
    <row r="621" spans="2:6">
      <c r="B621"/>
      <c r="C621" s="25" t="s">
        <v>26</v>
      </c>
      <c r="D621" s="28" t="s">
        <v>1034</v>
      </c>
      <c r="E621" s="14" t="s">
        <v>915</v>
      </c>
      <c r="F621" s="14" t="s">
        <v>491</v>
      </c>
    </row>
    <row r="622" spans="2:6">
      <c r="B622"/>
      <c r="C622" s="25" t="s">
        <v>26</v>
      </c>
      <c r="D622" s="28" t="s">
        <v>1034</v>
      </c>
      <c r="E622" s="14" t="s">
        <v>1123</v>
      </c>
      <c r="F622" s="14" t="s">
        <v>491</v>
      </c>
    </row>
    <row r="623" spans="2:6">
      <c r="B623"/>
      <c r="C623" s="25" t="s">
        <v>26</v>
      </c>
      <c r="D623" s="28" t="s">
        <v>1034</v>
      </c>
      <c r="E623" s="14" t="s">
        <v>1124</v>
      </c>
      <c r="F623" s="14" t="s">
        <v>491</v>
      </c>
    </row>
    <row r="624" spans="2:6">
      <c r="B624"/>
      <c r="C624" s="25" t="s">
        <v>26</v>
      </c>
      <c r="D624" s="28" t="s">
        <v>1034</v>
      </c>
      <c r="E624" s="14" t="s">
        <v>1004</v>
      </c>
      <c r="F624" s="14" t="s">
        <v>491</v>
      </c>
    </row>
    <row r="625" spans="2:6">
      <c r="B625"/>
      <c r="C625" s="25" t="s">
        <v>26</v>
      </c>
      <c r="D625" s="28" t="s">
        <v>1034</v>
      </c>
      <c r="E625" s="14" t="s">
        <v>1125</v>
      </c>
      <c r="F625" s="14" t="s">
        <v>491</v>
      </c>
    </row>
    <row r="626" spans="2:6">
      <c r="B626"/>
      <c r="C626" s="25" t="s">
        <v>26</v>
      </c>
      <c r="D626" s="28" t="s">
        <v>1034</v>
      </c>
      <c r="E626" s="14" t="s">
        <v>1126</v>
      </c>
      <c r="F626" s="14" t="s">
        <v>491</v>
      </c>
    </row>
    <row r="627" spans="2:6">
      <c r="B627"/>
      <c r="C627" s="25" t="s">
        <v>26</v>
      </c>
      <c r="D627" s="28" t="s">
        <v>1034</v>
      </c>
      <c r="E627" s="14" t="s">
        <v>1127</v>
      </c>
      <c r="F627" s="14" t="s">
        <v>491</v>
      </c>
    </row>
    <row r="628" spans="2:6">
      <c r="B628"/>
      <c r="C628" s="25" t="s">
        <v>26</v>
      </c>
      <c r="D628" s="28" t="s">
        <v>1034</v>
      </c>
      <c r="E628" s="14" t="s">
        <v>951</v>
      </c>
      <c r="F628" s="14" t="s">
        <v>491</v>
      </c>
    </row>
    <row r="629" spans="2:6">
      <c r="B629"/>
      <c r="C629" s="25" t="s">
        <v>26</v>
      </c>
      <c r="D629" s="28" t="s">
        <v>1034</v>
      </c>
      <c r="E629" s="14" t="s">
        <v>1128</v>
      </c>
      <c r="F629" s="14" t="s">
        <v>491</v>
      </c>
    </row>
    <row r="630" spans="2:6">
      <c r="B630"/>
      <c r="C630" s="25" t="s">
        <v>26</v>
      </c>
      <c r="D630" s="28" t="s">
        <v>1034</v>
      </c>
      <c r="E630" s="14" t="s">
        <v>1129</v>
      </c>
      <c r="F630" s="14" t="s">
        <v>491</v>
      </c>
    </row>
    <row r="631" spans="2:6">
      <c r="B631"/>
      <c r="C631" s="25" t="s">
        <v>26</v>
      </c>
      <c r="D631" s="28" t="s">
        <v>1034</v>
      </c>
      <c r="E631" s="14" t="s">
        <v>1130</v>
      </c>
      <c r="F631" s="14" t="s">
        <v>491</v>
      </c>
    </row>
    <row r="632" spans="2:6">
      <c r="B632"/>
      <c r="C632" s="25" t="s">
        <v>26</v>
      </c>
      <c r="D632" s="28" t="s">
        <v>1034</v>
      </c>
      <c r="E632" s="14" t="s">
        <v>1131</v>
      </c>
      <c r="F632" s="14" t="s">
        <v>491</v>
      </c>
    </row>
    <row r="633" spans="2:6">
      <c r="B633"/>
      <c r="C633" s="25" t="s">
        <v>26</v>
      </c>
      <c r="D633" s="28" t="s">
        <v>1034</v>
      </c>
      <c r="E633" s="14" t="s">
        <v>1132</v>
      </c>
      <c r="F633" s="14" t="s">
        <v>491</v>
      </c>
    </row>
    <row r="634" spans="2:6">
      <c r="B634"/>
      <c r="C634" s="25" t="s">
        <v>26</v>
      </c>
      <c r="D634" s="28" t="s">
        <v>1034</v>
      </c>
      <c r="E634" s="14" t="s">
        <v>996</v>
      </c>
      <c r="F634" s="14" t="s">
        <v>491</v>
      </c>
    </row>
    <row r="635" spans="2:6">
      <c r="B635"/>
      <c r="C635" s="25" t="s">
        <v>26</v>
      </c>
      <c r="D635" s="28" t="s">
        <v>1034</v>
      </c>
      <c r="E635" s="14" t="s">
        <v>993</v>
      </c>
      <c r="F635" s="14" t="s">
        <v>491</v>
      </c>
    </row>
    <row r="636" spans="2:6">
      <c r="B636"/>
      <c r="C636" s="25" t="s">
        <v>26</v>
      </c>
      <c r="D636" s="28" t="s">
        <v>1034</v>
      </c>
      <c r="E636" s="14" t="s">
        <v>1133</v>
      </c>
      <c r="F636" s="14" t="s">
        <v>491</v>
      </c>
    </row>
    <row r="637" spans="2:6">
      <c r="B637"/>
      <c r="C637" s="25" t="s">
        <v>26</v>
      </c>
      <c r="D637" s="28" t="s">
        <v>1034</v>
      </c>
      <c r="E637" s="14" t="s">
        <v>1134</v>
      </c>
      <c r="F637" s="14" t="s">
        <v>491</v>
      </c>
    </row>
    <row r="638" spans="2:6">
      <c r="B638"/>
      <c r="C638" s="25" t="s">
        <v>26</v>
      </c>
      <c r="D638" s="28" t="s">
        <v>1034</v>
      </c>
      <c r="E638" s="14" t="s">
        <v>1135</v>
      </c>
      <c r="F638" s="14" t="s">
        <v>491</v>
      </c>
    </row>
    <row r="639" spans="2:6">
      <c r="B639"/>
      <c r="C639" s="25" t="s">
        <v>26</v>
      </c>
      <c r="D639" s="28" t="s">
        <v>1034</v>
      </c>
      <c r="E639" s="14" t="s">
        <v>1136</v>
      </c>
      <c r="F639" s="14" t="s">
        <v>491</v>
      </c>
    </row>
    <row r="640" spans="2:6">
      <c r="B640"/>
      <c r="C640" s="25" t="s">
        <v>26</v>
      </c>
      <c r="D640" s="28" t="s">
        <v>1034</v>
      </c>
      <c r="E640" s="14" t="s">
        <v>1137</v>
      </c>
      <c r="F640" s="14" t="s">
        <v>491</v>
      </c>
    </row>
    <row r="641" spans="2:6">
      <c r="B641"/>
      <c r="C641" s="25" t="s">
        <v>26</v>
      </c>
      <c r="D641" s="28" t="s">
        <v>1034</v>
      </c>
      <c r="E641" s="14" t="s">
        <v>1138</v>
      </c>
      <c r="F641" s="14" t="s">
        <v>491</v>
      </c>
    </row>
    <row r="642" spans="2:6">
      <c r="B642"/>
      <c r="C642" s="25" t="s">
        <v>26</v>
      </c>
      <c r="D642" s="28" t="s">
        <v>1034</v>
      </c>
      <c r="E642" s="14" t="s">
        <v>1139</v>
      </c>
      <c r="F642" s="14" t="s">
        <v>491</v>
      </c>
    </row>
    <row r="643" spans="2:6">
      <c r="B643"/>
      <c r="C643" s="25" t="s">
        <v>26</v>
      </c>
      <c r="D643" s="28" t="s">
        <v>1034</v>
      </c>
      <c r="E643" s="13" t="s">
        <v>1140</v>
      </c>
      <c r="F643" s="13" t="s">
        <v>489</v>
      </c>
    </row>
    <row r="644" spans="2:6">
      <c r="B644"/>
      <c r="C644" s="25" t="s">
        <v>26</v>
      </c>
      <c r="D644" s="28" t="s">
        <v>1034</v>
      </c>
      <c r="E644" s="13" t="s">
        <v>961</v>
      </c>
      <c r="F644" s="13" t="s">
        <v>489</v>
      </c>
    </row>
    <row r="645" spans="2:6">
      <c r="B645"/>
      <c r="C645" s="25" t="s">
        <v>26</v>
      </c>
      <c r="D645" s="28" t="s">
        <v>1034</v>
      </c>
      <c r="E645" s="13" t="s">
        <v>922</v>
      </c>
      <c r="F645" s="13" t="s">
        <v>489</v>
      </c>
    </row>
    <row r="646" spans="2:6">
      <c r="B646"/>
      <c r="C646" s="25" t="s">
        <v>26</v>
      </c>
      <c r="D646" s="28" t="s">
        <v>1034</v>
      </c>
      <c r="E646" s="13" t="s">
        <v>1141</v>
      </c>
      <c r="F646" s="13" t="s">
        <v>489</v>
      </c>
    </row>
    <row r="647" spans="2:6">
      <c r="B647"/>
      <c r="C647" s="25" t="s">
        <v>26</v>
      </c>
      <c r="D647" s="28" t="s">
        <v>1034</v>
      </c>
      <c r="E647" s="13" t="s">
        <v>959</v>
      </c>
      <c r="F647" s="13" t="s">
        <v>489</v>
      </c>
    </row>
    <row r="648" spans="2:6">
      <c r="B648"/>
      <c r="C648" s="25" t="s">
        <v>26</v>
      </c>
      <c r="D648" s="28" t="s">
        <v>1034</v>
      </c>
      <c r="E648" s="13" t="s">
        <v>1142</v>
      </c>
      <c r="F648" s="13" t="s">
        <v>489</v>
      </c>
    </row>
    <row r="649" spans="2:6">
      <c r="B649"/>
      <c r="C649" s="25" t="s">
        <v>26</v>
      </c>
      <c r="D649" s="28" t="s">
        <v>1034</v>
      </c>
      <c r="E649" s="13" t="s">
        <v>1143</v>
      </c>
      <c r="F649" s="13" t="s">
        <v>489</v>
      </c>
    </row>
    <row r="650" spans="2:6">
      <c r="B650"/>
      <c r="C650" s="25" t="s">
        <v>26</v>
      </c>
      <c r="D650" s="28" t="s">
        <v>1034</v>
      </c>
      <c r="E650" s="13" t="s">
        <v>1144</v>
      </c>
      <c r="F650" s="13" t="s">
        <v>489</v>
      </c>
    </row>
    <row r="651" spans="2:6">
      <c r="B651"/>
      <c r="C651" s="25" t="s">
        <v>26</v>
      </c>
      <c r="D651" s="28" t="s">
        <v>1034</v>
      </c>
      <c r="E651" s="13" t="s">
        <v>1145</v>
      </c>
      <c r="F651" s="13" t="s">
        <v>489</v>
      </c>
    </row>
    <row r="652" spans="2:6">
      <c r="B652"/>
      <c r="C652" s="25" t="s">
        <v>26</v>
      </c>
      <c r="D652" s="28" t="s">
        <v>1034</v>
      </c>
      <c r="E652" s="13" t="s">
        <v>1146</v>
      </c>
      <c r="F652" s="13" t="s">
        <v>489</v>
      </c>
    </row>
    <row r="653" spans="2:6">
      <c r="B653"/>
      <c r="C653" s="26" t="s">
        <v>26</v>
      </c>
      <c r="D653" s="26" t="s">
        <v>31</v>
      </c>
      <c r="E653" s="14" t="s">
        <v>973</v>
      </c>
      <c r="F653" s="14" t="s">
        <v>491</v>
      </c>
    </row>
    <row r="654" spans="2:6">
      <c r="B654"/>
      <c r="C654" s="26" t="s">
        <v>26</v>
      </c>
      <c r="D654" s="26" t="s">
        <v>31</v>
      </c>
      <c r="E654" s="14" t="s">
        <v>1147</v>
      </c>
      <c r="F654" s="14" t="s">
        <v>491</v>
      </c>
    </row>
    <row r="655" spans="2:6">
      <c r="B655"/>
      <c r="C655" s="26" t="s">
        <v>26</v>
      </c>
      <c r="D655" s="26" t="s">
        <v>31</v>
      </c>
      <c r="E655" s="14" t="s">
        <v>1148</v>
      </c>
      <c r="F655" s="14" t="s">
        <v>491</v>
      </c>
    </row>
    <row r="656" spans="2:6">
      <c r="B656"/>
      <c r="C656" s="26" t="s">
        <v>26</v>
      </c>
      <c r="D656" s="26" t="s">
        <v>31</v>
      </c>
      <c r="E656" s="14" t="s">
        <v>1149</v>
      </c>
      <c r="F656" s="14" t="s">
        <v>491</v>
      </c>
    </row>
    <row r="657" spans="2:6">
      <c r="B657"/>
      <c r="C657" s="26" t="s">
        <v>26</v>
      </c>
      <c r="D657" s="26" t="s">
        <v>31</v>
      </c>
      <c r="E657" s="14" t="s">
        <v>1038</v>
      </c>
      <c r="F657" s="14" t="s">
        <v>491</v>
      </c>
    </row>
    <row r="658" spans="2:6">
      <c r="B658"/>
      <c r="C658" s="26" t="s">
        <v>26</v>
      </c>
      <c r="D658" s="26" t="s">
        <v>31</v>
      </c>
      <c r="E658" s="14" t="s">
        <v>1150</v>
      </c>
      <c r="F658" s="14" t="s">
        <v>491</v>
      </c>
    </row>
    <row r="659" spans="2:6">
      <c r="B659"/>
      <c r="C659" s="26" t="s">
        <v>26</v>
      </c>
      <c r="D659" s="26" t="s">
        <v>31</v>
      </c>
      <c r="E659" s="14" t="s">
        <v>1151</v>
      </c>
      <c r="F659" s="14" t="s">
        <v>491</v>
      </c>
    </row>
    <row r="660" spans="2:6">
      <c r="B660"/>
      <c r="C660" s="26" t="s">
        <v>26</v>
      </c>
      <c r="D660" s="26" t="s">
        <v>31</v>
      </c>
      <c r="E660" s="14" t="s">
        <v>1152</v>
      </c>
      <c r="F660" s="14" t="s">
        <v>491</v>
      </c>
    </row>
    <row r="661" spans="2:6">
      <c r="B661"/>
      <c r="C661" s="26" t="s">
        <v>26</v>
      </c>
      <c r="D661" s="26" t="s">
        <v>31</v>
      </c>
      <c r="E661" s="14" t="s">
        <v>1153</v>
      </c>
      <c r="F661" s="14" t="s">
        <v>491</v>
      </c>
    </row>
    <row r="662" spans="2:6">
      <c r="B662"/>
      <c r="C662" s="26" t="s">
        <v>26</v>
      </c>
      <c r="D662" s="26" t="s">
        <v>31</v>
      </c>
      <c r="E662" s="14" t="s">
        <v>1154</v>
      </c>
      <c r="F662" s="14" t="s">
        <v>491</v>
      </c>
    </row>
    <row r="663" spans="2:6">
      <c r="B663"/>
      <c r="C663" s="26" t="s">
        <v>26</v>
      </c>
      <c r="D663" s="26" t="s">
        <v>31</v>
      </c>
      <c r="E663" s="14" t="s">
        <v>1155</v>
      </c>
      <c r="F663" s="14" t="s">
        <v>491</v>
      </c>
    </row>
    <row r="664" spans="2:6">
      <c r="B664"/>
      <c r="C664" s="26" t="s">
        <v>26</v>
      </c>
      <c r="D664" s="26" t="s">
        <v>31</v>
      </c>
      <c r="E664" s="14" t="s">
        <v>1156</v>
      </c>
      <c r="F664" s="14" t="s">
        <v>491</v>
      </c>
    </row>
    <row r="665" spans="2:6">
      <c r="B665"/>
      <c r="C665" s="26" t="s">
        <v>26</v>
      </c>
      <c r="D665" s="26" t="s">
        <v>31</v>
      </c>
      <c r="E665" s="14" t="s">
        <v>1157</v>
      </c>
      <c r="F665" s="14" t="s">
        <v>491</v>
      </c>
    </row>
    <row r="666" spans="2:6">
      <c r="B666"/>
      <c r="C666" s="26" t="s">
        <v>26</v>
      </c>
      <c r="D666" s="26" t="s">
        <v>31</v>
      </c>
      <c r="E666" s="14" t="s">
        <v>1158</v>
      </c>
      <c r="F666" s="14" t="s">
        <v>491</v>
      </c>
    </row>
    <row r="667" spans="2:6">
      <c r="B667"/>
      <c r="C667" s="26" t="s">
        <v>26</v>
      </c>
      <c r="D667" s="26" t="s">
        <v>31</v>
      </c>
      <c r="E667" s="14" t="s">
        <v>1159</v>
      </c>
      <c r="F667" s="14" t="s">
        <v>491</v>
      </c>
    </row>
    <row r="668" spans="2:6">
      <c r="B668"/>
      <c r="C668" s="26" t="s">
        <v>26</v>
      </c>
      <c r="D668" s="26" t="s">
        <v>31</v>
      </c>
      <c r="E668" s="14" t="s">
        <v>1160</v>
      </c>
      <c r="F668" s="14" t="s">
        <v>491</v>
      </c>
    </row>
    <row r="669" spans="2:6">
      <c r="B669"/>
      <c r="C669" s="26" t="s">
        <v>26</v>
      </c>
      <c r="D669" s="26" t="s">
        <v>31</v>
      </c>
      <c r="E669" s="14" t="s">
        <v>1161</v>
      </c>
      <c r="F669" s="14" t="s">
        <v>491</v>
      </c>
    </row>
    <row r="670" spans="2:6">
      <c r="B670"/>
      <c r="C670" s="26" t="s">
        <v>26</v>
      </c>
      <c r="D670" s="26" t="s">
        <v>31</v>
      </c>
      <c r="E670" s="14" t="s">
        <v>1162</v>
      </c>
      <c r="F670" s="14" t="s">
        <v>491</v>
      </c>
    </row>
    <row r="671" spans="2:6">
      <c r="B671"/>
      <c r="C671" s="26" t="s">
        <v>26</v>
      </c>
      <c r="D671" s="26" t="s">
        <v>31</v>
      </c>
      <c r="E671" s="14" t="s">
        <v>1163</v>
      </c>
      <c r="F671" s="14" t="s">
        <v>491</v>
      </c>
    </row>
    <row r="672" spans="2:6">
      <c r="B672"/>
      <c r="C672" s="26" t="s">
        <v>26</v>
      </c>
      <c r="D672" s="26" t="s">
        <v>31</v>
      </c>
      <c r="E672" s="14" t="s">
        <v>925</v>
      </c>
      <c r="F672" s="14" t="s">
        <v>491</v>
      </c>
    </row>
    <row r="673" spans="2:6">
      <c r="B673"/>
      <c r="C673" s="26" t="s">
        <v>26</v>
      </c>
      <c r="D673" s="26" t="s">
        <v>31</v>
      </c>
      <c r="E673" s="14" t="s">
        <v>1164</v>
      </c>
      <c r="F673" s="14" t="s">
        <v>491</v>
      </c>
    </row>
    <row r="674" spans="2:6">
      <c r="B674"/>
      <c r="C674" s="26" t="s">
        <v>26</v>
      </c>
      <c r="D674" s="26" t="s">
        <v>31</v>
      </c>
      <c r="E674" s="14" t="s">
        <v>1165</v>
      </c>
      <c r="F674" s="14" t="s">
        <v>491</v>
      </c>
    </row>
    <row r="675" spans="2:6">
      <c r="B675"/>
      <c r="C675" s="26" t="s">
        <v>26</v>
      </c>
      <c r="D675" s="26" t="s">
        <v>31</v>
      </c>
      <c r="E675" s="14" t="s">
        <v>1166</v>
      </c>
      <c r="F675" s="14" t="s">
        <v>491</v>
      </c>
    </row>
    <row r="676" spans="2:6">
      <c r="B676"/>
      <c r="C676" s="26" t="s">
        <v>26</v>
      </c>
      <c r="D676" s="26" t="s">
        <v>31</v>
      </c>
      <c r="E676" s="14" t="s">
        <v>1167</v>
      </c>
      <c r="F676" s="14" t="s">
        <v>491</v>
      </c>
    </row>
    <row r="677" spans="2:6">
      <c r="B677"/>
      <c r="C677" s="26" t="s">
        <v>26</v>
      </c>
      <c r="D677" s="26" t="s">
        <v>31</v>
      </c>
      <c r="E677" s="14" t="s">
        <v>1168</v>
      </c>
      <c r="F677" s="14" t="s">
        <v>491</v>
      </c>
    </row>
    <row r="678" spans="2:6">
      <c r="B678"/>
      <c r="C678" s="26" t="s">
        <v>26</v>
      </c>
      <c r="D678" s="26" t="s">
        <v>31</v>
      </c>
      <c r="E678" s="14" t="s">
        <v>1169</v>
      </c>
      <c r="F678" s="14" t="s">
        <v>491</v>
      </c>
    </row>
    <row r="679" spans="2:6">
      <c r="B679"/>
      <c r="C679" s="26" t="s">
        <v>26</v>
      </c>
      <c r="D679" s="26" t="s">
        <v>31</v>
      </c>
      <c r="E679" s="14" t="s">
        <v>1170</v>
      </c>
      <c r="F679" s="14" t="s">
        <v>491</v>
      </c>
    </row>
    <row r="680" spans="2:6">
      <c r="B680"/>
      <c r="C680" s="26" t="s">
        <v>26</v>
      </c>
      <c r="D680" s="26" t="s">
        <v>31</v>
      </c>
      <c r="E680" s="14" t="s">
        <v>1171</v>
      </c>
      <c r="F680" s="14" t="s">
        <v>491</v>
      </c>
    </row>
    <row r="681" spans="2:6">
      <c r="B681"/>
      <c r="C681" s="26" t="s">
        <v>26</v>
      </c>
      <c r="D681" s="26" t="s">
        <v>31</v>
      </c>
      <c r="E681" s="14" t="s">
        <v>1172</v>
      </c>
      <c r="F681" s="14" t="s">
        <v>491</v>
      </c>
    </row>
    <row r="682" spans="2:6">
      <c r="B682"/>
      <c r="C682" s="26" t="s">
        <v>26</v>
      </c>
      <c r="D682" s="26" t="s">
        <v>31</v>
      </c>
      <c r="E682" s="14" t="s">
        <v>941</v>
      </c>
      <c r="F682" s="14" t="s">
        <v>491</v>
      </c>
    </row>
    <row r="683" spans="2:6">
      <c r="B683"/>
      <c r="C683" s="26" t="s">
        <v>26</v>
      </c>
      <c r="D683" s="26" t="s">
        <v>31</v>
      </c>
      <c r="E683" s="14" t="s">
        <v>1173</v>
      </c>
      <c r="F683" s="14" t="s">
        <v>491</v>
      </c>
    </row>
    <row r="684" spans="2:6">
      <c r="B684"/>
      <c r="C684" s="26" t="s">
        <v>26</v>
      </c>
      <c r="D684" s="26" t="s">
        <v>31</v>
      </c>
      <c r="E684" s="14" t="s">
        <v>1174</v>
      </c>
      <c r="F684" s="14" t="s">
        <v>491</v>
      </c>
    </row>
    <row r="685" spans="2:6">
      <c r="B685"/>
      <c r="C685" s="26" t="s">
        <v>26</v>
      </c>
      <c r="D685" s="26" t="s">
        <v>31</v>
      </c>
      <c r="E685" s="14" t="s">
        <v>1175</v>
      </c>
      <c r="F685" s="14" t="s">
        <v>491</v>
      </c>
    </row>
    <row r="686" spans="2:6">
      <c r="B686"/>
      <c r="C686" s="26" t="s">
        <v>26</v>
      </c>
      <c r="D686" s="26" t="s">
        <v>31</v>
      </c>
      <c r="E686" s="14" t="s">
        <v>1176</v>
      </c>
      <c r="F686" s="14" t="s">
        <v>491</v>
      </c>
    </row>
    <row r="687" spans="2:6">
      <c r="B687"/>
      <c r="C687" s="26" t="s">
        <v>26</v>
      </c>
      <c r="D687" s="26" t="s">
        <v>31</v>
      </c>
      <c r="E687" s="14" t="s">
        <v>929</v>
      </c>
      <c r="F687" s="14" t="s">
        <v>491</v>
      </c>
    </row>
    <row r="688" spans="2:6">
      <c r="B688"/>
      <c r="C688" s="26" t="s">
        <v>26</v>
      </c>
      <c r="D688" s="26" t="s">
        <v>31</v>
      </c>
      <c r="E688" s="14" t="s">
        <v>1177</v>
      </c>
      <c r="F688" s="14" t="s">
        <v>491</v>
      </c>
    </row>
    <row r="689" spans="2:6">
      <c r="B689"/>
      <c r="C689" s="26" t="s">
        <v>26</v>
      </c>
      <c r="D689" s="26" t="s">
        <v>31</v>
      </c>
      <c r="E689" s="14" t="s">
        <v>1178</v>
      </c>
      <c r="F689" s="14" t="s">
        <v>491</v>
      </c>
    </row>
    <row r="690" spans="2:6">
      <c r="B690"/>
      <c r="C690" s="26" t="s">
        <v>26</v>
      </c>
      <c r="D690" s="26" t="s">
        <v>31</v>
      </c>
      <c r="E690" s="14" t="s">
        <v>1179</v>
      </c>
      <c r="F690" s="14" t="s">
        <v>491</v>
      </c>
    </row>
    <row r="691" spans="2:6">
      <c r="B691"/>
      <c r="C691" s="26" t="s">
        <v>26</v>
      </c>
      <c r="D691" s="26" t="s">
        <v>31</v>
      </c>
      <c r="E691" s="14" t="s">
        <v>1180</v>
      </c>
      <c r="F691" s="14" t="s">
        <v>491</v>
      </c>
    </row>
    <row r="692" spans="2:6">
      <c r="B692"/>
      <c r="C692" s="26" t="s">
        <v>26</v>
      </c>
      <c r="D692" s="26" t="s">
        <v>31</v>
      </c>
      <c r="E692" s="14" t="s">
        <v>1181</v>
      </c>
      <c r="F692" s="14" t="s">
        <v>491</v>
      </c>
    </row>
    <row r="693" spans="2:6">
      <c r="B693"/>
      <c r="C693" s="26" t="s">
        <v>26</v>
      </c>
      <c r="D693" s="26" t="s">
        <v>31</v>
      </c>
      <c r="E693" s="14" t="s">
        <v>1182</v>
      </c>
      <c r="F693" s="14" t="s">
        <v>491</v>
      </c>
    </row>
    <row r="694" spans="2:6">
      <c r="B694"/>
      <c r="C694" s="26" t="s">
        <v>26</v>
      </c>
      <c r="D694" s="26" t="s">
        <v>31</v>
      </c>
      <c r="E694" s="14" t="s">
        <v>1183</v>
      </c>
      <c r="F694" s="14" t="s">
        <v>491</v>
      </c>
    </row>
    <row r="695" spans="2:6">
      <c r="B695"/>
      <c r="C695" s="26" t="s">
        <v>26</v>
      </c>
      <c r="D695" s="26" t="s">
        <v>31</v>
      </c>
      <c r="E695" s="14" t="s">
        <v>1184</v>
      </c>
      <c r="F695" s="14" t="s">
        <v>491</v>
      </c>
    </row>
    <row r="696" spans="2:6">
      <c r="B696"/>
      <c r="C696" s="26" t="s">
        <v>26</v>
      </c>
      <c r="D696" s="26" t="s">
        <v>31</v>
      </c>
      <c r="E696" s="14" t="s">
        <v>1185</v>
      </c>
      <c r="F696" s="14" t="s">
        <v>491</v>
      </c>
    </row>
    <row r="697" spans="2:6">
      <c r="B697"/>
      <c r="C697" s="26" t="s">
        <v>26</v>
      </c>
      <c r="D697" s="26" t="s">
        <v>31</v>
      </c>
      <c r="E697" s="14" t="s">
        <v>1186</v>
      </c>
      <c r="F697" s="14" t="s">
        <v>491</v>
      </c>
    </row>
    <row r="698" spans="2:6">
      <c r="B698"/>
      <c r="C698" s="26" t="s">
        <v>26</v>
      </c>
      <c r="D698" s="26" t="s">
        <v>31</v>
      </c>
      <c r="E698" s="14" t="s">
        <v>1187</v>
      </c>
      <c r="F698" s="14" t="s">
        <v>491</v>
      </c>
    </row>
    <row r="699" spans="2:6">
      <c r="B699"/>
      <c r="C699" s="26" t="s">
        <v>26</v>
      </c>
      <c r="D699" s="26" t="s">
        <v>31</v>
      </c>
      <c r="E699" s="14" t="s">
        <v>1188</v>
      </c>
      <c r="F699" s="14" t="s">
        <v>491</v>
      </c>
    </row>
    <row r="700" spans="2:6">
      <c r="B700"/>
      <c r="C700" s="26" t="s">
        <v>26</v>
      </c>
      <c r="D700" s="26" t="s">
        <v>31</v>
      </c>
      <c r="E700" s="14" t="s">
        <v>1189</v>
      </c>
      <c r="F700" s="14" t="s">
        <v>491</v>
      </c>
    </row>
    <row r="701" spans="2:6">
      <c r="B701"/>
      <c r="C701" s="26" t="s">
        <v>26</v>
      </c>
      <c r="D701" s="26" t="s">
        <v>31</v>
      </c>
      <c r="E701" s="14" t="s">
        <v>1190</v>
      </c>
      <c r="F701" s="14" t="s">
        <v>491</v>
      </c>
    </row>
    <row r="702" spans="2:6">
      <c r="B702"/>
      <c r="C702" s="26" t="s">
        <v>26</v>
      </c>
      <c r="D702" s="26" t="s">
        <v>31</v>
      </c>
      <c r="E702" s="14" t="s">
        <v>993</v>
      </c>
      <c r="F702" s="14" t="s">
        <v>491</v>
      </c>
    </row>
    <row r="703" spans="2:6">
      <c r="B703"/>
      <c r="C703" s="26" t="s">
        <v>26</v>
      </c>
      <c r="D703" s="26" t="s">
        <v>31</v>
      </c>
      <c r="E703" s="14" t="s">
        <v>1191</v>
      </c>
      <c r="F703" s="14" t="s">
        <v>491</v>
      </c>
    </row>
    <row r="704" spans="2:6">
      <c r="B704"/>
      <c r="C704" s="26" t="s">
        <v>26</v>
      </c>
      <c r="D704" s="26" t="s">
        <v>31</v>
      </c>
      <c r="E704" s="14" t="s">
        <v>1192</v>
      </c>
      <c r="F704" s="14" t="s">
        <v>491</v>
      </c>
    </row>
    <row r="705" spans="2:6">
      <c r="B705"/>
      <c r="C705" s="26" t="s">
        <v>26</v>
      </c>
      <c r="D705" s="26" t="s">
        <v>31</v>
      </c>
      <c r="E705" s="14" t="s">
        <v>1193</v>
      </c>
      <c r="F705" s="14" t="s">
        <v>491</v>
      </c>
    </row>
    <row r="706" spans="2:6">
      <c r="B706"/>
      <c r="C706" s="26" t="s">
        <v>26</v>
      </c>
      <c r="D706" s="26" t="s">
        <v>31</v>
      </c>
      <c r="E706" s="14" t="s">
        <v>1129</v>
      </c>
      <c r="F706" s="14" t="s">
        <v>491</v>
      </c>
    </row>
    <row r="707" spans="2:6">
      <c r="B707"/>
      <c r="C707" s="26" t="s">
        <v>26</v>
      </c>
      <c r="D707" s="26" t="s">
        <v>31</v>
      </c>
      <c r="E707" s="14" t="s">
        <v>1084</v>
      </c>
      <c r="F707" s="14" t="s">
        <v>491</v>
      </c>
    </row>
    <row r="708" spans="2:6">
      <c r="B708"/>
      <c r="C708" s="26" t="s">
        <v>26</v>
      </c>
      <c r="D708" s="26" t="s">
        <v>31</v>
      </c>
      <c r="E708" s="14" t="s">
        <v>1194</v>
      </c>
      <c r="F708" s="14" t="s">
        <v>491</v>
      </c>
    </row>
    <row r="709" spans="2:6">
      <c r="B709"/>
      <c r="C709" s="26" t="s">
        <v>26</v>
      </c>
      <c r="D709" s="26" t="s">
        <v>31</v>
      </c>
      <c r="E709" s="14" t="s">
        <v>1195</v>
      </c>
      <c r="F709" s="14" t="s">
        <v>491</v>
      </c>
    </row>
    <row r="710" spans="2:6">
      <c r="B710"/>
      <c r="C710" s="26" t="s">
        <v>26</v>
      </c>
      <c r="D710" s="26" t="s">
        <v>31</v>
      </c>
      <c r="E710" s="14" t="s">
        <v>1196</v>
      </c>
      <c r="F710" s="14" t="s">
        <v>491</v>
      </c>
    </row>
    <row r="711" spans="2:6">
      <c r="B711"/>
      <c r="C711" s="26" t="s">
        <v>26</v>
      </c>
      <c r="D711" s="26" t="s">
        <v>31</v>
      </c>
      <c r="E711" s="14" t="s">
        <v>1197</v>
      </c>
      <c r="F711" s="14" t="s">
        <v>491</v>
      </c>
    </row>
    <row r="712" spans="2:6">
      <c r="B712"/>
      <c r="C712" s="26" t="s">
        <v>26</v>
      </c>
      <c r="D712" s="26" t="s">
        <v>31</v>
      </c>
      <c r="E712" s="14" t="s">
        <v>1198</v>
      </c>
      <c r="F712" s="14" t="s">
        <v>491</v>
      </c>
    </row>
    <row r="713" spans="2:6">
      <c r="B713"/>
      <c r="C713" s="26" t="s">
        <v>26</v>
      </c>
      <c r="D713" s="26" t="s">
        <v>31</v>
      </c>
      <c r="E713" s="14" t="s">
        <v>1199</v>
      </c>
      <c r="F713" s="14" t="s">
        <v>491</v>
      </c>
    </row>
    <row r="714" spans="2:6">
      <c r="B714"/>
      <c r="C714" s="26" t="s">
        <v>26</v>
      </c>
      <c r="D714" s="26" t="s">
        <v>31</v>
      </c>
      <c r="E714" s="14" t="s">
        <v>1200</v>
      </c>
      <c r="F714" s="14" t="s">
        <v>491</v>
      </c>
    </row>
    <row r="715" spans="2:6">
      <c r="B715"/>
      <c r="C715" s="26" t="s">
        <v>26</v>
      </c>
      <c r="D715" s="26" t="s">
        <v>31</v>
      </c>
      <c r="E715" s="14" t="s">
        <v>1122</v>
      </c>
      <c r="F715" s="14" t="s">
        <v>491</v>
      </c>
    </row>
    <row r="716" spans="2:6">
      <c r="B716"/>
      <c r="C716" s="26" t="s">
        <v>26</v>
      </c>
      <c r="D716" s="26" t="s">
        <v>31</v>
      </c>
      <c r="E716" s="14" t="s">
        <v>1201</v>
      </c>
      <c r="F716" s="14" t="s">
        <v>491</v>
      </c>
    </row>
    <row r="717" spans="2:6">
      <c r="B717"/>
      <c r="C717" s="26" t="s">
        <v>26</v>
      </c>
      <c r="D717" s="26" t="s">
        <v>31</v>
      </c>
      <c r="E717" s="14" t="s">
        <v>1202</v>
      </c>
      <c r="F717" s="14" t="s">
        <v>491</v>
      </c>
    </row>
    <row r="718" spans="2:6">
      <c r="B718"/>
      <c r="C718" s="26" t="s">
        <v>26</v>
      </c>
      <c r="D718" s="26" t="s">
        <v>31</v>
      </c>
      <c r="E718" s="14" t="s">
        <v>1203</v>
      </c>
      <c r="F718" s="14" t="s">
        <v>491</v>
      </c>
    </row>
    <row r="719" spans="2:6">
      <c r="B719"/>
      <c r="C719" s="26" t="s">
        <v>26</v>
      </c>
      <c r="D719" s="26" t="s">
        <v>31</v>
      </c>
      <c r="E719" s="14" t="s">
        <v>1204</v>
      </c>
      <c r="F719" s="14" t="s">
        <v>491</v>
      </c>
    </row>
    <row r="720" spans="2:6">
      <c r="B720"/>
      <c r="C720" s="26" t="s">
        <v>26</v>
      </c>
      <c r="D720" s="26" t="s">
        <v>31</v>
      </c>
      <c r="E720" s="14" t="s">
        <v>1205</v>
      </c>
      <c r="F720" s="14" t="s">
        <v>491</v>
      </c>
    </row>
    <row r="721" spans="2:6">
      <c r="B721"/>
      <c r="C721" s="26" t="s">
        <v>26</v>
      </c>
      <c r="D721" s="26" t="s">
        <v>31</v>
      </c>
      <c r="E721" s="14" t="s">
        <v>1206</v>
      </c>
      <c r="F721" s="14" t="s">
        <v>491</v>
      </c>
    </row>
    <row r="722" spans="2:6">
      <c r="B722"/>
      <c r="C722" s="26" t="s">
        <v>26</v>
      </c>
      <c r="D722" s="26" t="s">
        <v>31</v>
      </c>
      <c r="E722" s="14" t="s">
        <v>1207</v>
      </c>
      <c r="F722" s="14" t="s">
        <v>491</v>
      </c>
    </row>
    <row r="723" spans="2:6">
      <c r="B723"/>
      <c r="C723" s="26" t="s">
        <v>26</v>
      </c>
      <c r="D723" s="26" t="s">
        <v>31</v>
      </c>
      <c r="E723" s="14" t="s">
        <v>1208</v>
      </c>
      <c r="F723" s="14" t="s">
        <v>491</v>
      </c>
    </row>
    <row r="724" spans="2:6">
      <c r="B724"/>
      <c r="C724" s="26" t="s">
        <v>26</v>
      </c>
      <c r="D724" s="26" t="s">
        <v>31</v>
      </c>
      <c r="E724" s="14" t="s">
        <v>1209</v>
      </c>
      <c r="F724" s="14" t="s">
        <v>491</v>
      </c>
    </row>
    <row r="725" spans="2:6">
      <c r="B725"/>
      <c r="C725" s="26" t="s">
        <v>26</v>
      </c>
      <c r="D725" s="26" t="s">
        <v>31</v>
      </c>
      <c r="E725" s="14" t="s">
        <v>1210</v>
      </c>
      <c r="F725" s="14" t="s">
        <v>491</v>
      </c>
    </row>
    <row r="726" spans="2:6">
      <c r="B726"/>
      <c r="C726" s="26" t="s">
        <v>26</v>
      </c>
      <c r="D726" s="26" t="s">
        <v>31</v>
      </c>
      <c r="E726" s="14" t="s">
        <v>1211</v>
      </c>
      <c r="F726" s="14" t="s">
        <v>491</v>
      </c>
    </row>
    <row r="727" spans="2:6">
      <c r="B727"/>
      <c r="C727" s="26" t="s">
        <v>26</v>
      </c>
      <c r="D727" s="26" t="s">
        <v>31</v>
      </c>
      <c r="E727" s="14" t="s">
        <v>1212</v>
      </c>
      <c r="F727" s="14" t="s">
        <v>491</v>
      </c>
    </row>
    <row r="728" spans="2:6">
      <c r="B728"/>
      <c r="C728" s="26" t="s">
        <v>26</v>
      </c>
      <c r="D728" s="26" t="s">
        <v>31</v>
      </c>
      <c r="E728" s="14" t="s">
        <v>1213</v>
      </c>
      <c r="F728" s="14" t="s">
        <v>491</v>
      </c>
    </row>
    <row r="729" spans="2:6">
      <c r="B729"/>
      <c r="C729" s="26" t="s">
        <v>26</v>
      </c>
      <c r="D729" s="26" t="s">
        <v>31</v>
      </c>
      <c r="E729" s="14" t="s">
        <v>1214</v>
      </c>
      <c r="F729" s="14" t="s">
        <v>491</v>
      </c>
    </row>
    <row r="730" spans="2:6">
      <c r="B730"/>
      <c r="C730" s="26" t="s">
        <v>26</v>
      </c>
      <c r="D730" s="26" t="s">
        <v>31</v>
      </c>
      <c r="E730" s="14" t="s">
        <v>1215</v>
      </c>
      <c r="F730" s="14" t="s">
        <v>491</v>
      </c>
    </row>
    <row r="731" spans="2:6">
      <c r="B731"/>
      <c r="C731" s="26" t="s">
        <v>26</v>
      </c>
      <c r="D731" s="26" t="s">
        <v>31</v>
      </c>
      <c r="E731" s="14" t="s">
        <v>1216</v>
      </c>
      <c r="F731" s="14" t="s">
        <v>491</v>
      </c>
    </row>
    <row r="732" spans="2:6">
      <c r="B732"/>
      <c r="C732" s="26" t="s">
        <v>26</v>
      </c>
      <c r="D732" s="26" t="s">
        <v>31</v>
      </c>
      <c r="E732" s="14" t="s">
        <v>1217</v>
      </c>
      <c r="F732" s="14" t="s">
        <v>491</v>
      </c>
    </row>
    <row r="733" spans="2:6">
      <c r="B733"/>
      <c r="C733" s="26" t="s">
        <v>26</v>
      </c>
      <c r="D733" s="26" t="s">
        <v>31</v>
      </c>
      <c r="E733" s="14" t="s">
        <v>1218</v>
      </c>
      <c r="F733" s="14" t="s">
        <v>491</v>
      </c>
    </row>
    <row r="734" spans="2:6">
      <c r="B734"/>
      <c r="C734" s="26" t="s">
        <v>26</v>
      </c>
      <c r="D734" s="26" t="s">
        <v>31</v>
      </c>
      <c r="E734" s="14" t="s">
        <v>1219</v>
      </c>
      <c r="F734" s="14" t="s">
        <v>491</v>
      </c>
    </row>
    <row r="735" spans="2:6">
      <c r="B735"/>
      <c r="C735" s="26" t="s">
        <v>26</v>
      </c>
      <c r="D735" s="26" t="s">
        <v>31</v>
      </c>
      <c r="E735" s="14" t="s">
        <v>1220</v>
      </c>
      <c r="F735" s="14" t="s">
        <v>491</v>
      </c>
    </row>
    <row r="736" spans="2:6">
      <c r="B736"/>
      <c r="C736" s="26" t="s">
        <v>26</v>
      </c>
      <c r="D736" s="26" t="s">
        <v>31</v>
      </c>
      <c r="E736" s="14" t="s">
        <v>1221</v>
      </c>
      <c r="F736" s="14" t="s">
        <v>491</v>
      </c>
    </row>
    <row r="737" spans="2:6">
      <c r="B737"/>
      <c r="C737" s="26" t="s">
        <v>26</v>
      </c>
      <c r="D737" s="26" t="s">
        <v>31</v>
      </c>
      <c r="E737" s="13" t="s">
        <v>1222</v>
      </c>
      <c r="F737" s="13" t="s">
        <v>489</v>
      </c>
    </row>
    <row r="738" spans="2:6">
      <c r="B738"/>
      <c r="C738" s="26" t="s">
        <v>26</v>
      </c>
      <c r="D738" s="26" t="s">
        <v>31</v>
      </c>
      <c r="E738" s="13" t="s">
        <v>1223</v>
      </c>
      <c r="F738" s="13" t="s">
        <v>489</v>
      </c>
    </row>
    <row r="739" spans="2:6">
      <c r="B739"/>
      <c r="C739" s="26" t="s">
        <v>26</v>
      </c>
      <c r="D739" s="26" t="s">
        <v>31</v>
      </c>
      <c r="E739" s="13" t="s">
        <v>1224</v>
      </c>
      <c r="F739" s="13" t="s">
        <v>489</v>
      </c>
    </row>
    <row r="740" spans="2:6">
      <c r="B740"/>
      <c r="C740" s="26" t="s">
        <v>26</v>
      </c>
      <c r="D740" s="26" t="s">
        <v>31</v>
      </c>
      <c r="E740" s="13" t="s">
        <v>967</v>
      </c>
      <c r="F740" s="13" t="s">
        <v>489</v>
      </c>
    </row>
    <row r="741" spans="2:6">
      <c r="B741"/>
      <c r="C741" s="26" t="s">
        <v>26</v>
      </c>
      <c r="D741" s="26" t="s">
        <v>31</v>
      </c>
      <c r="E741" s="13" t="s">
        <v>1225</v>
      </c>
      <c r="F741" s="13" t="s">
        <v>489</v>
      </c>
    </row>
    <row r="742" spans="2:6">
      <c r="B742"/>
      <c r="C742" s="26" t="s">
        <v>26</v>
      </c>
      <c r="D742" s="26" t="s">
        <v>31</v>
      </c>
      <c r="E742" s="13" t="s">
        <v>1226</v>
      </c>
      <c r="F742" s="13" t="s">
        <v>489</v>
      </c>
    </row>
    <row r="743" spans="2:6">
      <c r="B743"/>
      <c r="C743" s="26" t="s">
        <v>26</v>
      </c>
      <c r="D743" s="26" t="s">
        <v>31</v>
      </c>
      <c r="E743" s="13" t="s">
        <v>1227</v>
      </c>
      <c r="F743" s="13" t="s">
        <v>489</v>
      </c>
    </row>
    <row r="744" spans="2:6">
      <c r="B744"/>
      <c r="C744" s="25" t="s">
        <v>26</v>
      </c>
      <c r="D744" s="28" t="s">
        <v>29</v>
      </c>
      <c r="E744" s="14" t="s">
        <v>1066</v>
      </c>
      <c r="F744" s="14" t="s">
        <v>491</v>
      </c>
    </row>
    <row r="745" spans="2:6">
      <c r="B745"/>
      <c r="C745" s="25" t="s">
        <v>26</v>
      </c>
      <c r="D745" s="28" t="s">
        <v>29</v>
      </c>
      <c r="E745" s="13" t="s">
        <v>1228</v>
      </c>
      <c r="F745" s="13" t="s">
        <v>489</v>
      </c>
    </row>
    <row r="746" spans="2:6">
      <c r="B746"/>
      <c r="C746" s="25" t="s">
        <v>26</v>
      </c>
      <c r="D746" s="28" t="s">
        <v>29</v>
      </c>
      <c r="E746" s="13" t="s">
        <v>1226</v>
      </c>
      <c r="F746" s="13" t="s">
        <v>489</v>
      </c>
    </row>
    <row r="747" spans="2:6">
      <c r="B747"/>
      <c r="C747" s="25" t="s">
        <v>26</v>
      </c>
      <c r="D747" s="28" t="s">
        <v>29</v>
      </c>
      <c r="E747" s="13" t="s">
        <v>1115</v>
      </c>
      <c r="F747" s="13" t="s">
        <v>489</v>
      </c>
    </row>
    <row r="748" spans="2:6">
      <c r="B748"/>
      <c r="C748" s="25" t="s">
        <v>26</v>
      </c>
      <c r="D748" s="28" t="s">
        <v>29</v>
      </c>
      <c r="E748" s="13" t="s">
        <v>1012</v>
      </c>
      <c r="F748" s="13" t="s">
        <v>489</v>
      </c>
    </row>
    <row r="749" spans="2:6">
      <c r="B749"/>
      <c r="C749" s="25" t="s">
        <v>26</v>
      </c>
      <c r="D749" s="28" t="s">
        <v>29</v>
      </c>
      <c r="E749" s="13" t="s">
        <v>1229</v>
      </c>
      <c r="F749" s="13" t="s">
        <v>489</v>
      </c>
    </row>
    <row r="750" spans="2:6">
      <c r="B750"/>
      <c r="C750" s="25" t="s">
        <v>26</v>
      </c>
      <c r="D750" s="28" t="s">
        <v>29</v>
      </c>
      <c r="E750" s="13" t="s">
        <v>1230</v>
      </c>
      <c r="F750" s="13" t="s">
        <v>489</v>
      </c>
    </row>
    <row r="751" spans="2:6">
      <c r="B751"/>
      <c r="C751" s="25" t="s">
        <v>26</v>
      </c>
      <c r="D751" s="28" t="s">
        <v>29</v>
      </c>
      <c r="E751" s="13" t="s">
        <v>1231</v>
      </c>
      <c r="F751" s="13" t="s">
        <v>489</v>
      </c>
    </row>
    <row r="752" spans="2:6">
      <c r="B752"/>
      <c r="C752" s="25" t="s">
        <v>26</v>
      </c>
      <c r="D752" s="28" t="s">
        <v>29</v>
      </c>
      <c r="E752" s="13" t="s">
        <v>959</v>
      </c>
      <c r="F752" s="13" t="s">
        <v>489</v>
      </c>
    </row>
    <row r="753" spans="2:6">
      <c r="B753"/>
      <c r="C753" s="25" t="s">
        <v>26</v>
      </c>
      <c r="D753" s="28" t="s">
        <v>29</v>
      </c>
      <c r="E753" s="13" t="s">
        <v>941</v>
      </c>
      <c r="F753" s="13" t="s">
        <v>489</v>
      </c>
    </row>
    <row r="754" spans="2:6">
      <c r="B754"/>
      <c r="C754" s="25" t="s">
        <v>26</v>
      </c>
      <c r="D754" s="28" t="s">
        <v>29</v>
      </c>
      <c r="E754" s="13" t="s">
        <v>1232</v>
      </c>
      <c r="F754" s="13" t="s">
        <v>489</v>
      </c>
    </row>
    <row r="755" spans="2:6">
      <c r="B755"/>
      <c r="C755" s="25" t="s">
        <v>26</v>
      </c>
      <c r="D755" s="28" t="s">
        <v>29</v>
      </c>
      <c r="E755" s="13" t="s">
        <v>1233</v>
      </c>
      <c r="F755" s="13" t="s">
        <v>489</v>
      </c>
    </row>
    <row r="756" spans="2:6">
      <c r="B756"/>
      <c r="C756" s="25" t="s">
        <v>26</v>
      </c>
      <c r="D756" s="28" t="s">
        <v>29</v>
      </c>
      <c r="E756" s="13" t="s">
        <v>1234</v>
      </c>
      <c r="F756" s="13" t="s">
        <v>489</v>
      </c>
    </row>
    <row r="757" spans="2:6">
      <c r="B757"/>
      <c r="C757" s="25" t="s">
        <v>26</v>
      </c>
      <c r="D757" s="28" t="s">
        <v>29</v>
      </c>
      <c r="E757" s="13" t="s">
        <v>1235</v>
      </c>
      <c r="F757" s="13" t="s">
        <v>489</v>
      </c>
    </row>
    <row r="758" spans="2:6">
      <c r="B758"/>
      <c r="C758" s="25" t="s">
        <v>26</v>
      </c>
      <c r="D758" s="28" t="s">
        <v>29</v>
      </c>
      <c r="E758" s="13" t="s">
        <v>1236</v>
      </c>
      <c r="F758" s="13" t="s">
        <v>489</v>
      </c>
    </row>
    <row r="759" spans="2:6">
      <c r="B759"/>
      <c r="C759" s="25" t="s">
        <v>26</v>
      </c>
      <c r="D759" s="28" t="s">
        <v>29</v>
      </c>
      <c r="E759" s="13" t="s">
        <v>1237</v>
      </c>
      <c r="F759" s="13" t="s">
        <v>489</v>
      </c>
    </row>
    <row r="760" spans="2:6">
      <c r="B760"/>
      <c r="C760" s="25" t="s">
        <v>26</v>
      </c>
      <c r="D760" s="28" t="s">
        <v>29</v>
      </c>
      <c r="E760" s="13" t="s">
        <v>1093</v>
      </c>
      <c r="F760" s="13" t="s">
        <v>489</v>
      </c>
    </row>
    <row r="761" spans="2:6">
      <c r="B761"/>
      <c r="C761" s="25" t="s">
        <v>26</v>
      </c>
      <c r="D761" s="28" t="s">
        <v>29</v>
      </c>
      <c r="E761" s="13" t="s">
        <v>1038</v>
      </c>
      <c r="F761" s="13" t="s">
        <v>489</v>
      </c>
    </row>
    <row r="762" spans="2:6">
      <c r="B762"/>
      <c r="C762" s="25" t="s">
        <v>26</v>
      </c>
      <c r="D762" s="28" t="s">
        <v>29</v>
      </c>
      <c r="E762" s="13" t="s">
        <v>971</v>
      </c>
      <c r="F762" s="13" t="s">
        <v>489</v>
      </c>
    </row>
    <row r="763" spans="2:6">
      <c r="B763"/>
      <c r="C763" s="25" t="s">
        <v>26</v>
      </c>
      <c r="D763" s="28" t="s">
        <v>29</v>
      </c>
      <c r="E763" s="13" t="s">
        <v>957</v>
      </c>
      <c r="F763" s="13" t="s">
        <v>489</v>
      </c>
    </row>
    <row r="764" spans="2:6">
      <c r="B764"/>
      <c r="C764" s="25" t="s">
        <v>26</v>
      </c>
      <c r="D764" s="28" t="s">
        <v>29</v>
      </c>
      <c r="E764" s="13" t="s">
        <v>1238</v>
      </c>
      <c r="F764" s="13" t="s">
        <v>489</v>
      </c>
    </row>
    <row r="765" spans="2:6">
      <c r="B765"/>
      <c r="C765" s="25" t="s">
        <v>26</v>
      </c>
      <c r="D765" s="28" t="s">
        <v>29</v>
      </c>
      <c r="E765" s="13" t="s">
        <v>1239</v>
      </c>
      <c r="F765" s="13" t="s">
        <v>489</v>
      </c>
    </row>
    <row r="766" spans="2:6">
      <c r="B766"/>
      <c r="C766" s="25" t="s">
        <v>26</v>
      </c>
      <c r="D766" s="28" t="s">
        <v>29</v>
      </c>
      <c r="E766" s="13" t="s">
        <v>1110</v>
      </c>
      <c r="F766" s="13" t="s">
        <v>489</v>
      </c>
    </row>
    <row r="767" spans="2:6">
      <c r="B767"/>
      <c r="C767" s="25" t="s">
        <v>26</v>
      </c>
      <c r="D767" s="28" t="s">
        <v>29</v>
      </c>
      <c r="E767" s="13" t="s">
        <v>1240</v>
      </c>
      <c r="F767" s="13" t="s">
        <v>489</v>
      </c>
    </row>
    <row r="768" spans="2:6">
      <c r="B768"/>
      <c r="C768" s="25" t="s">
        <v>26</v>
      </c>
      <c r="D768" s="28" t="s">
        <v>29</v>
      </c>
      <c r="E768" s="13" t="s">
        <v>1241</v>
      </c>
      <c r="F768" s="13" t="s">
        <v>489</v>
      </c>
    </row>
    <row r="769" spans="2:6">
      <c r="B769"/>
      <c r="C769" s="25" t="s">
        <v>26</v>
      </c>
      <c r="D769" s="28" t="s">
        <v>29</v>
      </c>
      <c r="E769" s="13" t="s">
        <v>1122</v>
      </c>
      <c r="F769" s="13" t="s">
        <v>489</v>
      </c>
    </row>
    <row r="770" spans="2:6">
      <c r="B770"/>
      <c r="C770" s="25" t="s">
        <v>26</v>
      </c>
      <c r="D770" s="28" t="s">
        <v>29</v>
      </c>
      <c r="E770" s="13" t="s">
        <v>961</v>
      </c>
      <c r="F770" s="13" t="s">
        <v>489</v>
      </c>
    </row>
    <row r="771" spans="2:6">
      <c r="B771"/>
      <c r="C771" s="25" t="s">
        <v>26</v>
      </c>
      <c r="D771" s="28" t="s">
        <v>29</v>
      </c>
      <c r="E771" s="13" t="s">
        <v>1242</v>
      </c>
      <c r="F771" s="13" t="s">
        <v>489</v>
      </c>
    </row>
    <row r="772" spans="2:6">
      <c r="B772"/>
      <c r="C772" s="25" t="s">
        <v>26</v>
      </c>
      <c r="D772" s="28" t="s">
        <v>29</v>
      </c>
      <c r="E772" s="13" t="s">
        <v>925</v>
      </c>
      <c r="F772" s="13" t="s">
        <v>489</v>
      </c>
    </row>
    <row r="773" spans="2:6">
      <c r="B773"/>
      <c r="C773" s="26" t="s">
        <v>26</v>
      </c>
      <c r="D773" s="26" t="s">
        <v>1035</v>
      </c>
      <c r="E773" s="14" t="s">
        <v>1110</v>
      </c>
      <c r="F773" s="14" t="s">
        <v>491</v>
      </c>
    </row>
    <row r="774" spans="2:6">
      <c r="B774"/>
      <c r="C774" s="26" t="s">
        <v>26</v>
      </c>
      <c r="D774" s="26" t="s">
        <v>1035</v>
      </c>
      <c r="E774" s="14" t="s">
        <v>1243</v>
      </c>
      <c r="F774" s="14" t="s">
        <v>491</v>
      </c>
    </row>
    <row r="775" spans="2:6">
      <c r="B775"/>
      <c r="C775" s="26" t="s">
        <v>26</v>
      </c>
      <c r="D775" s="26" t="s">
        <v>1035</v>
      </c>
      <c r="E775" s="14" t="s">
        <v>1129</v>
      </c>
      <c r="F775" s="14" t="s">
        <v>491</v>
      </c>
    </row>
    <row r="776" spans="2:6">
      <c r="B776"/>
      <c r="C776" s="26" t="s">
        <v>26</v>
      </c>
      <c r="D776" s="26" t="s">
        <v>1035</v>
      </c>
      <c r="E776" s="14" t="s">
        <v>1244</v>
      </c>
      <c r="F776" s="14" t="s">
        <v>491</v>
      </c>
    </row>
    <row r="777" spans="2:6">
      <c r="B777"/>
      <c r="C777" s="26" t="s">
        <v>26</v>
      </c>
      <c r="D777" s="26" t="s">
        <v>1035</v>
      </c>
      <c r="E777" s="14" t="s">
        <v>1245</v>
      </c>
      <c r="F777" s="14" t="s">
        <v>491</v>
      </c>
    </row>
    <row r="778" spans="2:6">
      <c r="B778"/>
      <c r="C778" s="26" t="s">
        <v>26</v>
      </c>
      <c r="D778" s="26" t="s">
        <v>1035</v>
      </c>
      <c r="E778" s="14" t="s">
        <v>1246</v>
      </c>
      <c r="F778" s="14" t="s">
        <v>491</v>
      </c>
    </row>
    <row r="779" spans="2:6">
      <c r="B779"/>
      <c r="C779" s="26" t="s">
        <v>26</v>
      </c>
      <c r="D779" s="26" t="s">
        <v>1035</v>
      </c>
      <c r="E779" s="14" t="s">
        <v>1247</v>
      </c>
      <c r="F779" s="14" t="s">
        <v>491</v>
      </c>
    </row>
    <row r="780" spans="2:6">
      <c r="B780"/>
      <c r="C780" s="26" t="s">
        <v>26</v>
      </c>
      <c r="D780" s="26" t="s">
        <v>1035</v>
      </c>
      <c r="E780" s="14" t="s">
        <v>1248</v>
      </c>
      <c r="F780" s="14" t="s">
        <v>491</v>
      </c>
    </row>
    <row r="781" spans="2:6">
      <c r="B781"/>
      <c r="C781" s="26" t="s">
        <v>26</v>
      </c>
      <c r="D781" s="26" t="s">
        <v>1035</v>
      </c>
      <c r="E781" s="14" t="s">
        <v>1249</v>
      </c>
      <c r="F781" s="14" t="s">
        <v>491</v>
      </c>
    </row>
    <row r="782" spans="2:6">
      <c r="B782"/>
      <c r="C782" s="26" t="s">
        <v>26</v>
      </c>
      <c r="D782" s="26" t="s">
        <v>1035</v>
      </c>
      <c r="E782" s="14" t="s">
        <v>1250</v>
      </c>
      <c r="F782" s="14" t="s">
        <v>491</v>
      </c>
    </row>
    <row r="783" spans="2:6">
      <c r="B783"/>
      <c r="C783" s="26" t="s">
        <v>26</v>
      </c>
      <c r="D783" s="26" t="s">
        <v>1035</v>
      </c>
      <c r="E783" s="14" t="s">
        <v>993</v>
      </c>
      <c r="F783" s="14" t="s">
        <v>491</v>
      </c>
    </row>
    <row r="784" spans="2:6">
      <c r="B784"/>
      <c r="C784" s="26" t="s">
        <v>26</v>
      </c>
      <c r="D784" s="26" t="s">
        <v>1035</v>
      </c>
      <c r="E784" s="14" t="s">
        <v>1127</v>
      </c>
      <c r="F784" s="14" t="s">
        <v>491</v>
      </c>
    </row>
    <row r="785" spans="2:6">
      <c r="B785"/>
      <c r="C785" s="26" t="s">
        <v>26</v>
      </c>
      <c r="D785" s="26" t="s">
        <v>1035</v>
      </c>
      <c r="E785" s="14" t="s">
        <v>1070</v>
      </c>
      <c r="F785" s="14" t="s">
        <v>491</v>
      </c>
    </row>
    <row r="786" spans="2:6">
      <c r="B786"/>
      <c r="C786" s="26" t="s">
        <v>26</v>
      </c>
      <c r="D786" s="26" t="s">
        <v>1035</v>
      </c>
      <c r="E786" s="14" t="s">
        <v>1251</v>
      </c>
      <c r="F786" s="14" t="s">
        <v>491</v>
      </c>
    </row>
    <row r="787" spans="2:6">
      <c r="B787"/>
      <c r="C787" s="26" t="s">
        <v>26</v>
      </c>
      <c r="D787" s="26" t="s">
        <v>1035</v>
      </c>
      <c r="E787" s="14" t="s">
        <v>1252</v>
      </c>
      <c r="F787" s="14" t="s">
        <v>491</v>
      </c>
    </row>
    <row r="788" spans="2:6">
      <c r="B788"/>
      <c r="C788" s="25" t="s">
        <v>26</v>
      </c>
      <c r="D788" s="28" t="s">
        <v>1036</v>
      </c>
      <c r="E788" s="14" t="s">
        <v>1253</v>
      </c>
      <c r="F788" s="14" t="s">
        <v>491</v>
      </c>
    </row>
    <row r="789" spans="2:6">
      <c r="B789"/>
      <c r="C789" s="25" t="s">
        <v>26</v>
      </c>
      <c r="D789" s="28" t="s">
        <v>1036</v>
      </c>
      <c r="E789" s="14" t="s">
        <v>1254</v>
      </c>
      <c r="F789" s="14" t="s">
        <v>491</v>
      </c>
    </row>
    <row r="790" spans="2:6">
      <c r="B790"/>
      <c r="C790" s="25" t="s">
        <v>26</v>
      </c>
      <c r="D790" s="28" t="s">
        <v>1036</v>
      </c>
      <c r="E790" s="14" t="s">
        <v>1255</v>
      </c>
      <c r="F790" s="14" t="s">
        <v>491</v>
      </c>
    </row>
    <row r="791" spans="2:6">
      <c r="B791"/>
      <c r="C791" s="25" t="s">
        <v>26</v>
      </c>
      <c r="D791" s="28" t="s">
        <v>1036</v>
      </c>
      <c r="E791" s="14" t="s">
        <v>1256</v>
      </c>
      <c r="F791" s="14" t="s">
        <v>491</v>
      </c>
    </row>
    <row r="792" spans="2:6">
      <c r="B792"/>
      <c r="C792" s="25" t="s">
        <v>26</v>
      </c>
      <c r="D792" s="28" t="s">
        <v>1036</v>
      </c>
      <c r="E792" s="14" t="s">
        <v>1257</v>
      </c>
      <c r="F792" s="14" t="s">
        <v>491</v>
      </c>
    </row>
    <row r="793" spans="2:6">
      <c r="B793"/>
      <c r="C793" s="25" t="s">
        <v>26</v>
      </c>
      <c r="D793" s="28" t="s">
        <v>1036</v>
      </c>
      <c r="E793" s="14" t="s">
        <v>1258</v>
      </c>
      <c r="F793" s="14" t="s">
        <v>491</v>
      </c>
    </row>
    <row r="794" spans="2:6">
      <c r="B794"/>
      <c r="C794" s="25" t="s">
        <v>26</v>
      </c>
      <c r="D794" s="28" t="s">
        <v>1036</v>
      </c>
      <c r="E794" s="14" t="s">
        <v>1259</v>
      </c>
      <c r="F794" s="14" t="s">
        <v>491</v>
      </c>
    </row>
    <row r="795" spans="2:6">
      <c r="B795"/>
      <c r="C795" s="25" t="s">
        <v>26</v>
      </c>
      <c r="D795" s="28" t="s">
        <v>1036</v>
      </c>
      <c r="E795" s="14" t="s">
        <v>1260</v>
      </c>
      <c r="F795" s="14" t="s">
        <v>491</v>
      </c>
    </row>
    <row r="796" spans="2:6">
      <c r="B796"/>
      <c r="C796" s="25" t="s">
        <v>26</v>
      </c>
      <c r="D796" s="28" t="s">
        <v>1036</v>
      </c>
      <c r="E796" s="14" t="s">
        <v>1261</v>
      </c>
      <c r="F796" s="14" t="s">
        <v>491</v>
      </c>
    </row>
    <row r="797" spans="2:6">
      <c r="B797"/>
      <c r="C797" s="26" t="s">
        <v>26</v>
      </c>
      <c r="D797" s="26" t="s">
        <v>1037</v>
      </c>
      <c r="E797" s="13" t="s">
        <v>1262</v>
      </c>
      <c r="F797" s="13" t="s">
        <v>489</v>
      </c>
    </row>
    <row r="798" spans="2:6">
      <c r="B798"/>
      <c r="C798" s="26" t="s">
        <v>26</v>
      </c>
      <c r="D798" s="26" t="s">
        <v>1037</v>
      </c>
      <c r="E798" s="13" t="s">
        <v>1263</v>
      </c>
      <c r="F798" s="13" t="s">
        <v>489</v>
      </c>
    </row>
    <row r="799" spans="2:6">
      <c r="B799"/>
      <c r="C799" s="26" t="s">
        <v>26</v>
      </c>
      <c r="D799" s="26" t="s">
        <v>1037</v>
      </c>
      <c r="E799" s="13" t="s">
        <v>1264</v>
      </c>
      <c r="F799" s="13" t="s">
        <v>489</v>
      </c>
    </row>
    <row r="800" spans="2:6">
      <c r="B800"/>
      <c r="C800" s="26" t="s">
        <v>26</v>
      </c>
      <c r="D800" s="26" t="s">
        <v>1037</v>
      </c>
      <c r="E800" s="13" t="s">
        <v>1265</v>
      </c>
      <c r="F800" s="13" t="s">
        <v>489</v>
      </c>
    </row>
    <row r="801" spans="2:6">
      <c r="B801"/>
      <c r="C801" s="26" t="s">
        <v>26</v>
      </c>
      <c r="D801" s="26" t="s">
        <v>1037</v>
      </c>
      <c r="E801" s="13" t="s">
        <v>1266</v>
      </c>
      <c r="F801" s="13" t="s">
        <v>489</v>
      </c>
    </row>
    <row r="802" spans="2:6">
      <c r="B802"/>
      <c r="C802" s="26" t="s">
        <v>26</v>
      </c>
      <c r="D802" s="26" t="s">
        <v>1037</v>
      </c>
      <c r="E802" s="13" t="s">
        <v>1168</v>
      </c>
      <c r="F802" s="13" t="s">
        <v>489</v>
      </c>
    </row>
    <row r="803" spans="2:6">
      <c r="B803"/>
      <c r="C803" s="26" t="s">
        <v>26</v>
      </c>
      <c r="D803" s="26" t="s">
        <v>1037</v>
      </c>
      <c r="E803" s="13" t="s">
        <v>1267</v>
      </c>
      <c r="F803" s="13" t="s">
        <v>489</v>
      </c>
    </row>
    <row r="804" spans="2:6">
      <c r="B804"/>
      <c r="C804" s="26" t="s">
        <v>26</v>
      </c>
      <c r="D804" s="26" t="s">
        <v>1037</v>
      </c>
      <c r="E804" s="13" t="s">
        <v>929</v>
      </c>
      <c r="F804" s="13" t="s">
        <v>489</v>
      </c>
    </row>
    <row r="805" spans="2:6">
      <c r="B805"/>
      <c r="C805" s="26" t="s">
        <v>26</v>
      </c>
      <c r="D805" s="26" t="s">
        <v>1037</v>
      </c>
      <c r="E805" s="13" t="s">
        <v>1106</v>
      </c>
      <c r="F805" s="13" t="s">
        <v>489</v>
      </c>
    </row>
    <row r="806" spans="2:6">
      <c r="B806"/>
      <c r="C806" s="26" t="s">
        <v>26</v>
      </c>
      <c r="D806" s="26" t="s">
        <v>1037</v>
      </c>
      <c r="E806" s="13" t="s">
        <v>1268</v>
      </c>
      <c r="F806" s="13" t="s">
        <v>489</v>
      </c>
    </row>
    <row r="807" spans="2:6">
      <c r="B807"/>
      <c r="C807" s="26" t="s">
        <v>26</v>
      </c>
      <c r="D807" s="26" t="s">
        <v>1037</v>
      </c>
      <c r="E807" s="13" t="s">
        <v>1269</v>
      </c>
      <c r="F807" s="13" t="s">
        <v>489</v>
      </c>
    </row>
    <row r="808" spans="2:6">
      <c r="B808"/>
      <c r="C808" s="26" t="s">
        <v>26</v>
      </c>
      <c r="D808" s="26" t="s">
        <v>1037</v>
      </c>
      <c r="E808" s="13" t="s">
        <v>1270</v>
      </c>
      <c r="F808" s="13" t="s">
        <v>489</v>
      </c>
    </row>
    <row r="809" spans="2:6">
      <c r="B809"/>
      <c r="C809" s="26" t="s">
        <v>26</v>
      </c>
      <c r="D809" s="26" t="s">
        <v>1037</v>
      </c>
      <c r="E809" s="13" t="s">
        <v>1271</v>
      </c>
      <c r="F809" s="13" t="s">
        <v>489</v>
      </c>
    </row>
    <row r="810" spans="2:6">
      <c r="B810"/>
      <c r="C810" s="26" t="s">
        <v>26</v>
      </c>
      <c r="D810" s="26" t="s">
        <v>1037</v>
      </c>
      <c r="E810" s="13" t="s">
        <v>1272</v>
      </c>
      <c r="F810" s="13" t="s">
        <v>489</v>
      </c>
    </row>
    <row r="811" spans="2:6">
      <c r="B811"/>
      <c r="C811" s="26" t="s">
        <v>26</v>
      </c>
      <c r="D811" s="26" t="s">
        <v>1037</v>
      </c>
      <c r="E811" s="13" t="s">
        <v>1273</v>
      </c>
      <c r="F811" s="13" t="s">
        <v>489</v>
      </c>
    </row>
    <row r="812" spans="2:6">
      <c r="B812"/>
      <c r="C812" s="26" t="s">
        <v>26</v>
      </c>
      <c r="D812" s="26" t="s">
        <v>1037</v>
      </c>
      <c r="E812" s="13" t="s">
        <v>1274</v>
      </c>
      <c r="F812" s="13" t="s">
        <v>489</v>
      </c>
    </row>
    <row r="813" spans="2:6">
      <c r="B813"/>
      <c r="C813" s="26" t="s">
        <v>26</v>
      </c>
      <c r="D813" s="26" t="s">
        <v>1037</v>
      </c>
      <c r="E813" s="13" t="s">
        <v>1275</v>
      </c>
      <c r="F813" s="13" t="s">
        <v>489</v>
      </c>
    </row>
    <row r="814" spans="2:6">
      <c r="B814"/>
      <c r="C814" s="26" t="s">
        <v>26</v>
      </c>
      <c r="D814" s="26" t="s">
        <v>1037</v>
      </c>
      <c r="E814" s="13" t="s">
        <v>1199</v>
      </c>
      <c r="F814" s="13" t="s">
        <v>489</v>
      </c>
    </row>
    <row r="815" spans="2:6">
      <c r="B815"/>
      <c r="C815" s="26" t="s">
        <v>26</v>
      </c>
      <c r="D815" s="26" t="s">
        <v>1037</v>
      </c>
      <c r="E815" s="13" t="s">
        <v>1276</v>
      </c>
      <c r="F815" s="13" t="s">
        <v>489</v>
      </c>
    </row>
    <row r="816" spans="2:6">
      <c r="B816"/>
      <c r="C816" s="26" t="s">
        <v>26</v>
      </c>
      <c r="D816" s="26" t="s">
        <v>1037</v>
      </c>
      <c r="E816" s="13" t="s">
        <v>1277</v>
      </c>
      <c r="F816" s="13" t="s">
        <v>489</v>
      </c>
    </row>
    <row r="817" spans="2:6">
      <c r="B817"/>
      <c r="C817" s="26" t="s">
        <v>26</v>
      </c>
      <c r="D817" s="26" t="s">
        <v>1037</v>
      </c>
      <c r="E817" s="13" t="s">
        <v>1278</v>
      </c>
      <c r="F817" s="13" t="s">
        <v>489</v>
      </c>
    </row>
    <row r="818" spans="2:6">
      <c r="B818"/>
      <c r="C818" s="26" t="s">
        <v>26</v>
      </c>
      <c r="D818" s="26" t="s">
        <v>1037</v>
      </c>
      <c r="E818" s="13" t="s">
        <v>941</v>
      </c>
      <c r="F818" s="13" t="s">
        <v>489</v>
      </c>
    </row>
    <row r="819" spans="2:6">
      <c r="B819"/>
      <c r="C819" s="26" t="s">
        <v>26</v>
      </c>
      <c r="D819" s="26" t="s">
        <v>1037</v>
      </c>
      <c r="E819" s="13" t="s">
        <v>967</v>
      </c>
      <c r="F819" s="13" t="s">
        <v>489</v>
      </c>
    </row>
    <row r="820" spans="2:6">
      <c r="B820"/>
    </row>
    <row r="821" spans="2:6">
      <c r="B821"/>
    </row>
    <row r="822" spans="2:6">
      <c r="B822"/>
    </row>
    <row r="823" spans="2:6">
      <c r="B823"/>
    </row>
    <row r="824" spans="2:6">
      <c r="B824"/>
    </row>
    <row r="825" spans="2:6">
      <c r="B825"/>
    </row>
    <row r="826" spans="2:6">
      <c r="B826"/>
    </row>
    <row r="827" spans="2:6">
      <c r="B827"/>
    </row>
    <row r="828" spans="2:6">
      <c r="B828"/>
    </row>
    <row r="829" spans="2:6">
      <c r="B829"/>
    </row>
    <row r="830" spans="2:6">
      <c r="B830"/>
    </row>
    <row r="831" spans="2:6">
      <c r="B831"/>
    </row>
    <row r="832" spans="2:6">
      <c r="B832"/>
    </row>
    <row r="833" spans="2:2">
      <c r="B833"/>
    </row>
    <row r="834" spans="2:2">
      <c r="B834"/>
    </row>
    <row r="835" spans="2:2">
      <c r="B835"/>
    </row>
    <row r="836" spans="2:2">
      <c r="B836"/>
    </row>
    <row r="837" spans="2:2">
      <c r="B837"/>
    </row>
    <row r="838" spans="2:2">
      <c r="B838"/>
    </row>
    <row r="839" spans="2:2">
      <c r="B839"/>
    </row>
    <row r="840" spans="2:2">
      <c r="B840"/>
    </row>
    <row r="841" spans="2:2">
      <c r="B841"/>
    </row>
    <row r="842" spans="2:2">
      <c r="B842"/>
    </row>
    <row r="843" spans="2:2">
      <c r="B843"/>
    </row>
    <row r="844" spans="2:2">
      <c r="B844"/>
    </row>
    <row r="845" spans="2:2">
      <c r="B845"/>
    </row>
    <row r="846" spans="2:2">
      <c r="B846"/>
    </row>
    <row r="847" spans="2:2">
      <c r="B847"/>
    </row>
    <row r="848" spans="2:2">
      <c r="B848"/>
    </row>
    <row r="849" spans="2:2">
      <c r="B849"/>
    </row>
    <row r="850" spans="2:2">
      <c r="B850"/>
    </row>
    <row r="851" spans="2:2">
      <c r="B851"/>
    </row>
    <row r="852" spans="2:2">
      <c r="B852"/>
    </row>
    <row r="853" spans="2:2">
      <c r="B853"/>
    </row>
    <row r="854" spans="2:2">
      <c r="B854"/>
    </row>
    <row r="855" spans="2:2">
      <c r="B855"/>
    </row>
    <row r="856" spans="2:2">
      <c r="B856"/>
    </row>
    <row r="857" spans="2:2">
      <c r="B857"/>
    </row>
    <row r="858" spans="2:2">
      <c r="B858"/>
    </row>
    <row r="859" spans="2:2">
      <c r="B859"/>
    </row>
    <row r="860" spans="2:2">
      <c r="B860"/>
    </row>
    <row r="861" spans="2:2">
      <c r="B861"/>
    </row>
    <row r="862" spans="2:2">
      <c r="B862"/>
    </row>
    <row r="863" spans="2:2">
      <c r="B863"/>
    </row>
    <row r="864" spans="2:2">
      <c r="B864"/>
    </row>
    <row r="865" spans="2:2">
      <c r="B865"/>
    </row>
    <row r="866" spans="2:2">
      <c r="B866"/>
    </row>
    <row r="867" spans="2:2">
      <c r="B867"/>
    </row>
    <row r="868" spans="2:2">
      <c r="B868"/>
    </row>
    <row r="869" spans="2:2">
      <c r="B869"/>
    </row>
    <row r="870" spans="2:2">
      <c r="B870"/>
    </row>
    <row r="871" spans="2:2">
      <c r="B871"/>
    </row>
    <row r="872" spans="2:2">
      <c r="B872"/>
    </row>
    <row r="873" spans="2:2">
      <c r="B873"/>
    </row>
    <row r="874" spans="2:2">
      <c r="B874"/>
    </row>
    <row r="875" spans="2:2">
      <c r="B875"/>
    </row>
    <row r="876" spans="2:2">
      <c r="B876"/>
    </row>
    <row r="877" spans="2:2">
      <c r="B877"/>
    </row>
    <row r="878" spans="2:2">
      <c r="B878"/>
    </row>
    <row r="879" spans="2:2">
      <c r="B879"/>
    </row>
    <row r="880" spans="2:2">
      <c r="B880"/>
    </row>
    <row r="881" spans="2:2">
      <c r="B881"/>
    </row>
    <row r="882" spans="2:2">
      <c r="B882"/>
    </row>
    <row r="883" spans="2:2">
      <c r="B883"/>
    </row>
    <row r="884" spans="2:2">
      <c r="B884"/>
    </row>
    <row r="885" spans="2:2">
      <c r="B885"/>
    </row>
    <row r="886" spans="2:2">
      <c r="B886"/>
    </row>
    <row r="887" spans="2:2">
      <c r="B887"/>
    </row>
    <row r="888" spans="2:2">
      <c r="B888"/>
    </row>
    <row r="889" spans="2:2">
      <c r="B889"/>
    </row>
    <row r="890" spans="2:2">
      <c r="B890"/>
    </row>
    <row r="891" spans="2:2">
      <c r="B891"/>
    </row>
    <row r="892" spans="2:2">
      <c r="B892"/>
    </row>
    <row r="893" spans="2:2">
      <c r="B893"/>
    </row>
    <row r="894" spans="2:2">
      <c r="B894"/>
    </row>
    <row r="895" spans="2:2">
      <c r="B895"/>
    </row>
    <row r="896" spans="2:2">
      <c r="B896"/>
    </row>
    <row r="897" spans="2:2">
      <c r="B897"/>
    </row>
    <row r="898" spans="2:2">
      <c r="B898"/>
    </row>
    <row r="899" spans="2:2">
      <c r="B899"/>
    </row>
    <row r="900" spans="2:2">
      <c r="B900"/>
    </row>
    <row r="901" spans="2:2">
      <c r="B901"/>
    </row>
    <row r="902" spans="2:2">
      <c r="B902"/>
    </row>
    <row r="903" spans="2:2">
      <c r="B903"/>
    </row>
    <row r="904" spans="2:2">
      <c r="B904"/>
    </row>
    <row r="905" spans="2:2">
      <c r="B905"/>
    </row>
    <row r="906" spans="2:2">
      <c r="B906"/>
    </row>
    <row r="907" spans="2:2">
      <c r="B907"/>
    </row>
    <row r="908" spans="2:2">
      <c r="B908"/>
    </row>
    <row r="909" spans="2:2">
      <c r="B909"/>
    </row>
    <row r="910" spans="2:2">
      <c r="B910"/>
    </row>
    <row r="911" spans="2:2">
      <c r="B911"/>
    </row>
    <row r="912" spans="2:2">
      <c r="B912"/>
    </row>
    <row r="913" spans="2:2">
      <c r="B913"/>
    </row>
    <row r="914" spans="2:2">
      <c r="B914"/>
    </row>
    <row r="915" spans="2:2">
      <c r="B915"/>
    </row>
    <row r="916" spans="2:2">
      <c r="B916"/>
    </row>
    <row r="917" spans="2:2">
      <c r="B917"/>
    </row>
    <row r="918" spans="2:2">
      <c r="B918"/>
    </row>
    <row r="919" spans="2:2">
      <c r="B919"/>
    </row>
    <row r="920" spans="2:2">
      <c r="B920"/>
    </row>
    <row r="921" spans="2:2">
      <c r="B921"/>
    </row>
    <row r="922" spans="2:2">
      <c r="B922"/>
    </row>
    <row r="923" spans="2:2">
      <c r="B923"/>
    </row>
    <row r="924" spans="2:2">
      <c r="B924"/>
    </row>
    <row r="925" spans="2:2">
      <c r="B925"/>
    </row>
    <row r="926" spans="2:2">
      <c r="B926"/>
    </row>
    <row r="927" spans="2:2">
      <c r="B927"/>
    </row>
    <row r="928" spans="2:2">
      <c r="B928"/>
    </row>
    <row r="929" spans="2:2">
      <c r="B929"/>
    </row>
    <row r="930" spans="2:2">
      <c r="B930"/>
    </row>
    <row r="931" spans="2:2">
      <c r="B931"/>
    </row>
    <row r="932" spans="2:2">
      <c r="B932"/>
    </row>
    <row r="933" spans="2:2">
      <c r="B933"/>
    </row>
    <row r="934" spans="2:2">
      <c r="B934"/>
    </row>
    <row r="935" spans="2:2">
      <c r="B935"/>
    </row>
    <row r="936" spans="2:2">
      <c r="B936"/>
    </row>
    <row r="937" spans="2:2">
      <c r="B937"/>
    </row>
    <row r="938" spans="2:2">
      <c r="B938"/>
    </row>
    <row r="939" spans="2:2">
      <c r="B939"/>
    </row>
    <row r="940" spans="2:2">
      <c r="B940"/>
    </row>
    <row r="941" spans="2:2">
      <c r="B941"/>
    </row>
    <row r="942" spans="2:2">
      <c r="B942"/>
    </row>
    <row r="943" spans="2:2">
      <c r="B943"/>
    </row>
    <row r="944" spans="2:2">
      <c r="B944"/>
    </row>
    <row r="945" spans="2:2">
      <c r="B945"/>
    </row>
    <row r="946" spans="2:2">
      <c r="B946"/>
    </row>
    <row r="947" spans="2:2">
      <c r="B947"/>
    </row>
    <row r="948" spans="2:2">
      <c r="B948"/>
    </row>
    <row r="949" spans="2:2">
      <c r="B949"/>
    </row>
    <row r="950" spans="2:2">
      <c r="B950"/>
    </row>
    <row r="951" spans="2:2">
      <c r="B951"/>
    </row>
    <row r="952" spans="2:2">
      <c r="B952"/>
    </row>
    <row r="953" spans="2:2">
      <c r="B953"/>
    </row>
    <row r="954" spans="2:2">
      <c r="B954"/>
    </row>
    <row r="955" spans="2:2">
      <c r="B955"/>
    </row>
    <row r="956" spans="2:2">
      <c r="B956"/>
    </row>
    <row r="957" spans="2:2">
      <c r="B957"/>
    </row>
    <row r="958" spans="2:2">
      <c r="B958"/>
    </row>
    <row r="959" spans="2:2">
      <c r="B959"/>
    </row>
    <row r="960" spans="2:2">
      <c r="B960"/>
    </row>
    <row r="961" spans="2:2">
      <c r="B961"/>
    </row>
    <row r="962" spans="2:2">
      <c r="B962"/>
    </row>
    <row r="963" spans="2:2">
      <c r="B963"/>
    </row>
    <row r="964" spans="2:2">
      <c r="B964"/>
    </row>
    <row r="965" spans="2:2">
      <c r="B965"/>
    </row>
    <row r="966" spans="2:2">
      <c r="B966"/>
    </row>
    <row r="967" spans="2:2">
      <c r="B967"/>
    </row>
    <row r="968" spans="2:2">
      <c r="B968"/>
    </row>
    <row r="969" spans="2:2">
      <c r="B969"/>
    </row>
    <row r="970" spans="2:2">
      <c r="B970"/>
    </row>
    <row r="971" spans="2:2">
      <c r="B971"/>
    </row>
    <row r="972" spans="2:2">
      <c r="B972"/>
    </row>
    <row r="973" spans="2:2">
      <c r="B973"/>
    </row>
    <row r="974" spans="2:2">
      <c r="B974"/>
    </row>
    <row r="975" spans="2:2">
      <c r="B975"/>
    </row>
    <row r="976" spans="2:2">
      <c r="B976"/>
    </row>
    <row r="977" spans="2:2">
      <c r="B977"/>
    </row>
    <row r="978" spans="2:2">
      <c r="B978"/>
    </row>
    <row r="979" spans="2:2">
      <c r="B979"/>
    </row>
    <row r="980" spans="2:2">
      <c r="B980"/>
    </row>
    <row r="981" spans="2:2">
      <c r="B981"/>
    </row>
    <row r="982" spans="2:2">
      <c r="B982"/>
    </row>
    <row r="983" spans="2:2">
      <c r="B983"/>
    </row>
    <row r="984" spans="2:2">
      <c r="B984"/>
    </row>
    <row r="985" spans="2:2">
      <c r="B985"/>
    </row>
    <row r="986" spans="2:2">
      <c r="B986"/>
    </row>
    <row r="987" spans="2:2">
      <c r="B987"/>
    </row>
    <row r="988" spans="2:2">
      <c r="B988"/>
    </row>
    <row r="989" spans="2:2">
      <c r="B989"/>
    </row>
    <row r="990" spans="2:2">
      <c r="B990"/>
    </row>
    <row r="991" spans="2:2">
      <c r="B991"/>
    </row>
    <row r="992" spans="2:2">
      <c r="B992"/>
    </row>
    <row r="993" spans="2:2">
      <c r="B993"/>
    </row>
    <row r="994" spans="2:2">
      <c r="B994"/>
    </row>
    <row r="995" spans="2:2">
      <c r="B995"/>
    </row>
    <row r="996" spans="2:2">
      <c r="B996"/>
    </row>
    <row r="997" spans="2:2">
      <c r="B997"/>
    </row>
    <row r="998" spans="2:2">
      <c r="B998"/>
    </row>
    <row r="999" spans="2:2">
      <c r="B999"/>
    </row>
    <row r="1000" spans="2:2">
      <c r="B1000"/>
    </row>
    <row r="1001" spans="2:2">
      <c r="B1001"/>
    </row>
    <row r="1002" spans="2:2">
      <c r="B1002"/>
    </row>
    <row r="1003" spans="2:2">
      <c r="B1003"/>
    </row>
    <row r="1004" spans="2:2">
      <c r="B1004"/>
    </row>
    <row r="1005" spans="2:2">
      <c r="B1005"/>
    </row>
    <row r="1006" spans="2:2">
      <c r="B1006"/>
    </row>
    <row r="1007" spans="2:2">
      <c r="B1007"/>
    </row>
    <row r="1008" spans="2:2">
      <c r="B1008"/>
    </row>
    <row r="1009" spans="2:2">
      <c r="B1009"/>
    </row>
    <row r="1010" spans="2:2">
      <c r="B1010"/>
    </row>
    <row r="1011" spans="2:2">
      <c r="B1011"/>
    </row>
    <row r="1012" spans="2:2">
      <c r="B1012"/>
    </row>
    <row r="1013" spans="2:2">
      <c r="B1013"/>
    </row>
    <row r="1014" spans="2:2">
      <c r="B1014"/>
    </row>
    <row r="1015" spans="2:2">
      <c r="B1015"/>
    </row>
    <row r="1016" spans="2:2">
      <c r="B1016"/>
    </row>
    <row r="1017" spans="2:2">
      <c r="B1017"/>
    </row>
    <row r="1018" spans="2:2">
      <c r="B1018"/>
    </row>
    <row r="1019" spans="2:2">
      <c r="B1019"/>
    </row>
    <row r="1020" spans="2:2">
      <c r="B1020"/>
    </row>
    <row r="1021" spans="2:2">
      <c r="B1021"/>
    </row>
    <row r="1022" spans="2:2">
      <c r="B1022"/>
    </row>
    <row r="1023" spans="2:2">
      <c r="B1023"/>
    </row>
    <row r="1024" spans="2:2">
      <c r="B1024"/>
    </row>
    <row r="1025" spans="2:2">
      <c r="B1025"/>
    </row>
    <row r="1026" spans="2:2">
      <c r="B1026"/>
    </row>
    <row r="1027" spans="2:2">
      <c r="B1027"/>
    </row>
    <row r="1028" spans="2:2">
      <c r="B1028"/>
    </row>
    <row r="1029" spans="2:2">
      <c r="B1029"/>
    </row>
    <row r="1030" spans="2:2">
      <c r="B1030"/>
    </row>
    <row r="1031" spans="2:2">
      <c r="B1031"/>
    </row>
    <row r="1032" spans="2:2">
      <c r="B1032"/>
    </row>
    <row r="1033" spans="2:2">
      <c r="B1033"/>
    </row>
    <row r="1034" spans="2:2">
      <c r="B1034"/>
    </row>
    <row r="1035" spans="2:2">
      <c r="B1035"/>
    </row>
    <row r="1036" spans="2:2">
      <c r="B1036"/>
    </row>
    <row r="1037" spans="2:2">
      <c r="B1037"/>
    </row>
    <row r="1038" spans="2:2">
      <c r="B1038"/>
    </row>
    <row r="1039" spans="2:2">
      <c r="B1039"/>
    </row>
    <row r="1040" spans="2:2">
      <c r="B1040"/>
    </row>
    <row r="1041" spans="2:2">
      <c r="B1041"/>
    </row>
    <row r="1042" spans="2:2">
      <c r="B1042"/>
    </row>
    <row r="1043" spans="2:2">
      <c r="B1043"/>
    </row>
    <row r="1044" spans="2:2">
      <c r="B1044"/>
    </row>
    <row r="1045" spans="2:2">
      <c r="B1045"/>
    </row>
    <row r="1046" spans="2:2">
      <c r="B1046"/>
    </row>
    <row r="1047" spans="2:2">
      <c r="B1047"/>
    </row>
    <row r="1048" spans="2:2">
      <c r="B1048"/>
    </row>
    <row r="1049" spans="2:2">
      <c r="B1049"/>
    </row>
    <row r="1050" spans="2:2">
      <c r="B1050"/>
    </row>
    <row r="1051" spans="2:2">
      <c r="B1051"/>
    </row>
    <row r="1052" spans="2:2">
      <c r="B1052"/>
    </row>
    <row r="1053" spans="2:2">
      <c r="B1053"/>
    </row>
    <row r="1054" spans="2:2">
      <c r="B1054"/>
    </row>
    <row r="1055" spans="2:2">
      <c r="B1055"/>
    </row>
    <row r="1056" spans="2:2">
      <c r="B1056"/>
    </row>
    <row r="1057" spans="2:2">
      <c r="B1057"/>
    </row>
    <row r="1058" spans="2:2">
      <c r="B1058"/>
    </row>
    <row r="1059" spans="2:2">
      <c r="B1059"/>
    </row>
    <row r="1060" spans="2:2">
      <c r="B1060"/>
    </row>
    <row r="1061" spans="2:2">
      <c r="B1061"/>
    </row>
    <row r="1062" spans="2:2">
      <c r="B1062"/>
    </row>
    <row r="1063" spans="2:2">
      <c r="B1063"/>
    </row>
    <row r="1064" spans="2:2">
      <c r="B1064"/>
    </row>
    <row r="1065" spans="2:2">
      <c r="B1065"/>
    </row>
    <row r="1066" spans="2:2">
      <c r="B1066"/>
    </row>
    <row r="1067" spans="2:2">
      <c r="B1067"/>
    </row>
    <row r="1068" spans="2:2">
      <c r="B1068"/>
    </row>
    <row r="1069" spans="2:2">
      <c r="B1069"/>
    </row>
    <row r="1070" spans="2:2">
      <c r="B1070"/>
    </row>
    <row r="1071" spans="2:2">
      <c r="B1071"/>
    </row>
    <row r="1072" spans="2:2">
      <c r="B1072"/>
    </row>
    <row r="1073" spans="2:2">
      <c r="B1073"/>
    </row>
    <row r="1074" spans="2:2">
      <c r="B1074"/>
    </row>
    <row r="1075" spans="2:2">
      <c r="B1075"/>
    </row>
    <row r="1076" spans="2:2">
      <c r="B1076"/>
    </row>
    <row r="1077" spans="2:2">
      <c r="B1077"/>
    </row>
    <row r="1078" spans="2:2">
      <c r="B1078"/>
    </row>
    <row r="1079" spans="2:2">
      <c r="B1079"/>
    </row>
    <row r="1080" spans="2:2">
      <c r="B1080"/>
    </row>
    <row r="1081" spans="2:2">
      <c r="B1081"/>
    </row>
    <row r="1082" spans="2:2">
      <c r="B1082"/>
    </row>
    <row r="1083" spans="2:2">
      <c r="B1083"/>
    </row>
    <row r="1084" spans="2:2">
      <c r="B1084"/>
    </row>
    <row r="1085" spans="2:2">
      <c r="B1085"/>
    </row>
    <row r="1086" spans="2:2">
      <c r="B1086"/>
    </row>
    <row r="1087" spans="2:2">
      <c r="B1087"/>
    </row>
    <row r="1088" spans="2:2">
      <c r="B1088"/>
    </row>
    <row r="1089" spans="2:2">
      <c r="B1089"/>
    </row>
    <row r="1090" spans="2:2">
      <c r="B1090"/>
    </row>
    <row r="1091" spans="2:2">
      <c r="B1091"/>
    </row>
    <row r="1092" spans="2:2">
      <c r="B1092"/>
    </row>
    <row r="1093" spans="2:2">
      <c r="B1093"/>
    </row>
    <row r="1094" spans="2:2">
      <c r="B1094"/>
    </row>
    <row r="1095" spans="2:2">
      <c r="B1095"/>
    </row>
    <row r="1096" spans="2:2">
      <c r="B1096"/>
    </row>
    <row r="1097" spans="2:2">
      <c r="B1097"/>
    </row>
    <row r="1098" spans="2:2">
      <c r="B1098"/>
    </row>
    <row r="1099" spans="2:2">
      <c r="B1099"/>
    </row>
    <row r="1100" spans="2:2">
      <c r="B1100"/>
    </row>
    <row r="1101" spans="2:2">
      <c r="B1101"/>
    </row>
    <row r="1102" spans="2:2">
      <c r="B1102"/>
    </row>
    <row r="1103" spans="2:2">
      <c r="B1103"/>
    </row>
    <row r="1104" spans="2:2">
      <c r="B1104"/>
    </row>
    <row r="1105" spans="2:2">
      <c r="B1105"/>
    </row>
    <row r="1106" spans="2:2">
      <c r="B1106"/>
    </row>
    <row r="1107" spans="2:2">
      <c r="B1107"/>
    </row>
    <row r="1108" spans="2:2">
      <c r="B1108"/>
    </row>
    <row r="1109" spans="2:2">
      <c r="B1109"/>
    </row>
    <row r="1110" spans="2:2">
      <c r="B1110"/>
    </row>
    <row r="1111" spans="2:2">
      <c r="B1111"/>
    </row>
    <row r="1112" spans="2:2">
      <c r="B1112"/>
    </row>
    <row r="1113" spans="2:2">
      <c r="B1113"/>
    </row>
    <row r="1114" spans="2:2">
      <c r="B1114"/>
    </row>
    <row r="1115" spans="2:2">
      <c r="B1115"/>
    </row>
    <row r="1116" spans="2:2">
      <c r="B1116"/>
    </row>
    <row r="1117" spans="2:2">
      <c r="B1117"/>
    </row>
    <row r="1118" spans="2:2">
      <c r="B1118"/>
    </row>
    <row r="1119" spans="2:2">
      <c r="B1119"/>
    </row>
    <row r="1120" spans="2:2">
      <c r="B1120"/>
    </row>
    <row r="1121" spans="2:2">
      <c r="B1121"/>
    </row>
    <row r="1122" spans="2:2">
      <c r="B1122"/>
    </row>
    <row r="1123" spans="2:2">
      <c r="B1123"/>
    </row>
    <row r="1124" spans="2:2">
      <c r="B1124"/>
    </row>
    <row r="1125" spans="2:2">
      <c r="B1125"/>
    </row>
    <row r="1126" spans="2:2">
      <c r="B1126"/>
    </row>
    <row r="1127" spans="2:2">
      <c r="B1127"/>
    </row>
    <row r="1128" spans="2:2">
      <c r="B1128"/>
    </row>
    <row r="1129" spans="2:2">
      <c r="B1129"/>
    </row>
    <row r="1130" spans="2:2">
      <c r="B1130"/>
    </row>
    <row r="1131" spans="2:2">
      <c r="B1131"/>
    </row>
    <row r="1132" spans="2:2">
      <c r="B1132"/>
    </row>
    <row r="1133" spans="2:2">
      <c r="B1133"/>
    </row>
    <row r="1134" spans="2:2">
      <c r="B1134"/>
    </row>
    <row r="1135" spans="2:2">
      <c r="B1135"/>
    </row>
    <row r="1136" spans="2:2">
      <c r="B1136"/>
    </row>
    <row r="1137" spans="2:2">
      <c r="B1137"/>
    </row>
    <row r="1138" spans="2:2">
      <c r="B1138"/>
    </row>
    <row r="1139" spans="2:2">
      <c r="B1139"/>
    </row>
    <row r="1140" spans="2:2">
      <c r="B1140"/>
    </row>
    <row r="1141" spans="2:2">
      <c r="B1141"/>
    </row>
    <row r="1142" spans="2:2">
      <c r="B1142"/>
    </row>
    <row r="1143" spans="2:2">
      <c r="B1143"/>
    </row>
    <row r="1144" spans="2:2">
      <c r="B1144"/>
    </row>
    <row r="1145" spans="2:2">
      <c r="B1145"/>
    </row>
    <row r="1146" spans="2:2">
      <c r="B1146"/>
    </row>
    <row r="1147" spans="2:2">
      <c r="B1147"/>
    </row>
    <row r="1148" spans="2:2">
      <c r="B1148"/>
    </row>
    <row r="1149" spans="2:2">
      <c r="B1149"/>
    </row>
    <row r="1150" spans="2:2">
      <c r="B1150"/>
    </row>
    <row r="1151" spans="2:2">
      <c r="B1151"/>
    </row>
    <row r="1152" spans="2:2">
      <c r="B1152"/>
    </row>
    <row r="1153" spans="2:2">
      <c r="B1153"/>
    </row>
    <row r="1154" spans="2:2">
      <c r="B1154"/>
    </row>
    <row r="1155" spans="2:2">
      <c r="B1155"/>
    </row>
    <row r="1156" spans="2:2">
      <c r="B1156"/>
    </row>
    <row r="1157" spans="2:2">
      <c r="B1157"/>
    </row>
    <row r="1158" spans="2:2">
      <c r="B1158"/>
    </row>
    <row r="1159" spans="2:2">
      <c r="B1159"/>
    </row>
    <row r="1160" spans="2:2">
      <c r="B1160"/>
    </row>
    <row r="1161" spans="2:2">
      <c r="B1161"/>
    </row>
    <row r="1162" spans="2:2">
      <c r="B1162"/>
    </row>
    <row r="1163" spans="2:2">
      <c r="B1163"/>
    </row>
    <row r="1164" spans="2:2">
      <c r="B1164"/>
    </row>
    <row r="1165" spans="2:2">
      <c r="B1165"/>
    </row>
    <row r="1166" spans="2:2">
      <c r="B1166"/>
    </row>
    <row r="1167" spans="2:2">
      <c r="B1167"/>
    </row>
    <row r="1168" spans="2:2">
      <c r="B1168"/>
    </row>
    <row r="1169" spans="2:2">
      <c r="B1169"/>
    </row>
    <row r="1170" spans="2:2">
      <c r="B1170"/>
    </row>
    <row r="1171" spans="2:2">
      <c r="B1171"/>
    </row>
    <row r="1172" spans="2:2">
      <c r="B1172"/>
    </row>
    <row r="1173" spans="2:2">
      <c r="B1173"/>
    </row>
    <row r="1174" spans="2:2">
      <c r="B1174"/>
    </row>
    <row r="1175" spans="2:2">
      <c r="B1175"/>
    </row>
    <row r="1176" spans="2:2">
      <c r="B1176"/>
    </row>
    <row r="1177" spans="2:2">
      <c r="B1177"/>
    </row>
    <row r="1178" spans="2:2">
      <c r="B1178"/>
    </row>
    <row r="1179" spans="2:2">
      <c r="B1179"/>
    </row>
    <row r="1180" spans="2:2">
      <c r="B1180"/>
    </row>
    <row r="1181" spans="2:2">
      <c r="B1181"/>
    </row>
    <row r="1182" spans="2:2">
      <c r="B1182"/>
    </row>
    <row r="1183" spans="2:2">
      <c r="B1183"/>
    </row>
    <row r="1184" spans="2:2">
      <c r="B1184"/>
    </row>
    <row r="1185" spans="2:2">
      <c r="B1185"/>
    </row>
    <row r="1186" spans="2:2">
      <c r="B1186"/>
    </row>
    <row r="1187" spans="2:2">
      <c r="B1187"/>
    </row>
    <row r="1188" spans="2:2">
      <c r="B1188"/>
    </row>
    <row r="1189" spans="2:2">
      <c r="B1189"/>
    </row>
    <row r="1190" spans="2:2">
      <c r="B1190"/>
    </row>
    <row r="1191" spans="2:2">
      <c r="B1191"/>
    </row>
    <row r="1192" spans="2:2">
      <c r="B1192"/>
    </row>
    <row r="1193" spans="2:2">
      <c r="B1193"/>
    </row>
    <row r="1194" spans="2:2">
      <c r="B1194"/>
    </row>
    <row r="1195" spans="2:2">
      <c r="B1195"/>
    </row>
    <row r="1196" spans="2:2">
      <c r="B1196"/>
    </row>
    <row r="1197" spans="2:2">
      <c r="B1197"/>
    </row>
    <row r="1198" spans="2:2">
      <c r="B1198"/>
    </row>
    <row r="1199" spans="2:2">
      <c r="B1199"/>
    </row>
    <row r="1200" spans="2:2">
      <c r="B1200"/>
    </row>
    <row r="1201" spans="2:2">
      <c r="B1201"/>
    </row>
    <row r="1202" spans="2:2">
      <c r="B1202"/>
    </row>
    <row r="1203" spans="2:2">
      <c r="B1203"/>
    </row>
    <row r="1204" spans="2:2">
      <c r="B1204"/>
    </row>
    <row r="1205" spans="2:2">
      <c r="B1205"/>
    </row>
    <row r="1206" spans="2:2">
      <c r="B1206"/>
    </row>
    <row r="1207" spans="2:2">
      <c r="B1207"/>
    </row>
    <row r="1208" spans="2:2">
      <c r="B1208"/>
    </row>
    <row r="1209" spans="2:2">
      <c r="B1209"/>
    </row>
    <row r="1210" spans="2:2">
      <c r="B1210"/>
    </row>
    <row r="1211" spans="2:2">
      <c r="B1211"/>
    </row>
    <row r="1212" spans="2:2">
      <c r="B1212"/>
    </row>
    <row r="1213" spans="2:2">
      <c r="B1213"/>
    </row>
    <row r="1214" spans="2:2">
      <c r="B1214"/>
    </row>
    <row r="1215" spans="2:2">
      <c r="B1215"/>
    </row>
    <row r="1216" spans="2:2">
      <c r="B1216"/>
    </row>
    <row r="1217" spans="2:2">
      <c r="B1217"/>
    </row>
    <row r="1218" spans="2:2">
      <c r="B1218"/>
    </row>
    <row r="1219" spans="2:2">
      <c r="B1219"/>
    </row>
    <row r="1220" spans="2:2">
      <c r="B1220"/>
    </row>
    <row r="1221" spans="2:2">
      <c r="B1221"/>
    </row>
    <row r="1222" spans="2:2">
      <c r="B1222"/>
    </row>
    <row r="1223" spans="2:2">
      <c r="B1223"/>
    </row>
    <row r="1224" spans="2:2">
      <c r="B1224"/>
    </row>
    <row r="1225" spans="2:2">
      <c r="B1225"/>
    </row>
    <row r="1226" spans="2:2">
      <c r="B1226"/>
    </row>
    <row r="1227" spans="2:2">
      <c r="B1227"/>
    </row>
    <row r="1228" spans="2:2">
      <c r="B1228"/>
    </row>
    <row r="1229" spans="2:2">
      <c r="B1229"/>
    </row>
    <row r="1230" spans="2:2">
      <c r="B1230"/>
    </row>
    <row r="1231" spans="2:2">
      <c r="B1231"/>
    </row>
    <row r="1232" spans="2:2">
      <c r="B1232"/>
    </row>
    <row r="1233" spans="2:2">
      <c r="B1233"/>
    </row>
    <row r="1234" spans="2:2">
      <c r="B1234"/>
    </row>
    <row r="1235" spans="2:2">
      <c r="B1235"/>
    </row>
    <row r="1236" spans="2:2">
      <c r="B1236"/>
    </row>
    <row r="1237" spans="2:2">
      <c r="B1237"/>
    </row>
    <row r="1238" spans="2:2">
      <c r="B1238"/>
    </row>
    <row r="1239" spans="2:2">
      <c r="B1239"/>
    </row>
    <row r="1240" spans="2:2">
      <c r="B1240"/>
    </row>
    <row r="1241" spans="2:2">
      <c r="B1241"/>
    </row>
    <row r="1242" spans="2:2">
      <c r="B1242"/>
    </row>
    <row r="1243" spans="2:2">
      <c r="B1243"/>
    </row>
    <row r="1244" spans="2:2">
      <c r="B1244"/>
    </row>
    <row r="1245" spans="2:2">
      <c r="B1245"/>
    </row>
    <row r="1246" spans="2:2">
      <c r="B1246"/>
    </row>
    <row r="1247" spans="2:2">
      <c r="B1247"/>
    </row>
    <row r="1248" spans="2:2">
      <c r="B1248"/>
    </row>
    <row r="1249" spans="2:2">
      <c r="B1249"/>
    </row>
    <row r="1250" spans="2:2">
      <c r="B1250"/>
    </row>
    <row r="1251" spans="2:2">
      <c r="B1251"/>
    </row>
    <row r="1252" spans="2:2">
      <c r="B1252"/>
    </row>
    <row r="1253" spans="2:2">
      <c r="B1253"/>
    </row>
    <row r="1254" spans="2:2">
      <c r="B1254"/>
    </row>
    <row r="1255" spans="2:2">
      <c r="B1255"/>
    </row>
    <row r="1256" spans="2:2">
      <c r="B1256"/>
    </row>
    <row r="1257" spans="2:2">
      <c r="B1257"/>
    </row>
    <row r="1258" spans="2:2">
      <c r="B1258"/>
    </row>
    <row r="1259" spans="2:2">
      <c r="B1259"/>
    </row>
    <row r="1260" spans="2:2">
      <c r="B1260"/>
    </row>
    <row r="1261" spans="2:2">
      <c r="B1261"/>
    </row>
    <row r="1262" spans="2:2">
      <c r="B1262"/>
    </row>
    <row r="1263" spans="2:2">
      <c r="B1263"/>
    </row>
    <row r="1264" spans="2:2">
      <c r="B1264"/>
    </row>
    <row r="1265" spans="2:2">
      <c r="B1265"/>
    </row>
    <row r="1266" spans="2:2">
      <c r="B1266"/>
    </row>
    <row r="1267" spans="2:2">
      <c r="B1267"/>
    </row>
    <row r="1268" spans="2:2">
      <c r="B1268"/>
    </row>
    <row r="1269" spans="2:2">
      <c r="B1269"/>
    </row>
    <row r="1270" spans="2:2">
      <c r="B1270"/>
    </row>
    <row r="1271" spans="2:2">
      <c r="B1271"/>
    </row>
    <row r="1272" spans="2:2">
      <c r="B1272"/>
    </row>
    <row r="1273" spans="2:2">
      <c r="B1273"/>
    </row>
    <row r="1274" spans="2:2">
      <c r="B1274"/>
    </row>
    <row r="1275" spans="2:2">
      <c r="B1275"/>
    </row>
    <row r="1276" spans="2:2">
      <c r="B1276"/>
    </row>
    <row r="1277" spans="2:2">
      <c r="B1277"/>
    </row>
    <row r="1278" spans="2:2">
      <c r="B1278"/>
    </row>
    <row r="1279" spans="2:2">
      <c r="B1279"/>
    </row>
    <row r="1280" spans="2:2">
      <c r="B1280"/>
    </row>
    <row r="1281" spans="2:2">
      <c r="B1281"/>
    </row>
    <row r="1282" spans="2:2">
      <c r="B1282"/>
    </row>
    <row r="1283" spans="2:2">
      <c r="B1283"/>
    </row>
    <row r="1284" spans="2:2">
      <c r="B1284"/>
    </row>
    <row r="1285" spans="2:2">
      <c r="B1285"/>
    </row>
    <row r="1286" spans="2:2">
      <c r="B1286"/>
    </row>
    <row r="1287" spans="2:2">
      <c r="B1287"/>
    </row>
    <row r="1288" spans="2:2">
      <c r="B1288"/>
    </row>
    <row r="1289" spans="2:2">
      <c r="B1289"/>
    </row>
    <row r="1290" spans="2:2">
      <c r="B1290"/>
    </row>
    <row r="1291" spans="2:2">
      <c r="B1291"/>
    </row>
    <row r="1292" spans="2:2">
      <c r="B1292"/>
    </row>
    <row r="1293" spans="2:2">
      <c r="B1293"/>
    </row>
    <row r="1294" spans="2:2">
      <c r="B1294"/>
    </row>
    <row r="1295" spans="2:2">
      <c r="B1295"/>
    </row>
    <row r="1296" spans="2:2">
      <c r="B1296"/>
    </row>
    <row r="1297" spans="2:2">
      <c r="B1297"/>
    </row>
    <row r="1298" spans="2:2">
      <c r="B1298"/>
    </row>
    <row r="1299" spans="2:2">
      <c r="B1299"/>
    </row>
    <row r="1300" spans="2:2">
      <c r="B1300"/>
    </row>
    <row r="1301" spans="2:2">
      <c r="B1301"/>
    </row>
    <row r="1302" spans="2:2">
      <c r="B1302"/>
    </row>
    <row r="1303" spans="2:2">
      <c r="B1303"/>
    </row>
    <row r="1304" spans="2:2">
      <c r="B1304"/>
    </row>
    <row r="1305" spans="2:2">
      <c r="B1305"/>
    </row>
    <row r="1306" spans="2:2">
      <c r="B1306"/>
    </row>
    <row r="1307" spans="2:2">
      <c r="B1307"/>
    </row>
    <row r="1308" spans="2:2">
      <c r="B1308"/>
    </row>
    <row r="1309" spans="2:2">
      <c r="B1309"/>
    </row>
    <row r="1310" spans="2:2">
      <c r="B1310"/>
    </row>
    <row r="1311" spans="2:2">
      <c r="B1311"/>
    </row>
    <row r="1312" spans="2:2">
      <c r="B1312"/>
    </row>
    <row r="1313" spans="2:2">
      <c r="B1313"/>
    </row>
    <row r="1314" spans="2:2">
      <c r="B1314"/>
    </row>
    <row r="1315" spans="2:2">
      <c r="B1315"/>
    </row>
    <row r="1316" spans="2:2">
      <c r="B1316"/>
    </row>
    <row r="1317" spans="2:2">
      <c r="B1317"/>
    </row>
    <row r="1318" spans="2:2">
      <c r="B1318"/>
    </row>
    <row r="1319" spans="2:2">
      <c r="B1319"/>
    </row>
    <row r="1320" spans="2:2">
      <c r="B1320"/>
    </row>
    <row r="1321" spans="2:2">
      <c r="B1321"/>
    </row>
    <row r="1322" spans="2:2">
      <c r="B1322"/>
    </row>
    <row r="1323" spans="2:2">
      <c r="B1323"/>
    </row>
    <row r="1324" spans="2:2">
      <c r="B1324"/>
    </row>
    <row r="1325" spans="2:2">
      <c r="B1325"/>
    </row>
    <row r="1326" spans="2:2">
      <c r="B1326"/>
    </row>
    <row r="1327" spans="2:2">
      <c r="B1327"/>
    </row>
    <row r="1328" spans="2:2">
      <c r="B1328"/>
    </row>
    <row r="1329" spans="2:2">
      <c r="B1329"/>
    </row>
    <row r="1330" spans="2:2">
      <c r="B1330"/>
    </row>
    <row r="1331" spans="2:2">
      <c r="B1331"/>
    </row>
    <row r="1332" spans="2:2">
      <c r="B1332"/>
    </row>
    <row r="1333" spans="2:2">
      <c r="B1333"/>
    </row>
    <row r="1334" spans="2:2">
      <c r="B1334"/>
    </row>
    <row r="1335" spans="2:2">
      <c r="B1335"/>
    </row>
    <row r="1336" spans="2:2">
      <c r="B1336"/>
    </row>
    <row r="1337" spans="2:2">
      <c r="B1337"/>
    </row>
    <row r="1338" spans="2:2">
      <c r="B1338"/>
    </row>
    <row r="1339" spans="2:2">
      <c r="B1339"/>
    </row>
    <row r="1340" spans="2:2">
      <c r="B1340"/>
    </row>
    <row r="1341" spans="2:2">
      <c r="B1341"/>
    </row>
    <row r="1342" spans="2:2">
      <c r="B1342"/>
    </row>
    <row r="1343" spans="2:2">
      <c r="B1343"/>
    </row>
    <row r="1344" spans="2:2">
      <c r="B1344"/>
    </row>
    <row r="1345" spans="2:2">
      <c r="B1345"/>
    </row>
    <row r="1346" spans="2:2">
      <c r="B1346"/>
    </row>
    <row r="1347" spans="2:2">
      <c r="B1347"/>
    </row>
    <row r="1348" spans="2:2">
      <c r="B1348"/>
    </row>
    <row r="1349" spans="2:2">
      <c r="B1349"/>
    </row>
    <row r="1350" spans="2:2">
      <c r="B1350"/>
    </row>
    <row r="1351" spans="2:2">
      <c r="B1351"/>
    </row>
    <row r="1352" spans="2:2">
      <c r="B1352"/>
    </row>
    <row r="1353" spans="2:2">
      <c r="B1353"/>
    </row>
    <row r="1354" spans="2:2">
      <c r="B1354"/>
    </row>
    <row r="1355" spans="2:2">
      <c r="B1355"/>
    </row>
    <row r="1356" spans="2:2">
      <c r="B1356"/>
    </row>
    <row r="1357" spans="2:2">
      <c r="B1357"/>
    </row>
    <row r="1358" spans="2:2">
      <c r="B1358"/>
    </row>
    <row r="1359" spans="2:2">
      <c r="B1359"/>
    </row>
    <row r="1360" spans="2:2">
      <c r="B1360"/>
    </row>
    <row r="1361" spans="2:2">
      <c r="B1361"/>
    </row>
    <row r="1362" spans="2:2">
      <c r="B1362"/>
    </row>
    <row r="1363" spans="2:2">
      <c r="B1363"/>
    </row>
    <row r="1364" spans="2:2">
      <c r="B1364"/>
    </row>
    <row r="1365" spans="2:2">
      <c r="B1365"/>
    </row>
    <row r="1366" spans="2:2">
      <c r="B1366"/>
    </row>
    <row r="1367" spans="2:2">
      <c r="B1367"/>
    </row>
    <row r="1368" spans="2:2">
      <c r="B1368"/>
    </row>
    <row r="1369" spans="2:2">
      <c r="B1369"/>
    </row>
    <row r="1370" spans="2:2">
      <c r="B1370"/>
    </row>
    <row r="1371" spans="2:2">
      <c r="B1371"/>
    </row>
    <row r="1372" spans="2:2">
      <c r="B1372"/>
    </row>
    <row r="1373" spans="2:2">
      <c r="B1373"/>
    </row>
    <row r="1374" spans="2:2">
      <c r="B1374"/>
    </row>
    <row r="1375" spans="2:2">
      <c r="B1375"/>
    </row>
    <row r="1376" spans="2:2">
      <c r="B1376"/>
    </row>
    <row r="1377" spans="2:2">
      <c r="B1377"/>
    </row>
    <row r="1378" spans="2:2">
      <c r="B1378"/>
    </row>
    <row r="1379" spans="2:2">
      <c r="B1379"/>
    </row>
    <row r="1380" spans="2:2">
      <c r="B1380"/>
    </row>
    <row r="1381" spans="2:2">
      <c r="B1381"/>
    </row>
    <row r="1382" spans="2:2">
      <c r="B1382"/>
    </row>
    <row r="1383" spans="2:2">
      <c r="B1383"/>
    </row>
    <row r="1384" spans="2:2">
      <c r="B1384"/>
    </row>
    <row r="1385" spans="2:2">
      <c r="B1385"/>
    </row>
    <row r="1386" spans="2:2">
      <c r="B1386"/>
    </row>
    <row r="1387" spans="2:2">
      <c r="B1387"/>
    </row>
    <row r="1388" spans="2:2">
      <c r="B1388"/>
    </row>
    <row r="1389" spans="2:2">
      <c r="B1389"/>
    </row>
    <row r="1390" spans="2:2">
      <c r="B1390"/>
    </row>
    <row r="1391" spans="2:2">
      <c r="B1391"/>
    </row>
    <row r="1392" spans="2:2">
      <c r="B1392"/>
    </row>
    <row r="1393" spans="2:2">
      <c r="B1393"/>
    </row>
    <row r="1394" spans="2:2">
      <c r="B1394"/>
    </row>
    <row r="1395" spans="2:2">
      <c r="B1395"/>
    </row>
    <row r="1396" spans="2:2">
      <c r="B1396"/>
    </row>
    <row r="1397" spans="2:2">
      <c r="B1397"/>
    </row>
    <row r="1398" spans="2:2">
      <c r="B1398"/>
    </row>
    <row r="1399" spans="2:2">
      <c r="B1399"/>
    </row>
    <row r="1400" spans="2:2">
      <c r="B1400"/>
    </row>
    <row r="1401" spans="2:2">
      <c r="B1401"/>
    </row>
    <row r="1402" spans="2:2">
      <c r="B1402"/>
    </row>
    <row r="1403" spans="2:2">
      <c r="B1403"/>
    </row>
    <row r="1404" spans="2:2">
      <c r="B1404"/>
    </row>
    <row r="1405" spans="2:2">
      <c r="B1405"/>
    </row>
    <row r="1406" spans="2:2">
      <c r="B1406"/>
    </row>
    <row r="1407" spans="2:2">
      <c r="B1407"/>
    </row>
    <row r="1408" spans="2:2">
      <c r="B1408"/>
    </row>
    <row r="1409" spans="2:2">
      <c r="B1409"/>
    </row>
    <row r="1410" spans="2:2">
      <c r="B1410"/>
    </row>
    <row r="1411" spans="2:2">
      <c r="B1411"/>
    </row>
    <row r="1412" spans="2:2">
      <c r="B1412"/>
    </row>
    <row r="1413" spans="2:2">
      <c r="B1413"/>
    </row>
    <row r="1414" spans="2:2">
      <c r="B1414"/>
    </row>
    <row r="1415" spans="2:2">
      <c r="B1415"/>
    </row>
    <row r="1416" spans="2:2">
      <c r="B1416"/>
    </row>
    <row r="1417" spans="2:2">
      <c r="B1417"/>
    </row>
    <row r="1418" spans="2:2">
      <c r="B1418"/>
    </row>
    <row r="1419" spans="2:2">
      <c r="B1419"/>
    </row>
    <row r="1420" spans="2:2">
      <c r="B1420"/>
    </row>
    <row r="1421" spans="2:2">
      <c r="B1421"/>
    </row>
    <row r="1422" spans="2:2">
      <c r="B1422"/>
    </row>
    <row r="1423" spans="2:2">
      <c r="B1423"/>
    </row>
    <row r="1424" spans="2:2">
      <c r="B1424"/>
    </row>
    <row r="1425" spans="2:2">
      <c r="B1425"/>
    </row>
    <row r="1426" spans="2:2">
      <c r="B1426"/>
    </row>
    <row r="1427" spans="2:2">
      <c r="B1427"/>
    </row>
    <row r="1428" spans="2:2">
      <c r="B1428"/>
    </row>
    <row r="1429" spans="2:2">
      <c r="B1429"/>
    </row>
    <row r="1430" spans="2:2">
      <c r="B1430"/>
    </row>
    <row r="1431" spans="2:2">
      <c r="B1431"/>
    </row>
    <row r="1432" spans="2:2">
      <c r="B1432"/>
    </row>
    <row r="1433" spans="2:2">
      <c r="B1433"/>
    </row>
    <row r="1434" spans="2:2">
      <c r="B1434"/>
    </row>
    <row r="1435" spans="2:2">
      <c r="B1435"/>
    </row>
    <row r="1436" spans="2:2">
      <c r="B1436"/>
    </row>
    <row r="1437" spans="2:2">
      <c r="B1437"/>
    </row>
    <row r="1438" spans="2:2">
      <c r="B1438"/>
    </row>
    <row r="1439" spans="2:2">
      <c r="B1439"/>
    </row>
    <row r="1440" spans="2:2">
      <c r="B1440"/>
    </row>
    <row r="1441" spans="2:2">
      <c r="B1441"/>
    </row>
    <row r="1442" spans="2:2">
      <c r="B1442"/>
    </row>
    <row r="1443" spans="2:2">
      <c r="B1443"/>
    </row>
    <row r="1444" spans="2:2">
      <c r="B1444"/>
    </row>
    <row r="1445" spans="2:2">
      <c r="B1445"/>
    </row>
    <row r="1446" spans="2:2">
      <c r="B1446"/>
    </row>
    <row r="1447" spans="2:2">
      <c r="B1447"/>
    </row>
    <row r="1448" spans="2:2">
      <c r="B1448"/>
    </row>
    <row r="1449" spans="2:2">
      <c r="B1449"/>
    </row>
    <row r="1450" spans="2:2">
      <c r="B1450"/>
    </row>
    <row r="1451" spans="2:2">
      <c r="B1451"/>
    </row>
    <row r="1452" spans="2:2">
      <c r="B1452"/>
    </row>
    <row r="1453" spans="2:2">
      <c r="B1453"/>
    </row>
    <row r="1454" spans="2:2">
      <c r="B1454"/>
    </row>
    <row r="1455" spans="2:2">
      <c r="B1455"/>
    </row>
    <row r="1456" spans="2:2">
      <c r="B1456"/>
    </row>
    <row r="1457" spans="2:2">
      <c r="B1457"/>
    </row>
    <row r="1458" spans="2:2">
      <c r="B1458"/>
    </row>
    <row r="1459" spans="2:2">
      <c r="B1459"/>
    </row>
    <row r="1460" spans="2:2">
      <c r="B1460"/>
    </row>
    <row r="1461" spans="2:2">
      <c r="B1461"/>
    </row>
    <row r="1462" spans="2:2">
      <c r="B1462"/>
    </row>
    <row r="1463" spans="2:2">
      <c r="B1463"/>
    </row>
    <row r="1464" spans="2:2">
      <c r="B1464"/>
    </row>
    <row r="1465" spans="2:2">
      <c r="B1465"/>
    </row>
    <row r="1466" spans="2:2">
      <c r="B1466"/>
    </row>
    <row r="1467" spans="2:2">
      <c r="B1467"/>
    </row>
    <row r="1468" spans="2:2">
      <c r="B1468"/>
    </row>
    <row r="1469" spans="2:2">
      <c r="B1469"/>
    </row>
    <row r="1470" spans="2:2">
      <c r="B1470"/>
    </row>
    <row r="1471" spans="2:2">
      <c r="B1471"/>
    </row>
    <row r="1472" spans="2:2">
      <c r="B1472"/>
    </row>
    <row r="1473" spans="2:2">
      <c r="B1473"/>
    </row>
    <row r="1474" spans="2:2">
      <c r="B1474"/>
    </row>
    <row r="1475" spans="2:2">
      <c r="B1475"/>
    </row>
    <row r="1476" spans="2:2">
      <c r="B1476"/>
    </row>
    <row r="1477" spans="2:2">
      <c r="B1477"/>
    </row>
    <row r="1478" spans="2:2">
      <c r="B1478"/>
    </row>
    <row r="1479" spans="2:2">
      <c r="B1479"/>
    </row>
    <row r="1480" spans="2:2">
      <c r="B1480"/>
    </row>
    <row r="1481" spans="2:2">
      <c r="B1481"/>
    </row>
    <row r="1482" spans="2:2">
      <c r="B1482"/>
    </row>
    <row r="1483" spans="2:2">
      <c r="B1483"/>
    </row>
    <row r="1484" spans="2:2">
      <c r="B1484"/>
    </row>
    <row r="1485" spans="2:2">
      <c r="B1485"/>
    </row>
    <row r="1486" spans="2:2">
      <c r="B1486"/>
    </row>
    <row r="1487" spans="2:2">
      <c r="B1487"/>
    </row>
    <row r="1488" spans="2:2">
      <c r="B1488"/>
    </row>
    <row r="1489" spans="2:2">
      <c r="B1489"/>
    </row>
    <row r="1490" spans="2:2">
      <c r="B1490"/>
    </row>
    <row r="1491" spans="2:2">
      <c r="B1491"/>
    </row>
    <row r="1492" spans="2:2">
      <c r="B1492"/>
    </row>
    <row r="1493" spans="2:2">
      <c r="B1493"/>
    </row>
    <row r="1494" spans="2:2">
      <c r="B1494"/>
    </row>
    <row r="1495" spans="2:2">
      <c r="B1495"/>
    </row>
    <row r="1496" spans="2:2">
      <c r="B1496"/>
    </row>
    <row r="1497" spans="2:2">
      <c r="B1497"/>
    </row>
    <row r="1498" spans="2:2">
      <c r="B1498"/>
    </row>
    <row r="1499" spans="2:2">
      <c r="B1499"/>
    </row>
    <row r="1500" spans="2:2">
      <c r="B1500"/>
    </row>
    <row r="1501" spans="2:2">
      <c r="B1501"/>
    </row>
    <row r="1502" spans="2:2">
      <c r="B1502"/>
    </row>
    <row r="1503" spans="2:2">
      <c r="B1503"/>
    </row>
    <row r="1504" spans="2:2">
      <c r="B1504"/>
    </row>
    <row r="1505" spans="2:2">
      <c r="B1505"/>
    </row>
    <row r="1506" spans="2:2">
      <c r="B1506"/>
    </row>
    <row r="1507" spans="2:2">
      <c r="B1507"/>
    </row>
    <row r="1508" spans="2:2">
      <c r="B1508"/>
    </row>
    <row r="1509" spans="2:2">
      <c r="B1509"/>
    </row>
    <row r="1510" spans="2:2">
      <c r="B1510"/>
    </row>
    <row r="1511" spans="2:2">
      <c r="B1511"/>
    </row>
    <row r="1512" spans="2:2">
      <c r="B1512"/>
    </row>
    <row r="1513" spans="2:2">
      <c r="B1513"/>
    </row>
    <row r="1514" spans="2:2">
      <c r="B1514"/>
    </row>
    <row r="1515" spans="2:2">
      <c r="B1515"/>
    </row>
    <row r="1516" spans="2:2">
      <c r="B1516"/>
    </row>
    <row r="1517" spans="2:2">
      <c r="B1517"/>
    </row>
    <row r="1518" spans="2:2">
      <c r="B1518"/>
    </row>
    <row r="1519" spans="2:2">
      <c r="B1519"/>
    </row>
    <row r="1520" spans="2:2">
      <c r="B1520"/>
    </row>
    <row r="1521" spans="2:2">
      <c r="B1521"/>
    </row>
    <row r="1522" spans="2:2">
      <c r="B1522"/>
    </row>
    <row r="1523" spans="2:2">
      <c r="B1523"/>
    </row>
    <row r="1524" spans="2:2">
      <c r="B1524"/>
    </row>
    <row r="1525" spans="2:2">
      <c r="B1525"/>
    </row>
    <row r="1526" spans="2:2">
      <c r="B1526"/>
    </row>
    <row r="1527" spans="2:2">
      <c r="B1527"/>
    </row>
    <row r="1528" spans="2:2">
      <c r="B1528"/>
    </row>
    <row r="1529" spans="2:2">
      <c r="B1529"/>
    </row>
    <row r="1530" spans="2:2">
      <c r="B1530"/>
    </row>
    <row r="1531" spans="2:2">
      <c r="B1531"/>
    </row>
    <row r="1532" spans="2:2">
      <c r="B1532"/>
    </row>
    <row r="1533" spans="2:2">
      <c r="B1533"/>
    </row>
    <row r="1534" spans="2:2">
      <c r="B1534"/>
    </row>
    <row r="1535" spans="2:2">
      <c r="B1535"/>
    </row>
    <row r="1536" spans="2:2">
      <c r="B1536"/>
    </row>
    <row r="1537" spans="2:2">
      <c r="B1537"/>
    </row>
    <row r="1538" spans="2:2">
      <c r="B1538"/>
    </row>
    <row r="1539" spans="2:2">
      <c r="B1539"/>
    </row>
    <row r="1540" spans="2:2">
      <c r="B1540"/>
    </row>
    <row r="1541" spans="2:2">
      <c r="B1541"/>
    </row>
    <row r="1542" spans="2:2">
      <c r="B1542"/>
    </row>
    <row r="1543" spans="2:2">
      <c r="B1543"/>
    </row>
    <row r="1544" spans="2:2">
      <c r="B1544"/>
    </row>
    <row r="1545" spans="2:2">
      <c r="B1545"/>
    </row>
    <row r="1546" spans="2:2">
      <c r="B1546"/>
    </row>
    <row r="1547" spans="2:2">
      <c r="B1547"/>
    </row>
    <row r="1548" spans="2:2">
      <c r="B1548"/>
    </row>
    <row r="1549" spans="2:2">
      <c r="B1549"/>
    </row>
    <row r="1550" spans="2:2">
      <c r="B1550"/>
    </row>
    <row r="1551" spans="2:2">
      <c r="B1551"/>
    </row>
    <row r="1552" spans="2:2">
      <c r="B1552"/>
    </row>
    <row r="1553" spans="2:2">
      <c r="B1553"/>
    </row>
    <row r="1554" spans="2:2">
      <c r="B1554"/>
    </row>
    <row r="1555" spans="2:2">
      <c r="B1555"/>
    </row>
    <row r="1556" spans="2:2">
      <c r="B1556"/>
    </row>
    <row r="1557" spans="2:2">
      <c r="B1557"/>
    </row>
    <row r="1558" spans="2:2">
      <c r="B1558"/>
    </row>
    <row r="1559" spans="2:2">
      <c r="B1559"/>
    </row>
    <row r="1560" spans="2:2">
      <c r="B1560"/>
    </row>
    <row r="1561" spans="2:2">
      <c r="B1561"/>
    </row>
    <row r="1562" spans="2:2">
      <c r="B1562"/>
    </row>
    <row r="1563" spans="2:2">
      <c r="B1563"/>
    </row>
    <row r="1564" spans="2:2">
      <c r="B1564"/>
    </row>
    <row r="1565" spans="2:2">
      <c r="B1565"/>
    </row>
    <row r="1566" spans="2:2">
      <c r="B1566"/>
    </row>
    <row r="1567" spans="2:2">
      <c r="B1567"/>
    </row>
    <row r="1568" spans="2:2">
      <c r="B1568"/>
    </row>
    <row r="1569" spans="2:2">
      <c r="B1569"/>
    </row>
    <row r="1570" spans="2:2">
      <c r="B1570"/>
    </row>
    <row r="1571" spans="2:2">
      <c r="B1571"/>
    </row>
    <row r="1572" spans="2:2">
      <c r="B1572"/>
    </row>
    <row r="1573" spans="2:2">
      <c r="B1573"/>
    </row>
    <row r="1574" spans="2:2">
      <c r="B1574"/>
    </row>
    <row r="1575" spans="2:2">
      <c r="B1575"/>
    </row>
    <row r="1576" spans="2:2">
      <c r="B1576"/>
    </row>
    <row r="1577" spans="2:2">
      <c r="B1577"/>
    </row>
    <row r="1578" spans="2:2">
      <c r="B1578"/>
    </row>
    <row r="1579" spans="2:2">
      <c r="B1579"/>
    </row>
    <row r="1580" spans="2:2">
      <c r="B1580"/>
    </row>
    <row r="1581" spans="2:2">
      <c r="B1581"/>
    </row>
    <row r="1582" spans="2:2">
      <c r="B1582"/>
    </row>
    <row r="1583" spans="2:2">
      <c r="B1583"/>
    </row>
    <row r="1584" spans="2:2">
      <c r="B1584"/>
    </row>
    <row r="1585" spans="2:2">
      <c r="B1585"/>
    </row>
    <row r="1586" spans="2:2">
      <c r="B1586"/>
    </row>
    <row r="1587" spans="2:2">
      <c r="B1587"/>
    </row>
    <row r="1588" spans="2:2">
      <c r="B1588"/>
    </row>
    <row r="1589" spans="2:2">
      <c r="B1589"/>
    </row>
    <row r="1590" spans="2:2">
      <c r="B1590"/>
    </row>
    <row r="1591" spans="2:2">
      <c r="B1591"/>
    </row>
    <row r="1592" spans="2:2">
      <c r="B1592"/>
    </row>
    <row r="1593" spans="2:2">
      <c r="B1593"/>
    </row>
    <row r="1594" spans="2:2">
      <c r="B1594"/>
    </row>
    <row r="1595" spans="2:2">
      <c r="B1595"/>
    </row>
    <row r="1596" spans="2:2">
      <c r="B1596"/>
    </row>
    <row r="1597" spans="2:2">
      <c r="B1597"/>
    </row>
    <row r="1598" spans="2:2">
      <c r="B1598"/>
    </row>
    <row r="1599" spans="2:2">
      <c r="B1599"/>
    </row>
    <row r="1600" spans="2:2">
      <c r="B1600"/>
    </row>
    <row r="1601" spans="2:2">
      <c r="B1601"/>
    </row>
    <row r="1602" spans="2:2">
      <c r="B1602"/>
    </row>
    <row r="1603" spans="2:2">
      <c r="B1603"/>
    </row>
    <row r="1604" spans="2:2">
      <c r="B1604"/>
    </row>
    <row r="1605" spans="2:2">
      <c r="B1605"/>
    </row>
    <row r="1606" spans="2:2">
      <c r="B1606"/>
    </row>
    <row r="1607" spans="2:2">
      <c r="B1607"/>
    </row>
    <row r="1608" spans="2:2">
      <c r="B1608"/>
    </row>
    <row r="1609" spans="2:2">
      <c r="B1609"/>
    </row>
    <row r="1610" spans="2:2">
      <c r="B1610"/>
    </row>
    <row r="1611" spans="2:2">
      <c r="B1611"/>
    </row>
    <row r="1612" spans="2:2">
      <c r="B1612"/>
    </row>
    <row r="1613" spans="2:2">
      <c r="B1613"/>
    </row>
    <row r="1614" spans="2:2">
      <c r="B1614"/>
    </row>
    <row r="1615" spans="2:2">
      <c r="B1615"/>
    </row>
    <row r="1616" spans="2:2">
      <c r="B1616"/>
    </row>
    <row r="1617" spans="2:2">
      <c r="B1617"/>
    </row>
    <row r="1618" spans="2:2">
      <c r="B1618"/>
    </row>
    <row r="1619" spans="2:2">
      <c r="B1619"/>
    </row>
    <row r="1620" spans="2:2">
      <c r="B1620"/>
    </row>
    <row r="1621" spans="2:2">
      <c r="B1621"/>
    </row>
    <row r="1622" spans="2:2">
      <c r="B1622"/>
    </row>
    <row r="1623" spans="2:2">
      <c r="B1623"/>
    </row>
    <row r="1624" spans="2:2">
      <c r="B1624"/>
    </row>
    <row r="1625" spans="2:2">
      <c r="B1625"/>
    </row>
    <row r="1626" spans="2:2">
      <c r="B1626"/>
    </row>
    <row r="1627" spans="2:2">
      <c r="B1627"/>
    </row>
    <row r="1628" spans="2:2">
      <c r="B1628"/>
    </row>
    <row r="1629" spans="2:2">
      <c r="B1629"/>
    </row>
    <row r="1630" spans="2:2">
      <c r="B1630"/>
    </row>
    <row r="1631" spans="2:2">
      <c r="B1631"/>
    </row>
    <row r="1632" spans="2:2">
      <c r="B1632"/>
    </row>
    <row r="1633" spans="2:2">
      <c r="B1633"/>
    </row>
    <row r="1634" spans="2:2">
      <c r="B1634"/>
    </row>
    <row r="1635" spans="2:2">
      <c r="B1635"/>
    </row>
    <row r="1636" spans="2:2">
      <c r="B1636"/>
    </row>
    <row r="1637" spans="2:2">
      <c r="B1637"/>
    </row>
    <row r="1638" spans="2:2">
      <c r="B1638"/>
    </row>
    <row r="1639" spans="2:2">
      <c r="B1639"/>
    </row>
    <row r="1640" spans="2:2">
      <c r="B1640"/>
    </row>
    <row r="1641" spans="2:2">
      <c r="B1641"/>
    </row>
    <row r="1642" spans="2:2">
      <c r="B1642"/>
    </row>
    <row r="1643" spans="2:2">
      <c r="B1643"/>
    </row>
    <row r="1644" spans="2:2">
      <c r="B1644"/>
    </row>
    <row r="1645" spans="2:2">
      <c r="B1645"/>
    </row>
    <row r="1646" spans="2:2">
      <c r="B1646"/>
    </row>
    <row r="1647" spans="2:2">
      <c r="B1647"/>
    </row>
    <row r="1648" spans="2:2">
      <c r="B1648"/>
    </row>
    <row r="1649" spans="2:2">
      <c r="B1649"/>
    </row>
    <row r="1650" spans="2:2">
      <c r="B1650"/>
    </row>
    <row r="1651" spans="2:2">
      <c r="B1651"/>
    </row>
    <row r="1652" spans="2:2">
      <c r="B1652"/>
    </row>
    <row r="1653" spans="2:2">
      <c r="B1653"/>
    </row>
    <row r="1654" spans="2:2">
      <c r="B1654"/>
    </row>
    <row r="1655" spans="2:2">
      <c r="B1655"/>
    </row>
    <row r="1656" spans="2:2">
      <c r="B1656"/>
    </row>
    <row r="1657" spans="2:2">
      <c r="B1657"/>
    </row>
    <row r="1658" spans="2:2">
      <c r="B1658"/>
    </row>
    <row r="1659" spans="2:2">
      <c r="B1659"/>
    </row>
    <row r="1660" spans="2:2">
      <c r="B1660"/>
    </row>
    <row r="1661" spans="2:2">
      <c r="B1661"/>
    </row>
    <row r="1662" spans="2:2">
      <c r="B1662"/>
    </row>
    <row r="1663" spans="2:2">
      <c r="B1663"/>
    </row>
    <row r="1664" spans="2:2">
      <c r="B1664"/>
    </row>
    <row r="1665" spans="2:2">
      <c r="B1665"/>
    </row>
    <row r="1666" spans="2:2">
      <c r="B1666"/>
    </row>
    <row r="1667" spans="2:2">
      <c r="B1667"/>
    </row>
    <row r="1668" spans="2:2">
      <c r="B1668"/>
    </row>
    <row r="1669" spans="2:2">
      <c r="B1669"/>
    </row>
    <row r="1670" spans="2:2">
      <c r="B1670"/>
    </row>
    <row r="1671" spans="2:2">
      <c r="B1671"/>
    </row>
    <row r="1672" spans="2:2">
      <c r="B1672"/>
    </row>
    <row r="1673" spans="2:2">
      <c r="B1673"/>
    </row>
    <row r="1674" spans="2:2">
      <c r="B1674"/>
    </row>
    <row r="1675" spans="2:2">
      <c r="B1675"/>
    </row>
    <row r="1676" spans="2:2">
      <c r="B1676"/>
    </row>
    <row r="1677" spans="2:2">
      <c r="B1677"/>
    </row>
    <row r="1678" spans="2:2">
      <c r="B1678"/>
    </row>
    <row r="1679" spans="2:2">
      <c r="B1679"/>
    </row>
    <row r="1680" spans="2:2">
      <c r="B1680"/>
    </row>
    <row r="1681" spans="2:2">
      <c r="B1681"/>
    </row>
    <row r="1682" spans="2:2">
      <c r="B1682"/>
    </row>
    <row r="1683" spans="2:2">
      <c r="B1683"/>
    </row>
    <row r="1684" spans="2:2">
      <c r="B1684"/>
    </row>
    <row r="1685" spans="2:2">
      <c r="B1685"/>
    </row>
    <row r="1686" spans="2:2">
      <c r="B1686"/>
    </row>
    <row r="1687" spans="2:2">
      <c r="B1687"/>
    </row>
    <row r="1688" spans="2:2">
      <c r="B1688"/>
    </row>
    <row r="1689" spans="2:2">
      <c r="B1689"/>
    </row>
    <row r="1690" spans="2:2">
      <c r="B1690"/>
    </row>
    <row r="1691" spans="2:2">
      <c r="B1691"/>
    </row>
    <row r="1692" spans="2:2">
      <c r="B1692"/>
    </row>
    <row r="1693" spans="2:2">
      <c r="B1693"/>
    </row>
    <row r="1694" spans="2:2">
      <c r="B1694"/>
    </row>
    <row r="1695" spans="2:2">
      <c r="B1695"/>
    </row>
    <row r="1696" spans="2:2">
      <c r="B1696"/>
    </row>
    <row r="1697" spans="2:2">
      <c r="B1697"/>
    </row>
    <row r="1698" spans="2:2">
      <c r="B1698"/>
    </row>
    <row r="1699" spans="2:2">
      <c r="B1699"/>
    </row>
    <row r="1700" spans="2:2">
      <c r="B1700"/>
    </row>
    <row r="1701" spans="2:2">
      <c r="B1701"/>
    </row>
    <row r="1702" spans="2:2">
      <c r="B1702"/>
    </row>
    <row r="1703" spans="2:2">
      <c r="B1703"/>
    </row>
    <row r="1704" spans="2:2">
      <c r="B1704"/>
    </row>
    <row r="1705" spans="2:2">
      <c r="B1705"/>
    </row>
    <row r="1706" spans="2:2">
      <c r="B1706"/>
    </row>
    <row r="1707" spans="2:2">
      <c r="B1707"/>
    </row>
    <row r="1708" spans="2:2">
      <c r="B1708"/>
    </row>
    <row r="1709" spans="2:2">
      <c r="B1709"/>
    </row>
    <row r="1710" spans="2:2">
      <c r="B1710"/>
    </row>
    <row r="1711" spans="2:2">
      <c r="B1711"/>
    </row>
    <row r="1712" spans="2:2">
      <c r="B1712"/>
    </row>
    <row r="1713" spans="2:2">
      <c r="B1713"/>
    </row>
    <row r="1714" spans="2:2">
      <c r="B1714"/>
    </row>
    <row r="1715" spans="2:2">
      <c r="B1715"/>
    </row>
    <row r="1716" spans="2:2">
      <c r="B1716"/>
    </row>
    <row r="1717" spans="2:2">
      <c r="B1717"/>
    </row>
    <row r="1718" spans="2:2">
      <c r="B1718"/>
    </row>
    <row r="1719" spans="2:2">
      <c r="B1719"/>
    </row>
    <row r="1720" spans="2:2">
      <c r="B1720"/>
    </row>
    <row r="1721" spans="2:2">
      <c r="B1721"/>
    </row>
    <row r="1722" spans="2:2">
      <c r="B1722"/>
    </row>
    <row r="1723" spans="2:2">
      <c r="B1723"/>
    </row>
    <row r="1724" spans="2:2">
      <c r="B1724"/>
    </row>
    <row r="1725" spans="2:2">
      <c r="B1725"/>
    </row>
    <row r="1726" spans="2:2">
      <c r="B1726"/>
    </row>
    <row r="1727" spans="2:2">
      <c r="B1727"/>
    </row>
    <row r="1728" spans="2:2">
      <c r="B1728"/>
    </row>
    <row r="1729" spans="2:2">
      <c r="B1729"/>
    </row>
    <row r="1730" spans="2:2">
      <c r="B1730"/>
    </row>
    <row r="1731" spans="2:2">
      <c r="B1731"/>
    </row>
    <row r="1732" spans="2:2">
      <c r="B1732"/>
    </row>
    <row r="1733" spans="2:2">
      <c r="B1733"/>
    </row>
    <row r="1734" spans="2:2">
      <c r="B1734"/>
    </row>
    <row r="1735" spans="2:2">
      <c r="B1735"/>
    </row>
    <row r="1736" spans="2:2">
      <c r="B1736"/>
    </row>
    <row r="1737" spans="2:2">
      <c r="B1737"/>
    </row>
    <row r="1738" spans="2:2">
      <c r="B1738"/>
    </row>
    <row r="1739" spans="2:2">
      <c r="B1739"/>
    </row>
    <row r="1740" spans="2:2">
      <c r="B1740"/>
    </row>
    <row r="1741" spans="2:2">
      <c r="B1741"/>
    </row>
    <row r="1742" spans="2:2">
      <c r="B1742"/>
    </row>
    <row r="1743" spans="2:2">
      <c r="B1743"/>
    </row>
    <row r="1744" spans="2:2">
      <c r="B1744"/>
    </row>
    <row r="1745" spans="2:2">
      <c r="B1745"/>
    </row>
    <row r="1746" spans="2:2">
      <c r="B1746"/>
    </row>
    <row r="1747" spans="2:2">
      <c r="B1747"/>
    </row>
    <row r="1748" spans="2:2">
      <c r="B1748"/>
    </row>
    <row r="1749" spans="2:2">
      <c r="B1749"/>
    </row>
    <row r="1750" spans="2:2">
      <c r="B1750"/>
    </row>
    <row r="1751" spans="2:2">
      <c r="B1751"/>
    </row>
    <row r="1752" spans="2:2">
      <c r="B1752"/>
    </row>
    <row r="1753" spans="2:2">
      <c r="B1753"/>
    </row>
    <row r="1754" spans="2:2">
      <c r="B1754"/>
    </row>
    <row r="1755" spans="2:2">
      <c r="B1755"/>
    </row>
    <row r="1756" spans="2:2">
      <c r="B1756"/>
    </row>
    <row r="1757" spans="2:2">
      <c r="B1757"/>
    </row>
    <row r="1758" spans="2:2">
      <c r="B1758"/>
    </row>
    <row r="1759" spans="2:2">
      <c r="B1759"/>
    </row>
    <row r="1760" spans="2:2">
      <c r="B1760"/>
    </row>
    <row r="1761" spans="2:2">
      <c r="B1761"/>
    </row>
    <row r="1762" spans="2:2">
      <c r="B1762"/>
    </row>
    <row r="1763" spans="2:2">
      <c r="B1763"/>
    </row>
    <row r="1764" spans="2:2">
      <c r="B1764"/>
    </row>
    <row r="1765" spans="2:2">
      <c r="B1765"/>
    </row>
    <row r="1766" spans="2:2">
      <c r="B1766"/>
    </row>
    <row r="1767" spans="2:2">
      <c r="B1767"/>
    </row>
    <row r="1768" spans="2:2">
      <c r="B1768"/>
    </row>
    <row r="1769" spans="2:2">
      <c r="B1769"/>
    </row>
    <row r="1770" spans="2:2">
      <c r="B1770"/>
    </row>
    <row r="1771" spans="2:2">
      <c r="B1771"/>
    </row>
    <row r="1772" spans="2:2">
      <c r="B1772"/>
    </row>
    <row r="1773" spans="2:2">
      <c r="B1773"/>
    </row>
    <row r="1774" spans="2:2">
      <c r="B1774"/>
    </row>
    <row r="1775" spans="2:2">
      <c r="B1775"/>
    </row>
    <row r="1776" spans="2:2">
      <c r="B1776"/>
    </row>
    <row r="1777" spans="2:2">
      <c r="B1777"/>
    </row>
    <row r="1778" spans="2:2">
      <c r="B1778"/>
    </row>
    <row r="1779" spans="2:2">
      <c r="B1779"/>
    </row>
    <row r="1780" spans="2:2">
      <c r="B1780"/>
    </row>
    <row r="1781" spans="2:2">
      <c r="B1781"/>
    </row>
    <row r="1782" spans="2:2">
      <c r="B1782"/>
    </row>
    <row r="1783" spans="2:2">
      <c r="B1783"/>
    </row>
    <row r="1784" spans="2:2">
      <c r="B1784"/>
    </row>
    <row r="1785" spans="2:2">
      <c r="B1785"/>
    </row>
    <row r="1786" spans="2:2">
      <c r="B1786"/>
    </row>
    <row r="1787" spans="2:2">
      <c r="B1787"/>
    </row>
    <row r="1788" spans="2:2">
      <c r="B1788"/>
    </row>
    <row r="1789" spans="2:2">
      <c r="B1789"/>
    </row>
    <row r="1790" spans="2:2">
      <c r="B1790"/>
    </row>
    <row r="1791" spans="2:2">
      <c r="B1791"/>
    </row>
    <row r="1792" spans="2:2">
      <c r="B1792"/>
    </row>
    <row r="1793" spans="2:2">
      <c r="B1793"/>
    </row>
    <row r="1794" spans="2:2">
      <c r="B1794"/>
    </row>
    <row r="1795" spans="2:2">
      <c r="B1795"/>
    </row>
    <row r="1796" spans="2:2">
      <c r="B1796"/>
    </row>
    <row r="1797" spans="2:2">
      <c r="B1797"/>
    </row>
    <row r="1798" spans="2:2">
      <c r="B1798"/>
    </row>
    <row r="1799" spans="2:2">
      <c r="B1799"/>
    </row>
    <row r="1800" spans="2:2">
      <c r="B1800"/>
    </row>
    <row r="1801" spans="2:2">
      <c r="B1801"/>
    </row>
    <row r="1802" spans="2:2">
      <c r="B1802"/>
    </row>
    <row r="1803" spans="2:2">
      <c r="B1803"/>
    </row>
    <row r="1804" spans="2:2">
      <c r="B1804"/>
    </row>
    <row r="1805" spans="2:2">
      <c r="B1805"/>
    </row>
    <row r="1806" spans="2:2">
      <c r="B1806"/>
    </row>
    <row r="1807" spans="2:2">
      <c r="B1807"/>
    </row>
    <row r="1808" spans="2:2">
      <c r="B1808"/>
    </row>
    <row r="1809" spans="2:2">
      <c r="B1809"/>
    </row>
    <row r="1810" spans="2:2">
      <c r="B1810"/>
    </row>
    <row r="1811" spans="2:2">
      <c r="B1811"/>
    </row>
    <row r="1812" spans="2:2">
      <c r="B1812"/>
    </row>
    <row r="1813" spans="2:2">
      <c r="B1813"/>
    </row>
    <row r="1814" spans="2:2">
      <c r="B1814"/>
    </row>
    <row r="1815" spans="2:2">
      <c r="B1815"/>
    </row>
    <row r="1816" spans="2:2">
      <c r="B1816"/>
    </row>
    <row r="1817" spans="2:2">
      <c r="B1817"/>
    </row>
    <row r="1818" spans="2:2">
      <c r="B1818"/>
    </row>
    <row r="1819" spans="2:2">
      <c r="B1819"/>
    </row>
    <row r="1820" spans="2:2">
      <c r="B1820"/>
    </row>
    <row r="1821" spans="2:2">
      <c r="B1821"/>
    </row>
    <row r="1822" spans="2:2">
      <c r="B1822"/>
    </row>
    <row r="1823" spans="2:2">
      <c r="B1823"/>
    </row>
    <row r="1824" spans="2:2">
      <c r="B1824"/>
    </row>
    <row r="1825" spans="2:2">
      <c r="B1825"/>
    </row>
    <row r="1826" spans="2:2">
      <c r="B1826"/>
    </row>
    <row r="1827" spans="2:2">
      <c r="B1827"/>
    </row>
    <row r="1828" spans="2:2">
      <c r="B1828"/>
    </row>
    <row r="1829" spans="2:2">
      <c r="B1829"/>
    </row>
    <row r="1830" spans="2:2">
      <c r="B1830"/>
    </row>
    <row r="1831" spans="2:2">
      <c r="B1831"/>
    </row>
    <row r="1832" spans="2:2">
      <c r="B1832"/>
    </row>
    <row r="1833" spans="2:2">
      <c r="B1833"/>
    </row>
    <row r="1834" spans="2:2">
      <c r="B1834"/>
    </row>
    <row r="1835" spans="2:2">
      <c r="B1835"/>
    </row>
    <row r="1836" spans="2:2">
      <c r="B1836"/>
    </row>
    <row r="1837" spans="2:2">
      <c r="B1837"/>
    </row>
    <row r="1838" spans="2:2">
      <c r="B1838"/>
    </row>
    <row r="1839" spans="2:2">
      <c r="B1839"/>
    </row>
    <row r="1840" spans="2:2">
      <c r="B1840"/>
    </row>
    <row r="1841" spans="2:2">
      <c r="B1841"/>
    </row>
    <row r="1842" spans="2:2">
      <c r="B1842"/>
    </row>
    <row r="1843" spans="2:2">
      <c r="B1843"/>
    </row>
    <row r="1844" spans="2:2">
      <c r="B1844"/>
    </row>
    <row r="1845" spans="2:2">
      <c r="B1845"/>
    </row>
    <row r="1846" spans="2:2">
      <c r="B1846"/>
    </row>
    <row r="1847" spans="2:2">
      <c r="B1847"/>
    </row>
    <row r="1848" spans="2:2">
      <c r="B1848"/>
    </row>
    <row r="1849" spans="2:2">
      <c r="B1849"/>
    </row>
    <row r="1850" spans="2:2">
      <c r="B1850"/>
    </row>
    <row r="1851" spans="2:2">
      <c r="B1851"/>
    </row>
    <row r="1852" spans="2:2">
      <c r="B1852"/>
    </row>
    <row r="1853" spans="2:2">
      <c r="B1853"/>
    </row>
    <row r="1854" spans="2:2">
      <c r="B1854"/>
    </row>
    <row r="1855" spans="2:2">
      <c r="B1855"/>
    </row>
    <row r="1856" spans="2:2">
      <c r="B1856"/>
    </row>
    <row r="1857" spans="2:2">
      <c r="B1857"/>
    </row>
    <row r="1858" spans="2:2">
      <c r="B1858"/>
    </row>
    <row r="1859" spans="2:2">
      <c r="B1859"/>
    </row>
    <row r="1860" spans="2:2">
      <c r="B1860"/>
    </row>
    <row r="1861" spans="2:2">
      <c r="B1861"/>
    </row>
    <row r="1862" spans="2:2">
      <c r="B1862"/>
    </row>
    <row r="1863" spans="2:2">
      <c r="B1863"/>
    </row>
    <row r="1864" spans="2:2">
      <c r="B1864"/>
    </row>
    <row r="1865" spans="2:2">
      <c r="B1865"/>
    </row>
    <row r="1866" spans="2:2">
      <c r="B1866"/>
    </row>
    <row r="1867" spans="2:2">
      <c r="B1867"/>
    </row>
    <row r="1868" spans="2:2">
      <c r="B1868"/>
    </row>
    <row r="1869" spans="2:2">
      <c r="B1869"/>
    </row>
    <row r="1870" spans="2:2">
      <c r="B1870"/>
    </row>
    <row r="1871" spans="2:2">
      <c r="B1871"/>
    </row>
    <row r="1872" spans="2:2">
      <c r="B1872"/>
    </row>
    <row r="1873" spans="2:2">
      <c r="B1873"/>
    </row>
    <row r="1874" spans="2:2">
      <c r="B1874"/>
    </row>
    <row r="1875" spans="2:2">
      <c r="B1875"/>
    </row>
    <row r="1876" spans="2:2">
      <c r="B1876"/>
    </row>
    <row r="1877" spans="2:2">
      <c r="B1877"/>
    </row>
    <row r="1878" spans="2:2">
      <c r="B1878"/>
    </row>
    <row r="1879" spans="2:2">
      <c r="B1879"/>
    </row>
    <row r="1880" spans="2:2">
      <c r="B1880"/>
    </row>
    <row r="1881" spans="2:2">
      <c r="B1881"/>
    </row>
    <row r="1882" spans="2:2">
      <c r="B1882"/>
    </row>
    <row r="1883" spans="2:2">
      <c r="B1883"/>
    </row>
    <row r="1884" spans="2:2">
      <c r="B1884"/>
    </row>
    <row r="1885" spans="2:2">
      <c r="B1885"/>
    </row>
    <row r="1886" spans="2:2">
      <c r="B1886"/>
    </row>
    <row r="1887" spans="2:2">
      <c r="B1887"/>
    </row>
    <row r="1888" spans="2:2">
      <c r="B1888"/>
    </row>
    <row r="1889" spans="2:2">
      <c r="B1889"/>
    </row>
    <row r="1890" spans="2:2">
      <c r="B1890"/>
    </row>
    <row r="1891" spans="2:2">
      <c r="B1891"/>
    </row>
    <row r="1892" spans="2:2">
      <c r="B1892"/>
    </row>
    <row r="1893" spans="2:2">
      <c r="B1893"/>
    </row>
    <row r="1894" spans="2:2">
      <c r="B1894"/>
    </row>
    <row r="1895" spans="2:2">
      <c r="B1895"/>
    </row>
    <row r="1896" spans="2:2">
      <c r="B1896"/>
    </row>
    <row r="1897" spans="2:2">
      <c r="B1897"/>
    </row>
    <row r="1898" spans="2:2">
      <c r="B1898"/>
    </row>
    <row r="1899" spans="2:2">
      <c r="B1899"/>
    </row>
    <row r="1900" spans="2:2">
      <c r="B1900"/>
    </row>
    <row r="1901" spans="2:2">
      <c r="B1901"/>
    </row>
    <row r="1902" spans="2:2">
      <c r="B1902"/>
    </row>
    <row r="1903" spans="2:2">
      <c r="B1903"/>
    </row>
    <row r="1904" spans="2:2">
      <c r="B1904"/>
    </row>
    <row r="1905" spans="2:2">
      <c r="B1905"/>
    </row>
    <row r="1906" spans="2:2">
      <c r="B1906"/>
    </row>
    <row r="1907" spans="2:2">
      <c r="B1907"/>
    </row>
    <row r="1908" spans="2:2">
      <c r="B1908"/>
    </row>
    <row r="1909" spans="2:2">
      <c r="B1909"/>
    </row>
    <row r="1910" spans="2:2">
      <c r="B1910"/>
    </row>
    <row r="1911" spans="2:2">
      <c r="B1911"/>
    </row>
    <row r="1912" spans="2:2">
      <c r="B1912"/>
    </row>
    <row r="1913" spans="2:2">
      <c r="B1913"/>
    </row>
    <row r="1914" spans="2:2">
      <c r="B1914"/>
    </row>
    <row r="1915" spans="2:2">
      <c r="B1915"/>
    </row>
    <row r="1916" spans="2:2">
      <c r="B1916"/>
    </row>
    <row r="1917" spans="2:2">
      <c r="B1917"/>
    </row>
    <row r="1918" spans="2:2">
      <c r="B1918"/>
    </row>
    <row r="1919" spans="2:2">
      <c r="B1919"/>
    </row>
    <row r="1920" spans="2:2">
      <c r="B1920"/>
    </row>
    <row r="1921" spans="2:2">
      <c r="B1921"/>
    </row>
    <row r="1922" spans="2:2">
      <c r="B1922"/>
    </row>
    <row r="1923" spans="2:2">
      <c r="B1923"/>
    </row>
    <row r="1924" spans="2:2">
      <c r="B1924"/>
    </row>
    <row r="1925" spans="2:2">
      <c r="B1925"/>
    </row>
    <row r="1926" spans="2:2">
      <c r="B1926"/>
    </row>
    <row r="1927" spans="2:2">
      <c r="B1927"/>
    </row>
    <row r="1928" spans="2:2">
      <c r="B1928"/>
    </row>
    <row r="1929" spans="2:2">
      <c r="B1929"/>
    </row>
    <row r="1930" spans="2:2">
      <c r="B1930"/>
    </row>
    <row r="1931" spans="2:2">
      <c r="B1931"/>
    </row>
    <row r="1932" spans="2:2">
      <c r="B1932"/>
    </row>
    <row r="1933" spans="2:2">
      <c r="B1933"/>
    </row>
    <row r="1934" spans="2:2">
      <c r="B1934"/>
    </row>
    <row r="1935" spans="2:2">
      <c r="B1935"/>
    </row>
    <row r="1936" spans="2:2">
      <c r="B1936"/>
    </row>
    <row r="1937" spans="2:2">
      <c r="B1937"/>
    </row>
    <row r="1938" spans="2:2">
      <c r="B1938"/>
    </row>
    <row r="1939" spans="2:2">
      <c r="B1939"/>
    </row>
    <row r="1940" spans="2:2">
      <c r="B1940"/>
    </row>
    <row r="1941" spans="2:2">
      <c r="B1941"/>
    </row>
    <row r="1942" spans="2:2">
      <c r="B1942"/>
    </row>
    <row r="1943" spans="2:2">
      <c r="B1943"/>
    </row>
    <row r="1944" spans="2:2">
      <c r="B1944"/>
    </row>
    <row r="1945" spans="2:2">
      <c r="B1945"/>
    </row>
    <row r="1946" spans="2:2">
      <c r="B1946"/>
    </row>
    <row r="1947" spans="2:2">
      <c r="B1947"/>
    </row>
    <row r="1948" spans="2:2">
      <c r="B1948"/>
    </row>
    <row r="1949" spans="2:2">
      <c r="B1949"/>
    </row>
    <row r="1950" spans="2:2">
      <c r="B1950"/>
    </row>
    <row r="1951" spans="2:2">
      <c r="B1951"/>
    </row>
    <row r="1952" spans="2:2">
      <c r="B1952"/>
    </row>
    <row r="1953" spans="2:2">
      <c r="B1953"/>
    </row>
    <row r="1954" spans="2:2">
      <c r="B1954"/>
    </row>
    <row r="1955" spans="2:2">
      <c r="B1955"/>
    </row>
    <row r="1956" spans="2:2">
      <c r="B1956"/>
    </row>
    <row r="1957" spans="2:2">
      <c r="B1957"/>
    </row>
    <row r="1958" spans="2:2">
      <c r="B1958"/>
    </row>
    <row r="1959" spans="2:2">
      <c r="B1959"/>
    </row>
    <row r="1960" spans="2:2">
      <c r="B1960"/>
    </row>
    <row r="1961" spans="2:2">
      <c r="B1961"/>
    </row>
    <row r="1962" spans="2:2">
      <c r="B1962"/>
    </row>
    <row r="1963" spans="2:2">
      <c r="B1963"/>
    </row>
    <row r="1964" spans="2:2">
      <c r="B1964"/>
    </row>
    <row r="1965" spans="2:2">
      <c r="B1965"/>
    </row>
    <row r="1966" spans="2:2">
      <c r="B1966"/>
    </row>
    <row r="1967" spans="2:2">
      <c r="B1967"/>
    </row>
    <row r="1968" spans="2:2">
      <c r="B1968"/>
    </row>
    <row r="1969" spans="2:2">
      <c r="B1969"/>
    </row>
    <row r="1970" spans="2:2">
      <c r="B1970"/>
    </row>
    <row r="1971" spans="2:2">
      <c r="B1971"/>
    </row>
    <row r="1972" spans="2:2">
      <c r="B1972"/>
    </row>
    <row r="1973" spans="2:2">
      <c r="B1973"/>
    </row>
    <row r="1974" spans="2:2">
      <c r="B1974"/>
    </row>
    <row r="1975" spans="2:2">
      <c r="B1975"/>
    </row>
    <row r="1976" spans="2:2">
      <c r="B1976"/>
    </row>
    <row r="1977" spans="2:2">
      <c r="B1977"/>
    </row>
    <row r="1978" spans="2:2">
      <c r="B1978"/>
    </row>
    <row r="1979" spans="2:2">
      <c r="B1979"/>
    </row>
    <row r="1980" spans="2:2">
      <c r="B1980"/>
    </row>
    <row r="1981" spans="2:2">
      <c r="B1981"/>
    </row>
    <row r="1982" spans="2:2">
      <c r="B1982"/>
    </row>
    <row r="1983" spans="2:2">
      <c r="B1983"/>
    </row>
    <row r="1984" spans="2:2">
      <c r="B1984"/>
    </row>
    <row r="1985" spans="2:2">
      <c r="B1985"/>
    </row>
    <row r="1986" spans="2:2">
      <c r="B1986"/>
    </row>
    <row r="1987" spans="2:2">
      <c r="B1987"/>
    </row>
    <row r="1988" spans="2:2">
      <c r="B1988"/>
    </row>
    <row r="1989" spans="2:2">
      <c r="B1989"/>
    </row>
    <row r="1990" spans="2:2">
      <c r="B1990"/>
    </row>
    <row r="1991" spans="2:2">
      <c r="B1991"/>
    </row>
    <row r="1992" spans="2:2">
      <c r="B1992"/>
    </row>
    <row r="1993" spans="2:2">
      <c r="B1993"/>
    </row>
    <row r="1994" spans="2:2">
      <c r="B1994"/>
    </row>
    <row r="1995" spans="2:2">
      <c r="B1995"/>
    </row>
    <row r="1996" spans="2:2">
      <c r="B1996"/>
    </row>
    <row r="1997" spans="2:2">
      <c r="B1997"/>
    </row>
    <row r="1998" spans="2:2">
      <c r="B1998"/>
    </row>
    <row r="1999" spans="2:2">
      <c r="B1999"/>
    </row>
    <row r="2000" spans="2:2">
      <c r="B2000"/>
    </row>
    <row r="2001" spans="2:2">
      <c r="B2001"/>
    </row>
    <row r="2002" spans="2:2">
      <c r="B2002"/>
    </row>
    <row r="2003" spans="2:2">
      <c r="B2003"/>
    </row>
    <row r="2004" spans="2:2">
      <c r="B2004"/>
    </row>
    <row r="2005" spans="2:2">
      <c r="B2005"/>
    </row>
    <row r="2006" spans="2:2">
      <c r="B2006"/>
    </row>
    <row r="2007" spans="2:2">
      <c r="B2007"/>
    </row>
    <row r="2008" spans="2:2">
      <c r="B2008"/>
    </row>
    <row r="2009" spans="2:2">
      <c r="B2009"/>
    </row>
    <row r="2010" spans="2:2">
      <c r="B2010"/>
    </row>
    <row r="2011" spans="2:2">
      <c r="B2011"/>
    </row>
    <row r="2012" spans="2:2">
      <c r="B2012"/>
    </row>
    <row r="2013" spans="2:2">
      <c r="B2013"/>
    </row>
    <row r="2014" spans="2:2">
      <c r="B2014"/>
    </row>
    <row r="2015" spans="2:2">
      <c r="B2015"/>
    </row>
    <row r="2016" spans="2:2">
      <c r="B2016"/>
    </row>
    <row r="2017" spans="2:2">
      <c r="B2017"/>
    </row>
    <row r="2018" spans="2:2">
      <c r="B2018"/>
    </row>
    <row r="2019" spans="2:2">
      <c r="B2019"/>
    </row>
    <row r="2020" spans="2:2">
      <c r="B2020"/>
    </row>
    <row r="2021" spans="2:2">
      <c r="B2021"/>
    </row>
    <row r="2022" spans="2:2">
      <c r="B2022"/>
    </row>
    <row r="2023" spans="2:2">
      <c r="B2023"/>
    </row>
    <row r="2024" spans="2:2">
      <c r="B2024"/>
    </row>
    <row r="2025" spans="2:2">
      <c r="B2025"/>
    </row>
    <row r="2026" spans="2:2">
      <c r="B2026"/>
    </row>
    <row r="2027" spans="2:2">
      <c r="B2027"/>
    </row>
    <row r="2028" spans="2:2">
      <c r="B2028"/>
    </row>
    <row r="2029" spans="2:2">
      <c r="B2029"/>
    </row>
    <row r="2030" spans="2:2">
      <c r="B2030"/>
    </row>
    <row r="2031" spans="2:2">
      <c r="B2031"/>
    </row>
    <row r="2032" spans="2:2">
      <c r="B2032"/>
    </row>
    <row r="2033" spans="2:2">
      <c r="B2033"/>
    </row>
    <row r="2034" spans="2:2">
      <c r="B2034"/>
    </row>
    <row r="2035" spans="2:2">
      <c r="B2035"/>
    </row>
    <row r="2036" spans="2:2">
      <c r="B2036"/>
    </row>
    <row r="2037" spans="2:2">
      <c r="B2037"/>
    </row>
    <row r="2038" spans="2:2">
      <c r="B2038"/>
    </row>
    <row r="2039" spans="2:2">
      <c r="B2039"/>
    </row>
    <row r="2040" spans="2:2">
      <c r="B2040"/>
    </row>
    <row r="2041" spans="2:2">
      <c r="B2041"/>
    </row>
    <row r="2042" spans="2:2">
      <c r="B2042"/>
    </row>
    <row r="2043" spans="2:2">
      <c r="B2043"/>
    </row>
    <row r="2044" spans="2:2">
      <c r="B2044"/>
    </row>
    <row r="2045" spans="2:2">
      <c r="B2045"/>
    </row>
    <row r="2046" spans="2:2">
      <c r="B2046"/>
    </row>
    <row r="2047" spans="2:2">
      <c r="B2047"/>
    </row>
    <row r="2048" spans="2:2">
      <c r="B2048"/>
    </row>
    <row r="2049" spans="2:2">
      <c r="B2049"/>
    </row>
    <row r="2050" spans="2:2">
      <c r="B2050"/>
    </row>
    <row r="2051" spans="2:2">
      <c r="B2051"/>
    </row>
    <row r="2052" spans="2:2">
      <c r="B2052"/>
    </row>
    <row r="2053" spans="2:2">
      <c r="B2053"/>
    </row>
    <row r="2054" spans="2:2">
      <c r="B2054"/>
    </row>
    <row r="2055" spans="2:2">
      <c r="B2055"/>
    </row>
    <row r="2056" spans="2:2">
      <c r="B2056"/>
    </row>
    <row r="2057" spans="2:2">
      <c r="B2057"/>
    </row>
    <row r="2058" spans="2:2">
      <c r="B2058"/>
    </row>
    <row r="2059" spans="2:2">
      <c r="B2059"/>
    </row>
    <row r="2060" spans="2:2">
      <c r="B2060"/>
    </row>
    <row r="2061" spans="2:2">
      <c r="B2061"/>
    </row>
    <row r="2062" spans="2:2">
      <c r="B2062"/>
    </row>
    <row r="2063" spans="2:2">
      <c r="B2063"/>
    </row>
    <row r="2064" spans="2:2">
      <c r="B2064"/>
    </row>
    <row r="2065" spans="2:2">
      <c r="B2065"/>
    </row>
    <row r="2066" spans="2:2">
      <c r="B2066"/>
    </row>
    <row r="2067" spans="2:2">
      <c r="B2067"/>
    </row>
    <row r="2068" spans="2:2">
      <c r="B2068"/>
    </row>
    <row r="2069" spans="2:2">
      <c r="B2069"/>
    </row>
    <row r="2070" spans="2:2">
      <c r="B2070"/>
    </row>
    <row r="2071" spans="2:2">
      <c r="B2071"/>
    </row>
    <row r="2072" spans="2:2">
      <c r="B2072"/>
    </row>
    <row r="2073" spans="2:2">
      <c r="B2073"/>
    </row>
    <row r="2074" spans="2:2">
      <c r="B2074"/>
    </row>
    <row r="2075" spans="2:2">
      <c r="B2075"/>
    </row>
    <row r="2076" spans="2:2">
      <c r="B2076"/>
    </row>
    <row r="2077" spans="2:2">
      <c r="B2077"/>
    </row>
    <row r="2078" spans="2:2">
      <c r="B2078"/>
    </row>
    <row r="2079" spans="2:2">
      <c r="B2079"/>
    </row>
    <row r="2080" spans="2:2">
      <c r="B2080"/>
    </row>
    <row r="2081" spans="2:2">
      <c r="B2081"/>
    </row>
    <row r="2082" spans="2:2">
      <c r="B2082"/>
    </row>
    <row r="2083" spans="2:2">
      <c r="B2083"/>
    </row>
    <row r="2084" spans="2:2">
      <c r="B2084"/>
    </row>
    <row r="2085" spans="2:2">
      <c r="B2085"/>
    </row>
    <row r="2086" spans="2:2">
      <c r="B2086"/>
    </row>
    <row r="2087" spans="2:2">
      <c r="B2087"/>
    </row>
    <row r="2088" spans="2:2">
      <c r="B2088"/>
    </row>
    <row r="2089" spans="2:2">
      <c r="B2089"/>
    </row>
    <row r="2090" spans="2:2">
      <c r="B2090"/>
    </row>
    <row r="2091" spans="2:2">
      <c r="B2091"/>
    </row>
    <row r="2092" spans="2:2">
      <c r="B2092"/>
    </row>
    <row r="2093" spans="2:2">
      <c r="B2093"/>
    </row>
    <row r="2094" spans="2:2">
      <c r="B2094"/>
    </row>
    <row r="2095" spans="2:2">
      <c r="B2095"/>
    </row>
    <row r="2096" spans="2:2">
      <c r="B2096"/>
    </row>
    <row r="2097" spans="2:2">
      <c r="B2097"/>
    </row>
    <row r="2098" spans="2:2">
      <c r="B2098"/>
    </row>
    <row r="2099" spans="2:2">
      <c r="B2099"/>
    </row>
    <row r="2100" spans="2:2">
      <c r="B2100"/>
    </row>
    <row r="2101" spans="2:2">
      <c r="B2101"/>
    </row>
    <row r="2102" spans="2:2">
      <c r="B2102"/>
    </row>
    <row r="2103" spans="2:2">
      <c r="B2103"/>
    </row>
    <row r="2104" spans="2:2">
      <c r="B2104"/>
    </row>
    <row r="2105" spans="2:2">
      <c r="B2105"/>
    </row>
    <row r="2106" spans="2:2">
      <c r="B2106"/>
    </row>
    <row r="2107" spans="2:2">
      <c r="B2107"/>
    </row>
    <row r="2108" spans="2:2">
      <c r="B2108"/>
    </row>
    <row r="2109" spans="2:2">
      <c r="B2109"/>
    </row>
    <row r="2110" spans="2:2">
      <c r="B2110"/>
    </row>
    <row r="2111" spans="2:2">
      <c r="B2111"/>
    </row>
    <row r="2112" spans="2:2">
      <c r="B2112"/>
    </row>
    <row r="2113" spans="2:2">
      <c r="B2113"/>
    </row>
    <row r="2114" spans="2:2">
      <c r="B2114"/>
    </row>
    <row r="2115" spans="2:2">
      <c r="B2115"/>
    </row>
    <row r="2116" spans="2:2">
      <c r="B2116"/>
    </row>
    <row r="2117" spans="2:2">
      <c r="B2117"/>
    </row>
    <row r="2118" spans="2:2">
      <c r="B2118"/>
    </row>
    <row r="2119" spans="2:2">
      <c r="B2119"/>
    </row>
    <row r="2120" spans="2:2">
      <c r="B2120"/>
    </row>
    <row r="2121" spans="2:2">
      <c r="B2121"/>
    </row>
    <row r="2122" spans="2:2">
      <c r="B2122"/>
    </row>
    <row r="2123" spans="2:2">
      <c r="B2123"/>
    </row>
    <row r="2124" spans="2:2">
      <c r="B2124"/>
    </row>
    <row r="2125" spans="2:2">
      <c r="B2125"/>
    </row>
    <row r="2126" spans="2:2">
      <c r="B2126"/>
    </row>
    <row r="2127" spans="2:2">
      <c r="B2127"/>
    </row>
    <row r="2128" spans="2:2">
      <c r="B2128"/>
    </row>
    <row r="2129" spans="2:2">
      <c r="B2129"/>
    </row>
    <row r="2130" spans="2:2">
      <c r="B2130"/>
    </row>
    <row r="2131" spans="2:2">
      <c r="B2131"/>
    </row>
    <row r="2132" spans="2:2">
      <c r="B2132"/>
    </row>
    <row r="2133" spans="2:2">
      <c r="B2133"/>
    </row>
    <row r="2134" spans="2:2">
      <c r="B2134"/>
    </row>
    <row r="2135" spans="2:2">
      <c r="B2135"/>
    </row>
    <row r="2136" spans="2:2">
      <c r="B2136"/>
    </row>
    <row r="2137" spans="2:2">
      <c r="B2137"/>
    </row>
    <row r="2138" spans="2:2">
      <c r="B2138"/>
    </row>
    <row r="2139" spans="2:2">
      <c r="B2139"/>
    </row>
    <row r="2140" spans="2:2">
      <c r="B2140"/>
    </row>
    <row r="2141" spans="2:2">
      <c r="B2141"/>
    </row>
    <row r="2142" spans="2:2">
      <c r="B2142"/>
    </row>
    <row r="2143" spans="2:2">
      <c r="B2143"/>
    </row>
    <row r="2144" spans="2:2">
      <c r="B2144"/>
    </row>
    <row r="2145" spans="2:2">
      <c r="B2145"/>
    </row>
    <row r="2146" spans="2:2">
      <c r="B2146"/>
    </row>
    <row r="2147" spans="2:2">
      <c r="B2147"/>
    </row>
    <row r="2148" spans="2:2">
      <c r="B2148"/>
    </row>
    <row r="2149" spans="2:2">
      <c r="B2149"/>
    </row>
    <row r="2150" spans="2:2">
      <c r="B2150"/>
    </row>
    <row r="2151" spans="2:2">
      <c r="B2151"/>
    </row>
    <row r="2152" spans="2:2">
      <c r="B2152"/>
    </row>
    <row r="2153" spans="2:2">
      <c r="B2153"/>
    </row>
    <row r="2154" spans="2:2">
      <c r="B2154"/>
    </row>
    <row r="2155" spans="2:2">
      <c r="B2155"/>
    </row>
    <row r="2156" spans="2:2">
      <c r="B2156"/>
    </row>
    <row r="2157" spans="2:2">
      <c r="B2157"/>
    </row>
    <row r="2158" spans="2:2">
      <c r="B2158"/>
    </row>
    <row r="2159" spans="2:2">
      <c r="B2159"/>
    </row>
    <row r="2160" spans="2:2">
      <c r="B2160"/>
    </row>
    <row r="2161" spans="2:2">
      <c r="B2161"/>
    </row>
    <row r="2162" spans="2:2">
      <c r="B2162"/>
    </row>
    <row r="2163" spans="2:2">
      <c r="B2163"/>
    </row>
    <row r="2164" spans="2:2">
      <c r="B2164"/>
    </row>
    <row r="2165" spans="2:2">
      <c r="B2165"/>
    </row>
    <row r="2166" spans="2:2">
      <c r="B2166"/>
    </row>
    <row r="2167" spans="2:2">
      <c r="B2167"/>
    </row>
    <row r="2168" spans="2:2">
      <c r="B2168"/>
    </row>
    <row r="2169" spans="2:2">
      <c r="B2169"/>
    </row>
    <row r="2170" spans="2:2">
      <c r="B2170"/>
    </row>
    <row r="2171" spans="2:2">
      <c r="B2171"/>
    </row>
    <row r="2172" spans="2:2">
      <c r="B2172"/>
    </row>
    <row r="2173" spans="2:2">
      <c r="B2173"/>
    </row>
    <row r="2174" spans="2:2">
      <c r="B2174"/>
    </row>
    <row r="2175" spans="2:2">
      <c r="B2175"/>
    </row>
    <row r="2176" spans="2:2">
      <c r="B2176"/>
    </row>
    <row r="2177" spans="2:2">
      <c r="B2177"/>
    </row>
    <row r="2178" spans="2:2">
      <c r="B2178"/>
    </row>
    <row r="2179" spans="2:2">
      <c r="B2179"/>
    </row>
    <row r="2180" spans="2:2">
      <c r="B2180"/>
    </row>
    <row r="2181" spans="2:2">
      <c r="B2181"/>
    </row>
    <row r="2182" spans="2:2">
      <c r="B2182"/>
    </row>
    <row r="2183" spans="2:2">
      <c r="B2183"/>
    </row>
    <row r="2184" spans="2:2">
      <c r="B2184"/>
    </row>
    <row r="2185" spans="2:2">
      <c r="B2185"/>
    </row>
    <row r="2186" spans="2:2">
      <c r="B2186"/>
    </row>
    <row r="2187" spans="2:2">
      <c r="B2187"/>
    </row>
    <row r="2188" spans="2:2">
      <c r="B2188"/>
    </row>
    <row r="2189" spans="2:2">
      <c r="B2189"/>
    </row>
    <row r="2190" spans="2:2">
      <c r="B2190"/>
    </row>
    <row r="2191" spans="2:2">
      <c r="B2191"/>
    </row>
    <row r="2192" spans="2:2">
      <c r="B2192"/>
    </row>
    <row r="2193" spans="2:2">
      <c r="B2193"/>
    </row>
    <row r="2194" spans="2:2">
      <c r="B2194"/>
    </row>
    <row r="2195" spans="2:2">
      <c r="B2195"/>
    </row>
    <row r="2196" spans="2:2">
      <c r="B2196"/>
    </row>
    <row r="2197" spans="2:2">
      <c r="B2197"/>
    </row>
    <row r="2198" spans="2:2">
      <c r="B2198"/>
    </row>
    <row r="2199" spans="2:2">
      <c r="B2199"/>
    </row>
    <row r="2200" spans="2:2">
      <c r="B2200"/>
    </row>
    <row r="2201" spans="2:2">
      <c r="B2201"/>
    </row>
    <row r="2202" spans="2:2">
      <c r="B2202"/>
    </row>
    <row r="2203" spans="2:2">
      <c r="B2203"/>
    </row>
    <row r="2204" spans="2:2">
      <c r="B2204"/>
    </row>
    <row r="2205" spans="2:2">
      <c r="B2205"/>
    </row>
    <row r="2206" spans="2:2">
      <c r="B2206"/>
    </row>
    <row r="2207" spans="2:2">
      <c r="B2207"/>
    </row>
    <row r="2208" spans="2:2">
      <c r="B2208"/>
    </row>
    <row r="2209" spans="2:2">
      <c r="B2209"/>
    </row>
    <row r="2210" spans="2:2">
      <c r="B2210"/>
    </row>
    <row r="2211" spans="2:2">
      <c r="B2211"/>
    </row>
    <row r="2212" spans="2:2">
      <c r="B2212"/>
    </row>
    <row r="2213" spans="2:2">
      <c r="B2213"/>
    </row>
    <row r="2214" spans="2:2">
      <c r="B2214"/>
    </row>
    <row r="2215" spans="2:2">
      <c r="B2215"/>
    </row>
    <row r="2216" spans="2:2">
      <c r="B2216"/>
    </row>
    <row r="2217" spans="2:2">
      <c r="B2217"/>
    </row>
    <row r="2218" spans="2:2">
      <c r="B2218"/>
    </row>
    <row r="2219" spans="2:2">
      <c r="B2219"/>
    </row>
    <row r="2220" spans="2:2">
      <c r="B2220"/>
    </row>
    <row r="2221" spans="2:2">
      <c r="B2221"/>
    </row>
    <row r="2222" spans="2:2">
      <c r="B2222"/>
    </row>
    <row r="2223" spans="2:2">
      <c r="B2223"/>
    </row>
    <row r="2224" spans="2:2">
      <c r="B2224"/>
    </row>
    <row r="2225" spans="2:2">
      <c r="B2225"/>
    </row>
    <row r="2226" spans="2:2">
      <c r="B2226"/>
    </row>
    <row r="2227" spans="2:2">
      <c r="B2227"/>
    </row>
    <row r="2228" spans="2:2">
      <c r="B2228"/>
    </row>
    <row r="2229" spans="2:2">
      <c r="B2229"/>
    </row>
    <row r="2230" spans="2:2">
      <c r="B2230"/>
    </row>
    <row r="2231" spans="2:2">
      <c r="B2231"/>
    </row>
    <row r="2232" spans="2:2">
      <c r="B2232"/>
    </row>
    <row r="2233" spans="2:2">
      <c r="B2233"/>
    </row>
    <row r="2234" spans="2:2">
      <c r="B2234"/>
    </row>
    <row r="2235" spans="2:2">
      <c r="B2235"/>
    </row>
    <row r="2236" spans="2:2">
      <c r="B2236"/>
    </row>
    <row r="2237" spans="2:2">
      <c r="B2237"/>
    </row>
    <row r="2238" spans="2:2">
      <c r="B2238"/>
    </row>
    <row r="2239" spans="2:2">
      <c r="B2239"/>
    </row>
    <row r="2240" spans="2:2">
      <c r="B2240"/>
    </row>
    <row r="2241" spans="2:2">
      <c r="B2241"/>
    </row>
    <row r="2242" spans="2:2">
      <c r="B2242"/>
    </row>
    <row r="2243" spans="2:2">
      <c r="B2243"/>
    </row>
    <row r="2244" spans="2:2">
      <c r="B2244"/>
    </row>
    <row r="2245" spans="2:2">
      <c r="B2245"/>
    </row>
    <row r="2246" spans="2:2">
      <c r="B2246"/>
    </row>
    <row r="2247" spans="2:2">
      <c r="B2247"/>
    </row>
    <row r="2248" spans="2:2">
      <c r="B2248"/>
    </row>
    <row r="2249" spans="2:2">
      <c r="B2249"/>
    </row>
    <row r="2250" spans="2:2">
      <c r="B2250"/>
    </row>
    <row r="2251" spans="2:2">
      <c r="B2251"/>
    </row>
    <row r="2252" spans="2:2">
      <c r="B2252"/>
    </row>
    <row r="2253" spans="2:2">
      <c r="B2253"/>
    </row>
    <row r="2254" spans="2:2">
      <c r="B2254"/>
    </row>
    <row r="2255" spans="2:2">
      <c r="B2255"/>
    </row>
    <row r="2256" spans="2:2">
      <c r="B2256"/>
    </row>
    <row r="2257" spans="2:2">
      <c r="B2257"/>
    </row>
    <row r="2258" spans="2:2">
      <c r="B2258"/>
    </row>
    <row r="2259" spans="2:2">
      <c r="B2259"/>
    </row>
    <row r="2260" spans="2:2">
      <c r="B2260"/>
    </row>
    <row r="2261" spans="2:2">
      <c r="B2261"/>
    </row>
    <row r="2262" spans="2:2">
      <c r="B2262"/>
    </row>
    <row r="2263" spans="2:2">
      <c r="B2263"/>
    </row>
    <row r="2264" spans="2:2">
      <c r="B2264"/>
    </row>
    <row r="2265" spans="2:2">
      <c r="B2265"/>
    </row>
    <row r="2266" spans="2:2">
      <c r="B2266"/>
    </row>
    <row r="2267" spans="2:2">
      <c r="B2267"/>
    </row>
    <row r="2268" spans="2:2">
      <c r="B2268"/>
    </row>
    <row r="2269" spans="2:2">
      <c r="B2269"/>
    </row>
    <row r="2270" spans="2:2">
      <c r="B2270"/>
    </row>
    <row r="2271" spans="2:2">
      <c r="B2271"/>
    </row>
    <row r="2272" spans="2:2">
      <c r="B2272"/>
    </row>
    <row r="2273" spans="2:2">
      <c r="B2273"/>
    </row>
    <row r="2274" spans="2:2">
      <c r="B2274"/>
    </row>
    <row r="2275" spans="2:2">
      <c r="B2275"/>
    </row>
    <row r="2276" spans="2:2">
      <c r="B2276"/>
    </row>
    <row r="2277" spans="2:2">
      <c r="B2277"/>
    </row>
    <row r="2278" spans="2:2">
      <c r="B2278"/>
    </row>
    <row r="2279" spans="2:2">
      <c r="B2279"/>
    </row>
    <row r="2280" spans="2:2">
      <c r="B2280"/>
    </row>
    <row r="2281" spans="2:2">
      <c r="B2281"/>
    </row>
    <row r="2282" spans="2:2">
      <c r="B2282"/>
    </row>
    <row r="2283" spans="2:2">
      <c r="B2283"/>
    </row>
    <row r="2284" spans="2:2">
      <c r="B2284"/>
    </row>
    <row r="2285" spans="2:2">
      <c r="B2285"/>
    </row>
    <row r="2286" spans="2:2">
      <c r="B2286"/>
    </row>
    <row r="2287" spans="2:2">
      <c r="B2287"/>
    </row>
    <row r="2288" spans="2:2">
      <c r="B2288"/>
    </row>
    <row r="2289" spans="2:2">
      <c r="B2289"/>
    </row>
    <row r="2290" spans="2:2">
      <c r="B2290"/>
    </row>
    <row r="2291" spans="2:2">
      <c r="B2291"/>
    </row>
    <row r="2292" spans="2:2">
      <c r="B2292"/>
    </row>
    <row r="2293" spans="2:2">
      <c r="B2293"/>
    </row>
    <row r="2294" spans="2:2">
      <c r="B2294"/>
    </row>
    <row r="2295" spans="2:2">
      <c r="B2295"/>
    </row>
    <row r="2296" spans="2:2">
      <c r="B2296"/>
    </row>
    <row r="2297" spans="2:2">
      <c r="B2297"/>
    </row>
    <row r="2298" spans="2:2">
      <c r="B2298"/>
    </row>
    <row r="2299" spans="2:2">
      <c r="B2299"/>
    </row>
    <row r="2300" spans="2:2">
      <c r="B2300"/>
    </row>
    <row r="2301" spans="2:2">
      <c r="B2301"/>
    </row>
    <row r="2302" spans="2:2">
      <c r="B2302"/>
    </row>
    <row r="2303" spans="2:2">
      <c r="B2303"/>
    </row>
    <row r="2304" spans="2:2">
      <c r="B2304"/>
    </row>
    <row r="2305" spans="2:2">
      <c r="B2305"/>
    </row>
    <row r="2306" spans="2:2">
      <c r="B2306"/>
    </row>
    <row r="2307" spans="2:2">
      <c r="B2307"/>
    </row>
    <row r="2308" spans="2:2">
      <c r="B2308"/>
    </row>
    <row r="2309" spans="2:2">
      <c r="B2309"/>
    </row>
    <row r="2310" spans="2:2">
      <c r="B2310"/>
    </row>
    <row r="2311" spans="2:2">
      <c r="B2311"/>
    </row>
    <row r="2312" spans="2:2">
      <c r="B2312"/>
    </row>
    <row r="2313" spans="2:2">
      <c r="B2313"/>
    </row>
    <row r="2314" spans="2:2">
      <c r="B2314"/>
    </row>
    <row r="2315" spans="2:2">
      <c r="B2315"/>
    </row>
    <row r="2316" spans="2:2">
      <c r="B2316"/>
    </row>
    <row r="2317" spans="2:2">
      <c r="B2317"/>
    </row>
    <row r="2318" spans="2:2">
      <c r="B2318"/>
    </row>
    <row r="2319" spans="2:2">
      <c r="B2319"/>
    </row>
    <row r="2320" spans="2:2">
      <c r="B2320"/>
    </row>
    <row r="2321" spans="2:2">
      <c r="B2321"/>
    </row>
    <row r="2322" spans="2:2">
      <c r="B2322"/>
    </row>
    <row r="2323" spans="2:2">
      <c r="B2323"/>
    </row>
    <row r="2324" spans="2:2">
      <c r="B2324"/>
    </row>
    <row r="2325" spans="2:2">
      <c r="B2325"/>
    </row>
    <row r="2326" spans="2:2">
      <c r="B2326"/>
    </row>
    <row r="2327" spans="2:2">
      <c r="B2327"/>
    </row>
    <row r="2328" spans="2:2">
      <c r="B2328"/>
    </row>
    <row r="2329" spans="2:2">
      <c r="B2329"/>
    </row>
    <row r="2330" spans="2:2">
      <c r="B2330"/>
    </row>
    <row r="2331" spans="2:2">
      <c r="B2331"/>
    </row>
    <row r="2332" spans="2:2">
      <c r="B2332"/>
    </row>
    <row r="2333" spans="2:2">
      <c r="B2333"/>
    </row>
    <row r="2334" spans="2:2">
      <c r="B2334"/>
    </row>
    <row r="2335" spans="2:2">
      <c r="B2335"/>
    </row>
    <row r="2336" spans="2:2">
      <c r="B2336"/>
    </row>
    <row r="2337" spans="2:2">
      <c r="B2337"/>
    </row>
    <row r="2338" spans="2:2">
      <c r="B2338"/>
    </row>
    <row r="2339" spans="2:2">
      <c r="B2339"/>
    </row>
    <row r="2340" spans="2:2">
      <c r="B2340"/>
    </row>
    <row r="2341" spans="2:2">
      <c r="B2341"/>
    </row>
    <row r="2342" spans="2:2">
      <c r="B2342"/>
    </row>
    <row r="2343" spans="2:2">
      <c r="B2343"/>
    </row>
    <row r="2344" spans="2:2">
      <c r="B2344"/>
    </row>
    <row r="2345" spans="2:2">
      <c r="B2345"/>
    </row>
    <row r="2346" spans="2:2">
      <c r="B2346"/>
    </row>
    <row r="2347" spans="2:2">
      <c r="B2347"/>
    </row>
    <row r="2348" spans="2:2">
      <c r="B2348"/>
    </row>
    <row r="2349" spans="2:2">
      <c r="B2349"/>
    </row>
    <row r="2350" spans="2:2">
      <c r="B2350"/>
    </row>
    <row r="2351" spans="2:2">
      <c r="B2351"/>
    </row>
    <row r="2352" spans="2:2">
      <c r="B2352"/>
    </row>
    <row r="2353" spans="2:2">
      <c r="B2353"/>
    </row>
    <row r="2354" spans="2:2">
      <c r="B2354"/>
    </row>
    <row r="2355" spans="2:2">
      <c r="B2355"/>
    </row>
    <row r="2356" spans="2:2">
      <c r="B2356"/>
    </row>
    <row r="2357" spans="2:2">
      <c r="B2357"/>
    </row>
    <row r="2358" spans="2:2">
      <c r="B2358"/>
    </row>
    <row r="2359" spans="2:2">
      <c r="B2359"/>
    </row>
    <row r="2360" spans="2:2">
      <c r="B2360"/>
    </row>
    <row r="2361" spans="2:2">
      <c r="B2361"/>
    </row>
    <row r="2362" spans="2:2">
      <c r="B2362"/>
    </row>
    <row r="2363" spans="2:2">
      <c r="B2363"/>
    </row>
    <row r="2364" spans="2:2">
      <c r="B2364"/>
    </row>
    <row r="2365" spans="2:2">
      <c r="B2365"/>
    </row>
    <row r="2366" spans="2:2">
      <c r="B2366"/>
    </row>
    <row r="2367" spans="2:2">
      <c r="B2367"/>
    </row>
    <row r="2368" spans="2:2">
      <c r="B2368"/>
    </row>
    <row r="2369" spans="2:2">
      <c r="B2369"/>
    </row>
    <row r="2370" spans="2:2">
      <c r="B2370"/>
    </row>
    <row r="2371" spans="2:2">
      <c r="B2371"/>
    </row>
    <row r="2372" spans="2:2">
      <c r="B2372"/>
    </row>
    <row r="2373" spans="2:2">
      <c r="B2373"/>
    </row>
    <row r="2374" spans="2:2">
      <c r="B2374"/>
    </row>
    <row r="2375" spans="2:2">
      <c r="B2375"/>
    </row>
    <row r="2376" spans="2:2">
      <c r="B2376"/>
    </row>
    <row r="2377" spans="2:2">
      <c r="B2377"/>
    </row>
    <row r="2378" spans="2:2">
      <c r="B2378"/>
    </row>
    <row r="2379" spans="2:2">
      <c r="B2379"/>
    </row>
    <row r="2380" spans="2:2">
      <c r="B2380"/>
    </row>
    <row r="2381" spans="2:2">
      <c r="B2381"/>
    </row>
    <row r="2382" spans="2:2">
      <c r="B2382"/>
    </row>
    <row r="2383" spans="2:2">
      <c r="B2383"/>
    </row>
    <row r="2384" spans="2:2">
      <c r="B2384"/>
    </row>
    <row r="2385" spans="2:2">
      <c r="B2385"/>
    </row>
    <row r="2386" spans="2:2">
      <c r="B2386"/>
    </row>
    <row r="2387" spans="2:2">
      <c r="B2387"/>
    </row>
    <row r="2388" spans="2:2">
      <c r="B2388"/>
    </row>
    <row r="2389" spans="2:2">
      <c r="B2389"/>
    </row>
    <row r="2390" spans="2:2">
      <c r="B2390"/>
    </row>
    <row r="2391" spans="2:2">
      <c r="B2391"/>
    </row>
    <row r="2392" spans="2:2">
      <c r="B2392"/>
    </row>
    <row r="2393" spans="2:2">
      <c r="B2393"/>
    </row>
    <row r="2394" spans="2:2">
      <c r="B2394"/>
    </row>
    <row r="2395" spans="2:2">
      <c r="B2395"/>
    </row>
    <row r="2396" spans="2:2">
      <c r="B2396"/>
    </row>
    <row r="2397" spans="2:2">
      <c r="B2397"/>
    </row>
    <row r="2398" spans="2:2">
      <c r="B2398"/>
    </row>
    <row r="2399" spans="2:2">
      <c r="B2399"/>
    </row>
    <row r="2400" spans="2:2">
      <c r="B2400"/>
    </row>
    <row r="2401" spans="2:2">
      <c r="B2401"/>
    </row>
    <row r="2402" spans="2:2">
      <c r="B2402"/>
    </row>
    <row r="2403" spans="2:2">
      <c r="B2403"/>
    </row>
    <row r="2404" spans="2:2">
      <c r="B2404"/>
    </row>
    <row r="2405" spans="2:2">
      <c r="B2405"/>
    </row>
    <row r="2406" spans="2:2">
      <c r="B2406"/>
    </row>
    <row r="2407" spans="2:2">
      <c r="B2407"/>
    </row>
    <row r="2408" spans="2:2">
      <c r="B2408"/>
    </row>
    <row r="2409" spans="2:2">
      <c r="B2409"/>
    </row>
    <row r="2410" spans="2:2">
      <c r="B2410"/>
    </row>
    <row r="2411" spans="2:2">
      <c r="B2411"/>
    </row>
    <row r="2412" spans="2:2">
      <c r="B2412"/>
    </row>
    <row r="2413" spans="2:2">
      <c r="B2413"/>
    </row>
    <row r="2414" spans="2:2">
      <c r="B2414"/>
    </row>
    <row r="2415" spans="2:2">
      <c r="B2415"/>
    </row>
    <row r="2416" spans="2:2">
      <c r="B2416"/>
    </row>
    <row r="2417" spans="2:2">
      <c r="B2417"/>
    </row>
    <row r="2418" spans="2:2">
      <c r="B2418"/>
    </row>
    <row r="2419" spans="2:2">
      <c r="B2419"/>
    </row>
    <row r="2420" spans="2:2">
      <c r="B2420"/>
    </row>
    <row r="2421" spans="2:2">
      <c r="B2421"/>
    </row>
    <row r="2422" spans="2:2">
      <c r="B2422"/>
    </row>
    <row r="2423" spans="2:2">
      <c r="B2423"/>
    </row>
    <row r="2424" spans="2:2">
      <c r="B2424"/>
    </row>
    <row r="2425" spans="2:2">
      <c r="B2425"/>
    </row>
    <row r="2426" spans="2:2">
      <c r="B2426"/>
    </row>
    <row r="2427" spans="2:2">
      <c r="B2427"/>
    </row>
    <row r="2428" spans="2:2">
      <c r="B2428"/>
    </row>
    <row r="2429" spans="2:2">
      <c r="B2429"/>
    </row>
    <row r="2430" spans="2:2">
      <c r="B2430"/>
    </row>
    <row r="2431" spans="2:2">
      <c r="B2431"/>
    </row>
    <row r="2432" spans="2:2">
      <c r="B2432"/>
    </row>
    <row r="2433" spans="2:2">
      <c r="B2433"/>
    </row>
    <row r="2434" spans="2:2">
      <c r="B2434"/>
    </row>
    <row r="2435" spans="2:2">
      <c r="B2435"/>
    </row>
    <row r="2436" spans="2:2">
      <c r="B2436"/>
    </row>
    <row r="2437" spans="2:2">
      <c r="B2437"/>
    </row>
    <row r="2438" spans="2:2">
      <c r="B2438"/>
    </row>
    <row r="2439" spans="2:2">
      <c r="B2439"/>
    </row>
    <row r="2440" spans="2:2">
      <c r="B2440"/>
    </row>
    <row r="2441" spans="2:2">
      <c r="B2441"/>
    </row>
    <row r="2442" spans="2:2">
      <c r="B2442"/>
    </row>
    <row r="2443" spans="2:2">
      <c r="B2443"/>
    </row>
    <row r="2444" spans="2:2">
      <c r="B2444"/>
    </row>
    <row r="2445" spans="2:2">
      <c r="B2445"/>
    </row>
    <row r="2446" spans="2:2">
      <c r="B2446"/>
    </row>
    <row r="2447" spans="2:2">
      <c r="B2447"/>
    </row>
    <row r="2448" spans="2:2">
      <c r="B2448"/>
    </row>
    <row r="2449" spans="2:2">
      <c r="B2449"/>
    </row>
    <row r="2450" spans="2:2">
      <c r="B2450"/>
    </row>
    <row r="2451" spans="2:2">
      <c r="B2451"/>
    </row>
    <row r="2452" spans="2:2">
      <c r="B2452"/>
    </row>
    <row r="2453" spans="2:2">
      <c r="B2453"/>
    </row>
    <row r="2454" spans="2:2">
      <c r="B2454"/>
    </row>
    <row r="2455" spans="2:2">
      <c r="B2455"/>
    </row>
    <row r="2456" spans="2:2">
      <c r="B2456"/>
    </row>
    <row r="2457" spans="2:2">
      <c r="B2457"/>
    </row>
    <row r="2458" spans="2:2">
      <c r="B2458"/>
    </row>
    <row r="2459" spans="2:2">
      <c r="B2459"/>
    </row>
    <row r="2460" spans="2:2">
      <c r="B2460"/>
    </row>
    <row r="2461" spans="2:2">
      <c r="B2461"/>
    </row>
    <row r="2462" spans="2:2">
      <c r="B2462"/>
    </row>
    <row r="2463" spans="2:2">
      <c r="B2463"/>
    </row>
    <row r="2464" spans="2:2">
      <c r="B2464"/>
    </row>
    <row r="2465" spans="2:2">
      <c r="B2465"/>
    </row>
    <row r="2466" spans="2:2">
      <c r="B2466"/>
    </row>
    <row r="2467" spans="2:2">
      <c r="B2467"/>
    </row>
    <row r="2468" spans="2:2">
      <c r="B2468"/>
    </row>
    <row r="2469" spans="2:2">
      <c r="B2469"/>
    </row>
    <row r="2470" spans="2:2">
      <c r="B2470"/>
    </row>
    <row r="2471" spans="2:2">
      <c r="B2471"/>
    </row>
    <row r="2472" spans="2:2">
      <c r="B2472"/>
    </row>
    <row r="2473" spans="2:2">
      <c r="B2473"/>
    </row>
    <row r="2474" spans="2:2">
      <c r="B2474"/>
    </row>
    <row r="2475" spans="2:2">
      <c r="B2475"/>
    </row>
    <row r="2476" spans="2:2">
      <c r="B2476"/>
    </row>
    <row r="2477" spans="2:2">
      <c r="B2477"/>
    </row>
    <row r="2478" spans="2:2">
      <c r="B2478"/>
    </row>
    <row r="2479" spans="2:2">
      <c r="B2479"/>
    </row>
    <row r="2480" spans="2:2">
      <c r="B2480"/>
    </row>
    <row r="2481" spans="2:2">
      <c r="B2481"/>
    </row>
    <row r="2482" spans="2:2">
      <c r="B2482"/>
    </row>
    <row r="2483" spans="2:2">
      <c r="B2483"/>
    </row>
    <row r="2484" spans="2:2">
      <c r="B2484"/>
    </row>
    <row r="2485" spans="2:2">
      <c r="B2485"/>
    </row>
    <row r="2486" spans="2:2">
      <c r="B2486"/>
    </row>
    <row r="2487" spans="2:2">
      <c r="B2487"/>
    </row>
    <row r="2488" spans="2:2">
      <c r="B2488"/>
    </row>
    <row r="2489" spans="2:2">
      <c r="B2489"/>
    </row>
    <row r="2490" spans="2:2">
      <c r="B2490"/>
    </row>
    <row r="2491" spans="2:2">
      <c r="B2491"/>
    </row>
    <row r="2492" spans="2:2">
      <c r="B2492"/>
    </row>
    <row r="2493" spans="2:2">
      <c r="B2493"/>
    </row>
    <row r="2494" spans="2:2">
      <c r="B2494"/>
    </row>
    <row r="2495" spans="2:2">
      <c r="B2495"/>
    </row>
    <row r="2496" spans="2:2">
      <c r="B2496"/>
    </row>
    <row r="2497" spans="2:2">
      <c r="B2497"/>
    </row>
    <row r="2498" spans="2:2">
      <c r="B2498"/>
    </row>
    <row r="2499" spans="2:2">
      <c r="B2499"/>
    </row>
    <row r="2500" spans="2:2">
      <c r="B2500"/>
    </row>
    <row r="2501" spans="2:2">
      <c r="B2501"/>
    </row>
    <row r="2502" spans="2:2">
      <c r="B2502"/>
    </row>
    <row r="2503" spans="2:2">
      <c r="B2503"/>
    </row>
    <row r="2504" spans="2:2">
      <c r="B2504"/>
    </row>
    <row r="2505" spans="2:2">
      <c r="B2505"/>
    </row>
    <row r="2506" spans="2:2">
      <c r="B2506"/>
    </row>
    <row r="2507" spans="2:2">
      <c r="B2507"/>
    </row>
    <row r="2508" spans="2:2">
      <c r="B2508"/>
    </row>
    <row r="2509" spans="2:2">
      <c r="B2509"/>
    </row>
    <row r="2510" spans="2:2">
      <c r="B2510"/>
    </row>
    <row r="2511" spans="2:2">
      <c r="B2511"/>
    </row>
    <row r="2512" spans="2:2">
      <c r="B2512"/>
    </row>
    <row r="2513" spans="2:2">
      <c r="B2513"/>
    </row>
    <row r="2514" spans="2:2">
      <c r="B2514"/>
    </row>
    <row r="2515" spans="2:2">
      <c r="B2515"/>
    </row>
    <row r="2516" spans="2:2">
      <c r="B2516"/>
    </row>
    <row r="2517" spans="2:2">
      <c r="B2517"/>
    </row>
    <row r="2518" spans="2:2">
      <c r="B2518"/>
    </row>
    <row r="2519" spans="2:2">
      <c r="B2519"/>
    </row>
    <row r="2520" spans="2:2">
      <c r="B2520"/>
    </row>
    <row r="2521" spans="2:2">
      <c r="B2521"/>
    </row>
    <row r="2522" spans="2:2">
      <c r="B2522"/>
    </row>
    <row r="2523" spans="2:2">
      <c r="B2523"/>
    </row>
    <row r="2524" spans="2:2">
      <c r="B2524"/>
    </row>
    <row r="2525" spans="2:2">
      <c r="B2525"/>
    </row>
    <row r="2526" spans="2:2">
      <c r="B2526"/>
    </row>
    <row r="2527" spans="2:2">
      <c r="B2527"/>
    </row>
    <row r="2528" spans="2:2">
      <c r="B2528"/>
    </row>
    <row r="2529" spans="2:2">
      <c r="B2529"/>
    </row>
    <row r="2530" spans="2:2">
      <c r="B2530"/>
    </row>
    <row r="2531" spans="2:2">
      <c r="B2531"/>
    </row>
    <row r="2532" spans="2:2">
      <c r="B2532"/>
    </row>
    <row r="2533" spans="2:2">
      <c r="B2533"/>
    </row>
    <row r="2534" spans="2:2">
      <c r="B2534"/>
    </row>
    <row r="2535" spans="2:2">
      <c r="B2535"/>
    </row>
    <row r="2536" spans="2:2">
      <c r="B2536"/>
    </row>
    <row r="2537" spans="2:2">
      <c r="B2537"/>
    </row>
    <row r="2538" spans="2:2">
      <c r="B2538"/>
    </row>
    <row r="2539" spans="2:2">
      <c r="B2539"/>
    </row>
    <row r="2540" spans="2:2">
      <c r="B2540"/>
    </row>
    <row r="2541" spans="2:2">
      <c r="B2541"/>
    </row>
    <row r="2542" spans="2:2">
      <c r="B2542"/>
    </row>
    <row r="2543" spans="2:2">
      <c r="B2543"/>
    </row>
    <row r="2544" spans="2:2">
      <c r="B2544"/>
    </row>
    <row r="2545" spans="2:2">
      <c r="B2545"/>
    </row>
    <row r="2546" spans="2:2">
      <c r="B2546"/>
    </row>
    <row r="2547" spans="2:2">
      <c r="B2547"/>
    </row>
    <row r="2548" spans="2:2">
      <c r="B2548"/>
    </row>
    <row r="2549" spans="2:2">
      <c r="B2549"/>
    </row>
    <row r="2550" spans="2:2">
      <c r="B2550"/>
    </row>
    <row r="2551" spans="2:2">
      <c r="B2551"/>
    </row>
    <row r="2552" spans="2:2">
      <c r="B2552"/>
    </row>
    <row r="2553" spans="2:2">
      <c r="B2553"/>
    </row>
    <row r="2554" spans="2:2">
      <c r="B2554"/>
    </row>
    <row r="2555" spans="2:2">
      <c r="B2555"/>
    </row>
    <row r="2556" spans="2:2">
      <c r="B2556"/>
    </row>
    <row r="2557" spans="2:2">
      <c r="B2557"/>
    </row>
    <row r="2558" spans="2:2">
      <c r="B2558"/>
    </row>
    <row r="2559" spans="2:2">
      <c r="B2559"/>
    </row>
    <row r="2560" spans="2:2">
      <c r="B2560"/>
    </row>
    <row r="2561" spans="2:2">
      <c r="B2561"/>
    </row>
    <row r="2562" spans="2:2">
      <c r="B2562"/>
    </row>
    <row r="2563" spans="2:2">
      <c r="B2563"/>
    </row>
    <row r="2564" spans="2:2">
      <c r="B2564"/>
    </row>
    <row r="2565" spans="2:2">
      <c r="B2565"/>
    </row>
    <row r="2566" spans="2:2">
      <c r="B2566"/>
    </row>
    <row r="2567" spans="2:2">
      <c r="B2567"/>
    </row>
    <row r="2568" spans="2:2">
      <c r="B2568"/>
    </row>
    <row r="2569" spans="2:2">
      <c r="B2569"/>
    </row>
    <row r="2570" spans="2:2">
      <c r="B2570"/>
    </row>
    <row r="2571" spans="2:2">
      <c r="B2571"/>
    </row>
    <row r="2572" spans="2:2">
      <c r="B2572"/>
    </row>
    <row r="2573" spans="2:2">
      <c r="B2573"/>
    </row>
    <row r="2574" spans="2:2">
      <c r="B2574"/>
    </row>
    <row r="2575" spans="2:2">
      <c r="B2575"/>
    </row>
    <row r="2576" spans="2:2">
      <c r="B2576"/>
    </row>
    <row r="2577" spans="2:2">
      <c r="B2577"/>
    </row>
    <row r="2578" spans="2:2">
      <c r="B2578"/>
    </row>
    <row r="2579" spans="2:2">
      <c r="B2579"/>
    </row>
    <row r="2580" spans="2:2">
      <c r="B2580"/>
    </row>
    <row r="2581" spans="2:2">
      <c r="B2581"/>
    </row>
    <row r="2582" spans="2:2">
      <c r="B2582"/>
    </row>
    <row r="2583" spans="2:2">
      <c r="B2583"/>
    </row>
    <row r="2584" spans="2:2">
      <c r="B2584"/>
    </row>
    <row r="2585" spans="2:2">
      <c r="B2585"/>
    </row>
    <row r="2586" spans="2:2">
      <c r="B2586"/>
    </row>
    <row r="2587" spans="2:2">
      <c r="B2587"/>
    </row>
    <row r="2588" spans="2:2">
      <c r="B2588"/>
    </row>
    <row r="2589" spans="2:2">
      <c r="B2589"/>
    </row>
    <row r="2590" spans="2:2">
      <c r="B2590"/>
    </row>
    <row r="2591" spans="2:2">
      <c r="B2591"/>
    </row>
    <row r="2592" spans="2:2">
      <c r="B2592"/>
    </row>
    <row r="2593" spans="2:2">
      <c r="B2593"/>
    </row>
    <row r="2594" spans="2:2">
      <c r="B2594"/>
    </row>
    <row r="2595" spans="2:2">
      <c r="B2595"/>
    </row>
    <row r="2596" spans="2:2">
      <c r="B2596"/>
    </row>
    <row r="2597" spans="2:2">
      <c r="B2597"/>
    </row>
    <row r="2598" spans="2:2">
      <c r="B2598"/>
    </row>
    <row r="2599" spans="2:2">
      <c r="B2599"/>
    </row>
    <row r="2600" spans="2:2">
      <c r="B2600"/>
    </row>
    <row r="2601" spans="2:2">
      <c r="B2601"/>
    </row>
    <row r="2602" spans="2:2">
      <c r="B2602"/>
    </row>
    <row r="2603" spans="2:2">
      <c r="B2603"/>
    </row>
    <row r="2604" spans="2:2">
      <c r="B2604"/>
    </row>
    <row r="2605" spans="2:2">
      <c r="B2605"/>
    </row>
    <row r="2606" spans="2:2">
      <c r="B2606"/>
    </row>
    <row r="2607" spans="2:2">
      <c r="B2607"/>
    </row>
    <row r="2608" spans="2:2">
      <c r="B2608"/>
    </row>
    <row r="2609" spans="2:2">
      <c r="B2609"/>
    </row>
    <row r="2610" spans="2:2">
      <c r="B2610"/>
    </row>
    <row r="2611" spans="2:2">
      <c r="B2611"/>
    </row>
    <row r="2612" spans="2:2">
      <c r="B2612"/>
    </row>
    <row r="2613" spans="2:2">
      <c r="B2613"/>
    </row>
    <row r="2614" spans="2:2">
      <c r="B2614"/>
    </row>
    <row r="2615" spans="2:2">
      <c r="B2615"/>
    </row>
    <row r="2616" spans="2:2">
      <c r="B2616"/>
    </row>
    <row r="2617" spans="2:2">
      <c r="B2617"/>
    </row>
    <row r="2618" spans="2:2">
      <c r="B2618"/>
    </row>
    <row r="2619" spans="2:2">
      <c r="B2619"/>
    </row>
    <row r="2620" spans="2:2">
      <c r="B2620"/>
    </row>
    <row r="2621" spans="2:2">
      <c r="B2621"/>
    </row>
    <row r="2622" spans="2:2">
      <c r="B2622"/>
    </row>
    <row r="2623" spans="2:2">
      <c r="B2623"/>
    </row>
    <row r="2624" spans="2:2">
      <c r="B2624"/>
    </row>
    <row r="2625" spans="2:2">
      <c r="B2625"/>
    </row>
    <row r="2626" spans="2:2">
      <c r="B2626"/>
    </row>
    <row r="2627" spans="2:2">
      <c r="B2627"/>
    </row>
    <row r="2628" spans="2:2">
      <c r="B2628"/>
    </row>
    <row r="2629" spans="2:2">
      <c r="B2629"/>
    </row>
    <row r="2630" spans="2:2">
      <c r="B2630"/>
    </row>
    <row r="2631" spans="2:2">
      <c r="B2631"/>
    </row>
    <row r="2632" spans="2:2">
      <c r="B2632"/>
    </row>
    <row r="2633" spans="2:2">
      <c r="B2633"/>
    </row>
    <row r="2634" spans="2:2">
      <c r="B2634"/>
    </row>
  </sheetData>
  <phoneticPr fontId="7"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工作表5"/>
  <dimension ref="A1:AL303"/>
  <sheetViews>
    <sheetView workbookViewId="0">
      <pane ySplit="2" topLeftCell="A271" activePane="bottomLeft" state="frozen"/>
      <selection pane="bottomLeft" sqref="A1:XFD1048576"/>
    </sheetView>
  </sheetViews>
  <sheetFormatPr defaultRowHeight="17"/>
  <cols>
    <col min="1" max="1" width="23" style="32" customWidth="1"/>
    <col min="2" max="2" width="8.7265625" style="32"/>
    <col min="3" max="3" width="16" style="32" customWidth="1"/>
    <col min="4" max="37" width="8.7265625" style="32"/>
    <col min="38" max="38" width="87.81640625" style="33" customWidth="1"/>
  </cols>
  <sheetData>
    <row r="1" spans="1:35" ht="18.5" thickTop="1">
      <c r="D1" s="505" t="s">
        <v>1735</v>
      </c>
      <c r="E1" s="510"/>
      <c r="F1" s="510"/>
      <c r="G1" s="510"/>
      <c r="H1" s="510"/>
      <c r="I1" s="510"/>
      <c r="J1" s="510"/>
      <c r="K1" s="510"/>
      <c r="L1" s="511" t="s">
        <v>1734</v>
      </c>
      <c r="M1" s="512"/>
      <c r="N1" s="512"/>
      <c r="O1" s="512"/>
      <c r="P1" s="512"/>
      <c r="Q1" s="512"/>
      <c r="R1" s="512"/>
      <c r="S1" s="513"/>
      <c r="T1" s="514" t="s">
        <v>1733</v>
      </c>
      <c r="U1" s="515"/>
      <c r="V1" s="515"/>
      <c r="W1" s="515"/>
      <c r="X1" s="515"/>
      <c r="Y1" s="515"/>
      <c r="Z1" s="515"/>
      <c r="AA1" s="516"/>
      <c r="AB1" s="514" t="s">
        <v>1736</v>
      </c>
      <c r="AC1" s="515"/>
      <c r="AD1" s="515"/>
      <c r="AE1" s="515"/>
      <c r="AF1" s="515"/>
      <c r="AG1" s="515"/>
      <c r="AH1" s="515"/>
      <c r="AI1" s="516"/>
    </row>
    <row r="2" spans="1:35">
      <c r="A2" s="107" t="s">
        <v>1303</v>
      </c>
      <c r="B2" s="326" t="s">
        <v>21</v>
      </c>
      <c r="C2" s="326" t="s">
        <v>22</v>
      </c>
      <c r="D2" s="107">
        <v>1</v>
      </c>
      <c r="E2" s="107">
        <v>3</v>
      </c>
      <c r="F2" s="107">
        <v>5</v>
      </c>
      <c r="G2" s="107">
        <v>7</v>
      </c>
      <c r="H2" s="107">
        <v>9</v>
      </c>
      <c r="I2" s="107">
        <v>11</v>
      </c>
      <c r="J2" s="107">
        <v>13</v>
      </c>
      <c r="K2" s="107">
        <v>14</v>
      </c>
      <c r="L2" s="107">
        <v>1</v>
      </c>
      <c r="M2" s="107">
        <v>3</v>
      </c>
      <c r="N2" s="107">
        <v>5</v>
      </c>
      <c r="O2" s="107">
        <v>7</v>
      </c>
      <c r="P2" s="107">
        <v>9</v>
      </c>
      <c r="Q2" s="107">
        <v>11</v>
      </c>
      <c r="R2" s="107">
        <v>13</v>
      </c>
      <c r="S2" s="112">
        <v>14</v>
      </c>
      <c r="T2" s="113">
        <v>1</v>
      </c>
      <c r="U2" s="107">
        <v>3</v>
      </c>
      <c r="V2" s="107">
        <v>5</v>
      </c>
      <c r="W2" s="107">
        <v>7</v>
      </c>
      <c r="X2" s="107">
        <v>9</v>
      </c>
      <c r="Y2" s="107">
        <v>11</v>
      </c>
      <c r="Z2" s="107">
        <v>13</v>
      </c>
      <c r="AA2" s="114">
        <v>14</v>
      </c>
      <c r="AB2" s="113">
        <v>1</v>
      </c>
      <c r="AC2" s="478">
        <v>3</v>
      </c>
      <c r="AD2" s="478">
        <v>5</v>
      </c>
      <c r="AE2" s="478">
        <v>7</v>
      </c>
      <c r="AF2" s="478">
        <v>9</v>
      </c>
      <c r="AG2" s="107">
        <v>11</v>
      </c>
      <c r="AH2" s="107">
        <v>13</v>
      </c>
      <c r="AI2" s="114">
        <v>14</v>
      </c>
    </row>
    <row r="3" spans="1:35">
      <c r="A3" s="180" t="s">
        <v>1646</v>
      </c>
      <c r="B3" s="32" t="s">
        <v>1347</v>
      </c>
      <c r="C3" s="32" t="s">
        <v>1348</v>
      </c>
      <c r="D3" s="313">
        <v>0.88</v>
      </c>
      <c r="E3" s="313">
        <v>0.84</v>
      </c>
      <c r="F3" s="313">
        <v>0.81</v>
      </c>
      <c r="G3" s="314">
        <v>0.8</v>
      </c>
      <c r="H3" s="314">
        <v>0.8</v>
      </c>
      <c r="I3" s="314">
        <v>0.8</v>
      </c>
      <c r="J3" s="314">
        <v>0.8</v>
      </c>
      <c r="K3" s="314">
        <v>0.8</v>
      </c>
      <c r="L3" s="317">
        <v>0.52</v>
      </c>
      <c r="M3" s="317">
        <v>0.5</v>
      </c>
      <c r="N3" s="317">
        <v>0.47</v>
      </c>
      <c r="O3" s="317">
        <v>0.45</v>
      </c>
      <c r="P3" s="317">
        <v>0.45</v>
      </c>
      <c r="Q3" s="317">
        <v>0.45</v>
      </c>
      <c r="R3" s="317">
        <v>0.45</v>
      </c>
      <c r="S3" s="318">
        <v>0.45</v>
      </c>
      <c r="T3" s="314">
        <v>1.2</v>
      </c>
      <c r="U3" s="314">
        <v>1.1000000000000001</v>
      </c>
      <c r="V3" s="314">
        <v>1.05</v>
      </c>
      <c r="W3" s="314">
        <v>1</v>
      </c>
      <c r="X3" s="314">
        <v>1</v>
      </c>
      <c r="Y3" s="314">
        <v>1</v>
      </c>
      <c r="Z3" s="314">
        <v>1</v>
      </c>
      <c r="AA3" s="314">
        <v>1</v>
      </c>
      <c r="AB3" s="317">
        <v>0.74</v>
      </c>
      <c r="AC3" s="321">
        <v>0.66</v>
      </c>
      <c r="AD3" s="321">
        <v>0.61</v>
      </c>
      <c r="AE3" s="321">
        <v>0.55000000000000004</v>
      </c>
      <c r="AF3" s="321">
        <v>0.55000000000000004</v>
      </c>
      <c r="AG3" s="317">
        <v>0.55000000000000004</v>
      </c>
      <c r="AH3" s="317">
        <v>0.55000000000000004</v>
      </c>
      <c r="AI3" s="317">
        <v>0.55000000000000004</v>
      </c>
    </row>
    <row r="4" spans="1:35">
      <c r="A4" s="180" t="s">
        <v>1646</v>
      </c>
      <c r="B4" s="32" t="s">
        <v>1347</v>
      </c>
      <c r="C4" s="32" t="s">
        <v>1509</v>
      </c>
      <c r="D4" s="313">
        <v>0.88</v>
      </c>
      <c r="E4" s="313">
        <v>0.84</v>
      </c>
      <c r="F4" s="313">
        <v>0.81</v>
      </c>
      <c r="G4" s="314">
        <v>0.8</v>
      </c>
      <c r="H4" s="314">
        <v>0.8</v>
      </c>
      <c r="I4" s="314">
        <v>0.8</v>
      </c>
      <c r="J4" s="314">
        <v>0.8</v>
      </c>
      <c r="K4" s="314">
        <v>0.8</v>
      </c>
      <c r="L4" s="317">
        <v>0.52</v>
      </c>
      <c r="M4" s="317">
        <v>0.5</v>
      </c>
      <c r="N4" s="317">
        <v>0.47</v>
      </c>
      <c r="O4" s="317">
        <v>0.45</v>
      </c>
      <c r="P4" s="317">
        <v>0.45</v>
      </c>
      <c r="Q4" s="317">
        <v>0.45</v>
      </c>
      <c r="R4" s="317">
        <v>0.45</v>
      </c>
      <c r="S4" s="318">
        <v>0.45</v>
      </c>
      <c r="T4" s="314">
        <v>1.2</v>
      </c>
      <c r="U4" s="314">
        <v>1.1000000000000001</v>
      </c>
      <c r="V4" s="314">
        <v>1.05</v>
      </c>
      <c r="W4" s="314">
        <v>1</v>
      </c>
      <c r="X4" s="314">
        <v>1</v>
      </c>
      <c r="Y4" s="314">
        <v>1</v>
      </c>
      <c r="Z4" s="314">
        <v>1</v>
      </c>
      <c r="AA4" s="314">
        <v>1</v>
      </c>
      <c r="AB4" s="317">
        <v>0.74</v>
      </c>
      <c r="AC4" s="321">
        <v>0.66</v>
      </c>
      <c r="AD4" s="321">
        <v>0.61</v>
      </c>
      <c r="AE4" s="321">
        <v>0.55000000000000004</v>
      </c>
      <c r="AF4" s="321">
        <v>0.55000000000000004</v>
      </c>
      <c r="AG4" s="317">
        <v>0.55000000000000004</v>
      </c>
      <c r="AH4" s="317">
        <v>0.55000000000000004</v>
      </c>
      <c r="AI4" s="317">
        <v>0.55000000000000004</v>
      </c>
    </row>
    <row r="5" spans="1:35">
      <c r="A5" s="180" t="s">
        <v>1646</v>
      </c>
      <c r="B5" s="32" t="s">
        <v>1347</v>
      </c>
      <c r="C5" s="32" t="s">
        <v>1510</v>
      </c>
      <c r="D5" s="313">
        <v>0.88</v>
      </c>
      <c r="E5" s="313">
        <v>0.84</v>
      </c>
      <c r="F5" s="313">
        <v>0.81</v>
      </c>
      <c r="G5" s="314">
        <v>0.8</v>
      </c>
      <c r="H5" s="314">
        <v>0.8</v>
      </c>
      <c r="I5" s="314">
        <v>0.8</v>
      </c>
      <c r="J5" s="314">
        <v>0.8</v>
      </c>
      <c r="K5" s="314">
        <v>0.8</v>
      </c>
      <c r="L5" s="317">
        <v>0.52</v>
      </c>
      <c r="M5" s="317">
        <v>0.5</v>
      </c>
      <c r="N5" s="317">
        <v>0.47</v>
      </c>
      <c r="O5" s="317">
        <v>0.45</v>
      </c>
      <c r="P5" s="317">
        <v>0.45</v>
      </c>
      <c r="Q5" s="317">
        <v>0.45</v>
      </c>
      <c r="R5" s="317">
        <v>0.45</v>
      </c>
      <c r="S5" s="318">
        <v>0.45</v>
      </c>
      <c r="T5" s="314">
        <v>1.2</v>
      </c>
      <c r="U5" s="314">
        <v>1.1000000000000001</v>
      </c>
      <c r="V5" s="314">
        <v>1.05</v>
      </c>
      <c r="W5" s="314">
        <v>1</v>
      </c>
      <c r="X5" s="314">
        <v>1</v>
      </c>
      <c r="Y5" s="314">
        <v>1</v>
      </c>
      <c r="Z5" s="314">
        <v>1</v>
      </c>
      <c r="AA5" s="314">
        <v>1</v>
      </c>
      <c r="AB5" s="317">
        <v>0.74</v>
      </c>
      <c r="AC5" s="321">
        <v>0.66</v>
      </c>
      <c r="AD5" s="321">
        <v>0.61</v>
      </c>
      <c r="AE5" s="321">
        <v>0.55000000000000004</v>
      </c>
      <c r="AF5" s="321">
        <v>0.55000000000000004</v>
      </c>
      <c r="AG5" s="317">
        <v>0.55000000000000004</v>
      </c>
      <c r="AH5" s="317">
        <v>0.55000000000000004</v>
      </c>
      <c r="AI5" s="317">
        <v>0.55000000000000004</v>
      </c>
    </row>
    <row r="6" spans="1:35">
      <c r="A6" s="180" t="s">
        <v>1646</v>
      </c>
      <c r="B6" s="32" t="s">
        <v>1347</v>
      </c>
      <c r="C6" s="479" t="s">
        <v>65</v>
      </c>
      <c r="D6" s="313">
        <v>0.88</v>
      </c>
      <c r="E6" s="313">
        <v>0.84</v>
      </c>
      <c r="F6" s="313">
        <v>0.81</v>
      </c>
      <c r="G6" s="314">
        <v>0.8</v>
      </c>
      <c r="H6" s="314">
        <v>0.8</v>
      </c>
      <c r="I6" s="314">
        <v>0.8</v>
      </c>
      <c r="J6" s="314">
        <v>0.8</v>
      </c>
      <c r="K6" s="314">
        <v>0.8</v>
      </c>
      <c r="L6" s="317">
        <v>0.52</v>
      </c>
      <c r="M6" s="317">
        <v>0.5</v>
      </c>
      <c r="N6" s="317">
        <v>0.47</v>
      </c>
      <c r="O6" s="317">
        <v>0.45</v>
      </c>
      <c r="P6" s="317">
        <v>0.45</v>
      </c>
      <c r="Q6" s="317">
        <v>0.45</v>
      </c>
      <c r="R6" s="317">
        <v>0.45</v>
      </c>
      <c r="S6" s="318">
        <v>0.45</v>
      </c>
      <c r="T6" s="314">
        <v>1.2</v>
      </c>
      <c r="U6" s="314">
        <v>1.1000000000000001</v>
      </c>
      <c r="V6" s="314">
        <v>1.05</v>
      </c>
      <c r="W6" s="314">
        <v>1</v>
      </c>
      <c r="X6" s="314">
        <v>1</v>
      </c>
      <c r="Y6" s="314">
        <v>1</v>
      </c>
      <c r="Z6" s="314">
        <v>1</v>
      </c>
      <c r="AA6" s="314">
        <v>1</v>
      </c>
      <c r="AB6" s="317">
        <v>0.74</v>
      </c>
      <c r="AC6" s="321">
        <v>0.66</v>
      </c>
      <c r="AD6" s="321">
        <v>0.61</v>
      </c>
      <c r="AE6" s="321">
        <v>0.55000000000000004</v>
      </c>
      <c r="AF6" s="321">
        <v>0.55000000000000004</v>
      </c>
      <c r="AG6" s="317">
        <v>0.55000000000000004</v>
      </c>
      <c r="AH6" s="317">
        <v>0.55000000000000004</v>
      </c>
      <c r="AI6" s="317">
        <v>0.55000000000000004</v>
      </c>
    </row>
    <row r="7" spans="1:35">
      <c r="A7" s="180" t="s">
        <v>1646</v>
      </c>
      <c r="B7" s="32" t="s">
        <v>1347</v>
      </c>
      <c r="C7" s="32" t="s">
        <v>1511</v>
      </c>
      <c r="D7" s="313">
        <v>0.88</v>
      </c>
      <c r="E7" s="313">
        <v>0.84</v>
      </c>
      <c r="F7" s="313">
        <v>0.81</v>
      </c>
      <c r="G7" s="314">
        <v>0.8</v>
      </c>
      <c r="H7" s="314">
        <v>0.8</v>
      </c>
      <c r="I7" s="314">
        <v>0.8</v>
      </c>
      <c r="J7" s="314">
        <v>0.8</v>
      </c>
      <c r="K7" s="314">
        <v>0.8</v>
      </c>
      <c r="L7" s="317">
        <v>0.52</v>
      </c>
      <c r="M7" s="317">
        <v>0.5</v>
      </c>
      <c r="N7" s="317">
        <v>0.47</v>
      </c>
      <c r="O7" s="317">
        <v>0.45</v>
      </c>
      <c r="P7" s="317">
        <v>0.45</v>
      </c>
      <c r="Q7" s="317">
        <v>0.45</v>
      </c>
      <c r="R7" s="317">
        <v>0.45</v>
      </c>
      <c r="S7" s="318">
        <v>0.45</v>
      </c>
      <c r="T7" s="314">
        <v>1.2</v>
      </c>
      <c r="U7" s="314">
        <v>1.1000000000000001</v>
      </c>
      <c r="V7" s="314">
        <v>1.05</v>
      </c>
      <c r="W7" s="314">
        <v>1</v>
      </c>
      <c r="X7" s="314">
        <v>1</v>
      </c>
      <c r="Y7" s="314">
        <v>1</v>
      </c>
      <c r="Z7" s="314">
        <v>1</v>
      </c>
      <c r="AA7" s="314">
        <v>1</v>
      </c>
      <c r="AB7" s="317">
        <v>0.74</v>
      </c>
      <c r="AC7" s="321">
        <v>0.66</v>
      </c>
      <c r="AD7" s="321">
        <v>0.61</v>
      </c>
      <c r="AE7" s="321">
        <v>0.55000000000000004</v>
      </c>
      <c r="AF7" s="321">
        <v>0.55000000000000004</v>
      </c>
      <c r="AG7" s="317">
        <v>0.55000000000000004</v>
      </c>
      <c r="AH7" s="317">
        <v>0.55000000000000004</v>
      </c>
      <c r="AI7" s="317">
        <v>0.55000000000000004</v>
      </c>
    </row>
    <row r="8" spans="1:35">
      <c r="A8" s="180" t="s">
        <v>1646</v>
      </c>
      <c r="B8" s="32" t="s">
        <v>1347</v>
      </c>
      <c r="C8" s="32" t="s">
        <v>1512</v>
      </c>
      <c r="D8" s="313">
        <v>0.88</v>
      </c>
      <c r="E8" s="313">
        <v>0.84</v>
      </c>
      <c r="F8" s="313">
        <v>0.81</v>
      </c>
      <c r="G8" s="314">
        <v>0.8</v>
      </c>
      <c r="H8" s="314">
        <v>0.8</v>
      </c>
      <c r="I8" s="314">
        <v>0.8</v>
      </c>
      <c r="J8" s="314">
        <v>0.8</v>
      </c>
      <c r="K8" s="314">
        <v>0.8</v>
      </c>
      <c r="L8" s="317">
        <v>0.52</v>
      </c>
      <c r="M8" s="317">
        <v>0.5</v>
      </c>
      <c r="N8" s="317">
        <v>0.47</v>
      </c>
      <c r="O8" s="317">
        <v>0.45</v>
      </c>
      <c r="P8" s="317">
        <v>0.45</v>
      </c>
      <c r="Q8" s="317">
        <v>0.45</v>
      </c>
      <c r="R8" s="317">
        <v>0.45</v>
      </c>
      <c r="S8" s="318">
        <v>0.45</v>
      </c>
      <c r="T8" s="314">
        <v>1.2</v>
      </c>
      <c r="U8" s="314">
        <v>1.1000000000000001</v>
      </c>
      <c r="V8" s="314">
        <v>1.05</v>
      </c>
      <c r="W8" s="314">
        <v>1</v>
      </c>
      <c r="X8" s="314">
        <v>1</v>
      </c>
      <c r="Y8" s="314">
        <v>1</v>
      </c>
      <c r="Z8" s="314">
        <v>1</v>
      </c>
      <c r="AA8" s="314">
        <v>1</v>
      </c>
      <c r="AB8" s="317">
        <v>0.74</v>
      </c>
      <c r="AC8" s="321">
        <v>0.66</v>
      </c>
      <c r="AD8" s="321">
        <v>0.61</v>
      </c>
      <c r="AE8" s="321">
        <v>0.55000000000000004</v>
      </c>
      <c r="AF8" s="321">
        <v>0.55000000000000004</v>
      </c>
      <c r="AG8" s="317">
        <v>0.55000000000000004</v>
      </c>
      <c r="AH8" s="317">
        <v>0.55000000000000004</v>
      </c>
      <c r="AI8" s="317">
        <v>0.55000000000000004</v>
      </c>
    </row>
    <row r="9" spans="1:35">
      <c r="A9" s="180" t="s">
        <v>1646</v>
      </c>
      <c r="B9" s="32" t="s">
        <v>1347</v>
      </c>
      <c r="C9" s="32" t="s">
        <v>1513</v>
      </c>
      <c r="D9" s="313">
        <v>0.88</v>
      </c>
      <c r="E9" s="313">
        <v>0.84</v>
      </c>
      <c r="F9" s="313">
        <v>0.81</v>
      </c>
      <c r="G9" s="314">
        <v>0.8</v>
      </c>
      <c r="H9" s="314">
        <v>0.8</v>
      </c>
      <c r="I9" s="314">
        <v>0.8</v>
      </c>
      <c r="J9" s="314">
        <v>0.8</v>
      </c>
      <c r="K9" s="314">
        <v>0.8</v>
      </c>
      <c r="L9" s="317">
        <v>0.52</v>
      </c>
      <c r="M9" s="317">
        <v>0.5</v>
      </c>
      <c r="N9" s="317">
        <v>0.47</v>
      </c>
      <c r="O9" s="317">
        <v>0.45</v>
      </c>
      <c r="P9" s="317">
        <v>0.45</v>
      </c>
      <c r="Q9" s="317">
        <v>0.45</v>
      </c>
      <c r="R9" s="317">
        <v>0.45</v>
      </c>
      <c r="S9" s="318">
        <v>0.45</v>
      </c>
      <c r="T9" s="314">
        <v>1.2</v>
      </c>
      <c r="U9" s="314">
        <v>1.1000000000000001</v>
      </c>
      <c r="V9" s="314">
        <v>1.05</v>
      </c>
      <c r="W9" s="314">
        <v>1</v>
      </c>
      <c r="X9" s="314">
        <v>1</v>
      </c>
      <c r="Y9" s="314">
        <v>1</v>
      </c>
      <c r="Z9" s="314">
        <v>1</v>
      </c>
      <c r="AA9" s="314">
        <v>1</v>
      </c>
      <c r="AB9" s="317">
        <v>0.74</v>
      </c>
      <c r="AC9" s="321">
        <v>0.66</v>
      </c>
      <c r="AD9" s="321">
        <v>0.61</v>
      </c>
      <c r="AE9" s="321">
        <v>0.55000000000000004</v>
      </c>
      <c r="AF9" s="321">
        <v>0.55000000000000004</v>
      </c>
      <c r="AG9" s="317">
        <v>0.55000000000000004</v>
      </c>
      <c r="AH9" s="317">
        <v>0.55000000000000004</v>
      </c>
      <c r="AI9" s="317">
        <v>0.55000000000000004</v>
      </c>
    </row>
    <row r="10" spans="1:35">
      <c r="A10" s="180" t="s">
        <v>1646</v>
      </c>
      <c r="B10" s="32" t="s">
        <v>1347</v>
      </c>
      <c r="C10" s="32" t="s">
        <v>1501</v>
      </c>
      <c r="D10" s="313">
        <v>0.88</v>
      </c>
      <c r="E10" s="313">
        <v>0.84</v>
      </c>
      <c r="F10" s="313">
        <v>0.81</v>
      </c>
      <c r="G10" s="314">
        <v>0.8</v>
      </c>
      <c r="H10" s="314">
        <v>0.8</v>
      </c>
      <c r="I10" s="314">
        <v>0.8</v>
      </c>
      <c r="J10" s="314">
        <v>0.8</v>
      </c>
      <c r="K10" s="314">
        <v>0.8</v>
      </c>
      <c r="L10" s="317">
        <v>0.52</v>
      </c>
      <c r="M10" s="317">
        <v>0.5</v>
      </c>
      <c r="N10" s="317">
        <v>0.47</v>
      </c>
      <c r="O10" s="317">
        <v>0.45</v>
      </c>
      <c r="P10" s="317">
        <v>0.45</v>
      </c>
      <c r="Q10" s="317">
        <v>0.45</v>
      </c>
      <c r="R10" s="317">
        <v>0.45</v>
      </c>
      <c r="S10" s="318">
        <v>0.45</v>
      </c>
      <c r="T10" s="314">
        <v>1.2</v>
      </c>
      <c r="U10" s="314">
        <v>1.1000000000000001</v>
      </c>
      <c r="V10" s="314">
        <v>1.05</v>
      </c>
      <c r="W10" s="314">
        <v>1</v>
      </c>
      <c r="X10" s="314">
        <v>1</v>
      </c>
      <c r="Y10" s="314">
        <v>1</v>
      </c>
      <c r="Z10" s="314">
        <v>1</v>
      </c>
      <c r="AA10" s="314">
        <v>1</v>
      </c>
      <c r="AB10" s="317">
        <v>0.74</v>
      </c>
      <c r="AC10" s="321">
        <v>0.66</v>
      </c>
      <c r="AD10" s="321">
        <v>0.61</v>
      </c>
      <c r="AE10" s="321">
        <v>0.55000000000000004</v>
      </c>
      <c r="AF10" s="321">
        <v>0.55000000000000004</v>
      </c>
      <c r="AG10" s="317">
        <v>0.55000000000000004</v>
      </c>
      <c r="AH10" s="317">
        <v>0.55000000000000004</v>
      </c>
      <c r="AI10" s="317">
        <v>0.55000000000000004</v>
      </c>
    </row>
    <row r="11" spans="1:35">
      <c r="A11" s="180" t="s">
        <v>1646</v>
      </c>
      <c r="B11" s="32" t="s">
        <v>1347</v>
      </c>
      <c r="C11" s="32" t="s">
        <v>1502</v>
      </c>
      <c r="D11" s="313">
        <v>0.88</v>
      </c>
      <c r="E11" s="313">
        <v>0.84</v>
      </c>
      <c r="F11" s="313">
        <v>0.81</v>
      </c>
      <c r="G11" s="314">
        <v>0.8</v>
      </c>
      <c r="H11" s="314">
        <v>0.8</v>
      </c>
      <c r="I11" s="314">
        <v>0.8</v>
      </c>
      <c r="J11" s="314">
        <v>0.8</v>
      </c>
      <c r="K11" s="314">
        <v>0.8</v>
      </c>
      <c r="L11" s="317">
        <v>0.52</v>
      </c>
      <c r="M11" s="317">
        <v>0.5</v>
      </c>
      <c r="N11" s="317">
        <v>0.47</v>
      </c>
      <c r="O11" s="317">
        <v>0.45</v>
      </c>
      <c r="P11" s="317">
        <v>0.45</v>
      </c>
      <c r="Q11" s="317">
        <v>0.45</v>
      </c>
      <c r="R11" s="317">
        <v>0.45</v>
      </c>
      <c r="S11" s="318">
        <v>0.45</v>
      </c>
      <c r="T11" s="314">
        <v>1.2</v>
      </c>
      <c r="U11" s="314">
        <v>1.1000000000000001</v>
      </c>
      <c r="V11" s="314">
        <v>1.05</v>
      </c>
      <c r="W11" s="314">
        <v>1</v>
      </c>
      <c r="X11" s="314">
        <v>1</v>
      </c>
      <c r="Y11" s="314">
        <v>1</v>
      </c>
      <c r="Z11" s="314">
        <v>1</v>
      </c>
      <c r="AA11" s="314">
        <v>1</v>
      </c>
      <c r="AB11" s="317">
        <v>0.74</v>
      </c>
      <c r="AC11" s="321">
        <v>0.66</v>
      </c>
      <c r="AD11" s="321">
        <v>0.61</v>
      </c>
      <c r="AE11" s="321">
        <v>0.55000000000000004</v>
      </c>
      <c r="AF11" s="321">
        <v>0.55000000000000004</v>
      </c>
      <c r="AG11" s="317">
        <v>0.55000000000000004</v>
      </c>
      <c r="AH11" s="317">
        <v>0.55000000000000004</v>
      </c>
      <c r="AI11" s="317">
        <v>0.55000000000000004</v>
      </c>
    </row>
    <row r="12" spans="1:35">
      <c r="A12" s="180" t="s">
        <v>1646</v>
      </c>
      <c r="B12" s="32" t="s">
        <v>1515</v>
      </c>
      <c r="C12" s="32" t="s">
        <v>1820</v>
      </c>
      <c r="D12" s="313">
        <v>0.88</v>
      </c>
      <c r="E12" s="313">
        <v>0.84</v>
      </c>
      <c r="F12" s="313">
        <v>0.81</v>
      </c>
      <c r="G12" s="314">
        <v>0.8</v>
      </c>
      <c r="H12" s="314">
        <v>0.8</v>
      </c>
      <c r="I12" s="314">
        <v>0.8</v>
      </c>
      <c r="J12" s="314">
        <v>0.8</v>
      </c>
      <c r="K12" s="314">
        <v>0.8</v>
      </c>
      <c r="L12" s="317">
        <v>0.52</v>
      </c>
      <c r="M12" s="317">
        <v>0.5</v>
      </c>
      <c r="N12" s="317">
        <v>0.47</v>
      </c>
      <c r="O12" s="317">
        <v>0.45</v>
      </c>
      <c r="P12" s="317">
        <v>0.45</v>
      </c>
      <c r="Q12" s="317">
        <v>0.45</v>
      </c>
      <c r="R12" s="317">
        <v>0.45</v>
      </c>
      <c r="S12" s="318">
        <v>0.45</v>
      </c>
      <c r="T12" s="314">
        <v>1.2</v>
      </c>
      <c r="U12" s="314">
        <v>1.1000000000000001</v>
      </c>
      <c r="V12" s="314">
        <v>1.05</v>
      </c>
      <c r="W12" s="314">
        <v>1</v>
      </c>
      <c r="X12" s="314">
        <v>1</v>
      </c>
      <c r="Y12" s="314">
        <v>1</v>
      </c>
      <c r="Z12" s="314">
        <v>1</v>
      </c>
      <c r="AA12" s="314">
        <v>1</v>
      </c>
      <c r="AB12" s="317">
        <v>0.74</v>
      </c>
      <c r="AC12" s="321">
        <v>0.66</v>
      </c>
      <c r="AD12" s="321">
        <v>0.61</v>
      </c>
      <c r="AE12" s="321">
        <v>0.55000000000000004</v>
      </c>
      <c r="AF12" s="321">
        <v>0.55000000000000004</v>
      </c>
      <c r="AG12" s="317">
        <v>0.55000000000000004</v>
      </c>
      <c r="AH12" s="317">
        <v>0.55000000000000004</v>
      </c>
      <c r="AI12" s="317">
        <v>0.55000000000000004</v>
      </c>
    </row>
    <row r="13" spans="1:35">
      <c r="A13" s="180" t="s">
        <v>1646</v>
      </c>
      <c r="B13" s="32" t="s">
        <v>1515</v>
      </c>
      <c r="C13" s="471" t="s">
        <v>1806</v>
      </c>
      <c r="D13" s="313">
        <v>0.88</v>
      </c>
      <c r="E13" s="313">
        <v>0.84</v>
      </c>
      <c r="F13" s="313">
        <v>0.81</v>
      </c>
      <c r="G13" s="314">
        <v>0.8</v>
      </c>
      <c r="H13" s="314">
        <v>0.8</v>
      </c>
      <c r="I13" s="314">
        <v>0.8</v>
      </c>
      <c r="J13" s="314">
        <v>0.8</v>
      </c>
      <c r="K13" s="314">
        <v>0.8</v>
      </c>
      <c r="L13" s="317">
        <v>0.52</v>
      </c>
      <c r="M13" s="317">
        <v>0.5</v>
      </c>
      <c r="N13" s="317">
        <v>0.47</v>
      </c>
      <c r="O13" s="317">
        <v>0.45</v>
      </c>
      <c r="P13" s="317">
        <v>0.45</v>
      </c>
      <c r="Q13" s="317">
        <v>0.45</v>
      </c>
      <c r="R13" s="317">
        <v>0.45</v>
      </c>
      <c r="S13" s="318">
        <v>0.45</v>
      </c>
      <c r="T13" s="314">
        <v>1.2</v>
      </c>
      <c r="U13" s="314">
        <v>1.1000000000000001</v>
      </c>
      <c r="V13" s="314">
        <v>1.05</v>
      </c>
      <c r="W13" s="314">
        <v>1</v>
      </c>
      <c r="X13" s="314">
        <v>1</v>
      </c>
      <c r="Y13" s="314">
        <v>1</v>
      </c>
      <c r="Z13" s="314">
        <v>1</v>
      </c>
      <c r="AA13" s="314">
        <v>1</v>
      </c>
      <c r="AB13" s="317">
        <v>0.74</v>
      </c>
      <c r="AC13" s="321">
        <v>0.66</v>
      </c>
      <c r="AD13" s="321">
        <v>0.61</v>
      </c>
      <c r="AE13" s="321">
        <v>0.55000000000000004</v>
      </c>
      <c r="AF13" s="321">
        <v>0.55000000000000004</v>
      </c>
      <c r="AG13" s="317">
        <v>0.55000000000000004</v>
      </c>
      <c r="AH13" s="317">
        <v>0.55000000000000004</v>
      </c>
      <c r="AI13" s="317">
        <v>0.55000000000000004</v>
      </c>
    </row>
    <row r="14" spans="1:35">
      <c r="A14" s="180" t="s">
        <v>1646</v>
      </c>
      <c r="B14" s="32" t="s">
        <v>1515</v>
      </c>
      <c r="C14" s="32" t="s">
        <v>1821</v>
      </c>
      <c r="D14" s="313">
        <v>0.88</v>
      </c>
      <c r="E14" s="313">
        <v>0.84</v>
      </c>
      <c r="F14" s="313">
        <v>0.81</v>
      </c>
      <c r="G14" s="314">
        <v>0.8</v>
      </c>
      <c r="H14" s="314">
        <v>0.8</v>
      </c>
      <c r="I14" s="314">
        <v>0.8</v>
      </c>
      <c r="J14" s="314">
        <v>0.8</v>
      </c>
      <c r="K14" s="314">
        <v>0.8</v>
      </c>
      <c r="L14" s="317">
        <v>0.52</v>
      </c>
      <c r="M14" s="317">
        <v>0.5</v>
      </c>
      <c r="N14" s="317">
        <v>0.47</v>
      </c>
      <c r="O14" s="317">
        <v>0.45</v>
      </c>
      <c r="P14" s="317">
        <v>0.45</v>
      </c>
      <c r="Q14" s="317">
        <v>0.45</v>
      </c>
      <c r="R14" s="317">
        <v>0.45</v>
      </c>
      <c r="S14" s="318">
        <v>0.45</v>
      </c>
      <c r="T14" s="314">
        <v>1.2</v>
      </c>
      <c r="U14" s="314">
        <v>1.1000000000000001</v>
      </c>
      <c r="V14" s="314">
        <v>1.05</v>
      </c>
      <c r="W14" s="314">
        <v>1</v>
      </c>
      <c r="X14" s="314">
        <v>1</v>
      </c>
      <c r="Y14" s="314">
        <v>1</v>
      </c>
      <c r="Z14" s="314">
        <v>1</v>
      </c>
      <c r="AA14" s="314">
        <v>1</v>
      </c>
      <c r="AB14" s="317">
        <v>0.74</v>
      </c>
      <c r="AC14" s="321">
        <v>0.66</v>
      </c>
      <c r="AD14" s="321">
        <v>0.61</v>
      </c>
      <c r="AE14" s="321">
        <v>0.55000000000000004</v>
      </c>
      <c r="AF14" s="321">
        <v>0.55000000000000004</v>
      </c>
      <c r="AG14" s="317">
        <v>0.55000000000000004</v>
      </c>
      <c r="AH14" s="317">
        <v>0.55000000000000004</v>
      </c>
      <c r="AI14" s="317">
        <v>0.55000000000000004</v>
      </c>
    </row>
    <row r="15" spans="1:35">
      <c r="A15" s="180" t="s">
        <v>1646</v>
      </c>
      <c r="B15" s="464" t="s">
        <v>1576</v>
      </c>
      <c r="C15" s="464" t="s">
        <v>1602</v>
      </c>
      <c r="D15" s="313">
        <v>0.88</v>
      </c>
      <c r="E15" s="313">
        <v>0.84</v>
      </c>
      <c r="F15" s="313">
        <v>0.81</v>
      </c>
      <c r="G15" s="314">
        <v>0.8</v>
      </c>
      <c r="H15" s="315">
        <v>0.7</v>
      </c>
      <c r="I15" s="315">
        <v>0.7</v>
      </c>
      <c r="J15" s="315">
        <v>0.7</v>
      </c>
      <c r="K15" s="315">
        <v>0.7</v>
      </c>
      <c r="L15" s="317">
        <v>0.52</v>
      </c>
      <c r="M15" s="317">
        <v>0.5</v>
      </c>
      <c r="N15" s="317">
        <v>0.47</v>
      </c>
      <c r="O15" s="317">
        <v>0.45</v>
      </c>
      <c r="P15" s="319">
        <v>0.4</v>
      </c>
      <c r="Q15" s="319">
        <v>0.4</v>
      </c>
      <c r="R15" s="319">
        <v>0.4</v>
      </c>
      <c r="S15" s="320">
        <v>0.4</v>
      </c>
      <c r="T15" s="314">
        <v>1.2</v>
      </c>
      <c r="U15" s="314">
        <v>1.1000000000000001</v>
      </c>
      <c r="V15" s="314">
        <v>1.05</v>
      </c>
      <c r="W15" s="314">
        <v>1</v>
      </c>
      <c r="X15" s="315">
        <v>0.9</v>
      </c>
      <c r="Y15" s="315">
        <v>0.9</v>
      </c>
      <c r="Z15" s="315">
        <v>0.9</v>
      </c>
      <c r="AA15" s="315">
        <v>0.9</v>
      </c>
      <c r="AB15" s="317">
        <v>0.74</v>
      </c>
      <c r="AC15" s="321">
        <v>0.66</v>
      </c>
      <c r="AD15" s="321">
        <v>0.61</v>
      </c>
      <c r="AE15" s="321">
        <v>0.55000000000000004</v>
      </c>
      <c r="AF15" s="319">
        <v>0.5</v>
      </c>
      <c r="AG15" s="325">
        <v>0.5</v>
      </c>
      <c r="AH15" s="325">
        <v>0.5</v>
      </c>
      <c r="AI15" s="325">
        <v>0.5</v>
      </c>
    </row>
    <row r="16" spans="1:35">
      <c r="A16" s="180" t="s">
        <v>1646</v>
      </c>
      <c r="B16" s="466" t="s">
        <v>1807</v>
      </c>
      <c r="C16" s="32" t="s">
        <v>1514</v>
      </c>
      <c r="D16" s="313">
        <v>0.88</v>
      </c>
      <c r="E16" s="313">
        <v>0.84</v>
      </c>
      <c r="F16" s="313">
        <v>0.81</v>
      </c>
      <c r="G16" s="314">
        <v>0.8</v>
      </c>
      <c r="H16" s="314">
        <v>0.8</v>
      </c>
      <c r="I16" s="314">
        <v>0.8</v>
      </c>
      <c r="J16" s="314">
        <v>0.8</v>
      </c>
      <c r="K16" s="314">
        <v>0.8</v>
      </c>
      <c r="L16" s="317">
        <v>0.52</v>
      </c>
      <c r="M16" s="317">
        <v>0.5</v>
      </c>
      <c r="N16" s="317">
        <v>0.47</v>
      </c>
      <c r="O16" s="317">
        <v>0.45</v>
      </c>
      <c r="P16" s="317">
        <v>0.45</v>
      </c>
      <c r="Q16" s="317">
        <v>0.45</v>
      </c>
      <c r="R16" s="317">
        <v>0.45</v>
      </c>
      <c r="S16" s="318">
        <v>0.45</v>
      </c>
      <c r="T16" s="314">
        <v>1.2</v>
      </c>
      <c r="U16" s="314">
        <v>1.1000000000000001</v>
      </c>
      <c r="V16" s="314">
        <v>1.05</v>
      </c>
      <c r="W16" s="314">
        <v>1</v>
      </c>
      <c r="X16" s="314">
        <v>1</v>
      </c>
      <c r="Y16" s="314">
        <v>1</v>
      </c>
      <c r="Z16" s="314">
        <v>1</v>
      </c>
      <c r="AA16" s="314">
        <v>1</v>
      </c>
      <c r="AB16" s="317">
        <v>0.74</v>
      </c>
      <c r="AC16" s="321">
        <v>0.66</v>
      </c>
      <c r="AD16" s="321">
        <v>0.61</v>
      </c>
      <c r="AE16" s="321">
        <v>0.55000000000000004</v>
      </c>
      <c r="AF16" s="321">
        <v>0.55000000000000004</v>
      </c>
      <c r="AG16" s="317">
        <v>0.55000000000000004</v>
      </c>
      <c r="AH16" s="317">
        <v>0.55000000000000004</v>
      </c>
      <c r="AI16" s="317">
        <v>0.55000000000000004</v>
      </c>
    </row>
    <row r="17" spans="1:35">
      <c r="A17" s="180" t="s">
        <v>1646</v>
      </c>
      <c r="B17" s="466" t="s">
        <v>1807</v>
      </c>
      <c r="C17" s="466" t="s">
        <v>1504</v>
      </c>
      <c r="D17" s="313">
        <v>0.88</v>
      </c>
      <c r="E17" s="313">
        <v>0.84</v>
      </c>
      <c r="F17" s="313">
        <v>0.81</v>
      </c>
      <c r="G17" s="314">
        <v>0.8</v>
      </c>
      <c r="H17" s="314">
        <v>0.8</v>
      </c>
      <c r="I17" s="314">
        <v>0.8</v>
      </c>
      <c r="J17" s="314">
        <v>0.8</v>
      </c>
      <c r="K17" s="314">
        <v>0.8</v>
      </c>
      <c r="L17" s="317">
        <v>0.52</v>
      </c>
      <c r="M17" s="317">
        <v>0.5</v>
      </c>
      <c r="N17" s="317">
        <v>0.47</v>
      </c>
      <c r="O17" s="317">
        <v>0.45</v>
      </c>
      <c r="P17" s="317">
        <v>0.45</v>
      </c>
      <c r="Q17" s="317">
        <v>0.45</v>
      </c>
      <c r="R17" s="317">
        <v>0.45</v>
      </c>
      <c r="S17" s="318">
        <v>0.45</v>
      </c>
      <c r="T17" s="314">
        <v>1.2</v>
      </c>
      <c r="U17" s="314">
        <v>1.1000000000000001</v>
      </c>
      <c r="V17" s="314">
        <v>1.05</v>
      </c>
      <c r="W17" s="314">
        <v>1</v>
      </c>
      <c r="X17" s="314">
        <v>1</v>
      </c>
      <c r="Y17" s="314">
        <v>1</v>
      </c>
      <c r="Z17" s="314">
        <v>1</v>
      </c>
      <c r="AA17" s="314">
        <v>1</v>
      </c>
      <c r="AB17" s="317">
        <v>0.74</v>
      </c>
      <c r="AC17" s="321">
        <v>0.66</v>
      </c>
      <c r="AD17" s="321">
        <v>0.61</v>
      </c>
      <c r="AE17" s="321">
        <v>0.55000000000000004</v>
      </c>
      <c r="AF17" s="321">
        <v>0.55000000000000004</v>
      </c>
      <c r="AG17" s="317">
        <v>0.55000000000000004</v>
      </c>
      <c r="AH17" s="317">
        <v>0.55000000000000004</v>
      </c>
      <c r="AI17" s="317">
        <v>0.55000000000000004</v>
      </c>
    </row>
    <row r="18" spans="1:35">
      <c r="A18" s="180" t="s">
        <v>1646</v>
      </c>
      <c r="B18" s="466" t="s">
        <v>1807</v>
      </c>
      <c r="C18" s="32" t="s">
        <v>1506</v>
      </c>
      <c r="D18" s="313">
        <v>0.88</v>
      </c>
      <c r="E18" s="313">
        <v>0.84</v>
      </c>
      <c r="F18" s="313">
        <v>0.81</v>
      </c>
      <c r="G18" s="314">
        <v>0.8</v>
      </c>
      <c r="H18" s="314">
        <v>0.8</v>
      </c>
      <c r="I18" s="314">
        <v>0.8</v>
      </c>
      <c r="J18" s="314">
        <v>0.8</v>
      </c>
      <c r="K18" s="314">
        <v>0.8</v>
      </c>
      <c r="L18" s="317">
        <v>0.52</v>
      </c>
      <c r="M18" s="317">
        <v>0.5</v>
      </c>
      <c r="N18" s="317">
        <v>0.47</v>
      </c>
      <c r="O18" s="317">
        <v>0.45</v>
      </c>
      <c r="P18" s="317">
        <v>0.45</v>
      </c>
      <c r="Q18" s="317">
        <v>0.45</v>
      </c>
      <c r="R18" s="317">
        <v>0.45</v>
      </c>
      <c r="S18" s="318">
        <v>0.45</v>
      </c>
      <c r="T18" s="314">
        <v>1.2</v>
      </c>
      <c r="U18" s="314">
        <v>1.1000000000000001</v>
      </c>
      <c r="V18" s="314">
        <v>1.05</v>
      </c>
      <c r="W18" s="314">
        <v>1</v>
      </c>
      <c r="X18" s="314">
        <v>1</v>
      </c>
      <c r="Y18" s="314">
        <v>1</v>
      </c>
      <c r="Z18" s="314">
        <v>1</v>
      </c>
      <c r="AA18" s="314">
        <v>1</v>
      </c>
      <c r="AB18" s="317">
        <v>0.74</v>
      </c>
      <c r="AC18" s="321">
        <v>0.66</v>
      </c>
      <c r="AD18" s="321">
        <v>0.61</v>
      </c>
      <c r="AE18" s="321">
        <v>0.55000000000000004</v>
      </c>
      <c r="AF18" s="321">
        <v>0.55000000000000004</v>
      </c>
      <c r="AG18" s="317">
        <v>0.55000000000000004</v>
      </c>
      <c r="AH18" s="317">
        <v>0.55000000000000004</v>
      </c>
      <c r="AI18" s="317">
        <v>0.55000000000000004</v>
      </c>
    </row>
    <row r="19" spans="1:35">
      <c r="A19" s="32" t="s">
        <v>1305</v>
      </c>
      <c r="B19" s="466" t="s">
        <v>1807</v>
      </c>
      <c r="C19" s="32" t="s">
        <v>1349</v>
      </c>
      <c r="D19" s="313">
        <v>1.02</v>
      </c>
      <c r="E19" s="313">
        <v>0.97</v>
      </c>
      <c r="F19" s="313">
        <v>0.93</v>
      </c>
      <c r="G19" s="314">
        <v>0.89</v>
      </c>
      <c r="H19" s="314">
        <v>0.85</v>
      </c>
      <c r="I19" s="315">
        <v>0.8</v>
      </c>
      <c r="J19" s="314">
        <v>0.8</v>
      </c>
      <c r="K19" s="314">
        <v>0.8</v>
      </c>
      <c r="L19" s="321">
        <v>0.6</v>
      </c>
      <c r="M19" s="321">
        <v>0.57999999999999996</v>
      </c>
      <c r="N19" s="321">
        <v>0.54</v>
      </c>
      <c r="O19" s="321">
        <v>0.5</v>
      </c>
      <c r="P19" s="321">
        <v>0.48</v>
      </c>
      <c r="Q19" s="321">
        <v>0.45</v>
      </c>
      <c r="R19" s="321">
        <v>0.45</v>
      </c>
      <c r="S19" s="322">
        <v>0.45</v>
      </c>
      <c r="T19" s="314">
        <v>1.26</v>
      </c>
      <c r="U19" s="314">
        <v>1.2</v>
      </c>
      <c r="V19" s="314">
        <v>1.1299999999999999</v>
      </c>
      <c r="W19" s="314">
        <v>1.07</v>
      </c>
      <c r="X19" s="314">
        <v>1.03</v>
      </c>
      <c r="Y19" s="315">
        <v>1</v>
      </c>
      <c r="Z19" s="315">
        <v>1</v>
      </c>
      <c r="AA19" s="315">
        <v>1</v>
      </c>
      <c r="AB19" s="317">
        <v>0.78</v>
      </c>
      <c r="AC19" s="321">
        <v>0.74</v>
      </c>
      <c r="AD19" s="321">
        <v>0.69</v>
      </c>
      <c r="AE19" s="321">
        <v>0.64</v>
      </c>
      <c r="AF19" s="321">
        <v>0.6</v>
      </c>
      <c r="AG19" s="317">
        <v>0.55000000000000004</v>
      </c>
      <c r="AH19" s="317">
        <v>0.55000000000000004</v>
      </c>
      <c r="AI19" s="317">
        <v>0.55000000000000004</v>
      </c>
    </row>
    <row r="20" spans="1:35">
      <c r="A20" s="32" t="s">
        <v>1305</v>
      </c>
      <c r="B20" s="466" t="s">
        <v>1807</v>
      </c>
      <c r="C20" s="32" t="s">
        <v>1501</v>
      </c>
      <c r="D20" s="313">
        <v>1.02</v>
      </c>
      <c r="E20" s="313">
        <v>0.97</v>
      </c>
      <c r="F20" s="313">
        <v>0.93</v>
      </c>
      <c r="G20" s="314">
        <v>0.89</v>
      </c>
      <c r="H20" s="314">
        <v>0.85</v>
      </c>
      <c r="I20" s="315">
        <v>0.8</v>
      </c>
      <c r="J20" s="314">
        <v>0.8</v>
      </c>
      <c r="K20" s="314">
        <v>0.8</v>
      </c>
      <c r="L20" s="321">
        <v>0.6</v>
      </c>
      <c r="M20" s="321">
        <v>0.57999999999999996</v>
      </c>
      <c r="N20" s="321">
        <v>0.54</v>
      </c>
      <c r="O20" s="321">
        <v>0.5</v>
      </c>
      <c r="P20" s="321">
        <v>0.48</v>
      </c>
      <c r="Q20" s="321">
        <v>0.45</v>
      </c>
      <c r="R20" s="321">
        <v>0.45</v>
      </c>
      <c r="S20" s="322">
        <v>0.45</v>
      </c>
      <c r="T20" s="314">
        <v>1.26</v>
      </c>
      <c r="U20" s="314">
        <v>1.2</v>
      </c>
      <c r="V20" s="314">
        <v>1.1299999999999999</v>
      </c>
      <c r="W20" s="314">
        <v>1.07</v>
      </c>
      <c r="X20" s="314">
        <v>1.03</v>
      </c>
      <c r="Y20" s="315">
        <v>1</v>
      </c>
      <c r="Z20" s="315">
        <v>1</v>
      </c>
      <c r="AA20" s="315">
        <v>1</v>
      </c>
      <c r="AB20" s="317">
        <v>0.78</v>
      </c>
      <c r="AC20" s="321">
        <v>0.74</v>
      </c>
      <c r="AD20" s="321">
        <v>0.69</v>
      </c>
      <c r="AE20" s="321">
        <v>0.64</v>
      </c>
      <c r="AF20" s="321">
        <v>0.6</v>
      </c>
      <c r="AG20" s="317">
        <v>0.55000000000000004</v>
      </c>
      <c r="AH20" s="317">
        <v>0.55000000000000004</v>
      </c>
      <c r="AI20" s="317">
        <v>0.55000000000000004</v>
      </c>
    </row>
    <row r="21" spans="1:35">
      <c r="A21" s="32" t="s">
        <v>1305</v>
      </c>
      <c r="B21" s="466" t="s">
        <v>1807</v>
      </c>
      <c r="C21" s="32" t="s">
        <v>1502</v>
      </c>
      <c r="D21" s="313">
        <v>1.02</v>
      </c>
      <c r="E21" s="313">
        <v>0.97</v>
      </c>
      <c r="F21" s="313">
        <v>0.93</v>
      </c>
      <c r="G21" s="314">
        <v>0.89</v>
      </c>
      <c r="H21" s="314">
        <v>0.85</v>
      </c>
      <c r="I21" s="315">
        <v>0.8</v>
      </c>
      <c r="J21" s="314">
        <v>0.8</v>
      </c>
      <c r="K21" s="314">
        <v>0.8</v>
      </c>
      <c r="L21" s="321">
        <v>0.6</v>
      </c>
      <c r="M21" s="321">
        <v>0.57999999999999996</v>
      </c>
      <c r="N21" s="321">
        <v>0.54</v>
      </c>
      <c r="O21" s="321">
        <v>0.5</v>
      </c>
      <c r="P21" s="321">
        <v>0.48</v>
      </c>
      <c r="Q21" s="321">
        <v>0.45</v>
      </c>
      <c r="R21" s="321">
        <v>0.45</v>
      </c>
      <c r="S21" s="322">
        <v>0.45</v>
      </c>
      <c r="T21" s="314">
        <v>1.26</v>
      </c>
      <c r="U21" s="314">
        <v>1.2</v>
      </c>
      <c r="V21" s="314">
        <v>1.1299999999999999</v>
      </c>
      <c r="W21" s="314">
        <v>1.07</v>
      </c>
      <c r="X21" s="314">
        <v>1.03</v>
      </c>
      <c r="Y21" s="315">
        <v>1</v>
      </c>
      <c r="Z21" s="315">
        <v>1</v>
      </c>
      <c r="AA21" s="315">
        <v>1</v>
      </c>
      <c r="AB21" s="317">
        <v>0.78</v>
      </c>
      <c r="AC21" s="321">
        <v>0.74</v>
      </c>
      <c r="AD21" s="321">
        <v>0.69</v>
      </c>
      <c r="AE21" s="321">
        <v>0.64</v>
      </c>
      <c r="AF21" s="321">
        <v>0.6</v>
      </c>
      <c r="AG21" s="317">
        <v>0.55000000000000004</v>
      </c>
      <c r="AH21" s="317">
        <v>0.55000000000000004</v>
      </c>
      <c r="AI21" s="317">
        <v>0.55000000000000004</v>
      </c>
    </row>
    <row r="22" spans="1:35">
      <c r="A22" s="32" t="s">
        <v>1305</v>
      </c>
      <c r="B22" s="466" t="s">
        <v>1807</v>
      </c>
      <c r="C22" s="466" t="s">
        <v>1810</v>
      </c>
      <c r="D22" s="313">
        <v>1.02</v>
      </c>
      <c r="E22" s="313">
        <v>0.97</v>
      </c>
      <c r="F22" s="313">
        <v>0.93</v>
      </c>
      <c r="G22" s="314">
        <v>0.89</v>
      </c>
      <c r="H22" s="314">
        <v>0.85</v>
      </c>
      <c r="I22" s="315">
        <v>0.8</v>
      </c>
      <c r="J22" s="314">
        <v>0.8</v>
      </c>
      <c r="K22" s="314">
        <v>0.8</v>
      </c>
      <c r="L22" s="321">
        <v>0.6</v>
      </c>
      <c r="M22" s="321">
        <v>0.57999999999999996</v>
      </c>
      <c r="N22" s="321">
        <v>0.54</v>
      </c>
      <c r="O22" s="321">
        <v>0.5</v>
      </c>
      <c r="P22" s="321">
        <v>0.48</v>
      </c>
      <c r="Q22" s="321">
        <v>0.45</v>
      </c>
      <c r="R22" s="321">
        <v>0.45</v>
      </c>
      <c r="S22" s="322">
        <v>0.45</v>
      </c>
      <c r="T22" s="314">
        <v>1.26</v>
      </c>
      <c r="U22" s="314">
        <v>1.2</v>
      </c>
      <c r="V22" s="314">
        <v>1.1299999999999999</v>
      </c>
      <c r="W22" s="314">
        <v>1.07</v>
      </c>
      <c r="X22" s="314">
        <v>1.03</v>
      </c>
      <c r="Y22" s="315">
        <v>1</v>
      </c>
      <c r="Z22" s="315">
        <v>1</v>
      </c>
      <c r="AA22" s="315">
        <v>1</v>
      </c>
      <c r="AB22" s="317">
        <v>0.78</v>
      </c>
      <c r="AC22" s="321">
        <v>0.74</v>
      </c>
      <c r="AD22" s="321">
        <v>0.69</v>
      </c>
      <c r="AE22" s="321">
        <v>0.64</v>
      </c>
      <c r="AF22" s="321">
        <v>0.6</v>
      </c>
      <c r="AG22" s="317">
        <v>0.55000000000000004</v>
      </c>
      <c r="AH22" s="317">
        <v>0.55000000000000004</v>
      </c>
      <c r="AI22" s="317">
        <v>0.55000000000000004</v>
      </c>
    </row>
    <row r="23" spans="1:35">
      <c r="A23" s="32" t="s">
        <v>1305</v>
      </c>
      <c r="B23" s="466" t="s">
        <v>1807</v>
      </c>
      <c r="C23" s="32" t="s">
        <v>1474</v>
      </c>
      <c r="D23" s="313">
        <v>1.02</v>
      </c>
      <c r="E23" s="313">
        <v>0.97</v>
      </c>
      <c r="F23" s="313">
        <v>0.93</v>
      </c>
      <c r="G23" s="314">
        <v>0.89</v>
      </c>
      <c r="H23" s="314">
        <v>0.85</v>
      </c>
      <c r="I23" s="315">
        <v>0.8</v>
      </c>
      <c r="J23" s="314">
        <v>0.8</v>
      </c>
      <c r="K23" s="314">
        <v>0.8</v>
      </c>
      <c r="L23" s="321">
        <v>0.6</v>
      </c>
      <c r="M23" s="321">
        <v>0.57999999999999996</v>
      </c>
      <c r="N23" s="321">
        <v>0.54</v>
      </c>
      <c r="O23" s="321">
        <v>0.5</v>
      </c>
      <c r="P23" s="321">
        <v>0.48</v>
      </c>
      <c r="Q23" s="321">
        <v>0.45</v>
      </c>
      <c r="R23" s="321">
        <v>0.45</v>
      </c>
      <c r="S23" s="322">
        <v>0.45</v>
      </c>
      <c r="T23" s="314">
        <v>1.26</v>
      </c>
      <c r="U23" s="314">
        <v>1.2</v>
      </c>
      <c r="V23" s="314">
        <v>1.1299999999999999</v>
      </c>
      <c r="W23" s="314">
        <v>1.07</v>
      </c>
      <c r="X23" s="314">
        <v>1.03</v>
      </c>
      <c r="Y23" s="315">
        <v>1</v>
      </c>
      <c r="Z23" s="315">
        <v>1</v>
      </c>
      <c r="AA23" s="315">
        <v>1</v>
      </c>
      <c r="AB23" s="317">
        <v>0.78</v>
      </c>
      <c r="AC23" s="321">
        <v>0.74</v>
      </c>
      <c r="AD23" s="321">
        <v>0.69</v>
      </c>
      <c r="AE23" s="321">
        <v>0.64</v>
      </c>
      <c r="AF23" s="321">
        <v>0.6</v>
      </c>
      <c r="AG23" s="317">
        <v>0.55000000000000004</v>
      </c>
      <c r="AH23" s="317">
        <v>0.55000000000000004</v>
      </c>
      <c r="AI23" s="317">
        <v>0.55000000000000004</v>
      </c>
    </row>
    <row r="24" spans="1:35">
      <c r="A24" s="32" t="s">
        <v>1305</v>
      </c>
      <c r="B24" s="466" t="s">
        <v>1807</v>
      </c>
      <c r="C24" s="32" t="s">
        <v>1503</v>
      </c>
      <c r="D24" s="313">
        <v>1.02</v>
      </c>
      <c r="E24" s="313">
        <v>0.97</v>
      </c>
      <c r="F24" s="313">
        <v>0.93</v>
      </c>
      <c r="G24" s="314">
        <v>0.89</v>
      </c>
      <c r="H24" s="314">
        <v>0.85</v>
      </c>
      <c r="I24" s="315">
        <v>0.8</v>
      </c>
      <c r="J24" s="314">
        <v>0.8</v>
      </c>
      <c r="K24" s="314">
        <v>0.8</v>
      </c>
      <c r="L24" s="321">
        <v>0.6</v>
      </c>
      <c r="M24" s="321">
        <v>0.57999999999999996</v>
      </c>
      <c r="N24" s="321">
        <v>0.54</v>
      </c>
      <c r="O24" s="321">
        <v>0.5</v>
      </c>
      <c r="P24" s="321">
        <v>0.48</v>
      </c>
      <c r="Q24" s="321">
        <v>0.45</v>
      </c>
      <c r="R24" s="321">
        <v>0.45</v>
      </c>
      <c r="S24" s="322">
        <v>0.45</v>
      </c>
      <c r="T24" s="314">
        <v>1.26</v>
      </c>
      <c r="U24" s="314">
        <v>1.2</v>
      </c>
      <c r="V24" s="314">
        <v>1.1299999999999999</v>
      </c>
      <c r="W24" s="314">
        <v>1.07</v>
      </c>
      <c r="X24" s="314">
        <v>1.03</v>
      </c>
      <c r="Y24" s="315">
        <v>1</v>
      </c>
      <c r="Z24" s="315">
        <v>1</v>
      </c>
      <c r="AA24" s="315">
        <v>1</v>
      </c>
      <c r="AB24" s="317">
        <v>0.78</v>
      </c>
      <c r="AC24" s="321">
        <v>0.74</v>
      </c>
      <c r="AD24" s="321">
        <v>0.69</v>
      </c>
      <c r="AE24" s="321">
        <v>0.64</v>
      </c>
      <c r="AF24" s="321">
        <v>0.6</v>
      </c>
      <c r="AG24" s="317">
        <v>0.55000000000000004</v>
      </c>
      <c r="AH24" s="317">
        <v>0.55000000000000004</v>
      </c>
      <c r="AI24" s="317">
        <v>0.55000000000000004</v>
      </c>
    </row>
    <row r="25" spans="1:35">
      <c r="A25" s="32" t="s">
        <v>1305</v>
      </c>
      <c r="B25" s="466" t="s">
        <v>1807</v>
      </c>
      <c r="C25" s="466" t="s">
        <v>1504</v>
      </c>
      <c r="D25" s="313">
        <v>1.02</v>
      </c>
      <c r="E25" s="313">
        <v>0.97</v>
      </c>
      <c r="F25" s="313">
        <v>0.93</v>
      </c>
      <c r="G25" s="314">
        <v>0.89</v>
      </c>
      <c r="H25" s="314">
        <v>0.85</v>
      </c>
      <c r="I25" s="315">
        <v>0.8</v>
      </c>
      <c r="J25" s="314">
        <v>0.8</v>
      </c>
      <c r="K25" s="314">
        <v>0.8</v>
      </c>
      <c r="L25" s="321">
        <v>0.6</v>
      </c>
      <c r="M25" s="321">
        <v>0.57999999999999996</v>
      </c>
      <c r="N25" s="321">
        <v>0.54</v>
      </c>
      <c r="O25" s="321">
        <v>0.5</v>
      </c>
      <c r="P25" s="321">
        <v>0.48</v>
      </c>
      <c r="Q25" s="321">
        <v>0.45</v>
      </c>
      <c r="R25" s="321">
        <v>0.45</v>
      </c>
      <c r="S25" s="322">
        <v>0.45</v>
      </c>
      <c r="T25" s="314">
        <v>1.26</v>
      </c>
      <c r="U25" s="314">
        <v>1.2</v>
      </c>
      <c r="V25" s="314">
        <v>1.1299999999999999</v>
      </c>
      <c r="W25" s="314">
        <v>1.07</v>
      </c>
      <c r="X25" s="314">
        <v>1.03</v>
      </c>
      <c r="Y25" s="315">
        <v>1</v>
      </c>
      <c r="Z25" s="315">
        <v>1</v>
      </c>
      <c r="AA25" s="315">
        <v>1</v>
      </c>
      <c r="AB25" s="317">
        <v>0.78</v>
      </c>
      <c r="AC25" s="321">
        <v>0.74</v>
      </c>
      <c r="AD25" s="321">
        <v>0.69</v>
      </c>
      <c r="AE25" s="321">
        <v>0.64</v>
      </c>
      <c r="AF25" s="321">
        <v>0.6</v>
      </c>
      <c r="AG25" s="317">
        <v>0.55000000000000004</v>
      </c>
      <c r="AH25" s="317">
        <v>0.55000000000000004</v>
      </c>
      <c r="AI25" s="317">
        <v>0.55000000000000004</v>
      </c>
    </row>
    <row r="26" spans="1:35">
      <c r="A26" s="32" t="s">
        <v>1305</v>
      </c>
      <c r="B26" s="466" t="s">
        <v>1807</v>
      </c>
      <c r="C26" s="32" t="s">
        <v>1505</v>
      </c>
      <c r="D26" s="313">
        <v>1.02</v>
      </c>
      <c r="E26" s="313">
        <v>0.97</v>
      </c>
      <c r="F26" s="313">
        <v>0.93</v>
      </c>
      <c r="G26" s="314">
        <v>0.89</v>
      </c>
      <c r="H26" s="314">
        <v>0.85</v>
      </c>
      <c r="I26" s="315">
        <v>0.8</v>
      </c>
      <c r="J26" s="314">
        <v>0.8</v>
      </c>
      <c r="K26" s="314">
        <v>0.8</v>
      </c>
      <c r="L26" s="321">
        <v>0.6</v>
      </c>
      <c r="M26" s="321">
        <v>0.57999999999999996</v>
      </c>
      <c r="N26" s="321">
        <v>0.54</v>
      </c>
      <c r="O26" s="321">
        <v>0.5</v>
      </c>
      <c r="P26" s="321">
        <v>0.48</v>
      </c>
      <c r="Q26" s="321">
        <v>0.45</v>
      </c>
      <c r="R26" s="321">
        <v>0.45</v>
      </c>
      <c r="S26" s="322">
        <v>0.45</v>
      </c>
      <c r="T26" s="314">
        <v>1.26</v>
      </c>
      <c r="U26" s="314">
        <v>1.2</v>
      </c>
      <c r="V26" s="314">
        <v>1.1299999999999999</v>
      </c>
      <c r="W26" s="314">
        <v>1.07</v>
      </c>
      <c r="X26" s="314">
        <v>1.03</v>
      </c>
      <c r="Y26" s="315">
        <v>1</v>
      </c>
      <c r="Z26" s="315">
        <v>1</v>
      </c>
      <c r="AA26" s="315">
        <v>1</v>
      </c>
      <c r="AB26" s="317">
        <v>0.78</v>
      </c>
      <c r="AC26" s="321">
        <v>0.74</v>
      </c>
      <c r="AD26" s="321">
        <v>0.69</v>
      </c>
      <c r="AE26" s="321">
        <v>0.64</v>
      </c>
      <c r="AF26" s="321">
        <v>0.6</v>
      </c>
      <c r="AG26" s="317">
        <v>0.55000000000000004</v>
      </c>
      <c r="AH26" s="317">
        <v>0.55000000000000004</v>
      </c>
      <c r="AI26" s="317">
        <v>0.55000000000000004</v>
      </c>
    </row>
    <row r="27" spans="1:35">
      <c r="A27" s="32" t="s">
        <v>1305</v>
      </c>
      <c r="B27" s="466" t="s">
        <v>1807</v>
      </c>
      <c r="C27" s="32" t="s">
        <v>1506</v>
      </c>
      <c r="D27" s="313">
        <v>1.02</v>
      </c>
      <c r="E27" s="313">
        <v>0.97</v>
      </c>
      <c r="F27" s="313">
        <v>0.93</v>
      </c>
      <c r="G27" s="314">
        <v>0.89</v>
      </c>
      <c r="H27" s="314">
        <v>0.85</v>
      </c>
      <c r="I27" s="315">
        <v>0.8</v>
      </c>
      <c r="J27" s="314">
        <v>0.8</v>
      </c>
      <c r="K27" s="314">
        <v>0.8</v>
      </c>
      <c r="L27" s="321">
        <v>0.6</v>
      </c>
      <c r="M27" s="321">
        <v>0.57999999999999996</v>
      </c>
      <c r="N27" s="321">
        <v>0.54</v>
      </c>
      <c r="O27" s="321">
        <v>0.5</v>
      </c>
      <c r="P27" s="321">
        <v>0.48</v>
      </c>
      <c r="Q27" s="321">
        <v>0.45</v>
      </c>
      <c r="R27" s="321">
        <v>0.45</v>
      </c>
      <c r="S27" s="322">
        <v>0.45</v>
      </c>
      <c r="T27" s="314">
        <v>1.26</v>
      </c>
      <c r="U27" s="314">
        <v>1.2</v>
      </c>
      <c r="V27" s="314">
        <v>1.1299999999999999</v>
      </c>
      <c r="W27" s="314">
        <v>1.07</v>
      </c>
      <c r="X27" s="314">
        <v>1.03</v>
      </c>
      <c r="Y27" s="315">
        <v>1</v>
      </c>
      <c r="Z27" s="315">
        <v>1</v>
      </c>
      <c r="AA27" s="315">
        <v>1</v>
      </c>
      <c r="AB27" s="317">
        <v>0.78</v>
      </c>
      <c r="AC27" s="321">
        <v>0.74</v>
      </c>
      <c r="AD27" s="321">
        <v>0.69</v>
      </c>
      <c r="AE27" s="321">
        <v>0.64</v>
      </c>
      <c r="AF27" s="321">
        <v>0.6</v>
      </c>
      <c r="AG27" s="317">
        <v>0.55000000000000004</v>
      </c>
      <c r="AH27" s="317">
        <v>0.55000000000000004</v>
      </c>
      <c r="AI27" s="317">
        <v>0.55000000000000004</v>
      </c>
    </row>
    <row r="28" spans="1:35">
      <c r="A28" s="32" t="s">
        <v>1305</v>
      </c>
      <c r="B28" s="466" t="s">
        <v>1807</v>
      </c>
      <c r="C28" s="32" t="s">
        <v>1507</v>
      </c>
      <c r="D28" s="313">
        <v>1.02</v>
      </c>
      <c r="E28" s="313">
        <v>0.97</v>
      </c>
      <c r="F28" s="313">
        <v>0.93</v>
      </c>
      <c r="G28" s="314">
        <v>0.89</v>
      </c>
      <c r="H28" s="314">
        <v>0.85</v>
      </c>
      <c r="I28" s="315">
        <v>0.8</v>
      </c>
      <c r="J28" s="314">
        <v>0.8</v>
      </c>
      <c r="K28" s="314">
        <v>0.8</v>
      </c>
      <c r="L28" s="321">
        <v>0.6</v>
      </c>
      <c r="M28" s="321">
        <v>0.57999999999999996</v>
      </c>
      <c r="N28" s="321">
        <v>0.54</v>
      </c>
      <c r="O28" s="321">
        <v>0.5</v>
      </c>
      <c r="P28" s="321">
        <v>0.48</v>
      </c>
      <c r="Q28" s="321">
        <v>0.45</v>
      </c>
      <c r="R28" s="321">
        <v>0.45</v>
      </c>
      <c r="S28" s="322">
        <v>0.45</v>
      </c>
      <c r="T28" s="314">
        <v>1.26</v>
      </c>
      <c r="U28" s="314">
        <v>1.2</v>
      </c>
      <c r="V28" s="314">
        <v>1.1299999999999999</v>
      </c>
      <c r="W28" s="314">
        <v>1.07</v>
      </c>
      <c r="X28" s="314">
        <v>1.03</v>
      </c>
      <c r="Y28" s="315">
        <v>1</v>
      </c>
      <c r="Z28" s="315">
        <v>1</v>
      </c>
      <c r="AA28" s="315">
        <v>1</v>
      </c>
      <c r="AB28" s="317">
        <v>0.78</v>
      </c>
      <c r="AC28" s="321">
        <v>0.74</v>
      </c>
      <c r="AD28" s="321">
        <v>0.69</v>
      </c>
      <c r="AE28" s="321">
        <v>0.64</v>
      </c>
      <c r="AF28" s="321">
        <v>0.6</v>
      </c>
      <c r="AG28" s="317">
        <v>0.55000000000000004</v>
      </c>
      <c r="AH28" s="317">
        <v>0.55000000000000004</v>
      </c>
      <c r="AI28" s="317">
        <v>0.55000000000000004</v>
      </c>
    </row>
    <row r="29" spans="1:35">
      <c r="A29" s="32" t="s">
        <v>1305</v>
      </c>
      <c r="B29" s="466" t="s">
        <v>1807</v>
      </c>
      <c r="C29" s="32" t="s">
        <v>1476</v>
      </c>
      <c r="D29" s="313">
        <v>1.02</v>
      </c>
      <c r="E29" s="313">
        <v>0.97</v>
      </c>
      <c r="F29" s="313">
        <v>0.93</v>
      </c>
      <c r="G29" s="314">
        <v>0.89</v>
      </c>
      <c r="H29" s="314">
        <v>0.85</v>
      </c>
      <c r="I29" s="315">
        <v>0.8</v>
      </c>
      <c r="J29" s="314">
        <v>0.8</v>
      </c>
      <c r="K29" s="314">
        <v>0.8</v>
      </c>
      <c r="L29" s="321">
        <v>0.6</v>
      </c>
      <c r="M29" s="321">
        <v>0.57999999999999996</v>
      </c>
      <c r="N29" s="321">
        <v>0.54</v>
      </c>
      <c r="O29" s="321">
        <v>0.5</v>
      </c>
      <c r="P29" s="321">
        <v>0.48</v>
      </c>
      <c r="Q29" s="321">
        <v>0.45</v>
      </c>
      <c r="R29" s="321">
        <v>0.45</v>
      </c>
      <c r="S29" s="322">
        <v>0.45</v>
      </c>
      <c r="T29" s="314">
        <v>1.26</v>
      </c>
      <c r="U29" s="314">
        <v>1.2</v>
      </c>
      <c r="V29" s="314">
        <v>1.1299999999999999</v>
      </c>
      <c r="W29" s="314">
        <v>1.07</v>
      </c>
      <c r="X29" s="314">
        <v>1.03</v>
      </c>
      <c r="Y29" s="315">
        <v>1</v>
      </c>
      <c r="Z29" s="315">
        <v>1</v>
      </c>
      <c r="AA29" s="315">
        <v>1</v>
      </c>
      <c r="AB29" s="317">
        <v>0.78</v>
      </c>
      <c r="AC29" s="321">
        <v>0.74</v>
      </c>
      <c r="AD29" s="321">
        <v>0.69</v>
      </c>
      <c r="AE29" s="321">
        <v>0.64</v>
      </c>
      <c r="AF29" s="321">
        <v>0.6</v>
      </c>
      <c r="AG29" s="317">
        <v>0.55000000000000004</v>
      </c>
      <c r="AH29" s="317">
        <v>0.55000000000000004</v>
      </c>
      <c r="AI29" s="317">
        <v>0.55000000000000004</v>
      </c>
    </row>
    <row r="30" spans="1:35">
      <c r="A30" s="32" t="s">
        <v>1305</v>
      </c>
      <c r="B30" s="466" t="s">
        <v>1807</v>
      </c>
      <c r="C30" s="32" t="s">
        <v>1508</v>
      </c>
      <c r="D30" s="313">
        <v>1.02</v>
      </c>
      <c r="E30" s="313">
        <v>0.97</v>
      </c>
      <c r="F30" s="313">
        <v>0.93</v>
      </c>
      <c r="G30" s="314">
        <v>0.89</v>
      </c>
      <c r="H30" s="314">
        <v>0.85</v>
      </c>
      <c r="I30" s="315">
        <v>0.8</v>
      </c>
      <c r="J30" s="314">
        <v>0.8</v>
      </c>
      <c r="K30" s="314">
        <v>0.8</v>
      </c>
      <c r="L30" s="321">
        <v>0.6</v>
      </c>
      <c r="M30" s="321">
        <v>0.57999999999999996</v>
      </c>
      <c r="N30" s="321">
        <v>0.54</v>
      </c>
      <c r="O30" s="321">
        <v>0.5</v>
      </c>
      <c r="P30" s="321">
        <v>0.48</v>
      </c>
      <c r="Q30" s="321">
        <v>0.45</v>
      </c>
      <c r="R30" s="321">
        <v>0.45</v>
      </c>
      <c r="S30" s="322">
        <v>0.45</v>
      </c>
      <c r="T30" s="314">
        <v>1.26</v>
      </c>
      <c r="U30" s="314">
        <v>1.2</v>
      </c>
      <c r="V30" s="314">
        <v>1.1299999999999999</v>
      </c>
      <c r="W30" s="314">
        <v>1.07</v>
      </c>
      <c r="X30" s="314">
        <v>1.03</v>
      </c>
      <c r="Y30" s="315">
        <v>1</v>
      </c>
      <c r="Z30" s="315">
        <v>1</v>
      </c>
      <c r="AA30" s="315">
        <v>1</v>
      </c>
      <c r="AB30" s="317">
        <v>0.78</v>
      </c>
      <c r="AC30" s="321">
        <v>0.74</v>
      </c>
      <c r="AD30" s="321">
        <v>0.69</v>
      </c>
      <c r="AE30" s="321">
        <v>0.64</v>
      </c>
      <c r="AF30" s="321">
        <v>0.6</v>
      </c>
      <c r="AG30" s="317">
        <v>0.55000000000000004</v>
      </c>
      <c r="AH30" s="317">
        <v>0.55000000000000004</v>
      </c>
      <c r="AI30" s="317">
        <v>0.55000000000000004</v>
      </c>
    </row>
    <row r="31" spans="1:35">
      <c r="A31" s="32" t="s">
        <v>1305</v>
      </c>
      <c r="B31" s="466" t="s">
        <v>1807</v>
      </c>
      <c r="C31" s="32" t="s">
        <v>1350</v>
      </c>
      <c r="D31" s="313">
        <v>1.02</v>
      </c>
      <c r="E31" s="313">
        <v>0.97</v>
      </c>
      <c r="F31" s="313">
        <v>0.93</v>
      </c>
      <c r="G31" s="314">
        <v>0.89</v>
      </c>
      <c r="H31" s="314">
        <v>0.85</v>
      </c>
      <c r="I31" s="314">
        <v>0.8</v>
      </c>
      <c r="J31" s="315">
        <v>0.7</v>
      </c>
      <c r="K31" s="315">
        <v>0.7</v>
      </c>
      <c r="L31" s="321">
        <v>0.6</v>
      </c>
      <c r="M31" s="321">
        <v>0.57999999999999996</v>
      </c>
      <c r="N31" s="321">
        <v>0.54</v>
      </c>
      <c r="O31" s="321">
        <v>0.5</v>
      </c>
      <c r="P31" s="321">
        <v>0.48</v>
      </c>
      <c r="Q31" s="321">
        <v>0.45</v>
      </c>
      <c r="R31" s="319">
        <v>0.4</v>
      </c>
      <c r="S31" s="320">
        <v>0.4</v>
      </c>
      <c r="T31" s="314">
        <v>1.26</v>
      </c>
      <c r="U31" s="314">
        <v>1.2</v>
      </c>
      <c r="V31" s="314">
        <v>1.1299999999999999</v>
      </c>
      <c r="W31" s="314">
        <v>1.07</v>
      </c>
      <c r="X31" s="314">
        <v>1.03</v>
      </c>
      <c r="Y31" s="315">
        <v>1</v>
      </c>
      <c r="Z31" s="315">
        <v>0.9</v>
      </c>
      <c r="AA31" s="315">
        <v>0.9</v>
      </c>
      <c r="AB31" s="317">
        <v>0.78</v>
      </c>
      <c r="AC31" s="321">
        <v>0.74</v>
      </c>
      <c r="AD31" s="321">
        <v>0.69</v>
      </c>
      <c r="AE31" s="321">
        <v>0.64</v>
      </c>
      <c r="AF31" s="321">
        <v>0.6</v>
      </c>
      <c r="AG31" s="317">
        <v>0.55000000000000004</v>
      </c>
      <c r="AH31" s="319">
        <v>0.5</v>
      </c>
      <c r="AI31" s="319">
        <v>0.5</v>
      </c>
    </row>
    <row r="32" spans="1:35">
      <c r="A32" s="32" t="s">
        <v>1305</v>
      </c>
      <c r="B32" s="466" t="s">
        <v>1807</v>
      </c>
      <c r="C32" s="466" t="s">
        <v>1808</v>
      </c>
      <c r="D32" s="313">
        <v>1.02</v>
      </c>
      <c r="E32" s="313">
        <v>0.97</v>
      </c>
      <c r="F32" s="313">
        <v>0.93</v>
      </c>
      <c r="G32" s="314">
        <v>0.89</v>
      </c>
      <c r="H32" s="314">
        <v>0.85</v>
      </c>
      <c r="I32" s="314">
        <v>0.8</v>
      </c>
      <c r="J32" s="315">
        <v>0.7</v>
      </c>
      <c r="K32" s="315">
        <v>0.7</v>
      </c>
      <c r="L32" s="321">
        <v>0.6</v>
      </c>
      <c r="M32" s="321">
        <v>0.57999999999999996</v>
      </c>
      <c r="N32" s="321">
        <v>0.54</v>
      </c>
      <c r="O32" s="321">
        <v>0.5</v>
      </c>
      <c r="P32" s="321">
        <v>0.48</v>
      </c>
      <c r="Q32" s="321">
        <v>0.45</v>
      </c>
      <c r="R32" s="319">
        <v>0.4</v>
      </c>
      <c r="S32" s="320">
        <v>0.4</v>
      </c>
      <c r="T32" s="314">
        <v>1.26</v>
      </c>
      <c r="U32" s="314">
        <v>1.2</v>
      </c>
      <c r="V32" s="314">
        <v>1.1299999999999999</v>
      </c>
      <c r="W32" s="314">
        <v>1.07</v>
      </c>
      <c r="X32" s="314">
        <v>1.03</v>
      </c>
      <c r="Y32" s="315">
        <v>1</v>
      </c>
      <c r="Z32" s="315">
        <v>0.9</v>
      </c>
      <c r="AA32" s="315">
        <v>0.9</v>
      </c>
      <c r="AB32" s="317">
        <v>0.78</v>
      </c>
      <c r="AC32" s="321">
        <v>0.74</v>
      </c>
      <c r="AD32" s="321">
        <v>0.69</v>
      </c>
      <c r="AE32" s="321">
        <v>0.64</v>
      </c>
      <c r="AF32" s="321">
        <v>0.6</v>
      </c>
      <c r="AG32" s="317">
        <v>0.55000000000000004</v>
      </c>
      <c r="AH32" s="319">
        <v>0.5</v>
      </c>
      <c r="AI32" s="319">
        <v>0.5</v>
      </c>
    </row>
    <row r="33" spans="1:35">
      <c r="A33" s="32" t="s">
        <v>1305</v>
      </c>
      <c r="B33" s="466" t="s">
        <v>1807</v>
      </c>
      <c r="C33" s="32" t="s">
        <v>1485</v>
      </c>
      <c r="D33" s="313">
        <v>1.02</v>
      </c>
      <c r="E33" s="313">
        <v>0.97</v>
      </c>
      <c r="F33" s="313">
        <v>0.93</v>
      </c>
      <c r="G33" s="314">
        <v>0.89</v>
      </c>
      <c r="H33" s="314">
        <v>0.85</v>
      </c>
      <c r="I33" s="314">
        <v>0.8</v>
      </c>
      <c r="J33" s="315">
        <v>0.7</v>
      </c>
      <c r="K33" s="315">
        <v>0.7</v>
      </c>
      <c r="L33" s="321">
        <v>0.6</v>
      </c>
      <c r="M33" s="321">
        <v>0.57999999999999996</v>
      </c>
      <c r="N33" s="321">
        <v>0.54</v>
      </c>
      <c r="O33" s="321">
        <v>0.5</v>
      </c>
      <c r="P33" s="321">
        <v>0.48</v>
      </c>
      <c r="Q33" s="321">
        <v>0.45</v>
      </c>
      <c r="R33" s="319">
        <v>0.4</v>
      </c>
      <c r="S33" s="320">
        <v>0.4</v>
      </c>
      <c r="T33" s="314">
        <v>1.26</v>
      </c>
      <c r="U33" s="314">
        <v>1.2</v>
      </c>
      <c r="V33" s="314">
        <v>1.1299999999999999</v>
      </c>
      <c r="W33" s="314">
        <v>1.07</v>
      </c>
      <c r="X33" s="314">
        <v>1.03</v>
      </c>
      <c r="Y33" s="315">
        <v>1</v>
      </c>
      <c r="Z33" s="315">
        <v>0.9</v>
      </c>
      <c r="AA33" s="315">
        <v>0.9</v>
      </c>
      <c r="AB33" s="317">
        <v>0.78</v>
      </c>
      <c r="AC33" s="321">
        <v>0.74</v>
      </c>
      <c r="AD33" s="321">
        <v>0.69</v>
      </c>
      <c r="AE33" s="321">
        <v>0.64</v>
      </c>
      <c r="AF33" s="321">
        <v>0.6</v>
      </c>
      <c r="AG33" s="317">
        <v>0.55000000000000004</v>
      </c>
      <c r="AH33" s="319">
        <v>0.5</v>
      </c>
      <c r="AI33" s="319">
        <v>0.5</v>
      </c>
    </row>
    <row r="34" spans="1:35">
      <c r="A34" s="32" t="s">
        <v>1306</v>
      </c>
      <c r="B34" s="466" t="s">
        <v>1807</v>
      </c>
      <c r="C34" s="465" t="s">
        <v>1822</v>
      </c>
      <c r="D34" s="313">
        <v>0.88</v>
      </c>
      <c r="E34" s="313">
        <v>0.84</v>
      </c>
      <c r="F34" s="313">
        <v>0.81</v>
      </c>
      <c r="G34" s="314">
        <v>0.8</v>
      </c>
      <c r="H34" s="314">
        <v>0.8</v>
      </c>
      <c r="I34" s="314">
        <v>0.8</v>
      </c>
      <c r="J34" s="314">
        <v>0.8</v>
      </c>
      <c r="K34" s="314">
        <v>0.8</v>
      </c>
      <c r="L34" s="321">
        <v>0.52</v>
      </c>
      <c r="M34" s="321">
        <v>0.5</v>
      </c>
      <c r="N34" s="321">
        <v>0.47</v>
      </c>
      <c r="O34" s="321">
        <v>0.45</v>
      </c>
      <c r="P34" s="321">
        <v>0.45</v>
      </c>
      <c r="Q34" s="321">
        <v>0.45</v>
      </c>
      <c r="R34" s="321">
        <v>0.45</v>
      </c>
      <c r="S34" s="322">
        <v>0.45</v>
      </c>
      <c r="T34" s="314">
        <v>1.2</v>
      </c>
      <c r="U34" s="314">
        <v>1.1000000000000001</v>
      </c>
      <c r="V34" s="314">
        <v>1.05</v>
      </c>
      <c r="W34" s="314">
        <v>1</v>
      </c>
      <c r="X34" s="314">
        <v>1</v>
      </c>
      <c r="Y34" s="314">
        <v>1</v>
      </c>
      <c r="Z34" s="314">
        <v>1</v>
      </c>
      <c r="AA34" s="314">
        <v>1</v>
      </c>
      <c r="AB34" s="317">
        <v>0.74</v>
      </c>
      <c r="AC34" s="321">
        <v>0.66</v>
      </c>
      <c r="AD34" s="321">
        <v>0.61</v>
      </c>
      <c r="AE34" s="321">
        <v>0.55000000000000004</v>
      </c>
      <c r="AF34" s="321">
        <v>0.55000000000000004</v>
      </c>
      <c r="AG34" s="317">
        <v>0.55000000000000004</v>
      </c>
      <c r="AH34" s="317">
        <v>0.55000000000000004</v>
      </c>
      <c r="AI34" s="317">
        <v>0.55000000000000004</v>
      </c>
    </row>
    <row r="35" spans="1:35">
      <c r="A35" s="32" t="s">
        <v>1306</v>
      </c>
      <c r="B35" s="466" t="s">
        <v>1807</v>
      </c>
      <c r="C35" s="466" t="s">
        <v>1810</v>
      </c>
      <c r="D35" s="313">
        <v>0.88</v>
      </c>
      <c r="E35" s="313">
        <v>0.84</v>
      </c>
      <c r="F35" s="313">
        <v>0.81</v>
      </c>
      <c r="G35" s="314">
        <v>0.8</v>
      </c>
      <c r="H35" s="314">
        <v>0.8</v>
      </c>
      <c r="I35" s="314">
        <v>0.8</v>
      </c>
      <c r="J35" s="314">
        <v>0.8</v>
      </c>
      <c r="K35" s="314">
        <v>0.8</v>
      </c>
      <c r="L35" s="321">
        <v>0.52</v>
      </c>
      <c r="M35" s="321">
        <v>0.5</v>
      </c>
      <c r="N35" s="321">
        <v>0.47</v>
      </c>
      <c r="O35" s="321">
        <v>0.45</v>
      </c>
      <c r="P35" s="321">
        <v>0.45</v>
      </c>
      <c r="Q35" s="321">
        <v>0.45</v>
      </c>
      <c r="R35" s="321">
        <v>0.45</v>
      </c>
      <c r="S35" s="322">
        <v>0.45</v>
      </c>
      <c r="T35" s="314">
        <v>1.2</v>
      </c>
      <c r="U35" s="314">
        <v>1.1000000000000001</v>
      </c>
      <c r="V35" s="314">
        <v>1.05</v>
      </c>
      <c r="W35" s="314">
        <v>1</v>
      </c>
      <c r="X35" s="314">
        <v>1</v>
      </c>
      <c r="Y35" s="314">
        <v>1</v>
      </c>
      <c r="Z35" s="314">
        <v>1</v>
      </c>
      <c r="AA35" s="314">
        <v>1</v>
      </c>
      <c r="AB35" s="317">
        <v>0.74</v>
      </c>
      <c r="AC35" s="321">
        <v>0.66</v>
      </c>
      <c r="AD35" s="321">
        <v>0.61</v>
      </c>
      <c r="AE35" s="321">
        <v>0.55000000000000004</v>
      </c>
      <c r="AF35" s="321">
        <v>0.55000000000000004</v>
      </c>
      <c r="AG35" s="317">
        <v>0.55000000000000004</v>
      </c>
      <c r="AH35" s="317">
        <v>0.55000000000000004</v>
      </c>
      <c r="AI35" s="317">
        <v>0.55000000000000004</v>
      </c>
    </row>
    <row r="36" spans="1:35">
      <c r="A36" s="32" t="s">
        <v>1306</v>
      </c>
      <c r="B36" s="466" t="s">
        <v>1807</v>
      </c>
      <c r="C36" s="32" t="s">
        <v>1474</v>
      </c>
      <c r="D36" s="313">
        <v>0.88</v>
      </c>
      <c r="E36" s="313">
        <v>0.84</v>
      </c>
      <c r="F36" s="313">
        <v>0.81</v>
      </c>
      <c r="G36" s="314">
        <v>0.8</v>
      </c>
      <c r="H36" s="314">
        <v>0.8</v>
      </c>
      <c r="I36" s="314">
        <v>0.8</v>
      </c>
      <c r="J36" s="314">
        <v>0.8</v>
      </c>
      <c r="K36" s="314">
        <v>0.8</v>
      </c>
      <c r="L36" s="321">
        <v>0.52</v>
      </c>
      <c r="M36" s="321">
        <v>0.5</v>
      </c>
      <c r="N36" s="321">
        <v>0.47</v>
      </c>
      <c r="O36" s="321">
        <v>0.45</v>
      </c>
      <c r="P36" s="321">
        <v>0.45</v>
      </c>
      <c r="Q36" s="321">
        <v>0.45</v>
      </c>
      <c r="R36" s="321">
        <v>0.45</v>
      </c>
      <c r="S36" s="322">
        <v>0.45</v>
      </c>
      <c r="T36" s="314">
        <v>1.2</v>
      </c>
      <c r="U36" s="314">
        <v>1.1000000000000001</v>
      </c>
      <c r="V36" s="314">
        <v>1.05</v>
      </c>
      <c r="W36" s="314">
        <v>1</v>
      </c>
      <c r="X36" s="314">
        <v>1</v>
      </c>
      <c r="Y36" s="314">
        <v>1</v>
      </c>
      <c r="Z36" s="314">
        <v>1</v>
      </c>
      <c r="AA36" s="314">
        <v>1</v>
      </c>
      <c r="AB36" s="317">
        <v>0.74</v>
      </c>
      <c r="AC36" s="321">
        <v>0.66</v>
      </c>
      <c r="AD36" s="321">
        <v>0.61</v>
      </c>
      <c r="AE36" s="321">
        <v>0.55000000000000004</v>
      </c>
      <c r="AF36" s="321">
        <v>0.55000000000000004</v>
      </c>
      <c r="AG36" s="317">
        <v>0.55000000000000004</v>
      </c>
      <c r="AH36" s="317">
        <v>0.55000000000000004</v>
      </c>
      <c r="AI36" s="317">
        <v>0.55000000000000004</v>
      </c>
    </row>
    <row r="37" spans="1:35">
      <c r="A37" s="32" t="s">
        <v>1306</v>
      </c>
      <c r="B37" s="466" t="s">
        <v>1807</v>
      </c>
      <c r="C37" s="32" t="s">
        <v>1475</v>
      </c>
      <c r="D37" s="313">
        <v>0.88</v>
      </c>
      <c r="E37" s="313">
        <v>0.84</v>
      </c>
      <c r="F37" s="313">
        <v>0.81</v>
      </c>
      <c r="G37" s="314">
        <v>0.8</v>
      </c>
      <c r="H37" s="314">
        <v>0.8</v>
      </c>
      <c r="I37" s="314">
        <v>0.8</v>
      </c>
      <c r="J37" s="314">
        <v>0.8</v>
      </c>
      <c r="K37" s="314">
        <v>0.8</v>
      </c>
      <c r="L37" s="321">
        <v>0.52</v>
      </c>
      <c r="M37" s="321">
        <v>0.5</v>
      </c>
      <c r="N37" s="321">
        <v>0.47</v>
      </c>
      <c r="O37" s="321">
        <v>0.45</v>
      </c>
      <c r="P37" s="321">
        <v>0.45</v>
      </c>
      <c r="Q37" s="321">
        <v>0.45</v>
      </c>
      <c r="R37" s="321">
        <v>0.45</v>
      </c>
      <c r="S37" s="322">
        <v>0.45</v>
      </c>
      <c r="T37" s="314">
        <v>1.2</v>
      </c>
      <c r="U37" s="314">
        <v>1.1000000000000001</v>
      </c>
      <c r="V37" s="314">
        <v>1.05</v>
      </c>
      <c r="W37" s="314">
        <v>1</v>
      </c>
      <c r="X37" s="314">
        <v>1</v>
      </c>
      <c r="Y37" s="314">
        <v>1</v>
      </c>
      <c r="Z37" s="314">
        <v>1</v>
      </c>
      <c r="AA37" s="314">
        <v>1</v>
      </c>
      <c r="AB37" s="317">
        <v>0.74</v>
      </c>
      <c r="AC37" s="321">
        <v>0.66</v>
      </c>
      <c r="AD37" s="321">
        <v>0.61</v>
      </c>
      <c r="AE37" s="321">
        <v>0.55000000000000004</v>
      </c>
      <c r="AF37" s="321">
        <v>0.55000000000000004</v>
      </c>
      <c r="AG37" s="317">
        <v>0.55000000000000004</v>
      </c>
      <c r="AH37" s="317">
        <v>0.55000000000000004</v>
      </c>
      <c r="AI37" s="317">
        <v>0.55000000000000004</v>
      </c>
    </row>
    <row r="38" spans="1:35">
      <c r="A38" s="32" t="s">
        <v>1306</v>
      </c>
      <c r="B38" s="466" t="s">
        <v>1807</v>
      </c>
      <c r="C38" s="32" t="s">
        <v>1476</v>
      </c>
      <c r="D38" s="313">
        <v>0.88</v>
      </c>
      <c r="E38" s="313">
        <v>0.84</v>
      </c>
      <c r="F38" s="313">
        <v>0.81</v>
      </c>
      <c r="G38" s="314">
        <v>0.8</v>
      </c>
      <c r="H38" s="314">
        <v>0.8</v>
      </c>
      <c r="I38" s="314">
        <v>0.8</v>
      </c>
      <c r="J38" s="314">
        <v>0.8</v>
      </c>
      <c r="K38" s="314">
        <v>0.8</v>
      </c>
      <c r="L38" s="321">
        <v>0.52</v>
      </c>
      <c r="M38" s="321">
        <v>0.5</v>
      </c>
      <c r="N38" s="321">
        <v>0.47</v>
      </c>
      <c r="O38" s="321">
        <v>0.45</v>
      </c>
      <c r="P38" s="321">
        <v>0.45</v>
      </c>
      <c r="Q38" s="321">
        <v>0.45</v>
      </c>
      <c r="R38" s="321">
        <v>0.45</v>
      </c>
      <c r="S38" s="322">
        <v>0.45</v>
      </c>
      <c r="T38" s="314">
        <v>1.2</v>
      </c>
      <c r="U38" s="314">
        <v>1.1000000000000001</v>
      </c>
      <c r="V38" s="314">
        <v>1.05</v>
      </c>
      <c r="W38" s="314">
        <v>1</v>
      </c>
      <c r="X38" s="314">
        <v>1</v>
      </c>
      <c r="Y38" s="314">
        <v>1</v>
      </c>
      <c r="Z38" s="314">
        <v>1</v>
      </c>
      <c r="AA38" s="314">
        <v>1</v>
      </c>
      <c r="AB38" s="317">
        <v>0.74</v>
      </c>
      <c r="AC38" s="321">
        <v>0.66</v>
      </c>
      <c r="AD38" s="321">
        <v>0.61</v>
      </c>
      <c r="AE38" s="321">
        <v>0.55000000000000004</v>
      </c>
      <c r="AF38" s="321">
        <v>0.55000000000000004</v>
      </c>
      <c r="AG38" s="317">
        <v>0.55000000000000004</v>
      </c>
      <c r="AH38" s="317">
        <v>0.55000000000000004</v>
      </c>
      <c r="AI38" s="317">
        <v>0.55000000000000004</v>
      </c>
    </row>
    <row r="39" spans="1:35">
      <c r="A39" s="32" t="s">
        <v>1306</v>
      </c>
      <c r="B39" s="466" t="s">
        <v>1807</v>
      </c>
      <c r="C39" s="464" t="s">
        <v>87</v>
      </c>
      <c r="D39" s="313">
        <v>0.88</v>
      </c>
      <c r="E39" s="313">
        <v>0.84</v>
      </c>
      <c r="F39" s="313">
        <v>0.81</v>
      </c>
      <c r="G39" s="314">
        <v>0.8</v>
      </c>
      <c r="H39" s="314">
        <v>0.8</v>
      </c>
      <c r="I39" s="314">
        <v>0.8</v>
      </c>
      <c r="J39" s="314">
        <v>0.8</v>
      </c>
      <c r="K39" s="314">
        <v>0.8</v>
      </c>
      <c r="L39" s="321">
        <v>0.52</v>
      </c>
      <c r="M39" s="321">
        <v>0.5</v>
      </c>
      <c r="N39" s="321">
        <v>0.47</v>
      </c>
      <c r="O39" s="321">
        <v>0.45</v>
      </c>
      <c r="P39" s="321">
        <v>0.45</v>
      </c>
      <c r="Q39" s="321">
        <v>0.45</v>
      </c>
      <c r="R39" s="321">
        <v>0.45</v>
      </c>
      <c r="S39" s="322">
        <v>0.45</v>
      </c>
      <c r="T39" s="314">
        <v>1.2</v>
      </c>
      <c r="U39" s="314">
        <v>1.1000000000000001</v>
      </c>
      <c r="V39" s="314">
        <v>1.05</v>
      </c>
      <c r="W39" s="314">
        <v>1</v>
      </c>
      <c r="X39" s="314">
        <v>1</v>
      </c>
      <c r="Y39" s="314">
        <v>1</v>
      </c>
      <c r="Z39" s="314">
        <v>1</v>
      </c>
      <c r="AA39" s="314">
        <v>1</v>
      </c>
      <c r="AB39" s="317">
        <v>0.74</v>
      </c>
      <c r="AC39" s="321">
        <v>0.66</v>
      </c>
      <c r="AD39" s="321">
        <v>0.61</v>
      </c>
      <c r="AE39" s="321">
        <v>0.55000000000000004</v>
      </c>
      <c r="AF39" s="321">
        <v>0.55000000000000004</v>
      </c>
      <c r="AG39" s="317">
        <v>0.55000000000000004</v>
      </c>
      <c r="AH39" s="317">
        <v>0.55000000000000004</v>
      </c>
      <c r="AI39" s="317">
        <v>0.55000000000000004</v>
      </c>
    </row>
    <row r="40" spans="1:35">
      <c r="A40" s="32" t="s">
        <v>1306</v>
      </c>
      <c r="B40" s="466" t="s">
        <v>1807</v>
      </c>
      <c r="C40" s="32" t="s">
        <v>1346</v>
      </c>
      <c r="D40" s="313">
        <v>0.88</v>
      </c>
      <c r="E40" s="313">
        <v>0.84</v>
      </c>
      <c r="F40" s="313">
        <v>0.81</v>
      </c>
      <c r="G40" s="314">
        <v>0.8</v>
      </c>
      <c r="H40" s="315">
        <v>0.7</v>
      </c>
      <c r="I40" s="315">
        <v>0.7</v>
      </c>
      <c r="J40" s="315">
        <v>0.7</v>
      </c>
      <c r="K40" s="315">
        <v>0.7</v>
      </c>
      <c r="L40" s="321">
        <v>0.52</v>
      </c>
      <c r="M40" s="321">
        <v>0.5</v>
      </c>
      <c r="N40" s="321">
        <v>0.47</v>
      </c>
      <c r="O40" s="321">
        <v>0.45</v>
      </c>
      <c r="P40" s="319">
        <v>0.4</v>
      </c>
      <c r="Q40" s="319">
        <v>0.4</v>
      </c>
      <c r="R40" s="319">
        <v>0.4</v>
      </c>
      <c r="S40" s="320">
        <v>0.4</v>
      </c>
      <c r="T40" s="314">
        <v>1.2</v>
      </c>
      <c r="U40" s="314">
        <v>1.1000000000000001</v>
      </c>
      <c r="V40" s="314">
        <v>1.05</v>
      </c>
      <c r="W40" s="314">
        <v>1</v>
      </c>
      <c r="X40" s="315">
        <v>0.9</v>
      </c>
      <c r="Y40" s="315">
        <v>0.9</v>
      </c>
      <c r="Z40" s="315">
        <v>0.9</v>
      </c>
      <c r="AA40" s="315">
        <v>0.9</v>
      </c>
      <c r="AB40" s="317">
        <v>0.74</v>
      </c>
      <c r="AC40" s="321">
        <v>0.66</v>
      </c>
      <c r="AD40" s="321">
        <v>0.61</v>
      </c>
      <c r="AE40" s="321">
        <v>0.55000000000000004</v>
      </c>
      <c r="AF40" s="319">
        <v>0.5</v>
      </c>
      <c r="AG40" s="319">
        <v>0.5</v>
      </c>
      <c r="AH40" s="319">
        <v>0.5</v>
      </c>
      <c r="AI40" s="319">
        <v>0.5</v>
      </c>
    </row>
    <row r="41" spans="1:35">
      <c r="A41" s="32" t="s">
        <v>1306</v>
      </c>
      <c r="B41" s="32" t="s">
        <v>1427</v>
      </c>
      <c r="C41" s="32" t="s">
        <v>1428</v>
      </c>
      <c r="D41" s="313">
        <v>0.88</v>
      </c>
      <c r="E41" s="313">
        <v>0.84</v>
      </c>
      <c r="F41" s="313">
        <v>0.81</v>
      </c>
      <c r="G41" s="314">
        <v>0.8</v>
      </c>
      <c r="H41" s="314">
        <v>0.8</v>
      </c>
      <c r="I41" s="314">
        <v>0.8</v>
      </c>
      <c r="J41" s="314">
        <v>0.8</v>
      </c>
      <c r="K41" s="314">
        <v>0.8</v>
      </c>
      <c r="L41" s="321">
        <v>0.52</v>
      </c>
      <c r="M41" s="321">
        <v>0.5</v>
      </c>
      <c r="N41" s="321">
        <v>0.47</v>
      </c>
      <c r="O41" s="321">
        <v>0.45</v>
      </c>
      <c r="P41" s="321">
        <v>0.45</v>
      </c>
      <c r="Q41" s="321">
        <v>0.45</v>
      </c>
      <c r="R41" s="321">
        <v>0.45</v>
      </c>
      <c r="S41" s="322">
        <v>0.45</v>
      </c>
      <c r="T41" s="314">
        <v>1.2</v>
      </c>
      <c r="U41" s="314">
        <v>1.1000000000000001</v>
      </c>
      <c r="V41" s="314">
        <v>1.05</v>
      </c>
      <c r="W41" s="314">
        <v>1</v>
      </c>
      <c r="X41" s="314">
        <v>1</v>
      </c>
      <c r="Y41" s="314">
        <v>1</v>
      </c>
      <c r="Z41" s="314">
        <v>1</v>
      </c>
      <c r="AA41" s="314">
        <v>1</v>
      </c>
      <c r="AB41" s="317">
        <v>0.74</v>
      </c>
      <c r="AC41" s="321">
        <v>0.66</v>
      </c>
      <c r="AD41" s="321">
        <v>0.61</v>
      </c>
      <c r="AE41" s="321">
        <v>0.55000000000000004</v>
      </c>
      <c r="AF41" s="321">
        <v>0.55000000000000004</v>
      </c>
      <c r="AG41" s="317">
        <v>0.55000000000000004</v>
      </c>
      <c r="AH41" s="317">
        <v>0.55000000000000004</v>
      </c>
      <c r="AI41" s="317">
        <v>0.55000000000000004</v>
      </c>
    </row>
    <row r="42" spans="1:35">
      <c r="A42" s="32" t="s">
        <v>1306</v>
      </c>
      <c r="B42" s="32" t="s">
        <v>1427</v>
      </c>
      <c r="C42" s="32" t="s">
        <v>1654</v>
      </c>
      <c r="D42" s="313">
        <v>0.88</v>
      </c>
      <c r="E42" s="313">
        <v>0.84</v>
      </c>
      <c r="F42" s="313">
        <v>0.81</v>
      </c>
      <c r="G42" s="314">
        <v>0.8</v>
      </c>
      <c r="H42" s="314">
        <v>0.8</v>
      </c>
      <c r="I42" s="314">
        <v>0.8</v>
      </c>
      <c r="J42" s="314">
        <v>0.8</v>
      </c>
      <c r="K42" s="314">
        <v>0.8</v>
      </c>
      <c r="L42" s="321">
        <v>0.52</v>
      </c>
      <c r="M42" s="321">
        <v>0.5</v>
      </c>
      <c r="N42" s="321">
        <v>0.47</v>
      </c>
      <c r="O42" s="321">
        <v>0.45</v>
      </c>
      <c r="P42" s="321">
        <v>0.45</v>
      </c>
      <c r="Q42" s="321">
        <v>0.45</v>
      </c>
      <c r="R42" s="321">
        <v>0.45</v>
      </c>
      <c r="S42" s="322">
        <v>0.45</v>
      </c>
      <c r="T42" s="314">
        <v>1.2</v>
      </c>
      <c r="U42" s="314">
        <v>1.1000000000000001</v>
      </c>
      <c r="V42" s="314">
        <v>1.05</v>
      </c>
      <c r="W42" s="314">
        <v>1</v>
      </c>
      <c r="X42" s="314">
        <v>1</v>
      </c>
      <c r="Y42" s="314">
        <v>1</v>
      </c>
      <c r="Z42" s="314">
        <v>1</v>
      </c>
      <c r="AA42" s="314">
        <v>1</v>
      </c>
      <c r="AB42" s="317">
        <v>0.74</v>
      </c>
      <c r="AC42" s="321">
        <v>0.66</v>
      </c>
      <c r="AD42" s="321">
        <v>0.61</v>
      </c>
      <c r="AE42" s="321">
        <v>0.55000000000000004</v>
      </c>
      <c r="AF42" s="321">
        <v>0.55000000000000004</v>
      </c>
      <c r="AG42" s="317">
        <v>0.55000000000000004</v>
      </c>
      <c r="AH42" s="317">
        <v>0.55000000000000004</v>
      </c>
      <c r="AI42" s="317">
        <v>0.55000000000000004</v>
      </c>
    </row>
    <row r="43" spans="1:35">
      <c r="A43" s="32" t="s">
        <v>1306</v>
      </c>
      <c r="B43" s="32" t="s">
        <v>1427</v>
      </c>
      <c r="C43" s="32" t="s">
        <v>1429</v>
      </c>
      <c r="D43" s="313">
        <v>0.88</v>
      </c>
      <c r="E43" s="313">
        <v>0.84</v>
      </c>
      <c r="F43" s="313">
        <v>0.81</v>
      </c>
      <c r="G43" s="314">
        <v>0.8</v>
      </c>
      <c r="H43" s="314">
        <v>0.8</v>
      </c>
      <c r="I43" s="314">
        <v>0.8</v>
      </c>
      <c r="J43" s="314">
        <v>0.8</v>
      </c>
      <c r="K43" s="314">
        <v>0.8</v>
      </c>
      <c r="L43" s="321">
        <v>0.52</v>
      </c>
      <c r="M43" s="321">
        <v>0.5</v>
      </c>
      <c r="N43" s="321">
        <v>0.47</v>
      </c>
      <c r="O43" s="321">
        <v>0.45</v>
      </c>
      <c r="P43" s="321">
        <v>0.45</v>
      </c>
      <c r="Q43" s="321">
        <v>0.45</v>
      </c>
      <c r="R43" s="321">
        <v>0.45</v>
      </c>
      <c r="S43" s="322">
        <v>0.45</v>
      </c>
      <c r="T43" s="314">
        <v>1.2</v>
      </c>
      <c r="U43" s="314">
        <v>1.1000000000000001</v>
      </c>
      <c r="V43" s="314">
        <v>1.05</v>
      </c>
      <c r="W43" s="314">
        <v>1</v>
      </c>
      <c r="X43" s="314">
        <v>1</v>
      </c>
      <c r="Y43" s="314">
        <v>1</v>
      </c>
      <c r="Z43" s="314">
        <v>1</v>
      </c>
      <c r="AA43" s="314">
        <v>1</v>
      </c>
      <c r="AB43" s="317">
        <v>0.74</v>
      </c>
      <c r="AC43" s="321">
        <v>0.66</v>
      </c>
      <c r="AD43" s="321">
        <v>0.61</v>
      </c>
      <c r="AE43" s="321">
        <v>0.55000000000000004</v>
      </c>
      <c r="AF43" s="321">
        <v>0.55000000000000004</v>
      </c>
      <c r="AG43" s="317">
        <v>0.55000000000000004</v>
      </c>
      <c r="AH43" s="317">
        <v>0.55000000000000004</v>
      </c>
      <c r="AI43" s="317">
        <v>0.55000000000000004</v>
      </c>
    </row>
    <row r="44" spans="1:35">
      <c r="A44" s="32" t="s">
        <v>1306</v>
      </c>
      <c r="B44" s="32" t="s">
        <v>1427</v>
      </c>
      <c r="C44" s="32" t="s">
        <v>1430</v>
      </c>
      <c r="D44" s="313">
        <v>0.88</v>
      </c>
      <c r="E44" s="313">
        <v>0.84</v>
      </c>
      <c r="F44" s="313">
        <v>0.81</v>
      </c>
      <c r="G44" s="314">
        <v>0.8</v>
      </c>
      <c r="H44" s="314">
        <v>0.8</v>
      </c>
      <c r="I44" s="314">
        <v>0.8</v>
      </c>
      <c r="J44" s="314">
        <v>0.8</v>
      </c>
      <c r="K44" s="314">
        <v>0.8</v>
      </c>
      <c r="L44" s="321">
        <v>0.52</v>
      </c>
      <c r="M44" s="321">
        <v>0.5</v>
      </c>
      <c r="N44" s="321">
        <v>0.47</v>
      </c>
      <c r="O44" s="321">
        <v>0.45</v>
      </c>
      <c r="P44" s="321">
        <v>0.45</v>
      </c>
      <c r="Q44" s="321">
        <v>0.45</v>
      </c>
      <c r="R44" s="321">
        <v>0.45</v>
      </c>
      <c r="S44" s="322">
        <v>0.45</v>
      </c>
      <c r="T44" s="314">
        <v>1.2</v>
      </c>
      <c r="U44" s="314">
        <v>1.1000000000000001</v>
      </c>
      <c r="V44" s="314">
        <v>1.05</v>
      </c>
      <c r="W44" s="314">
        <v>1</v>
      </c>
      <c r="X44" s="314">
        <v>1</v>
      </c>
      <c r="Y44" s="314">
        <v>1</v>
      </c>
      <c r="Z44" s="314">
        <v>1</v>
      </c>
      <c r="AA44" s="314">
        <v>1</v>
      </c>
      <c r="AB44" s="317">
        <v>0.74</v>
      </c>
      <c r="AC44" s="321">
        <v>0.66</v>
      </c>
      <c r="AD44" s="321">
        <v>0.61</v>
      </c>
      <c r="AE44" s="321">
        <v>0.55000000000000004</v>
      </c>
      <c r="AF44" s="321">
        <v>0.55000000000000004</v>
      </c>
      <c r="AG44" s="317">
        <v>0.55000000000000004</v>
      </c>
      <c r="AH44" s="317">
        <v>0.55000000000000004</v>
      </c>
      <c r="AI44" s="317">
        <v>0.55000000000000004</v>
      </c>
    </row>
    <row r="45" spans="1:35">
      <c r="A45" s="32" t="s">
        <v>1306</v>
      </c>
      <c r="B45" s="32" t="s">
        <v>1427</v>
      </c>
      <c r="C45" s="471" t="s">
        <v>1806</v>
      </c>
      <c r="D45" s="313">
        <v>0.88</v>
      </c>
      <c r="E45" s="313">
        <v>0.84</v>
      </c>
      <c r="F45" s="313">
        <v>0.81</v>
      </c>
      <c r="G45" s="314">
        <v>0.8</v>
      </c>
      <c r="H45" s="314">
        <v>0.8</v>
      </c>
      <c r="I45" s="314">
        <v>0.8</v>
      </c>
      <c r="J45" s="314">
        <v>0.8</v>
      </c>
      <c r="K45" s="314">
        <v>0.8</v>
      </c>
      <c r="L45" s="321">
        <v>0.52</v>
      </c>
      <c r="M45" s="321">
        <v>0.5</v>
      </c>
      <c r="N45" s="321">
        <v>0.47</v>
      </c>
      <c r="O45" s="321">
        <v>0.45</v>
      </c>
      <c r="P45" s="321">
        <v>0.45</v>
      </c>
      <c r="Q45" s="321">
        <v>0.45</v>
      </c>
      <c r="R45" s="321">
        <v>0.45</v>
      </c>
      <c r="S45" s="322">
        <v>0.45</v>
      </c>
      <c r="T45" s="314">
        <v>1.2</v>
      </c>
      <c r="U45" s="314">
        <v>1.1000000000000001</v>
      </c>
      <c r="V45" s="314">
        <v>1.05</v>
      </c>
      <c r="W45" s="314">
        <v>1</v>
      </c>
      <c r="X45" s="314">
        <v>1</v>
      </c>
      <c r="Y45" s="314">
        <v>1</v>
      </c>
      <c r="Z45" s="314">
        <v>1</v>
      </c>
      <c r="AA45" s="314">
        <v>1</v>
      </c>
      <c r="AB45" s="317">
        <v>0.74</v>
      </c>
      <c r="AC45" s="321">
        <v>0.66</v>
      </c>
      <c r="AD45" s="321">
        <v>0.61</v>
      </c>
      <c r="AE45" s="321">
        <v>0.55000000000000004</v>
      </c>
      <c r="AF45" s="321">
        <v>0.55000000000000004</v>
      </c>
      <c r="AG45" s="317">
        <v>0.55000000000000004</v>
      </c>
      <c r="AH45" s="317">
        <v>0.55000000000000004</v>
      </c>
      <c r="AI45" s="317">
        <v>0.55000000000000004</v>
      </c>
    </row>
    <row r="46" spans="1:35">
      <c r="A46" s="32" t="s">
        <v>1306</v>
      </c>
      <c r="B46" s="32" t="s">
        <v>1427</v>
      </c>
      <c r="C46" s="32" t="s">
        <v>1431</v>
      </c>
      <c r="D46" s="313">
        <v>0.88</v>
      </c>
      <c r="E46" s="313">
        <v>0.84</v>
      </c>
      <c r="F46" s="313">
        <v>0.81</v>
      </c>
      <c r="G46" s="314">
        <v>0.8</v>
      </c>
      <c r="H46" s="314">
        <v>0.8</v>
      </c>
      <c r="I46" s="314">
        <v>0.8</v>
      </c>
      <c r="J46" s="314">
        <v>0.8</v>
      </c>
      <c r="K46" s="314">
        <v>0.8</v>
      </c>
      <c r="L46" s="321">
        <v>0.52</v>
      </c>
      <c r="M46" s="321">
        <v>0.5</v>
      </c>
      <c r="N46" s="321">
        <v>0.47</v>
      </c>
      <c r="O46" s="321">
        <v>0.45</v>
      </c>
      <c r="P46" s="321">
        <v>0.45</v>
      </c>
      <c r="Q46" s="321">
        <v>0.45</v>
      </c>
      <c r="R46" s="321">
        <v>0.45</v>
      </c>
      <c r="S46" s="322">
        <v>0.45</v>
      </c>
      <c r="T46" s="314">
        <v>1.2</v>
      </c>
      <c r="U46" s="314">
        <v>1.1000000000000001</v>
      </c>
      <c r="V46" s="314">
        <v>1.05</v>
      </c>
      <c r="W46" s="314">
        <v>1</v>
      </c>
      <c r="X46" s="314">
        <v>1</v>
      </c>
      <c r="Y46" s="314">
        <v>1</v>
      </c>
      <c r="Z46" s="314">
        <v>1</v>
      </c>
      <c r="AA46" s="314">
        <v>1</v>
      </c>
      <c r="AB46" s="317">
        <v>0.74</v>
      </c>
      <c r="AC46" s="321">
        <v>0.66</v>
      </c>
      <c r="AD46" s="321">
        <v>0.61</v>
      </c>
      <c r="AE46" s="321">
        <v>0.55000000000000004</v>
      </c>
      <c r="AF46" s="321">
        <v>0.55000000000000004</v>
      </c>
      <c r="AG46" s="317">
        <v>0.55000000000000004</v>
      </c>
      <c r="AH46" s="317">
        <v>0.55000000000000004</v>
      </c>
      <c r="AI46" s="317">
        <v>0.55000000000000004</v>
      </c>
    </row>
    <row r="47" spans="1:35">
      <c r="A47" s="32" t="s">
        <v>1306</v>
      </c>
      <c r="B47" s="32" t="s">
        <v>1427</v>
      </c>
      <c r="C47" s="32" t="s">
        <v>1432</v>
      </c>
      <c r="D47" s="313">
        <v>0.88</v>
      </c>
      <c r="E47" s="313">
        <v>0.84</v>
      </c>
      <c r="F47" s="313">
        <v>0.81</v>
      </c>
      <c r="G47" s="314">
        <v>0.8</v>
      </c>
      <c r="H47" s="314">
        <v>0.8</v>
      </c>
      <c r="I47" s="314">
        <v>0.8</v>
      </c>
      <c r="J47" s="314">
        <v>0.8</v>
      </c>
      <c r="K47" s="314">
        <v>0.8</v>
      </c>
      <c r="L47" s="321">
        <v>0.52</v>
      </c>
      <c r="M47" s="321">
        <v>0.5</v>
      </c>
      <c r="N47" s="321">
        <v>0.47</v>
      </c>
      <c r="O47" s="321">
        <v>0.45</v>
      </c>
      <c r="P47" s="321">
        <v>0.45</v>
      </c>
      <c r="Q47" s="321">
        <v>0.45</v>
      </c>
      <c r="R47" s="321">
        <v>0.45</v>
      </c>
      <c r="S47" s="322">
        <v>0.45</v>
      </c>
      <c r="T47" s="314">
        <v>1.2</v>
      </c>
      <c r="U47" s="314">
        <v>1.1000000000000001</v>
      </c>
      <c r="V47" s="314">
        <v>1.05</v>
      </c>
      <c r="W47" s="314">
        <v>1</v>
      </c>
      <c r="X47" s="314">
        <v>1</v>
      </c>
      <c r="Y47" s="314">
        <v>1</v>
      </c>
      <c r="Z47" s="314">
        <v>1</v>
      </c>
      <c r="AA47" s="314">
        <v>1</v>
      </c>
      <c r="AB47" s="317">
        <v>0.74</v>
      </c>
      <c r="AC47" s="321">
        <v>0.66</v>
      </c>
      <c r="AD47" s="321">
        <v>0.61</v>
      </c>
      <c r="AE47" s="321">
        <v>0.55000000000000004</v>
      </c>
      <c r="AF47" s="321">
        <v>0.55000000000000004</v>
      </c>
      <c r="AG47" s="317">
        <v>0.55000000000000004</v>
      </c>
      <c r="AH47" s="317">
        <v>0.55000000000000004</v>
      </c>
      <c r="AI47" s="317">
        <v>0.55000000000000004</v>
      </c>
    </row>
    <row r="48" spans="1:35">
      <c r="A48" s="32" t="s">
        <v>1306</v>
      </c>
      <c r="B48" s="32" t="s">
        <v>1427</v>
      </c>
      <c r="C48" s="32" t="s">
        <v>1434</v>
      </c>
      <c r="D48" s="313">
        <v>0.88</v>
      </c>
      <c r="E48" s="313">
        <v>0.84</v>
      </c>
      <c r="F48" s="313">
        <v>0.81</v>
      </c>
      <c r="G48" s="314">
        <v>0.8</v>
      </c>
      <c r="H48" s="314">
        <v>0.8</v>
      </c>
      <c r="I48" s="314">
        <v>0.8</v>
      </c>
      <c r="J48" s="314">
        <v>0.8</v>
      </c>
      <c r="K48" s="314">
        <v>0.8</v>
      </c>
      <c r="L48" s="321">
        <v>0.52</v>
      </c>
      <c r="M48" s="321">
        <v>0.5</v>
      </c>
      <c r="N48" s="321">
        <v>0.47</v>
      </c>
      <c r="O48" s="321">
        <v>0.45</v>
      </c>
      <c r="P48" s="321">
        <v>0.45</v>
      </c>
      <c r="Q48" s="321">
        <v>0.45</v>
      </c>
      <c r="R48" s="321">
        <v>0.45</v>
      </c>
      <c r="S48" s="322">
        <v>0.45</v>
      </c>
      <c r="T48" s="314">
        <v>1.2</v>
      </c>
      <c r="U48" s="314">
        <v>1.1000000000000001</v>
      </c>
      <c r="V48" s="314">
        <v>1.05</v>
      </c>
      <c r="W48" s="314">
        <v>1</v>
      </c>
      <c r="X48" s="314">
        <v>1</v>
      </c>
      <c r="Y48" s="314">
        <v>1</v>
      </c>
      <c r="Z48" s="314">
        <v>1</v>
      </c>
      <c r="AA48" s="314">
        <v>1</v>
      </c>
      <c r="AB48" s="317">
        <v>0.74</v>
      </c>
      <c r="AC48" s="321">
        <v>0.66</v>
      </c>
      <c r="AD48" s="321">
        <v>0.61</v>
      </c>
      <c r="AE48" s="321">
        <v>0.55000000000000004</v>
      </c>
      <c r="AF48" s="321">
        <v>0.55000000000000004</v>
      </c>
      <c r="AG48" s="317">
        <v>0.55000000000000004</v>
      </c>
      <c r="AH48" s="317">
        <v>0.55000000000000004</v>
      </c>
      <c r="AI48" s="317">
        <v>0.55000000000000004</v>
      </c>
    </row>
    <row r="49" spans="1:35">
      <c r="A49" s="32" t="s">
        <v>1306</v>
      </c>
      <c r="B49" s="32" t="s">
        <v>1427</v>
      </c>
      <c r="C49" s="32" t="s">
        <v>1477</v>
      </c>
      <c r="D49" s="313">
        <v>0.88</v>
      </c>
      <c r="E49" s="313">
        <v>0.84</v>
      </c>
      <c r="F49" s="313">
        <v>0.81</v>
      </c>
      <c r="G49" s="314">
        <v>0.8</v>
      </c>
      <c r="H49" s="314">
        <v>0.8</v>
      </c>
      <c r="I49" s="314">
        <v>0.8</v>
      </c>
      <c r="J49" s="314">
        <v>0.8</v>
      </c>
      <c r="K49" s="314">
        <v>0.8</v>
      </c>
      <c r="L49" s="321">
        <v>0.52</v>
      </c>
      <c r="M49" s="321">
        <v>0.5</v>
      </c>
      <c r="N49" s="321">
        <v>0.47</v>
      </c>
      <c r="O49" s="321">
        <v>0.45</v>
      </c>
      <c r="P49" s="321">
        <v>0.45</v>
      </c>
      <c r="Q49" s="321">
        <v>0.45</v>
      </c>
      <c r="R49" s="321">
        <v>0.45</v>
      </c>
      <c r="S49" s="322">
        <v>0.45</v>
      </c>
      <c r="T49" s="314">
        <v>1.2</v>
      </c>
      <c r="U49" s="314">
        <v>1.1000000000000001</v>
      </c>
      <c r="V49" s="314">
        <v>1.05</v>
      </c>
      <c r="W49" s="314">
        <v>1</v>
      </c>
      <c r="X49" s="314">
        <v>1</v>
      </c>
      <c r="Y49" s="314">
        <v>1</v>
      </c>
      <c r="Z49" s="314">
        <v>1</v>
      </c>
      <c r="AA49" s="314">
        <v>1</v>
      </c>
      <c r="AB49" s="317">
        <v>0.74</v>
      </c>
      <c r="AC49" s="321">
        <v>0.66</v>
      </c>
      <c r="AD49" s="321">
        <v>0.61</v>
      </c>
      <c r="AE49" s="321">
        <v>0.55000000000000004</v>
      </c>
      <c r="AF49" s="321">
        <v>0.55000000000000004</v>
      </c>
      <c r="AG49" s="317">
        <v>0.55000000000000004</v>
      </c>
      <c r="AH49" s="317">
        <v>0.55000000000000004</v>
      </c>
      <c r="AI49" s="317">
        <v>0.55000000000000004</v>
      </c>
    </row>
    <row r="50" spans="1:35">
      <c r="A50" s="32" t="s">
        <v>1306</v>
      </c>
      <c r="B50" s="32" t="s">
        <v>1427</v>
      </c>
      <c r="C50" s="32" t="s">
        <v>1435</v>
      </c>
      <c r="D50" s="313">
        <v>0.88</v>
      </c>
      <c r="E50" s="313">
        <v>0.84</v>
      </c>
      <c r="F50" s="313">
        <v>0.81</v>
      </c>
      <c r="G50" s="314">
        <v>0.8</v>
      </c>
      <c r="H50" s="314">
        <v>0.8</v>
      </c>
      <c r="I50" s="314">
        <v>0.8</v>
      </c>
      <c r="J50" s="314">
        <v>0.8</v>
      </c>
      <c r="K50" s="314">
        <v>0.8</v>
      </c>
      <c r="L50" s="321">
        <v>0.52</v>
      </c>
      <c r="M50" s="321">
        <v>0.5</v>
      </c>
      <c r="N50" s="321">
        <v>0.47</v>
      </c>
      <c r="O50" s="321">
        <v>0.45</v>
      </c>
      <c r="P50" s="321">
        <v>0.45</v>
      </c>
      <c r="Q50" s="321">
        <v>0.45</v>
      </c>
      <c r="R50" s="321">
        <v>0.45</v>
      </c>
      <c r="S50" s="322">
        <v>0.45</v>
      </c>
      <c r="T50" s="314">
        <v>1.2</v>
      </c>
      <c r="U50" s="314">
        <v>1.1000000000000001</v>
      </c>
      <c r="V50" s="314">
        <v>1.05</v>
      </c>
      <c r="W50" s="314">
        <v>1</v>
      </c>
      <c r="X50" s="314">
        <v>1</v>
      </c>
      <c r="Y50" s="314">
        <v>1</v>
      </c>
      <c r="Z50" s="314">
        <v>1</v>
      </c>
      <c r="AA50" s="314">
        <v>1</v>
      </c>
      <c r="AB50" s="317">
        <v>0.74</v>
      </c>
      <c r="AC50" s="321">
        <v>0.66</v>
      </c>
      <c r="AD50" s="321">
        <v>0.61</v>
      </c>
      <c r="AE50" s="321">
        <v>0.55000000000000004</v>
      </c>
      <c r="AF50" s="321">
        <v>0.55000000000000004</v>
      </c>
      <c r="AG50" s="317">
        <v>0.55000000000000004</v>
      </c>
      <c r="AH50" s="317">
        <v>0.55000000000000004</v>
      </c>
      <c r="AI50" s="317">
        <v>0.55000000000000004</v>
      </c>
    </row>
    <row r="51" spans="1:35">
      <c r="A51" s="32" t="s">
        <v>1306</v>
      </c>
      <c r="B51" s="32" t="s">
        <v>1427</v>
      </c>
      <c r="C51" s="463" t="s">
        <v>106</v>
      </c>
      <c r="D51" s="313">
        <v>0.88</v>
      </c>
      <c r="E51" s="313">
        <v>0.84</v>
      </c>
      <c r="F51" s="313">
        <v>0.81</v>
      </c>
      <c r="G51" s="314">
        <v>0.8</v>
      </c>
      <c r="H51" s="314">
        <v>0.8</v>
      </c>
      <c r="I51" s="314">
        <v>0.8</v>
      </c>
      <c r="J51" s="314">
        <v>0.8</v>
      </c>
      <c r="K51" s="314">
        <v>0.8</v>
      </c>
      <c r="L51" s="321">
        <v>0.52</v>
      </c>
      <c r="M51" s="321">
        <v>0.5</v>
      </c>
      <c r="N51" s="321">
        <v>0.47</v>
      </c>
      <c r="O51" s="321">
        <v>0.45</v>
      </c>
      <c r="P51" s="321">
        <v>0.45</v>
      </c>
      <c r="Q51" s="321">
        <v>0.45</v>
      </c>
      <c r="R51" s="321">
        <v>0.45</v>
      </c>
      <c r="S51" s="322">
        <v>0.45</v>
      </c>
      <c r="T51" s="314">
        <v>1.2</v>
      </c>
      <c r="U51" s="314">
        <v>1.1000000000000001</v>
      </c>
      <c r="V51" s="314">
        <v>1.05</v>
      </c>
      <c r="W51" s="314">
        <v>1</v>
      </c>
      <c r="X51" s="314">
        <v>1</v>
      </c>
      <c r="Y51" s="314">
        <v>1</v>
      </c>
      <c r="Z51" s="314">
        <v>1</v>
      </c>
      <c r="AA51" s="314">
        <v>1</v>
      </c>
      <c r="AB51" s="317">
        <v>0.74</v>
      </c>
      <c r="AC51" s="321">
        <v>0.66</v>
      </c>
      <c r="AD51" s="321">
        <v>0.61</v>
      </c>
      <c r="AE51" s="321">
        <v>0.55000000000000004</v>
      </c>
      <c r="AF51" s="321">
        <v>0.55000000000000004</v>
      </c>
      <c r="AG51" s="317">
        <v>0.55000000000000004</v>
      </c>
      <c r="AH51" s="317">
        <v>0.55000000000000004</v>
      </c>
      <c r="AI51" s="317">
        <v>0.55000000000000004</v>
      </c>
    </row>
    <row r="52" spans="1:35">
      <c r="A52" s="32" t="s">
        <v>1306</v>
      </c>
      <c r="B52" s="32" t="s">
        <v>1483</v>
      </c>
      <c r="C52" s="32" t="s">
        <v>1640</v>
      </c>
      <c r="D52" s="313">
        <v>0.88</v>
      </c>
      <c r="E52" s="313">
        <v>0.84</v>
      </c>
      <c r="F52" s="313">
        <v>0.81</v>
      </c>
      <c r="G52" s="314">
        <v>0.8</v>
      </c>
      <c r="H52" s="314">
        <v>0.8</v>
      </c>
      <c r="I52" s="314">
        <v>0.8</v>
      </c>
      <c r="J52" s="314">
        <v>0.8</v>
      </c>
      <c r="K52" s="314">
        <v>0.8</v>
      </c>
      <c r="L52" s="321">
        <v>0.52</v>
      </c>
      <c r="M52" s="321">
        <v>0.5</v>
      </c>
      <c r="N52" s="321">
        <v>0.47</v>
      </c>
      <c r="O52" s="321">
        <v>0.45</v>
      </c>
      <c r="P52" s="321">
        <v>0.45</v>
      </c>
      <c r="Q52" s="321">
        <v>0.45</v>
      </c>
      <c r="R52" s="321">
        <v>0.45</v>
      </c>
      <c r="S52" s="322">
        <v>0.45</v>
      </c>
      <c r="T52" s="314">
        <v>1.2</v>
      </c>
      <c r="U52" s="314">
        <v>1.1000000000000001</v>
      </c>
      <c r="V52" s="314">
        <v>1.05</v>
      </c>
      <c r="W52" s="314">
        <v>1</v>
      </c>
      <c r="X52" s="314">
        <v>1</v>
      </c>
      <c r="Y52" s="314">
        <v>1</v>
      </c>
      <c r="Z52" s="314">
        <v>1</v>
      </c>
      <c r="AA52" s="314">
        <v>1</v>
      </c>
      <c r="AB52" s="317">
        <v>0.74</v>
      </c>
      <c r="AC52" s="321">
        <v>0.66</v>
      </c>
      <c r="AD52" s="321">
        <v>0.61</v>
      </c>
      <c r="AE52" s="321">
        <v>0.55000000000000004</v>
      </c>
      <c r="AF52" s="321">
        <v>0.55000000000000004</v>
      </c>
      <c r="AG52" s="317">
        <v>0.55000000000000004</v>
      </c>
      <c r="AH52" s="317">
        <v>0.55000000000000004</v>
      </c>
      <c r="AI52" s="317">
        <v>0.55000000000000004</v>
      </c>
    </row>
    <row r="53" spans="1:35">
      <c r="A53" s="32" t="s">
        <v>1306</v>
      </c>
      <c r="B53" s="32" t="s">
        <v>1427</v>
      </c>
      <c r="C53" s="32" t="s">
        <v>1438</v>
      </c>
      <c r="D53" s="313">
        <v>0.88</v>
      </c>
      <c r="E53" s="313">
        <v>0.84</v>
      </c>
      <c r="F53" s="313">
        <v>0.81</v>
      </c>
      <c r="G53" s="314">
        <v>0.8</v>
      </c>
      <c r="H53" s="314">
        <v>0.8</v>
      </c>
      <c r="I53" s="314">
        <v>0.8</v>
      </c>
      <c r="J53" s="314">
        <v>0.8</v>
      </c>
      <c r="K53" s="314">
        <v>0.8</v>
      </c>
      <c r="L53" s="321">
        <v>0.52</v>
      </c>
      <c r="M53" s="321">
        <v>0.5</v>
      </c>
      <c r="N53" s="321">
        <v>0.47</v>
      </c>
      <c r="O53" s="321">
        <v>0.45</v>
      </c>
      <c r="P53" s="321">
        <v>0.45</v>
      </c>
      <c r="Q53" s="321">
        <v>0.45</v>
      </c>
      <c r="R53" s="321">
        <v>0.45</v>
      </c>
      <c r="S53" s="322">
        <v>0.45</v>
      </c>
      <c r="T53" s="314">
        <v>1.2</v>
      </c>
      <c r="U53" s="314">
        <v>1.1000000000000001</v>
      </c>
      <c r="V53" s="314">
        <v>1.05</v>
      </c>
      <c r="W53" s="314">
        <v>1</v>
      </c>
      <c r="X53" s="314">
        <v>1</v>
      </c>
      <c r="Y53" s="314">
        <v>1</v>
      </c>
      <c r="Z53" s="314">
        <v>1</v>
      </c>
      <c r="AA53" s="314">
        <v>1</v>
      </c>
      <c r="AB53" s="317">
        <v>0.74</v>
      </c>
      <c r="AC53" s="321">
        <v>0.66</v>
      </c>
      <c r="AD53" s="321">
        <v>0.61</v>
      </c>
      <c r="AE53" s="321">
        <v>0.55000000000000004</v>
      </c>
      <c r="AF53" s="321">
        <v>0.55000000000000004</v>
      </c>
      <c r="AG53" s="317">
        <v>0.55000000000000004</v>
      </c>
      <c r="AH53" s="317">
        <v>0.55000000000000004</v>
      </c>
      <c r="AI53" s="317">
        <v>0.55000000000000004</v>
      </c>
    </row>
    <row r="54" spans="1:35">
      <c r="A54" s="32" t="s">
        <v>1306</v>
      </c>
      <c r="B54" s="32" t="s">
        <v>1427</v>
      </c>
      <c r="C54" s="32" t="s">
        <v>1439</v>
      </c>
      <c r="D54" s="313">
        <v>0.88</v>
      </c>
      <c r="E54" s="313">
        <v>0.84</v>
      </c>
      <c r="F54" s="313">
        <v>0.81</v>
      </c>
      <c r="G54" s="314">
        <v>0.8</v>
      </c>
      <c r="H54" s="314">
        <v>0.8</v>
      </c>
      <c r="I54" s="314">
        <v>0.8</v>
      </c>
      <c r="J54" s="314">
        <v>0.8</v>
      </c>
      <c r="K54" s="314">
        <v>0.8</v>
      </c>
      <c r="L54" s="321">
        <v>0.52</v>
      </c>
      <c r="M54" s="321">
        <v>0.5</v>
      </c>
      <c r="N54" s="321">
        <v>0.47</v>
      </c>
      <c r="O54" s="321">
        <v>0.45</v>
      </c>
      <c r="P54" s="321">
        <v>0.45</v>
      </c>
      <c r="Q54" s="321">
        <v>0.45</v>
      </c>
      <c r="R54" s="321">
        <v>0.45</v>
      </c>
      <c r="S54" s="322">
        <v>0.45</v>
      </c>
      <c r="T54" s="314">
        <v>1.2</v>
      </c>
      <c r="U54" s="314">
        <v>1.1000000000000001</v>
      </c>
      <c r="V54" s="314">
        <v>1.05</v>
      </c>
      <c r="W54" s="314">
        <v>1</v>
      </c>
      <c r="X54" s="314">
        <v>1</v>
      </c>
      <c r="Y54" s="314">
        <v>1</v>
      </c>
      <c r="Z54" s="314">
        <v>1</v>
      </c>
      <c r="AA54" s="314">
        <v>1</v>
      </c>
      <c r="AB54" s="317">
        <v>0.74</v>
      </c>
      <c r="AC54" s="321">
        <v>0.66</v>
      </c>
      <c r="AD54" s="321">
        <v>0.61</v>
      </c>
      <c r="AE54" s="321">
        <v>0.55000000000000004</v>
      </c>
      <c r="AF54" s="321">
        <v>0.55000000000000004</v>
      </c>
      <c r="AG54" s="317">
        <v>0.55000000000000004</v>
      </c>
      <c r="AH54" s="317">
        <v>0.55000000000000004</v>
      </c>
      <c r="AI54" s="317">
        <v>0.55000000000000004</v>
      </c>
    </row>
    <row r="55" spans="1:35">
      <c r="A55" s="32" t="s">
        <v>1306</v>
      </c>
      <c r="B55" s="32" t="s">
        <v>1427</v>
      </c>
      <c r="C55" s="32" t="s">
        <v>1478</v>
      </c>
      <c r="D55" s="313">
        <v>0.88</v>
      </c>
      <c r="E55" s="313">
        <v>0.84</v>
      </c>
      <c r="F55" s="313">
        <v>0.81</v>
      </c>
      <c r="G55" s="314">
        <v>0.8</v>
      </c>
      <c r="H55" s="314">
        <v>0.8</v>
      </c>
      <c r="I55" s="314">
        <v>0.8</v>
      </c>
      <c r="J55" s="314">
        <v>0.8</v>
      </c>
      <c r="K55" s="314">
        <v>0.8</v>
      </c>
      <c r="L55" s="321">
        <v>0.52</v>
      </c>
      <c r="M55" s="321">
        <v>0.5</v>
      </c>
      <c r="N55" s="321">
        <v>0.47</v>
      </c>
      <c r="O55" s="321">
        <v>0.45</v>
      </c>
      <c r="P55" s="321">
        <v>0.45</v>
      </c>
      <c r="Q55" s="321">
        <v>0.45</v>
      </c>
      <c r="R55" s="321">
        <v>0.45</v>
      </c>
      <c r="S55" s="322">
        <v>0.45</v>
      </c>
      <c r="T55" s="314">
        <v>1.2</v>
      </c>
      <c r="U55" s="314">
        <v>1.1000000000000001</v>
      </c>
      <c r="V55" s="314">
        <v>1.05</v>
      </c>
      <c r="W55" s="314">
        <v>1</v>
      </c>
      <c r="X55" s="314">
        <v>1</v>
      </c>
      <c r="Y55" s="314">
        <v>1</v>
      </c>
      <c r="Z55" s="314">
        <v>1</v>
      </c>
      <c r="AA55" s="314">
        <v>1</v>
      </c>
      <c r="AB55" s="317">
        <v>0.74</v>
      </c>
      <c r="AC55" s="321">
        <v>0.66</v>
      </c>
      <c r="AD55" s="321">
        <v>0.61</v>
      </c>
      <c r="AE55" s="321">
        <v>0.55000000000000004</v>
      </c>
      <c r="AF55" s="321">
        <v>0.55000000000000004</v>
      </c>
      <c r="AG55" s="317">
        <v>0.55000000000000004</v>
      </c>
      <c r="AH55" s="317">
        <v>0.55000000000000004</v>
      </c>
      <c r="AI55" s="317">
        <v>0.55000000000000004</v>
      </c>
    </row>
    <row r="56" spans="1:35">
      <c r="A56" s="32" t="s">
        <v>1306</v>
      </c>
      <c r="B56" s="32" t="s">
        <v>1427</v>
      </c>
      <c r="C56" s="32" t="s">
        <v>1479</v>
      </c>
      <c r="D56" s="313">
        <v>0.88</v>
      </c>
      <c r="E56" s="313">
        <v>0.84</v>
      </c>
      <c r="F56" s="313">
        <v>0.81</v>
      </c>
      <c r="G56" s="314">
        <v>0.8</v>
      </c>
      <c r="H56" s="314">
        <v>0.8</v>
      </c>
      <c r="I56" s="314">
        <v>0.8</v>
      </c>
      <c r="J56" s="314">
        <v>0.8</v>
      </c>
      <c r="K56" s="314">
        <v>0.8</v>
      </c>
      <c r="L56" s="321">
        <v>0.52</v>
      </c>
      <c r="M56" s="321">
        <v>0.5</v>
      </c>
      <c r="N56" s="321">
        <v>0.47</v>
      </c>
      <c r="O56" s="321">
        <v>0.45</v>
      </c>
      <c r="P56" s="321">
        <v>0.45</v>
      </c>
      <c r="Q56" s="321">
        <v>0.45</v>
      </c>
      <c r="R56" s="321">
        <v>0.45</v>
      </c>
      <c r="S56" s="322">
        <v>0.45</v>
      </c>
      <c r="T56" s="314">
        <v>1.2</v>
      </c>
      <c r="U56" s="314">
        <v>1.1000000000000001</v>
      </c>
      <c r="V56" s="314">
        <v>1.05</v>
      </c>
      <c r="W56" s="314">
        <v>1</v>
      </c>
      <c r="X56" s="314">
        <v>1</v>
      </c>
      <c r="Y56" s="314">
        <v>1</v>
      </c>
      <c r="Z56" s="314">
        <v>1</v>
      </c>
      <c r="AA56" s="314">
        <v>1</v>
      </c>
      <c r="AB56" s="317">
        <v>0.74</v>
      </c>
      <c r="AC56" s="321">
        <v>0.66</v>
      </c>
      <c r="AD56" s="321">
        <v>0.61</v>
      </c>
      <c r="AE56" s="321">
        <v>0.55000000000000004</v>
      </c>
      <c r="AF56" s="321">
        <v>0.55000000000000004</v>
      </c>
      <c r="AG56" s="317">
        <v>0.55000000000000004</v>
      </c>
      <c r="AH56" s="317">
        <v>0.55000000000000004</v>
      </c>
      <c r="AI56" s="317">
        <v>0.55000000000000004</v>
      </c>
    </row>
    <row r="57" spans="1:35">
      <c r="A57" s="32" t="s">
        <v>1306</v>
      </c>
      <c r="B57" s="32" t="s">
        <v>1427</v>
      </c>
      <c r="C57" s="32" t="s">
        <v>1440</v>
      </c>
      <c r="D57" s="313">
        <v>0.88</v>
      </c>
      <c r="E57" s="313">
        <v>0.84</v>
      </c>
      <c r="F57" s="313">
        <v>0.81</v>
      </c>
      <c r="G57" s="314">
        <v>0.8</v>
      </c>
      <c r="H57" s="314">
        <v>0.8</v>
      </c>
      <c r="I57" s="314">
        <v>0.8</v>
      </c>
      <c r="J57" s="314">
        <v>0.8</v>
      </c>
      <c r="K57" s="314">
        <v>0.8</v>
      </c>
      <c r="L57" s="321">
        <v>0.52</v>
      </c>
      <c r="M57" s="321">
        <v>0.5</v>
      </c>
      <c r="N57" s="321">
        <v>0.47</v>
      </c>
      <c r="O57" s="321">
        <v>0.45</v>
      </c>
      <c r="P57" s="321">
        <v>0.45</v>
      </c>
      <c r="Q57" s="321">
        <v>0.45</v>
      </c>
      <c r="R57" s="321">
        <v>0.45</v>
      </c>
      <c r="S57" s="322">
        <v>0.45</v>
      </c>
      <c r="T57" s="314">
        <v>1.2</v>
      </c>
      <c r="U57" s="314">
        <v>1.1000000000000001</v>
      </c>
      <c r="V57" s="314">
        <v>1.05</v>
      </c>
      <c r="W57" s="314">
        <v>1</v>
      </c>
      <c r="X57" s="314">
        <v>1</v>
      </c>
      <c r="Y57" s="314">
        <v>1</v>
      </c>
      <c r="Z57" s="314">
        <v>1</v>
      </c>
      <c r="AA57" s="314">
        <v>1</v>
      </c>
      <c r="AB57" s="317">
        <v>0.74</v>
      </c>
      <c r="AC57" s="321">
        <v>0.66</v>
      </c>
      <c r="AD57" s="321">
        <v>0.61</v>
      </c>
      <c r="AE57" s="321">
        <v>0.55000000000000004</v>
      </c>
      <c r="AF57" s="321">
        <v>0.55000000000000004</v>
      </c>
      <c r="AG57" s="317">
        <v>0.55000000000000004</v>
      </c>
      <c r="AH57" s="317">
        <v>0.55000000000000004</v>
      </c>
      <c r="AI57" s="317">
        <v>0.55000000000000004</v>
      </c>
    </row>
    <row r="58" spans="1:35">
      <c r="A58" s="32" t="s">
        <v>1306</v>
      </c>
      <c r="B58" s="32" t="s">
        <v>1427</v>
      </c>
      <c r="C58" s="32" t="s">
        <v>1480</v>
      </c>
      <c r="D58" s="313">
        <v>0.88</v>
      </c>
      <c r="E58" s="313">
        <v>0.84</v>
      </c>
      <c r="F58" s="313">
        <v>0.81</v>
      </c>
      <c r="G58" s="314">
        <v>0.8</v>
      </c>
      <c r="H58" s="314">
        <v>0.8</v>
      </c>
      <c r="I58" s="314">
        <v>0.8</v>
      </c>
      <c r="J58" s="314">
        <v>0.8</v>
      </c>
      <c r="K58" s="314">
        <v>0.8</v>
      </c>
      <c r="L58" s="321">
        <v>0.52</v>
      </c>
      <c r="M58" s="321">
        <v>0.5</v>
      </c>
      <c r="N58" s="321">
        <v>0.47</v>
      </c>
      <c r="O58" s="321">
        <v>0.45</v>
      </c>
      <c r="P58" s="321">
        <v>0.45</v>
      </c>
      <c r="Q58" s="321">
        <v>0.45</v>
      </c>
      <c r="R58" s="321">
        <v>0.45</v>
      </c>
      <c r="S58" s="322">
        <v>0.45</v>
      </c>
      <c r="T58" s="314">
        <v>1.2</v>
      </c>
      <c r="U58" s="314">
        <v>1.1000000000000001</v>
      </c>
      <c r="V58" s="314">
        <v>1.05</v>
      </c>
      <c r="W58" s="314">
        <v>1</v>
      </c>
      <c r="X58" s="314">
        <v>1</v>
      </c>
      <c r="Y58" s="314">
        <v>1</v>
      </c>
      <c r="Z58" s="314">
        <v>1</v>
      </c>
      <c r="AA58" s="314">
        <v>1</v>
      </c>
      <c r="AB58" s="317">
        <v>0.74</v>
      </c>
      <c r="AC58" s="321">
        <v>0.66</v>
      </c>
      <c r="AD58" s="321">
        <v>0.61</v>
      </c>
      <c r="AE58" s="321">
        <v>0.55000000000000004</v>
      </c>
      <c r="AF58" s="321">
        <v>0.55000000000000004</v>
      </c>
      <c r="AG58" s="317">
        <v>0.55000000000000004</v>
      </c>
      <c r="AH58" s="317">
        <v>0.55000000000000004</v>
      </c>
      <c r="AI58" s="317">
        <v>0.55000000000000004</v>
      </c>
    </row>
    <row r="59" spans="1:35" ht="31">
      <c r="A59" s="180" t="s">
        <v>1565</v>
      </c>
      <c r="B59" s="465" t="s">
        <v>1807</v>
      </c>
      <c r="C59" s="465" t="s">
        <v>1822</v>
      </c>
      <c r="D59" s="313">
        <v>1.08</v>
      </c>
      <c r="E59" s="313">
        <v>1.02</v>
      </c>
      <c r="F59" s="313">
        <v>0.94</v>
      </c>
      <c r="G59" s="314">
        <v>0.87</v>
      </c>
      <c r="H59" s="314">
        <v>0.85</v>
      </c>
      <c r="I59" s="314">
        <v>0.83</v>
      </c>
      <c r="J59" s="314">
        <v>0.8</v>
      </c>
      <c r="K59" s="314">
        <v>0.8</v>
      </c>
      <c r="L59" s="317">
        <v>0.63</v>
      </c>
      <c r="M59" s="317">
        <v>0.57999999999999996</v>
      </c>
      <c r="N59" s="317">
        <v>0.53</v>
      </c>
      <c r="O59" s="317">
        <v>0.49</v>
      </c>
      <c r="P59" s="317">
        <v>0.48</v>
      </c>
      <c r="Q59" s="317">
        <v>0.46</v>
      </c>
      <c r="R59" s="317">
        <v>0.45</v>
      </c>
      <c r="S59" s="318">
        <v>0.45</v>
      </c>
      <c r="T59" s="314">
        <v>1.33</v>
      </c>
      <c r="U59" s="314">
        <v>1.21</v>
      </c>
      <c r="V59" s="314">
        <v>1.1399999999999999</v>
      </c>
      <c r="W59" s="314">
        <v>1.0900000000000001</v>
      </c>
      <c r="X59" s="314">
        <v>1.06</v>
      </c>
      <c r="Y59" s="314">
        <v>1.03</v>
      </c>
      <c r="Z59" s="314">
        <v>1</v>
      </c>
      <c r="AA59" s="314">
        <v>1</v>
      </c>
      <c r="AB59" s="317">
        <v>0.83</v>
      </c>
      <c r="AC59" s="321">
        <v>0.75</v>
      </c>
      <c r="AD59" s="321">
        <v>0.69</v>
      </c>
      <c r="AE59" s="321">
        <v>0.65</v>
      </c>
      <c r="AF59" s="321">
        <v>0.62</v>
      </c>
      <c r="AG59" s="317">
        <v>0.59</v>
      </c>
      <c r="AH59" s="317">
        <v>0.55000000000000004</v>
      </c>
      <c r="AI59" s="317">
        <v>0.55000000000000004</v>
      </c>
    </row>
    <row r="60" spans="1:35" ht="31">
      <c r="A60" s="180" t="s">
        <v>1565</v>
      </c>
      <c r="B60" s="465" t="s">
        <v>1807</v>
      </c>
      <c r="C60" s="32" t="s">
        <v>1426</v>
      </c>
      <c r="D60" s="313">
        <v>1.08</v>
      </c>
      <c r="E60" s="313">
        <v>1.02</v>
      </c>
      <c r="F60" s="313">
        <v>0.94</v>
      </c>
      <c r="G60" s="314">
        <v>0.87</v>
      </c>
      <c r="H60" s="314">
        <v>0.85</v>
      </c>
      <c r="I60" s="314">
        <v>0.83</v>
      </c>
      <c r="J60" s="314">
        <v>0.8</v>
      </c>
      <c r="K60" s="314">
        <v>0.8</v>
      </c>
      <c r="L60" s="323">
        <v>0.63</v>
      </c>
      <c r="M60" s="317">
        <v>0.57999999999999996</v>
      </c>
      <c r="N60" s="317">
        <v>0.53</v>
      </c>
      <c r="O60" s="317">
        <v>0.49</v>
      </c>
      <c r="P60" s="317">
        <v>0.48</v>
      </c>
      <c r="Q60" s="317">
        <v>0.46</v>
      </c>
      <c r="R60" s="317">
        <v>0.45</v>
      </c>
      <c r="S60" s="318">
        <v>0.45</v>
      </c>
      <c r="T60" s="314">
        <v>1.33</v>
      </c>
      <c r="U60" s="314">
        <v>1.21</v>
      </c>
      <c r="V60" s="314">
        <v>1.1399999999999999</v>
      </c>
      <c r="W60" s="314">
        <v>1.0900000000000001</v>
      </c>
      <c r="X60" s="314">
        <v>1.06</v>
      </c>
      <c r="Y60" s="314">
        <v>1.03</v>
      </c>
      <c r="Z60" s="314">
        <v>1</v>
      </c>
      <c r="AA60" s="314">
        <v>1</v>
      </c>
      <c r="AB60" s="317">
        <v>0.83</v>
      </c>
      <c r="AC60" s="321">
        <v>0.75</v>
      </c>
      <c r="AD60" s="321">
        <v>0.69</v>
      </c>
      <c r="AE60" s="321">
        <v>0.65</v>
      </c>
      <c r="AF60" s="321">
        <v>0.62</v>
      </c>
      <c r="AG60" s="317">
        <v>0.59</v>
      </c>
      <c r="AH60" s="317">
        <v>0.55000000000000004</v>
      </c>
      <c r="AI60" s="317">
        <v>0.55000000000000004</v>
      </c>
    </row>
    <row r="61" spans="1:35" ht="31">
      <c r="A61" s="180" t="s">
        <v>1565</v>
      </c>
      <c r="B61" s="466" t="s">
        <v>1807</v>
      </c>
      <c r="C61" s="32" t="s">
        <v>1346</v>
      </c>
      <c r="D61" s="313">
        <v>1.08</v>
      </c>
      <c r="E61" s="313">
        <v>1.02</v>
      </c>
      <c r="F61" s="313">
        <v>0.94</v>
      </c>
      <c r="G61" s="314">
        <v>0.87</v>
      </c>
      <c r="H61" s="314">
        <v>0.85</v>
      </c>
      <c r="I61" s="314">
        <v>0.83</v>
      </c>
      <c r="J61" s="314">
        <v>0.8</v>
      </c>
      <c r="K61" s="315">
        <v>0.7</v>
      </c>
      <c r="L61" s="323">
        <v>0.63</v>
      </c>
      <c r="M61" s="317">
        <v>0.57999999999999996</v>
      </c>
      <c r="N61" s="317">
        <v>0.53</v>
      </c>
      <c r="O61" s="317">
        <v>0.49</v>
      </c>
      <c r="P61" s="317">
        <v>0.48</v>
      </c>
      <c r="Q61" s="317">
        <v>0.46</v>
      </c>
      <c r="R61" s="317">
        <v>0.45</v>
      </c>
      <c r="S61" s="320">
        <v>0.4</v>
      </c>
      <c r="T61" s="314">
        <v>1.33</v>
      </c>
      <c r="U61" s="314">
        <v>1.21</v>
      </c>
      <c r="V61" s="314">
        <v>1.1399999999999999</v>
      </c>
      <c r="W61" s="314">
        <v>1.0900000000000001</v>
      </c>
      <c r="X61" s="314">
        <v>1.06</v>
      </c>
      <c r="Y61" s="314">
        <v>1.03</v>
      </c>
      <c r="Z61" s="314">
        <v>1</v>
      </c>
      <c r="AA61" s="315">
        <v>0.9</v>
      </c>
      <c r="AB61" s="317">
        <v>0.83</v>
      </c>
      <c r="AC61" s="321">
        <v>0.75</v>
      </c>
      <c r="AD61" s="321">
        <v>0.69</v>
      </c>
      <c r="AE61" s="321">
        <v>0.65</v>
      </c>
      <c r="AF61" s="321">
        <v>0.62</v>
      </c>
      <c r="AG61" s="317">
        <v>0.59</v>
      </c>
      <c r="AH61" s="317">
        <v>0.55000000000000004</v>
      </c>
      <c r="AI61" s="325">
        <v>0.5</v>
      </c>
    </row>
    <row r="62" spans="1:35" ht="31">
      <c r="A62" s="180" t="s">
        <v>1565</v>
      </c>
      <c r="B62" s="32" t="s">
        <v>1427</v>
      </c>
      <c r="C62" s="32" t="s">
        <v>1428</v>
      </c>
      <c r="D62" s="313">
        <v>1.08</v>
      </c>
      <c r="E62" s="313">
        <v>1.02</v>
      </c>
      <c r="F62" s="313">
        <v>0.94</v>
      </c>
      <c r="G62" s="314">
        <v>0.87</v>
      </c>
      <c r="H62" s="314">
        <v>0.85</v>
      </c>
      <c r="I62" s="314">
        <v>0.83</v>
      </c>
      <c r="J62" s="314">
        <v>0.8</v>
      </c>
      <c r="K62" s="314">
        <v>0.8</v>
      </c>
      <c r="L62" s="323">
        <v>0.63</v>
      </c>
      <c r="M62" s="317">
        <v>0.57999999999999996</v>
      </c>
      <c r="N62" s="317">
        <v>0.53</v>
      </c>
      <c r="O62" s="317">
        <v>0.49</v>
      </c>
      <c r="P62" s="317">
        <v>0.48</v>
      </c>
      <c r="Q62" s="317">
        <v>0.46</v>
      </c>
      <c r="R62" s="317">
        <v>0.45</v>
      </c>
      <c r="S62" s="318">
        <v>0.45</v>
      </c>
      <c r="T62" s="314">
        <v>1.33</v>
      </c>
      <c r="U62" s="314">
        <v>1.21</v>
      </c>
      <c r="V62" s="314">
        <v>1.1399999999999999</v>
      </c>
      <c r="W62" s="314">
        <v>1.0900000000000001</v>
      </c>
      <c r="X62" s="314">
        <v>1.06</v>
      </c>
      <c r="Y62" s="314">
        <v>1.03</v>
      </c>
      <c r="Z62" s="314">
        <v>1</v>
      </c>
      <c r="AA62" s="314">
        <v>1</v>
      </c>
      <c r="AB62" s="317">
        <v>0.83</v>
      </c>
      <c r="AC62" s="321">
        <v>0.75</v>
      </c>
      <c r="AD62" s="321">
        <v>0.69</v>
      </c>
      <c r="AE62" s="321">
        <v>0.65</v>
      </c>
      <c r="AF62" s="321">
        <v>0.62</v>
      </c>
      <c r="AG62" s="317">
        <v>0.59</v>
      </c>
      <c r="AH62" s="317">
        <v>0.55000000000000004</v>
      </c>
      <c r="AI62" s="317">
        <v>0.55000000000000004</v>
      </c>
    </row>
    <row r="63" spans="1:35" ht="31">
      <c r="A63" s="180" t="s">
        <v>1565</v>
      </c>
      <c r="B63" s="32" t="s">
        <v>1427</v>
      </c>
      <c r="C63" s="32" t="s">
        <v>1429</v>
      </c>
      <c r="D63" s="313">
        <v>1.08</v>
      </c>
      <c r="E63" s="313">
        <v>1.02</v>
      </c>
      <c r="F63" s="313">
        <v>0.94</v>
      </c>
      <c r="G63" s="314">
        <v>0.87</v>
      </c>
      <c r="H63" s="314">
        <v>0.85</v>
      </c>
      <c r="I63" s="314">
        <v>0.83</v>
      </c>
      <c r="J63" s="314">
        <v>0.8</v>
      </c>
      <c r="K63" s="314">
        <v>0.8</v>
      </c>
      <c r="L63" s="323">
        <v>0.63</v>
      </c>
      <c r="M63" s="317">
        <v>0.57999999999999996</v>
      </c>
      <c r="N63" s="317">
        <v>0.53</v>
      </c>
      <c r="O63" s="317">
        <v>0.49</v>
      </c>
      <c r="P63" s="317">
        <v>0.48</v>
      </c>
      <c r="Q63" s="317">
        <v>0.46</v>
      </c>
      <c r="R63" s="317">
        <v>0.45</v>
      </c>
      <c r="S63" s="318">
        <v>0.45</v>
      </c>
      <c r="T63" s="314">
        <v>1.33</v>
      </c>
      <c r="U63" s="314">
        <v>1.21</v>
      </c>
      <c r="V63" s="314">
        <v>1.1399999999999999</v>
      </c>
      <c r="W63" s="314">
        <v>1.0900000000000001</v>
      </c>
      <c r="X63" s="314">
        <v>1.06</v>
      </c>
      <c r="Y63" s="314">
        <v>1.03</v>
      </c>
      <c r="Z63" s="314">
        <v>1</v>
      </c>
      <c r="AA63" s="314">
        <v>1</v>
      </c>
      <c r="AB63" s="317">
        <v>0.83</v>
      </c>
      <c r="AC63" s="321">
        <v>0.75</v>
      </c>
      <c r="AD63" s="321">
        <v>0.69</v>
      </c>
      <c r="AE63" s="321">
        <v>0.65</v>
      </c>
      <c r="AF63" s="321">
        <v>0.62</v>
      </c>
      <c r="AG63" s="317">
        <v>0.59</v>
      </c>
      <c r="AH63" s="317">
        <v>0.55000000000000004</v>
      </c>
      <c r="AI63" s="317">
        <v>0.55000000000000004</v>
      </c>
    </row>
    <row r="64" spans="1:35" ht="31">
      <c r="A64" s="180" t="s">
        <v>1565</v>
      </c>
      <c r="B64" s="32" t="s">
        <v>1427</v>
      </c>
      <c r="C64" s="32" t="s">
        <v>1430</v>
      </c>
      <c r="D64" s="313">
        <v>1.08</v>
      </c>
      <c r="E64" s="313">
        <v>1.02</v>
      </c>
      <c r="F64" s="313">
        <v>0.94</v>
      </c>
      <c r="G64" s="314">
        <v>0.87</v>
      </c>
      <c r="H64" s="314">
        <v>0.85</v>
      </c>
      <c r="I64" s="314">
        <v>0.83</v>
      </c>
      <c r="J64" s="314">
        <v>0.8</v>
      </c>
      <c r="K64" s="314">
        <v>0.8</v>
      </c>
      <c r="L64" s="323">
        <v>0.63</v>
      </c>
      <c r="M64" s="317">
        <v>0.57999999999999996</v>
      </c>
      <c r="N64" s="317">
        <v>0.53</v>
      </c>
      <c r="O64" s="317">
        <v>0.49</v>
      </c>
      <c r="P64" s="317">
        <v>0.48</v>
      </c>
      <c r="Q64" s="317">
        <v>0.46</v>
      </c>
      <c r="R64" s="317">
        <v>0.45</v>
      </c>
      <c r="S64" s="318">
        <v>0.45</v>
      </c>
      <c r="T64" s="314">
        <v>1.33</v>
      </c>
      <c r="U64" s="314">
        <v>1.21</v>
      </c>
      <c r="V64" s="314">
        <v>1.1399999999999999</v>
      </c>
      <c r="W64" s="314">
        <v>1.0900000000000001</v>
      </c>
      <c r="X64" s="314">
        <v>1.06</v>
      </c>
      <c r="Y64" s="314">
        <v>1.03</v>
      </c>
      <c r="Z64" s="314">
        <v>1</v>
      </c>
      <c r="AA64" s="314">
        <v>1</v>
      </c>
      <c r="AB64" s="317">
        <v>0.83</v>
      </c>
      <c r="AC64" s="321">
        <v>0.75</v>
      </c>
      <c r="AD64" s="321">
        <v>0.69</v>
      </c>
      <c r="AE64" s="321">
        <v>0.65</v>
      </c>
      <c r="AF64" s="321">
        <v>0.62</v>
      </c>
      <c r="AG64" s="317">
        <v>0.59</v>
      </c>
      <c r="AH64" s="317">
        <v>0.55000000000000004</v>
      </c>
      <c r="AI64" s="317">
        <v>0.55000000000000004</v>
      </c>
    </row>
    <row r="65" spans="1:35" ht="31">
      <c r="A65" s="180" t="s">
        <v>1565</v>
      </c>
      <c r="B65" s="32" t="s">
        <v>1427</v>
      </c>
      <c r="C65" s="471" t="s">
        <v>1806</v>
      </c>
      <c r="D65" s="313">
        <v>1.08</v>
      </c>
      <c r="E65" s="313">
        <v>1.02</v>
      </c>
      <c r="F65" s="313">
        <v>0.94</v>
      </c>
      <c r="G65" s="314">
        <v>0.87</v>
      </c>
      <c r="H65" s="314">
        <v>0.85</v>
      </c>
      <c r="I65" s="314">
        <v>0.83</v>
      </c>
      <c r="J65" s="314">
        <v>0.8</v>
      </c>
      <c r="K65" s="314">
        <v>0.8</v>
      </c>
      <c r="L65" s="323">
        <v>0.63</v>
      </c>
      <c r="M65" s="317">
        <v>0.57999999999999996</v>
      </c>
      <c r="N65" s="317">
        <v>0.53</v>
      </c>
      <c r="O65" s="317">
        <v>0.49</v>
      </c>
      <c r="P65" s="317">
        <v>0.48</v>
      </c>
      <c r="Q65" s="317">
        <v>0.46</v>
      </c>
      <c r="R65" s="317">
        <v>0.45</v>
      </c>
      <c r="S65" s="318">
        <v>0.45</v>
      </c>
      <c r="T65" s="314">
        <v>1.33</v>
      </c>
      <c r="U65" s="314">
        <v>1.21</v>
      </c>
      <c r="V65" s="314">
        <v>1.1399999999999999</v>
      </c>
      <c r="W65" s="314">
        <v>1.0900000000000001</v>
      </c>
      <c r="X65" s="314">
        <v>1.06</v>
      </c>
      <c r="Y65" s="314">
        <v>1.03</v>
      </c>
      <c r="Z65" s="314">
        <v>1</v>
      </c>
      <c r="AA65" s="314">
        <v>1</v>
      </c>
      <c r="AB65" s="317">
        <v>0.83</v>
      </c>
      <c r="AC65" s="321">
        <v>0.75</v>
      </c>
      <c r="AD65" s="321">
        <v>0.69</v>
      </c>
      <c r="AE65" s="321">
        <v>0.65</v>
      </c>
      <c r="AF65" s="321">
        <v>0.62</v>
      </c>
      <c r="AG65" s="317">
        <v>0.59</v>
      </c>
      <c r="AH65" s="317">
        <v>0.55000000000000004</v>
      </c>
      <c r="AI65" s="317">
        <v>0.55000000000000004</v>
      </c>
    </row>
    <row r="66" spans="1:35" ht="31">
      <c r="A66" s="180" t="s">
        <v>1565</v>
      </c>
      <c r="B66" s="32" t="s">
        <v>1427</v>
      </c>
      <c r="C66" s="32" t="s">
        <v>1431</v>
      </c>
      <c r="D66" s="313">
        <v>1.08</v>
      </c>
      <c r="E66" s="313">
        <v>1.02</v>
      </c>
      <c r="F66" s="313">
        <v>0.94</v>
      </c>
      <c r="G66" s="314">
        <v>0.87</v>
      </c>
      <c r="H66" s="314">
        <v>0.85</v>
      </c>
      <c r="I66" s="314">
        <v>0.83</v>
      </c>
      <c r="J66" s="314">
        <v>0.8</v>
      </c>
      <c r="K66" s="314">
        <v>0.8</v>
      </c>
      <c r="L66" s="323">
        <v>0.63</v>
      </c>
      <c r="M66" s="317">
        <v>0.57999999999999996</v>
      </c>
      <c r="N66" s="317">
        <v>0.53</v>
      </c>
      <c r="O66" s="317">
        <v>0.49</v>
      </c>
      <c r="P66" s="317">
        <v>0.48</v>
      </c>
      <c r="Q66" s="317">
        <v>0.46</v>
      </c>
      <c r="R66" s="317">
        <v>0.45</v>
      </c>
      <c r="S66" s="318">
        <v>0.45</v>
      </c>
      <c r="T66" s="314">
        <v>1.33</v>
      </c>
      <c r="U66" s="314">
        <v>1.21</v>
      </c>
      <c r="V66" s="314">
        <v>1.1399999999999999</v>
      </c>
      <c r="W66" s="314">
        <v>1.0900000000000001</v>
      </c>
      <c r="X66" s="314">
        <v>1.06</v>
      </c>
      <c r="Y66" s="314">
        <v>1.03</v>
      </c>
      <c r="Z66" s="314">
        <v>1</v>
      </c>
      <c r="AA66" s="314">
        <v>1</v>
      </c>
      <c r="AB66" s="317">
        <v>0.83</v>
      </c>
      <c r="AC66" s="321">
        <v>0.75</v>
      </c>
      <c r="AD66" s="321">
        <v>0.69</v>
      </c>
      <c r="AE66" s="321">
        <v>0.65</v>
      </c>
      <c r="AF66" s="321">
        <v>0.62</v>
      </c>
      <c r="AG66" s="317">
        <v>0.59</v>
      </c>
      <c r="AH66" s="317">
        <v>0.55000000000000004</v>
      </c>
      <c r="AI66" s="317">
        <v>0.55000000000000004</v>
      </c>
    </row>
    <row r="67" spans="1:35" ht="31">
      <c r="A67" s="180" t="s">
        <v>1565</v>
      </c>
      <c r="B67" s="32" t="s">
        <v>1427</v>
      </c>
      <c r="C67" s="471" t="s">
        <v>1432</v>
      </c>
      <c r="D67" s="313">
        <v>1.08</v>
      </c>
      <c r="E67" s="313">
        <v>1.02</v>
      </c>
      <c r="F67" s="313">
        <v>0.94</v>
      </c>
      <c r="G67" s="314">
        <v>0.87</v>
      </c>
      <c r="H67" s="314">
        <v>0.85</v>
      </c>
      <c r="I67" s="314">
        <v>0.83</v>
      </c>
      <c r="J67" s="314">
        <v>0.8</v>
      </c>
      <c r="K67" s="314">
        <v>0.8</v>
      </c>
      <c r="L67" s="323">
        <v>0.63</v>
      </c>
      <c r="M67" s="317">
        <v>0.57999999999999996</v>
      </c>
      <c r="N67" s="317">
        <v>0.53</v>
      </c>
      <c r="O67" s="317">
        <v>0.49</v>
      </c>
      <c r="P67" s="317">
        <v>0.48</v>
      </c>
      <c r="Q67" s="317">
        <v>0.46</v>
      </c>
      <c r="R67" s="317">
        <v>0.45</v>
      </c>
      <c r="S67" s="318">
        <v>0.45</v>
      </c>
      <c r="T67" s="314">
        <v>1.33</v>
      </c>
      <c r="U67" s="314">
        <v>1.21</v>
      </c>
      <c r="V67" s="314">
        <v>1.1399999999999999</v>
      </c>
      <c r="W67" s="314">
        <v>1.0900000000000001</v>
      </c>
      <c r="X67" s="314">
        <v>1.06</v>
      </c>
      <c r="Y67" s="314">
        <v>1.03</v>
      </c>
      <c r="Z67" s="314">
        <v>1</v>
      </c>
      <c r="AA67" s="314">
        <v>1</v>
      </c>
      <c r="AB67" s="317">
        <v>0.83</v>
      </c>
      <c r="AC67" s="321">
        <v>0.75</v>
      </c>
      <c r="AD67" s="321">
        <v>0.69</v>
      </c>
      <c r="AE67" s="321">
        <v>0.65</v>
      </c>
      <c r="AF67" s="321">
        <v>0.62</v>
      </c>
      <c r="AG67" s="317">
        <v>0.59</v>
      </c>
      <c r="AH67" s="317">
        <v>0.55000000000000004</v>
      </c>
      <c r="AI67" s="317">
        <v>0.55000000000000004</v>
      </c>
    </row>
    <row r="68" spans="1:35" ht="31">
      <c r="A68" s="180" t="s">
        <v>1565</v>
      </c>
      <c r="B68" s="32" t="s">
        <v>1427</v>
      </c>
      <c r="C68" s="32" t="s">
        <v>1433</v>
      </c>
      <c r="D68" s="313">
        <v>1.08</v>
      </c>
      <c r="E68" s="313">
        <v>1.02</v>
      </c>
      <c r="F68" s="313">
        <v>0.94</v>
      </c>
      <c r="G68" s="314">
        <v>0.87</v>
      </c>
      <c r="H68" s="314">
        <v>0.85</v>
      </c>
      <c r="I68" s="314">
        <v>0.83</v>
      </c>
      <c r="J68" s="314">
        <v>0.8</v>
      </c>
      <c r="K68" s="314">
        <v>0.8</v>
      </c>
      <c r="L68" s="323">
        <v>0.63</v>
      </c>
      <c r="M68" s="317">
        <v>0.57999999999999996</v>
      </c>
      <c r="N68" s="317">
        <v>0.53</v>
      </c>
      <c r="O68" s="317">
        <v>0.49</v>
      </c>
      <c r="P68" s="317">
        <v>0.48</v>
      </c>
      <c r="Q68" s="317">
        <v>0.46</v>
      </c>
      <c r="R68" s="317">
        <v>0.45</v>
      </c>
      <c r="S68" s="318">
        <v>0.45</v>
      </c>
      <c r="T68" s="314">
        <v>1.33</v>
      </c>
      <c r="U68" s="314">
        <v>1.21</v>
      </c>
      <c r="V68" s="314">
        <v>1.1399999999999999</v>
      </c>
      <c r="W68" s="314">
        <v>1.0900000000000001</v>
      </c>
      <c r="X68" s="314">
        <v>1.06</v>
      </c>
      <c r="Y68" s="314">
        <v>1.03</v>
      </c>
      <c r="Z68" s="314">
        <v>1</v>
      </c>
      <c r="AA68" s="314">
        <v>1</v>
      </c>
      <c r="AB68" s="317">
        <v>0.83</v>
      </c>
      <c r="AC68" s="321">
        <v>0.75</v>
      </c>
      <c r="AD68" s="321">
        <v>0.69</v>
      </c>
      <c r="AE68" s="321">
        <v>0.65</v>
      </c>
      <c r="AF68" s="321">
        <v>0.62</v>
      </c>
      <c r="AG68" s="317">
        <v>0.59</v>
      </c>
      <c r="AH68" s="317">
        <v>0.55000000000000004</v>
      </c>
      <c r="AI68" s="317">
        <v>0.55000000000000004</v>
      </c>
    </row>
    <row r="69" spans="1:35" ht="31">
      <c r="A69" s="180" t="s">
        <v>1565</v>
      </c>
      <c r="B69" s="32" t="s">
        <v>1427</v>
      </c>
      <c r="C69" s="32" t="s">
        <v>1434</v>
      </c>
      <c r="D69" s="313">
        <v>1.08</v>
      </c>
      <c r="E69" s="313">
        <v>1.02</v>
      </c>
      <c r="F69" s="313">
        <v>0.94</v>
      </c>
      <c r="G69" s="314">
        <v>0.87</v>
      </c>
      <c r="H69" s="314">
        <v>0.85</v>
      </c>
      <c r="I69" s="314">
        <v>0.83</v>
      </c>
      <c r="J69" s="314">
        <v>0.8</v>
      </c>
      <c r="K69" s="314">
        <v>0.8</v>
      </c>
      <c r="L69" s="323">
        <v>0.63</v>
      </c>
      <c r="M69" s="317">
        <v>0.57999999999999996</v>
      </c>
      <c r="N69" s="317">
        <v>0.53</v>
      </c>
      <c r="O69" s="317">
        <v>0.49</v>
      </c>
      <c r="P69" s="317">
        <v>0.48</v>
      </c>
      <c r="Q69" s="317">
        <v>0.46</v>
      </c>
      <c r="R69" s="317">
        <v>0.45</v>
      </c>
      <c r="S69" s="318">
        <v>0.45</v>
      </c>
      <c r="T69" s="314">
        <v>1.33</v>
      </c>
      <c r="U69" s="314">
        <v>1.21</v>
      </c>
      <c r="V69" s="314">
        <v>1.1399999999999999</v>
      </c>
      <c r="W69" s="314">
        <v>1.0900000000000001</v>
      </c>
      <c r="X69" s="314">
        <v>1.06</v>
      </c>
      <c r="Y69" s="314">
        <v>1.03</v>
      </c>
      <c r="Z69" s="314">
        <v>1</v>
      </c>
      <c r="AA69" s="314">
        <v>1</v>
      </c>
      <c r="AB69" s="317">
        <v>0.83</v>
      </c>
      <c r="AC69" s="321">
        <v>0.75</v>
      </c>
      <c r="AD69" s="321">
        <v>0.69</v>
      </c>
      <c r="AE69" s="321">
        <v>0.65</v>
      </c>
      <c r="AF69" s="321">
        <v>0.62</v>
      </c>
      <c r="AG69" s="317">
        <v>0.59</v>
      </c>
      <c r="AH69" s="317">
        <v>0.55000000000000004</v>
      </c>
      <c r="AI69" s="317">
        <v>0.55000000000000004</v>
      </c>
    </row>
    <row r="70" spans="1:35" ht="31">
      <c r="A70" s="180" t="s">
        <v>1565</v>
      </c>
      <c r="B70" s="32" t="s">
        <v>1427</v>
      </c>
      <c r="C70" s="32" t="s">
        <v>1435</v>
      </c>
      <c r="D70" s="313">
        <v>1.08</v>
      </c>
      <c r="E70" s="313">
        <v>1.02</v>
      </c>
      <c r="F70" s="313">
        <v>0.94</v>
      </c>
      <c r="G70" s="314">
        <v>0.87</v>
      </c>
      <c r="H70" s="314">
        <v>0.85</v>
      </c>
      <c r="I70" s="314">
        <v>0.83</v>
      </c>
      <c r="J70" s="314">
        <v>0.8</v>
      </c>
      <c r="K70" s="314">
        <v>0.8</v>
      </c>
      <c r="L70" s="323">
        <v>0.63</v>
      </c>
      <c r="M70" s="317">
        <v>0.57999999999999996</v>
      </c>
      <c r="N70" s="317">
        <v>0.53</v>
      </c>
      <c r="O70" s="317">
        <v>0.49</v>
      </c>
      <c r="P70" s="317">
        <v>0.48</v>
      </c>
      <c r="Q70" s="317">
        <v>0.46</v>
      </c>
      <c r="R70" s="317">
        <v>0.45</v>
      </c>
      <c r="S70" s="318">
        <v>0.45</v>
      </c>
      <c r="T70" s="314">
        <v>1.33</v>
      </c>
      <c r="U70" s="314">
        <v>1.21</v>
      </c>
      <c r="V70" s="314">
        <v>1.1399999999999999</v>
      </c>
      <c r="W70" s="314">
        <v>1.0900000000000001</v>
      </c>
      <c r="X70" s="314">
        <v>1.06</v>
      </c>
      <c r="Y70" s="314">
        <v>1.03</v>
      </c>
      <c r="Z70" s="314">
        <v>1</v>
      </c>
      <c r="AA70" s="314">
        <v>1</v>
      </c>
      <c r="AB70" s="317">
        <v>0.83</v>
      </c>
      <c r="AC70" s="321">
        <v>0.75</v>
      </c>
      <c r="AD70" s="321">
        <v>0.69</v>
      </c>
      <c r="AE70" s="321">
        <v>0.65</v>
      </c>
      <c r="AF70" s="321">
        <v>0.62</v>
      </c>
      <c r="AG70" s="317">
        <v>0.59</v>
      </c>
      <c r="AH70" s="317">
        <v>0.55000000000000004</v>
      </c>
      <c r="AI70" s="317">
        <v>0.55000000000000004</v>
      </c>
    </row>
    <row r="71" spans="1:35" ht="31">
      <c r="A71" s="180" t="s">
        <v>1565</v>
      </c>
      <c r="B71" s="32" t="s">
        <v>1427</v>
      </c>
      <c r="C71" s="463" t="s">
        <v>106</v>
      </c>
      <c r="D71" s="313">
        <v>1.08</v>
      </c>
      <c r="E71" s="313">
        <v>1.02</v>
      </c>
      <c r="F71" s="313">
        <v>0.94</v>
      </c>
      <c r="G71" s="314">
        <v>0.87</v>
      </c>
      <c r="H71" s="314">
        <v>0.85</v>
      </c>
      <c r="I71" s="314">
        <v>0.83</v>
      </c>
      <c r="J71" s="314">
        <v>0.8</v>
      </c>
      <c r="K71" s="314">
        <v>0.8</v>
      </c>
      <c r="L71" s="323">
        <v>0.63</v>
      </c>
      <c r="M71" s="317">
        <v>0.57999999999999996</v>
      </c>
      <c r="N71" s="317">
        <v>0.53</v>
      </c>
      <c r="O71" s="317">
        <v>0.49</v>
      </c>
      <c r="P71" s="317">
        <v>0.48</v>
      </c>
      <c r="Q71" s="317">
        <v>0.46</v>
      </c>
      <c r="R71" s="317">
        <v>0.45</v>
      </c>
      <c r="S71" s="318">
        <v>0.45</v>
      </c>
      <c r="T71" s="314">
        <v>1.33</v>
      </c>
      <c r="U71" s="314">
        <v>1.21</v>
      </c>
      <c r="V71" s="314">
        <v>1.1399999999999999</v>
      </c>
      <c r="W71" s="314">
        <v>1.0900000000000001</v>
      </c>
      <c r="X71" s="314">
        <v>1.06</v>
      </c>
      <c r="Y71" s="314">
        <v>1.03</v>
      </c>
      <c r="Z71" s="314">
        <v>1</v>
      </c>
      <c r="AA71" s="314">
        <v>1</v>
      </c>
      <c r="AB71" s="317">
        <v>0.83</v>
      </c>
      <c r="AC71" s="321">
        <v>0.75</v>
      </c>
      <c r="AD71" s="321">
        <v>0.69</v>
      </c>
      <c r="AE71" s="321">
        <v>0.65</v>
      </c>
      <c r="AF71" s="321">
        <v>0.62</v>
      </c>
      <c r="AG71" s="317">
        <v>0.59</v>
      </c>
      <c r="AH71" s="317">
        <v>0.55000000000000004</v>
      </c>
      <c r="AI71" s="317">
        <v>0.55000000000000004</v>
      </c>
    </row>
    <row r="72" spans="1:35" ht="31">
      <c r="A72" s="180" t="s">
        <v>1565</v>
      </c>
      <c r="B72" s="32" t="s">
        <v>1427</v>
      </c>
      <c r="C72" s="32" t="s">
        <v>1436</v>
      </c>
      <c r="D72" s="313">
        <v>1.08</v>
      </c>
      <c r="E72" s="313">
        <v>1.02</v>
      </c>
      <c r="F72" s="313">
        <v>0.94</v>
      </c>
      <c r="G72" s="314">
        <v>0.87</v>
      </c>
      <c r="H72" s="314">
        <v>0.85</v>
      </c>
      <c r="I72" s="314">
        <v>0.83</v>
      </c>
      <c r="J72" s="314">
        <v>0.8</v>
      </c>
      <c r="K72" s="314">
        <v>0.8</v>
      </c>
      <c r="L72" s="323">
        <v>0.63</v>
      </c>
      <c r="M72" s="317">
        <v>0.57999999999999996</v>
      </c>
      <c r="N72" s="317">
        <v>0.53</v>
      </c>
      <c r="O72" s="317">
        <v>0.49</v>
      </c>
      <c r="P72" s="317">
        <v>0.48</v>
      </c>
      <c r="Q72" s="317">
        <v>0.46</v>
      </c>
      <c r="R72" s="317">
        <v>0.45</v>
      </c>
      <c r="S72" s="318">
        <v>0.45</v>
      </c>
      <c r="T72" s="314">
        <v>1.33</v>
      </c>
      <c r="U72" s="314">
        <v>1.21</v>
      </c>
      <c r="V72" s="314">
        <v>1.1399999999999999</v>
      </c>
      <c r="W72" s="314">
        <v>1.0900000000000001</v>
      </c>
      <c r="X72" s="314">
        <v>1.06</v>
      </c>
      <c r="Y72" s="314">
        <v>1.03</v>
      </c>
      <c r="Z72" s="314">
        <v>1</v>
      </c>
      <c r="AA72" s="314">
        <v>1</v>
      </c>
      <c r="AB72" s="317">
        <v>0.83</v>
      </c>
      <c r="AC72" s="321">
        <v>0.75</v>
      </c>
      <c r="AD72" s="321">
        <v>0.69</v>
      </c>
      <c r="AE72" s="321">
        <v>0.65</v>
      </c>
      <c r="AF72" s="321">
        <v>0.62</v>
      </c>
      <c r="AG72" s="317">
        <v>0.59</v>
      </c>
      <c r="AH72" s="317">
        <v>0.55000000000000004</v>
      </c>
      <c r="AI72" s="317">
        <v>0.55000000000000004</v>
      </c>
    </row>
    <row r="73" spans="1:35" ht="31">
      <c r="A73" s="180" t="s">
        <v>1565</v>
      </c>
      <c r="B73" s="32" t="s">
        <v>1427</v>
      </c>
      <c r="C73" s="165" t="s">
        <v>104</v>
      </c>
      <c r="D73" s="313">
        <v>1.08</v>
      </c>
      <c r="E73" s="313">
        <v>1.02</v>
      </c>
      <c r="F73" s="313">
        <v>0.94</v>
      </c>
      <c r="G73" s="314">
        <v>0.87</v>
      </c>
      <c r="H73" s="314">
        <v>0.85</v>
      </c>
      <c r="I73" s="314">
        <v>0.83</v>
      </c>
      <c r="J73" s="314">
        <v>0.8</v>
      </c>
      <c r="K73" s="314">
        <v>0.8</v>
      </c>
      <c r="L73" s="323">
        <v>0.63</v>
      </c>
      <c r="M73" s="317">
        <v>0.57999999999999996</v>
      </c>
      <c r="N73" s="317">
        <v>0.53</v>
      </c>
      <c r="O73" s="317">
        <v>0.49</v>
      </c>
      <c r="P73" s="317">
        <v>0.48</v>
      </c>
      <c r="Q73" s="317">
        <v>0.46</v>
      </c>
      <c r="R73" s="317">
        <v>0.45</v>
      </c>
      <c r="S73" s="318">
        <v>0.45</v>
      </c>
      <c r="T73" s="314">
        <v>1.33</v>
      </c>
      <c r="U73" s="314">
        <v>1.21</v>
      </c>
      <c r="V73" s="314">
        <v>1.1399999999999999</v>
      </c>
      <c r="W73" s="314">
        <v>1.0900000000000001</v>
      </c>
      <c r="X73" s="314">
        <v>1.06</v>
      </c>
      <c r="Y73" s="314">
        <v>1.03</v>
      </c>
      <c r="Z73" s="314">
        <v>1</v>
      </c>
      <c r="AA73" s="314">
        <v>1</v>
      </c>
      <c r="AB73" s="317">
        <v>0.83</v>
      </c>
      <c r="AC73" s="321">
        <v>0.75</v>
      </c>
      <c r="AD73" s="321">
        <v>0.69</v>
      </c>
      <c r="AE73" s="321">
        <v>0.65</v>
      </c>
      <c r="AF73" s="321">
        <v>0.62</v>
      </c>
      <c r="AG73" s="317">
        <v>0.59</v>
      </c>
      <c r="AH73" s="317">
        <v>0.55000000000000004</v>
      </c>
      <c r="AI73" s="317">
        <v>0.55000000000000004</v>
      </c>
    </row>
    <row r="74" spans="1:35" ht="31">
      <c r="A74" s="180" t="s">
        <v>1565</v>
      </c>
      <c r="B74" s="32" t="s">
        <v>1427</v>
      </c>
      <c r="C74" s="32" t="s">
        <v>1437</v>
      </c>
      <c r="D74" s="313">
        <v>1.08</v>
      </c>
      <c r="E74" s="313">
        <v>1.02</v>
      </c>
      <c r="F74" s="313">
        <v>0.94</v>
      </c>
      <c r="G74" s="314">
        <v>0.87</v>
      </c>
      <c r="H74" s="314">
        <v>0.85</v>
      </c>
      <c r="I74" s="314">
        <v>0.83</v>
      </c>
      <c r="J74" s="314">
        <v>0.8</v>
      </c>
      <c r="K74" s="314">
        <v>0.8</v>
      </c>
      <c r="L74" s="323">
        <v>0.63</v>
      </c>
      <c r="M74" s="317">
        <v>0.57999999999999996</v>
      </c>
      <c r="N74" s="317">
        <v>0.53</v>
      </c>
      <c r="O74" s="317">
        <v>0.49</v>
      </c>
      <c r="P74" s="317">
        <v>0.48</v>
      </c>
      <c r="Q74" s="317">
        <v>0.46</v>
      </c>
      <c r="R74" s="317">
        <v>0.45</v>
      </c>
      <c r="S74" s="318">
        <v>0.45</v>
      </c>
      <c r="T74" s="314">
        <v>1.33</v>
      </c>
      <c r="U74" s="314">
        <v>1.21</v>
      </c>
      <c r="V74" s="314">
        <v>1.1399999999999999</v>
      </c>
      <c r="W74" s="314">
        <v>1.0900000000000001</v>
      </c>
      <c r="X74" s="314">
        <v>1.06</v>
      </c>
      <c r="Y74" s="314">
        <v>1.03</v>
      </c>
      <c r="Z74" s="314">
        <v>1</v>
      </c>
      <c r="AA74" s="314">
        <v>1</v>
      </c>
      <c r="AB74" s="317">
        <v>0.83</v>
      </c>
      <c r="AC74" s="321">
        <v>0.75</v>
      </c>
      <c r="AD74" s="321">
        <v>0.69</v>
      </c>
      <c r="AE74" s="321">
        <v>0.65</v>
      </c>
      <c r="AF74" s="321">
        <v>0.62</v>
      </c>
      <c r="AG74" s="317">
        <v>0.59</v>
      </c>
      <c r="AH74" s="317">
        <v>0.55000000000000004</v>
      </c>
      <c r="AI74" s="317">
        <v>0.55000000000000004</v>
      </c>
    </row>
    <row r="75" spans="1:35" ht="31">
      <c r="A75" s="180" t="s">
        <v>1565</v>
      </c>
      <c r="B75" s="32" t="s">
        <v>1427</v>
      </c>
      <c r="C75" s="32" t="s">
        <v>1640</v>
      </c>
      <c r="D75" s="313">
        <v>1.08</v>
      </c>
      <c r="E75" s="313">
        <v>1.02</v>
      </c>
      <c r="F75" s="313">
        <v>0.94</v>
      </c>
      <c r="G75" s="314">
        <v>0.87</v>
      </c>
      <c r="H75" s="314">
        <v>0.85</v>
      </c>
      <c r="I75" s="314">
        <v>0.83</v>
      </c>
      <c r="J75" s="314">
        <v>0.8</v>
      </c>
      <c r="K75" s="314">
        <v>0.8</v>
      </c>
      <c r="L75" s="323">
        <v>0.63</v>
      </c>
      <c r="M75" s="317">
        <v>0.57999999999999996</v>
      </c>
      <c r="N75" s="317">
        <v>0.53</v>
      </c>
      <c r="O75" s="317">
        <v>0.49</v>
      </c>
      <c r="P75" s="317">
        <v>0.48</v>
      </c>
      <c r="Q75" s="317">
        <v>0.46</v>
      </c>
      <c r="R75" s="317">
        <v>0.45</v>
      </c>
      <c r="S75" s="318">
        <v>0.45</v>
      </c>
      <c r="T75" s="314">
        <v>1.33</v>
      </c>
      <c r="U75" s="314">
        <v>1.21</v>
      </c>
      <c r="V75" s="314">
        <v>1.1399999999999999</v>
      </c>
      <c r="W75" s="314">
        <v>1.0900000000000001</v>
      </c>
      <c r="X75" s="314">
        <v>1.06</v>
      </c>
      <c r="Y75" s="314">
        <v>1.03</v>
      </c>
      <c r="Z75" s="314">
        <v>1</v>
      </c>
      <c r="AA75" s="314">
        <v>1</v>
      </c>
      <c r="AB75" s="317">
        <v>0.83</v>
      </c>
      <c r="AC75" s="321">
        <v>0.75</v>
      </c>
      <c r="AD75" s="321">
        <v>0.69</v>
      </c>
      <c r="AE75" s="321">
        <v>0.65</v>
      </c>
      <c r="AF75" s="321">
        <v>0.62</v>
      </c>
      <c r="AG75" s="317">
        <v>0.59</v>
      </c>
      <c r="AH75" s="317">
        <v>0.55000000000000004</v>
      </c>
      <c r="AI75" s="317">
        <v>0.55000000000000004</v>
      </c>
    </row>
    <row r="76" spans="1:35" ht="31">
      <c r="A76" s="180" t="s">
        <v>1565</v>
      </c>
      <c r="B76" s="32" t="s">
        <v>1483</v>
      </c>
      <c r="C76" s="32" t="s">
        <v>1643</v>
      </c>
      <c r="D76" s="313">
        <v>1.08</v>
      </c>
      <c r="E76" s="313">
        <v>1.02</v>
      </c>
      <c r="F76" s="313">
        <v>0.94</v>
      </c>
      <c r="G76" s="314">
        <v>0.87</v>
      </c>
      <c r="H76" s="314">
        <v>0.85</v>
      </c>
      <c r="I76" s="314">
        <v>0.83</v>
      </c>
      <c r="J76" s="314">
        <v>0.8</v>
      </c>
      <c r="K76" s="314">
        <v>0.8</v>
      </c>
      <c r="L76" s="323">
        <v>0.63</v>
      </c>
      <c r="M76" s="317">
        <v>0.57999999999999996</v>
      </c>
      <c r="N76" s="317">
        <v>0.53</v>
      </c>
      <c r="O76" s="317">
        <v>0.49</v>
      </c>
      <c r="P76" s="317">
        <v>0.48</v>
      </c>
      <c r="Q76" s="317">
        <v>0.46</v>
      </c>
      <c r="R76" s="317">
        <v>0.45</v>
      </c>
      <c r="S76" s="318">
        <v>0.45</v>
      </c>
      <c r="T76" s="314">
        <v>1.33</v>
      </c>
      <c r="U76" s="314">
        <v>1.21</v>
      </c>
      <c r="V76" s="314">
        <v>1.1399999999999999</v>
      </c>
      <c r="W76" s="314">
        <v>1.0900000000000001</v>
      </c>
      <c r="X76" s="314">
        <v>1.06</v>
      </c>
      <c r="Y76" s="314">
        <v>1.03</v>
      </c>
      <c r="Z76" s="314">
        <v>1</v>
      </c>
      <c r="AA76" s="314">
        <v>1</v>
      </c>
      <c r="AB76" s="317">
        <v>0.83</v>
      </c>
      <c r="AC76" s="321">
        <v>0.75</v>
      </c>
      <c r="AD76" s="321">
        <v>0.69</v>
      </c>
      <c r="AE76" s="321">
        <v>0.65</v>
      </c>
      <c r="AF76" s="321">
        <v>0.62</v>
      </c>
      <c r="AG76" s="317">
        <v>0.59</v>
      </c>
      <c r="AH76" s="317">
        <v>0.55000000000000004</v>
      </c>
      <c r="AI76" s="317">
        <v>0.55000000000000004</v>
      </c>
    </row>
    <row r="77" spans="1:35" ht="31">
      <c r="A77" s="180" t="s">
        <v>1565</v>
      </c>
      <c r="B77" s="32" t="s">
        <v>1427</v>
      </c>
      <c r="C77" s="32" t="s">
        <v>1439</v>
      </c>
      <c r="D77" s="313">
        <v>1.08</v>
      </c>
      <c r="E77" s="313">
        <v>1.02</v>
      </c>
      <c r="F77" s="313">
        <v>0.94</v>
      </c>
      <c r="G77" s="314">
        <v>0.87</v>
      </c>
      <c r="H77" s="314">
        <v>0.85</v>
      </c>
      <c r="I77" s="314">
        <v>0.83</v>
      </c>
      <c r="J77" s="314">
        <v>0.8</v>
      </c>
      <c r="K77" s="314">
        <v>0.8</v>
      </c>
      <c r="L77" s="323">
        <v>0.63</v>
      </c>
      <c r="M77" s="317">
        <v>0.57999999999999996</v>
      </c>
      <c r="N77" s="317">
        <v>0.53</v>
      </c>
      <c r="O77" s="317">
        <v>0.49</v>
      </c>
      <c r="P77" s="317">
        <v>0.48</v>
      </c>
      <c r="Q77" s="317">
        <v>0.46</v>
      </c>
      <c r="R77" s="317">
        <v>0.45</v>
      </c>
      <c r="S77" s="318">
        <v>0.45</v>
      </c>
      <c r="T77" s="314">
        <v>1.33</v>
      </c>
      <c r="U77" s="314">
        <v>1.21</v>
      </c>
      <c r="V77" s="314">
        <v>1.1399999999999999</v>
      </c>
      <c r="W77" s="314">
        <v>1.0900000000000001</v>
      </c>
      <c r="X77" s="314">
        <v>1.06</v>
      </c>
      <c r="Y77" s="314">
        <v>1.03</v>
      </c>
      <c r="Z77" s="314">
        <v>1</v>
      </c>
      <c r="AA77" s="314">
        <v>1</v>
      </c>
      <c r="AB77" s="317">
        <v>0.83</v>
      </c>
      <c r="AC77" s="321">
        <v>0.75</v>
      </c>
      <c r="AD77" s="321">
        <v>0.69</v>
      </c>
      <c r="AE77" s="321">
        <v>0.65</v>
      </c>
      <c r="AF77" s="321">
        <v>0.62</v>
      </c>
      <c r="AG77" s="317">
        <v>0.59</v>
      </c>
      <c r="AH77" s="317">
        <v>0.55000000000000004</v>
      </c>
      <c r="AI77" s="317">
        <v>0.55000000000000004</v>
      </c>
    </row>
    <row r="78" spans="1:35" ht="31">
      <c r="A78" s="180" t="s">
        <v>1565</v>
      </c>
      <c r="B78" s="32" t="s">
        <v>1427</v>
      </c>
      <c r="C78" s="32" t="s">
        <v>1440</v>
      </c>
      <c r="D78" s="313">
        <v>1.08</v>
      </c>
      <c r="E78" s="313">
        <v>1.02</v>
      </c>
      <c r="F78" s="313">
        <v>0.94</v>
      </c>
      <c r="G78" s="314">
        <v>0.87</v>
      </c>
      <c r="H78" s="314">
        <v>0.85</v>
      </c>
      <c r="I78" s="314">
        <v>0.83</v>
      </c>
      <c r="J78" s="314">
        <v>0.8</v>
      </c>
      <c r="K78" s="314">
        <v>0.8</v>
      </c>
      <c r="L78" s="323">
        <v>0.63</v>
      </c>
      <c r="M78" s="317">
        <v>0.57999999999999996</v>
      </c>
      <c r="N78" s="317">
        <v>0.53</v>
      </c>
      <c r="O78" s="317">
        <v>0.49</v>
      </c>
      <c r="P78" s="317">
        <v>0.48</v>
      </c>
      <c r="Q78" s="317">
        <v>0.46</v>
      </c>
      <c r="R78" s="317">
        <v>0.45</v>
      </c>
      <c r="S78" s="318">
        <v>0.45</v>
      </c>
      <c r="T78" s="314">
        <v>1.33</v>
      </c>
      <c r="U78" s="314">
        <v>1.21</v>
      </c>
      <c r="V78" s="314">
        <v>1.1399999999999999</v>
      </c>
      <c r="W78" s="314">
        <v>1.0900000000000001</v>
      </c>
      <c r="X78" s="314">
        <v>1.06</v>
      </c>
      <c r="Y78" s="314">
        <v>1.03</v>
      </c>
      <c r="Z78" s="314">
        <v>1</v>
      </c>
      <c r="AA78" s="314">
        <v>1</v>
      </c>
      <c r="AB78" s="317">
        <v>0.83</v>
      </c>
      <c r="AC78" s="321">
        <v>0.75</v>
      </c>
      <c r="AD78" s="321">
        <v>0.69</v>
      </c>
      <c r="AE78" s="321">
        <v>0.65</v>
      </c>
      <c r="AF78" s="321">
        <v>0.62</v>
      </c>
      <c r="AG78" s="317">
        <v>0.59</v>
      </c>
      <c r="AH78" s="317">
        <v>0.55000000000000004</v>
      </c>
      <c r="AI78" s="317">
        <v>0.55000000000000004</v>
      </c>
    </row>
    <row r="79" spans="1:35" ht="31">
      <c r="A79" s="180" t="s">
        <v>1565</v>
      </c>
      <c r="B79" s="32" t="s">
        <v>1427</v>
      </c>
      <c r="C79" s="32" t="s">
        <v>1441</v>
      </c>
      <c r="D79" s="313">
        <v>1.08</v>
      </c>
      <c r="E79" s="313">
        <v>1.02</v>
      </c>
      <c r="F79" s="313">
        <v>0.94</v>
      </c>
      <c r="G79" s="314">
        <v>0.87</v>
      </c>
      <c r="H79" s="314">
        <v>0.85</v>
      </c>
      <c r="I79" s="314">
        <v>0.83</v>
      </c>
      <c r="J79" s="314">
        <v>0.8</v>
      </c>
      <c r="K79" s="314">
        <v>0.8</v>
      </c>
      <c r="L79" s="323">
        <v>0.63</v>
      </c>
      <c r="M79" s="317">
        <v>0.57999999999999996</v>
      </c>
      <c r="N79" s="317">
        <v>0.53</v>
      </c>
      <c r="O79" s="317">
        <v>0.49</v>
      </c>
      <c r="P79" s="317">
        <v>0.48</v>
      </c>
      <c r="Q79" s="317">
        <v>0.46</v>
      </c>
      <c r="R79" s="317">
        <v>0.45</v>
      </c>
      <c r="S79" s="318">
        <v>0.45</v>
      </c>
      <c r="T79" s="314">
        <v>1.33</v>
      </c>
      <c r="U79" s="314">
        <v>1.21</v>
      </c>
      <c r="V79" s="314">
        <v>1.1399999999999999</v>
      </c>
      <c r="W79" s="314">
        <v>1.0900000000000001</v>
      </c>
      <c r="X79" s="314">
        <v>1.06</v>
      </c>
      <c r="Y79" s="314">
        <v>1.03</v>
      </c>
      <c r="Z79" s="314">
        <v>1</v>
      </c>
      <c r="AA79" s="314">
        <v>1</v>
      </c>
      <c r="AB79" s="317">
        <v>0.83</v>
      </c>
      <c r="AC79" s="321">
        <v>0.75</v>
      </c>
      <c r="AD79" s="321">
        <v>0.69</v>
      </c>
      <c r="AE79" s="321">
        <v>0.65</v>
      </c>
      <c r="AF79" s="321">
        <v>0.62</v>
      </c>
      <c r="AG79" s="317">
        <v>0.59</v>
      </c>
      <c r="AH79" s="317">
        <v>0.55000000000000004</v>
      </c>
      <c r="AI79" s="317">
        <v>0.55000000000000004</v>
      </c>
    </row>
    <row r="80" spans="1:35" ht="31">
      <c r="A80" s="180" t="s">
        <v>1565</v>
      </c>
      <c r="B80" s="32" t="s">
        <v>1427</v>
      </c>
      <c r="C80" s="32" t="s">
        <v>1442</v>
      </c>
      <c r="D80" s="313">
        <v>1.08</v>
      </c>
      <c r="E80" s="313">
        <v>1.02</v>
      </c>
      <c r="F80" s="313">
        <v>0.94</v>
      </c>
      <c r="G80" s="314">
        <v>0.87</v>
      </c>
      <c r="H80" s="314">
        <v>0.85</v>
      </c>
      <c r="I80" s="314">
        <v>0.83</v>
      </c>
      <c r="J80" s="314">
        <v>0.8</v>
      </c>
      <c r="K80" s="314">
        <v>0.8</v>
      </c>
      <c r="L80" s="323">
        <v>0.63</v>
      </c>
      <c r="M80" s="317">
        <v>0.57999999999999996</v>
      </c>
      <c r="N80" s="317">
        <v>0.53</v>
      </c>
      <c r="O80" s="317">
        <v>0.49</v>
      </c>
      <c r="P80" s="317">
        <v>0.48</v>
      </c>
      <c r="Q80" s="317">
        <v>0.46</v>
      </c>
      <c r="R80" s="317">
        <v>0.45</v>
      </c>
      <c r="S80" s="318">
        <v>0.45</v>
      </c>
      <c r="T80" s="314">
        <v>1.33</v>
      </c>
      <c r="U80" s="314">
        <v>1.21</v>
      </c>
      <c r="V80" s="314">
        <v>1.1399999999999999</v>
      </c>
      <c r="W80" s="314">
        <v>1.0900000000000001</v>
      </c>
      <c r="X80" s="314">
        <v>1.06</v>
      </c>
      <c r="Y80" s="314">
        <v>1.03</v>
      </c>
      <c r="Z80" s="314">
        <v>1</v>
      </c>
      <c r="AA80" s="314">
        <v>1</v>
      </c>
      <c r="AB80" s="317">
        <v>0.83</v>
      </c>
      <c r="AC80" s="321">
        <v>0.75</v>
      </c>
      <c r="AD80" s="321">
        <v>0.69</v>
      </c>
      <c r="AE80" s="321">
        <v>0.65</v>
      </c>
      <c r="AF80" s="321">
        <v>0.62</v>
      </c>
      <c r="AG80" s="317">
        <v>0.59</v>
      </c>
      <c r="AH80" s="317">
        <v>0.55000000000000004</v>
      </c>
      <c r="AI80" s="317">
        <v>0.55000000000000004</v>
      </c>
    </row>
    <row r="81" spans="1:35" ht="31">
      <c r="A81" s="180" t="s">
        <v>1565</v>
      </c>
      <c r="B81" s="32" t="s">
        <v>1427</v>
      </c>
      <c r="C81" s="32" t="s">
        <v>1443</v>
      </c>
      <c r="D81" s="313">
        <v>1.08</v>
      </c>
      <c r="E81" s="313">
        <v>1.02</v>
      </c>
      <c r="F81" s="313">
        <v>0.94</v>
      </c>
      <c r="G81" s="314">
        <v>0.87</v>
      </c>
      <c r="H81" s="314">
        <v>0.85</v>
      </c>
      <c r="I81" s="314">
        <v>0.83</v>
      </c>
      <c r="J81" s="314">
        <v>0.8</v>
      </c>
      <c r="K81" s="314">
        <v>0.8</v>
      </c>
      <c r="L81" s="323">
        <v>0.63</v>
      </c>
      <c r="M81" s="317">
        <v>0.57999999999999996</v>
      </c>
      <c r="N81" s="317">
        <v>0.53</v>
      </c>
      <c r="O81" s="317">
        <v>0.49</v>
      </c>
      <c r="P81" s="317">
        <v>0.48</v>
      </c>
      <c r="Q81" s="317">
        <v>0.46</v>
      </c>
      <c r="R81" s="317">
        <v>0.45</v>
      </c>
      <c r="S81" s="318">
        <v>0.45</v>
      </c>
      <c r="T81" s="314">
        <v>1.33</v>
      </c>
      <c r="U81" s="314">
        <v>1.21</v>
      </c>
      <c r="V81" s="314">
        <v>1.1399999999999999</v>
      </c>
      <c r="W81" s="314">
        <v>1.0900000000000001</v>
      </c>
      <c r="X81" s="314">
        <v>1.06</v>
      </c>
      <c r="Y81" s="314">
        <v>1.03</v>
      </c>
      <c r="Z81" s="314">
        <v>1</v>
      </c>
      <c r="AA81" s="314">
        <v>1</v>
      </c>
      <c r="AB81" s="317">
        <v>0.83</v>
      </c>
      <c r="AC81" s="321">
        <v>0.75</v>
      </c>
      <c r="AD81" s="321">
        <v>0.69</v>
      </c>
      <c r="AE81" s="321">
        <v>0.65</v>
      </c>
      <c r="AF81" s="321">
        <v>0.62</v>
      </c>
      <c r="AG81" s="317">
        <v>0.59</v>
      </c>
      <c r="AH81" s="317">
        <v>0.55000000000000004</v>
      </c>
      <c r="AI81" s="317">
        <v>0.55000000000000004</v>
      </c>
    </row>
    <row r="82" spans="1:35" ht="31">
      <c r="A82" s="180" t="s">
        <v>1565</v>
      </c>
      <c r="B82" s="32" t="s">
        <v>1427</v>
      </c>
      <c r="C82" s="32" t="s">
        <v>1823</v>
      </c>
      <c r="D82" s="313">
        <v>1.08</v>
      </c>
      <c r="E82" s="313">
        <v>1.02</v>
      </c>
      <c r="F82" s="313">
        <v>0.94</v>
      </c>
      <c r="G82" s="314">
        <v>0.87</v>
      </c>
      <c r="H82" s="314">
        <v>0.85</v>
      </c>
      <c r="I82" s="314">
        <v>0.83</v>
      </c>
      <c r="J82" s="314">
        <v>0.8</v>
      </c>
      <c r="K82" s="314">
        <v>0.8</v>
      </c>
      <c r="L82" s="323">
        <v>0.63</v>
      </c>
      <c r="M82" s="317">
        <v>0.57999999999999996</v>
      </c>
      <c r="N82" s="317">
        <v>0.53</v>
      </c>
      <c r="O82" s="317">
        <v>0.49</v>
      </c>
      <c r="P82" s="317">
        <v>0.48</v>
      </c>
      <c r="Q82" s="317">
        <v>0.46</v>
      </c>
      <c r="R82" s="317">
        <v>0.45</v>
      </c>
      <c r="S82" s="318">
        <v>0.45</v>
      </c>
      <c r="T82" s="314">
        <v>1.33</v>
      </c>
      <c r="U82" s="314">
        <v>1.21</v>
      </c>
      <c r="V82" s="314">
        <v>1.1399999999999999</v>
      </c>
      <c r="W82" s="314">
        <v>1.0900000000000001</v>
      </c>
      <c r="X82" s="314">
        <v>1.06</v>
      </c>
      <c r="Y82" s="314">
        <v>1.03</v>
      </c>
      <c r="Z82" s="314">
        <v>1</v>
      </c>
      <c r="AA82" s="314">
        <v>1</v>
      </c>
      <c r="AB82" s="317">
        <v>0.83</v>
      </c>
      <c r="AC82" s="321">
        <v>0.75</v>
      </c>
      <c r="AD82" s="321">
        <v>0.69</v>
      </c>
      <c r="AE82" s="321">
        <v>0.65</v>
      </c>
      <c r="AF82" s="321">
        <v>0.62</v>
      </c>
      <c r="AG82" s="317">
        <v>0.59</v>
      </c>
      <c r="AH82" s="317">
        <v>0.55000000000000004</v>
      </c>
      <c r="AI82" s="317">
        <v>0.55000000000000004</v>
      </c>
    </row>
    <row r="83" spans="1:35" ht="31">
      <c r="A83" s="180" t="s">
        <v>1565</v>
      </c>
      <c r="B83" s="32" t="s">
        <v>1427</v>
      </c>
      <c r="C83" s="32" t="s">
        <v>1445</v>
      </c>
      <c r="D83" s="313">
        <v>1.08</v>
      </c>
      <c r="E83" s="313">
        <v>1.02</v>
      </c>
      <c r="F83" s="313">
        <v>0.94</v>
      </c>
      <c r="G83" s="314">
        <v>0.87</v>
      </c>
      <c r="H83" s="314">
        <v>0.85</v>
      </c>
      <c r="I83" s="314">
        <v>0.83</v>
      </c>
      <c r="J83" s="314">
        <v>0.8</v>
      </c>
      <c r="K83" s="314">
        <v>0.8</v>
      </c>
      <c r="L83" s="323">
        <v>0.63</v>
      </c>
      <c r="M83" s="317">
        <v>0.57999999999999996</v>
      </c>
      <c r="N83" s="317">
        <v>0.53</v>
      </c>
      <c r="O83" s="317">
        <v>0.49</v>
      </c>
      <c r="P83" s="317">
        <v>0.48</v>
      </c>
      <c r="Q83" s="317">
        <v>0.46</v>
      </c>
      <c r="R83" s="317">
        <v>0.45</v>
      </c>
      <c r="S83" s="318">
        <v>0.45</v>
      </c>
      <c r="T83" s="314">
        <v>1.33</v>
      </c>
      <c r="U83" s="314">
        <v>1.21</v>
      </c>
      <c r="V83" s="314">
        <v>1.1399999999999999</v>
      </c>
      <c r="W83" s="314">
        <v>1.0900000000000001</v>
      </c>
      <c r="X83" s="314">
        <v>1.06</v>
      </c>
      <c r="Y83" s="314">
        <v>1.03</v>
      </c>
      <c r="Z83" s="314">
        <v>1</v>
      </c>
      <c r="AA83" s="314">
        <v>1</v>
      </c>
      <c r="AB83" s="317">
        <v>0.83</v>
      </c>
      <c r="AC83" s="321">
        <v>0.75</v>
      </c>
      <c r="AD83" s="321">
        <v>0.69</v>
      </c>
      <c r="AE83" s="321">
        <v>0.65</v>
      </c>
      <c r="AF83" s="321">
        <v>0.62</v>
      </c>
      <c r="AG83" s="317">
        <v>0.59</v>
      </c>
      <c r="AH83" s="317">
        <v>0.55000000000000004</v>
      </c>
      <c r="AI83" s="317">
        <v>0.55000000000000004</v>
      </c>
    </row>
    <row r="84" spans="1:35" ht="31">
      <c r="A84" s="180" t="s">
        <v>1565</v>
      </c>
      <c r="B84" s="32" t="s">
        <v>1427</v>
      </c>
      <c r="C84" s="463" t="s">
        <v>119</v>
      </c>
      <c r="D84" s="313">
        <v>1.08</v>
      </c>
      <c r="E84" s="313">
        <v>1.02</v>
      </c>
      <c r="F84" s="313">
        <v>0.94</v>
      </c>
      <c r="G84" s="314">
        <v>0.87</v>
      </c>
      <c r="H84" s="314">
        <v>0.85</v>
      </c>
      <c r="I84" s="314">
        <v>0.83</v>
      </c>
      <c r="J84" s="314">
        <v>0.8</v>
      </c>
      <c r="K84" s="314">
        <v>0.8</v>
      </c>
      <c r="L84" s="323">
        <v>0.63</v>
      </c>
      <c r="M84" s="317">
        <v>0.57999999999999996</v>
      </c>
      <c r="N84" s="317">
        <v>0.53</v>
      </c>
      <c r="O84" s="317">
        <v>0.49</v>
      </c>
      <c r="P84" s="317">
        <v>0.48</v>
      </c>
      <c r="Q84" s="317">
        <v>0.46</v>
      </c>
      <c r="R84" s="317">
        <v>0.45</v>
      </c>
      <c r="S84" s="318">
        <v>0.45</v>
      </c>
      <c r="T84" s="314">
        <v>1.33</v>
      </c>
      <c r="U84" s="314">
        <v>1.21</v>
      </c>
      <c r="V84" s="314">
        <v>1.1399999999999999</v>
      </c>
      <c r="W84" s="314">
        <v>1.0900000000000001</v>
      </c>
      <c r="X84" s="314">
        <v>1.06</v>
      </c>
      <c r="Y84" s="314">
        <v>1.03</v>
      </c>
      <c r="Z84" s="314">
        <v>1</v>
      </c>
      <c r="AA84" s="314">
        <v>1</v>
      </c>
      <c r="AB84" s="317">
        <v>0.83</v>
      </c>
      <c r="AC84" s="321">
        <v>0.75</v>
      </c>
      <c r="AD84" s="321">
        <v>0.69</v>
      </c>
      <c r="AE84" s="321">
        <v>0.65</v>
      </c>
      <c r="AF84" s="321">
        <v>0.62</v>
      </c>
      <c r="AG84" s="317">
        <v>0.59</v>
      </c>
      <c r="AH84" s="317">
        <v>0.55000000000000004</v>
      </c>
      <c r="AI84" s="317">
        <v>0.55000000000000004</v>
      </c>
    </row>
    <row r="85" spans="1:35" ht="31">
      <c r="A85" s="180" t="s">
        <v>1565</v>
      </c>
      <c r="B85" s="32" t="s">
        <v>1446</v>
      </c>
      <c r="C85" s="32" t="s">
        <v>1447</v>
      </c>
      <c r="D85" s="313">
        <v>1.08</v>
      </c>
      <c r="E85" s="313">
        <v>1.02</v>
      </c>
      <c r="F85" s="313">
        <v>0.94</v>
      </c>
      <c r="G85" s="314">
        <v>0.87</v>
      </c>
      <c r="H85" s="314">
        <v>0.85</v>
      </c>
      <c r="I85" s="314">
        <v>0.83</v>
      </c>
      <c r="J85" s="314">
        <v>0.8</v>
      </c>
      <c r="K85" s="314">
        <v>0.8</v>
      </c>
      <c r="L85" s="323">
        <v>0.63</v>
      </c>
      <c r="M85" s="317">
        <v>0.57999999999999996</v>
      </c>
      <c r="N85" s="317">
        <v>0.53</v>
      </c>
      <c r="O85" s="317">
        <v>0.49</v>
      </c>
      <c r="P85" s="317">
        <v>0.48</v>
      </c>
      <c r="Q85" s="317">
        <v>0.46</v>
      </c>
      <c r="R85" s="317">
        <v>0.45</v>
      </c>
      <c r="S85" s="318">
        <v>0.45</v>
      </c>
      <c r="T85" s="314">
        <v>1.33</v>
      </c>
      <c r="U85" s="314">
        <v>1.21</v>
      </c>
      <c r="V85" s="314">
        <v>1.1399999999999999</v>
      </c>
      <c r="W85" s="314">
        <v>1.0900000000000001</v>
      </c>
      <c r="X85" s="314">
        <v>1.06</v>
      </c>
      <c r="Y85" s="314">
        <v>1.03</v>
      </c>
      <c r="Z85" s="314">
        <v>1</v>
      </c>
      <c r="AA85" s="314">
        <v>1</v>
      </c>
      <c r="AB85" s="317">
        <v>0.83</v>
      </c>
      <c r="AC85" s="321">
        <v>0.75</v>
      </c>
      <c r="AD85" s="321">
        <v>0.69</v>
      </c>
      <c r="AE85" s="321">
        <v>0.65</v>
      </c>
      <c r="AF85" s="321">
        <v>0.62</v>
      </c>
      <c r="AG85" s="317">
        <v>0.59</v>
      </c>
      <c r="AH85" s="317">
        <v>0.55000000000000004</v>
      </c>
      <c r="AI85" s="317">
        <v>0.55000000000000004</v>
      </c>
    </row>
    <row r="86" spans="1:35" ht="31">
      <c r="A86" s="180" t="s">
        <v>1565</v>
      </c>
      <c r="B86" s="32" t="s">
        <v>1446</v>
      </c>
      <c r="C86" s="32" t="s">
        <v>1448</v>
      </c>
      <c r="D86" s="313">
        <v>1.08</v>
      </c>
      <c r="E86" s="313">
        <v>1.02</v>
      </c>
      <c r="F86" s="313">
        <v>0.94</v>
      </c>
      <c r="G86" s="314">
        <v>0.87</v>
      </c>
      <c r="H86" s="314">
        <v>0.85</v>
      </c>
      <c r="I86" s="314">
        <v>0.83</v>
      </c>
      <c r="J86" s="314">
        <v>0.8</v>
      </c>
      <c r="K86" s="314">
        <v>0.8</v>
      </c>
      <c r="L86" s="323">
        <v>0.63</v>
      </c>
      <c r="M86" s="317">
        <v>0.57999999999999996</v>
      </c>
      <c r="N86" s="317">
        <v>0.53</v>
      </c>
      <c r="O86" s="317">
        <v>0.49</v>
      </c>
      <c r="P86" s="317">
        <v>0.48</v>
      </c>
      <c r="Q86" s="317">
        <v>0.46</v>
      </c>
      <c r="R86" s="317">
        <v>0.45</v>
      </c>
      <c r="S86" s="318">
        <v>0.45</v>
      </c>
      <c r="T86" s="314">
        <v>1.33</v>
      </c>
      <c r="U86" s="314">
        <v>1.21</v>
      </c>
      <c r="V86" s="314">
        <v>1.1399999999999999</v>
      </c>
      <c r="W86" s="314">
        <v>1.0900000000000001</v>
      </c>
      <c r="X86" s="314">
        <v>1.06</v>
      </c>
      <c r="Y86" s="314">
        <v>1.03</v>
      </c>
      <c r="Z86" s="314">
        <v>1</v>
      </c>
      <c r="AA86" s="314">
        <v>1</v>
      </c>
      <c r="AB86" s="317">
        <v>0.83</v>
      </c>
      <c r="AC86" s="321">
        <v>0.75</v>
      </c>
      <c r="AD86" s="321">
        <v>0.69</v>
      </c>
      <c r="AE86" s="321">
        <v>0.65</v>
      </c>
      <c r="AF86" s="321">
        <v>0.62</v>
      </c>
      <c r="AG86" s="317">
        <v>0.59</v>
      </c>
      <c r="AH86" s="317">
        <v>0.55000000000000004</v>
      </c>
      <c r="AI86" s="317">
        <v>0.55000000000000004</v>
      </c>
    </row>
    <row r="87" spans="1:35" ht="31">
      <c r="A87" s="180" t="s">
        <v>1565</v>
      </c>
      <c r="B87" s="32" t="s">
        <v>1446</v>
      </c>
      <c r="C87" s="32" t="s">
        <v>1449</v>
      </c>
      <c r="D87" s="313">
        <v>1.08</v>
      </c>
      <c r="E87" s="313">
        <v>1.02</v>
      </c>
      <c r="F87" s="313">
        <v>0.94</v>
      </c>
      <c r="G87" s="314">
        <v>0.87</v>
      </c>
      <c r="H87" s="314">
        <v>0.85</v>
      </c>
      <c r="I87" s="314">
        <v>0.83</v>
      </c>
      <c r="J87" s="314">
        <v>0.8</v>
      </c>
      <c r="K87" s="314">
        <v>0.8</v>
      </c>
      <c r="L87" s="323">
        <v>0.63</v>
      </c>
      <c r="M87" s="317">
        <v>0.57999999999999996</v>
      </c>
      <c r="N87" s="317">
        <v>0.53</v>
      </c>
      <c r="O87" s="317">
        <v>0.49</v>
      </c>
      <c r="P87" s="317">
        <v>0.48</v>
      </c>
      <c r="Q87" s="317">
        <v>0.46</v>
      </c>
      <c r="R87" s="317">
        <v>0.45</v>
      </c>
      <c r="S87" s="318">
        <v>0.45</v>
      </c>
      <c r="T87" s="314">
        <v>1.33</v>
      </c>
      <c r="U87" s="314">
        <v>1.21</v>
      </c>
      <c r="V87" s="314">
        <v>1.1399999999999999</v>
      </c>
      <c r="W87" s="314">
        <v>1.0900000000000001</v>
      </c>
      <c r="X87" s="314">
        <v>1.06</v>
      </c>
      <c r="Y87" s="314">
        <v>1.03</v>
      </c>
      <c r="Z87" s="314">
        <v>1</v>
      </c>
      <c r="AA87" s="314">
        <v>1</v>
      </c>
      <c r="AB87" s="317">
        <v>0.83</v>
      </c>
      <c r="AC87" s="321">
        <v>0.75</v>
      </c>
      <c r="AD87" s="321">
        <v>0.69</v>
      </c>
      <c r="AE87" s="321">
        <v>0.65</v>
      </c>
      <c r="AF87" s="321">
        <v>0.62</v>
      </c>
      <c r="AG87" s="317">
        <v>0.59</v>
      </c>
      <c r="AH87" s="317">
        <v>0.55000000000000004</v>
      </c>
      <c r="AI87" s="317">
        <v>0.55000000000000004</v>
      </c>
    </row>
    <row r="88" spans="1:35" ht="31">
      <c r="A88" s="180" t="s">
        <v>1565</v>
      </c>
      <c r="B88" s="32" t="s">
        <v>1446</v>
      </c>
      <c r="C88" s="32" t="s">
        <v>1450</v>
      </c>
      <c r="D88" s="313">
        <v>1.08</v>
      </c>
      <c r="E88" s="313">
        <v>1.02</v>
      </c>
      <c r="F88" s="313">
        <v>0.94</v>
      </c>
      <c r="G88" s="314">
        <v>0.87</v>
      </c>
      <c r="H88" s="314">
        <v>0.85</v>
      </c>
      <c r="I88" s="314">
        <v>0.83</v>
      </c>
      <c r="J88" s="314">
        <v>0.8</v>
      </c>
      <c r="K88" s="314">
        <v>0.8</v>
      </c>
      <c r="L88" s="323">
        <v>0.63</v>
      </c>
      <c r="M88" s="317">
        <v>0.57999999999999996</v>
      </c>
      <c r="N88" s="317">
        <v>0.53</v>
      </c>
      <c r="O88" s="317">
        <v>0.49</v>
      </c>
      <c r="P88" s="317">
        <v>0.48</v>
      </c>
      <c r="Q88" s="317">
        <v>0.46</v>
      </c>
      <c r="R88" s="317">
        <v>0.45</v>
      </c>
      <c r="S88" s="318">
        <v>0.45</v>
      </c>
      <c r="T88" s="314">
        <v>1.33</v>
      </c>
      <c r="U88" s="314">
        <v>1.21</v>
      </c>
      <c r="V88" s="314">
        <v>1.1399999999999999</v>
      </c>
      <c r="W88" s="314">
        <v>1.0900000000000001</v>
      </c>
      <c r="X88" s="314">
        <v>1.06</v>
      </c>
      <c r="Y88" s="314">
        <v>1.03</v>
      </c>
      <c r="Z88" s="314">
        <v>1</v>
      </c>
      <c r="AA88" s="314">
        <v>1</v>
      </c>
      <c r="AB88" s="317">
        <v>0.83</v>
      </c>
      <c r="AC88" s="321">
        <v>0.75</v>
      </c>
      <c r="AD88" s="321">
        <v>0.69</v>
      </c>
      <c r="AE88" s="321">
        <v>0.65</v>
      </c>
      <c r="AF88" s="321">
        <v>0.62</v>
      </c>
      <c r="AG88" s="317">
        <v>0.59</v>
      </c>
      <c r="AH88" s="317">
        <v>0.55000000000000004</v>
      </c>
      <c r="AI88" s="317">
        <v>0.55000000000000004</v>
      </c>
    </row>
    <row r="89" spans="1:35" ht="31">
      <c r="A89" s="180" t="s">
        <v>1565</v>
      </c>
      <c r="B89" s="32" t="s">
        <v>1446</v>
      </c>
      <c r="C89" s="32" t="s">
        <v>1451</v>
      </c>
      <c r="D89" s="313">
        <v>1.08</v>
      </c>
      <c r="E89" s="313">
        <v>1.02</v>
      </c>
      <c r="F89" s="313">
        <v>0.94</v>
      </c>
      <c r="G89" s="314">
        <v>0.87</v>
      </c>
      <c r="H89" s="314">
        <v>0.85</v>
      </c>
      <c r="I89" s="314">
        <v>0.83</v>
      </c>
      <c r="J89" s="314">
        <v>0.8</v>
      </c>
      <c r="K89" s="314">
        <v>0.8</v>
      </c>
      <c r="L89" s="323">
        <v>0.63</v>
      </c>
      <c r="M89" s="317">
        <v>0.57999999999999996</v>
      </c>
      <c r="N89" s="317">
        <v>0.53</v>
      </c>
      <c r="O89" s="317">
        <v>0.49</v>
      </c>
      <c r="P89" s="317">
        <v>0.48</v>
      </c>
      <c r="Q89" s="317">
        <v>0.46</v>
      </c>
      <c r="R89" s="317">
        <v>0.45</v>
      </c>
      <c r="S89" s="318">
        <v>0.45</v>
      </c>
      <c r="T89" s="314">
        <v>1.33</v>
      </c>
      <c r="U89" s="314">
        <v>1.21</v>
      </c>
      <c r="V89" s="314">
        <v>1.1399999999999999</v>
      </c>
      <c r="W89" s="314">
        <v>1.0900000000000001</v>
      </c>
      <c r="X89" s="314">
        <v>1.06</v>
      </c>
      <c r="Y89" s="314">
        <v>1.03</v>
      </c>
      <c r="Z89" s="314">
        <v>1</v>
      </c>
      <c r="AA89" s="314">
        <v>1</v>
      </c>
      <c r="AB89" s="317">
        <v>0.83</v>
      </c>
      <c r="AC89" s="321">
        <v>0.75</v>
      </c>
      <c r="AD89" s="321">
        <v>0.69</v>
      </c>
      <c r="AE89" s="321">
        <v>0.65</v>
      </c>
      <c r="AF89" s="321">
        <v>0.62</v>
      </c>
      <c r="AG89" s="317">
        <v>0.59</v>
      </c>
      <c r="AH89" s="317">
        <v>0.55000000000000004</v>
      </c>
      <c r="AI89" s="317">
        <v>0.55000000000000004</v>
      </c>
    </row>
    <row r="90" spans="1:35" ht="31">
      <c r="A90" s="180" t="s">
        <v>1565</v>
      </c>
      <c r="B90" s="32" t="s">
        <v>1446</v>
      </c>
      <c r="C90" s="32" t="s">
        <v>1462</v>
      </c>
      <c r="D90" s="313">
        <v>1.08</v>
      </c>
      <c r="E90" s="313">
        <v>1.02</v>
      </c>
      <c r="F90" s="313">
        <v>0.94</v>
      </c>
      <c r="G90" s="314">
        <v>0.87</v>
      </c>
      <c r="H90" s="314">
        <v>0.85</v>
      </c>
      <c r="I90" s="314">
        <v>0.83</v>
      </c>
      <c r="J90" s="314">
        <v>0.8</v>
      </c>
      <c r="K90" s="314">
        <v>0.8</v>
      </c>
      <c r="L90" s="323">
        <v>0.63</v>
      </c>
      <c r="M90" s="317">
        <v>0.57999999999999996</v>
      </c>
      <c r="N90" s="317">
        <v>0.53</v>
      </c>
      <c r="O90" s="317">
        <v>0.49</v>
      </c>
      <c r="P90" s="317">
        <v>0.48</v>
      </c>
      <c r="Q90" s="317">
        <v>0.46</v>
      </c>
      <c r="R90" s="317">
        <v>0.45</v>
      </c>
      <c r="S90" s="318">
        <v>0.45</v>
      </c>
      <c r="T90" s="314">
        <v>1.33</v>
      </c>
      <c r="U90" s="314">
        <v>1.21</v>
      </c>
      <c r="V90" s="314">
        <v>1.1399999999999999</v>
      </c>
      <c r="W90" s="314">
        <v>1.0900000000000001</v>
      </c>
      <c r="X90" s="314">
        <v>1.06</v>
      </c>
      <c r="Y90" s="314">
        <v>1.03</v>
      </c>
      <c r="Z90" s="314">
        <v>1</v>
      </c>
      <c r="AA90" s="314">
        <v>1</v>
      </c>
      <c r="AB90" s="317">
        <v>0.83</v>
      </c>
      <c r="AC90" s="321">
        <v>0.75</v>
      </c>
      <c r="AD90" s="321">
        <v>0.69</v>
      </c>
      <c r="AE90" s="321">
        <v>0.65</v>
      </c>
      <c r="AF90" s="321">
        <v>0.62</v>
      </c>
      <c r="AG90" s="317">
        <v>0.59</v>
      </c>
      <c r="AH90" s="317">
        <v>0.55000000000000004</v>
      </c>
      <c r="AI90" s="317">
        <v>0.55000000000000004</v>
      </c>
    </row>
    <row r="91" spans="1:35" ht="31">
      <c r="A91" s="180" t="s">
        <v>1565</v>
      </c>
      <c r="B91" s="32" t="s">
        <v>1446</v>
      </c>
      <c r="C91" s="32" t="s">
        <v>1463</v>
      </c>
      <c r="D91" s="313">
        <v>1.08</v>
      </c>
      <c r="E91" s="313">
        <v>1.02</v>
      </c>
      <c r="F91" s="313">
        <v>0.94</v>
      </c>
      <c r="G91" s="314">
        <v>0.87</v>
      </c>
      <c r="H91" s="314">
        <v>0.85</v>
      </c>
      <c r="I91" s="314">
        <v>0.83</v>
      </c>
      <c r="J91" s="314">
        <v>0.8</v>
      </c>
      <c r="K91" s="314">
        <v>0.8</v>
      </c>
      <c r="L91" s="323">
        <v>0.63</v>
      </c>
      <c r="M91" s="317">
        <v>0.57999999999999996</v>
      </c>
      <c r="N91" s="317">
        <v>0.53</v>
      </c>
      <c r="O91" s="317">
        <v>0.49</v>
      </c>
      <c r="P91" s="317">
        <v>0.48</v>
      </c>
      <c r="Q91" s="317">
        <v>0.46</v>
      </c>
      <c r="R91" s="317">
        <v>0.45</v>
      </c>
      <c r="S91" s="318">
        <v>0.45</v>
      </c>
      <c r="T91" s="314">
        <v>1.33</v>
      </c>
      <c r="U91" s="314">
        <v>1.21</v>
      </c>
      <c r="V91" s="314">
        <v>1.1399999999999999</v>
      </c>
      <c r="W91" s="314">
        <v>1.0900000000000001</v>
      </c>
      <c r="X91" s="314">
        <v>1.06</v>
      </c>
      <c r="Y91" s="314">
        <v>1.03</v>
      </c>
      <c r="Z91" s="314">
        <v>1</v>
      </c>
      <c r="AA91" s="314">
        <v>1</v>
      </c>
      <c r="AB91" s="317">
        <v>0.83</v>
      </c>
      <c r="AC91" s="321">
        <v>0.75</v>
      </c>
      <c r="AD91" s="321">
        <v>0.69</v>
      </c>
      <c r="AE91" s="321">
        <v>0.65</v>
      </c>
      <c r="AF91" s="321">
        <v>0.62</v>
      </c>
      <c r="AG91" s="317">
        <v>0.59</v>
      </c>
      <c r="AH91" s="317">
        <v>0.55000000000000004</v>
      </c>
      <c r="AI91" s="317">
        <v>0.55000000000000004</v>
      </c>
    </row>
    <row r="92" spans="1:35" ht="31">
      <c r="A92" s="180" t="s">
        <v>1565</v>
      </c>
      <c r="B92" s="32" t="s">
        <v>1446</v>
      </c>
      <c r="C92" s="32" t="s">
        <v>1452</v>
      </c>
      <c r="D92" s="313">
        <v>1.08</v>
      </c>
      <c r="E92" s="313">
        <v>1.02</v>
      </c>
      <c r="F92" s="313">
        <v>0.94</v>
      </c>
      <c r="G92" s="314">
        <v>0.87</v>
      </c>
      <c r="H92" s="314">
        <v>0.85</v>
      </c>
      <c r="I92" s="314">
        <v>0.83</v>
      </c>
      <c r="J92" s="314">
        <v>0.8</v>
      </c>
      <c r="K92" s="314">
        <v>0.8</v>
      </c>
      <c r="L92" s="323">
        <v>0.63</v>
      </c>
      <c r="M92" s="317">
        <v>0.57999999999999996</v>
      </c>
      <c r="N92" s="317">
        <v>0.53</v>
      </c>
      <c r="O92" s="317">
        <v>0.49</v>
      </c>
      <c r="P92" s="317">
        <v>0.48</v>
      </c>
      <c r="Q92" s="317">
        <v>0.46</v>
      </c>
      <c r="R92" s="317">
        <v>0.45</v>
      </c>
      <c r="S92" s="318">
        <v>0.45</v>
      </c>
      <c r="T92" s="314">
        <v>1.33</v>
      </c>
      <c r="U92" s="314">
        <v>1.21</v>
      </c>
      <c r="V92" s="314">
        <v>1.1399999999999999</v>
      </c>
      <c r="W92" s="314">
        <v>1.0900000000000001</v>
      </c>
      <c r="X92" s="314">
        <v>1.06</v>
      </c>
      <c r="Y92" s="314">
        <v>1.03</v>
      </c>
      <c r="Z92" s="314">
        <v>1</v>
      </c>
      <c r="AA92" s="314">
        <v>1</v>
      </c>
      <c r="AB92" s="317">
        <v>0.83</v>
      </c>
      <c r="AC92" s="321">
        <v>0.75</v>
      </c>
      <c r="AD92" s="321">
        <v>0.69</v>
      </c>
      <c r="AE92" s="321">
        <v>0.65</v>
      </c>
      <c r="AF92" s="321">
        <v>0.62</v>
      </c>
      <c r="AG92" s="317">
        <v>0.59</v>
      </c>
      <c r="AH92" s="317">
        <v>0.55000000000000004</v>
      </c>
      <c r="AI92" s="317">
        <v>0.55000000000000004</v>
      </c>
    </row>
    <row r="93" spans="1:35" ht="31">
      <c r="A93" s="180" t="s">
        <v>1565</v>
      </c>
      <c r="B93" s="32" t="s">
        <v>1446</v>
      </c>
      <c r="C93" s="32" t="s">
        <v>1453</v>
      </c>
      <c r="D93" s="313">
        <v>1.08</v>
      </c>
      <c r="E93" s="313">
        <v>1.02</v>
      </c>
      <c r="F93" s="313">
        <v>0.94</v>
      </c>
      <c r="G93" s="314">
        <v>0.87</v>
      </c>
      <c r="H93" s="314">
        <v>0.85</v>
      </c>
      <c r="I93" s="314">
        <v>0.83</v>
      </c>
      <c r="J93" s="314">
        <v>0.8</v>
      </c>
      <c r="K93" s="314">
        <v>0.8</v>
      </c>
      <c r="L93" s="323">
        <v>0.63</v>
      </c>
      <c r="M93" s="317">
        <v>0.57999999999999996</v>
      </c>
      <c r="N93" s="317">
        <v>0.53</v>
      </c>
      <c r="O93" s="317">
        <v>0.49</v>
      </c>
      <c r="P93" s="317">
        <v>0.48</v>
      </c>
      <c r="Q93" s="317">
        <v>0.46</v>
      </c>
      <c r="R93" s="317">
        <v>0.45</v>
      </c>
      <c r="S93" s="318">
        <v>0.45</v>
      </c>
      <c r="T93" s="314">
        <v>1.33</v>
      </c>
      <c r="U93" s="314">
        <v>1.21</v>
      </c>
      <c r="V93" s="314">
        <v>1.1399999999999999</v>
      </c>
      <c r="W93" s="314">
        <v>1.0900000000000001</v>
      </c>
      <c r="X93" s="314">
        <v>1.06</v>
      </c>
      <c r="Y93" s="314">
        <v>1.03</v>
      </c>
      <c r="Z93" s="314">
        <v>1</v>
      </c>
      <c r="AA93" s="314">
        <v>1</v>
      </c>
      <c r="AB93" s="317">
        <v>0.83</v>
      </c>
      <c r="AC93" s="321">
        <v>0.75</v>
      </c>
      <c r="AD93" s="321">
        <v>0.69</v>
      </c>
      <c r="AE93" s="321">
        <v>0.65</v>
      </c>
      <c r="AF93" s="321">
        <v>0.62</v>
      </c>
      <c r="AG93" s="317">
        <v>0.59</v>
      </c>
      <c r="AH93" s="317">
        <v>0.55000000000000004</v>
      </c>
      <c r="AI93" s="317">
        <v>0.55000000000000004</v>
      </c>
    </row>
    <row r="94" spans="1:35" ht="31">
      <c r="A94" s="180" t="s">
        <v>1565</v>
      </c>
      <c r="B94" s="32" t="s">
        <v>1446</v>
      </c>
      <c r="C94" s="32" t="s">
        <v>1454</v>
      </c>
      <c r="D94" s="313">
        <v>1.08</v>
      </c>
      <c r="E94" s="313">
        <v>1.02</v>
      </c>
      <c r="F94" s="313">
        <v>0.94</v>
      </c>
      <c r="G94" s="314">
        <v>0.87</v>
      </c>
      <c r="H94" s="314">
        <v>0.85</v>
      </c>
      <c r="I94" s="314">
        <v>0.83</v>
      </c>
      <c r="J94" s="314">
        <v>0.8</v>
      </c>
      <c r="K94" s="314">
        <v>0.8</v>
      </c>
      <c r="L94" s="323">
        <v>0.63</v>
      </c>
      <c r="M94" s="317">
        <v>0.57999999999999996</v>
      </c>
      <c r="N94" s="317">
        <v>0.53</v>
      </c>
      <c r="O94" s="317">
        <v>0.49</v>
      </c>
      <c r="P94" s="317">
        <v>0.48</v>
      </c>
      <c r="Q94" s="317">
        <v>0.46</v>
      </c>
      <c r="R94" s="317">
        <v>0.45</v>
      </c>
      <c r="S94" s="318">
        <v>0.45</v>
      </c>
      <c r="T94" s="314">
        <v>1.33</v>
      </c>
      <c r="U94" s="314">
        <v>1.21</v>
      </c>
      <c r="V94" s="314">
        <v>1.1399999999999999</v>
      </c>
      <c r="W94" s="314">
        <v>1.0900000000000001</v>
      </c>
      <c r="X94" s="314">
        <v>1.06</v>
      </c>
      <c r="Y94" s="314">
        <v>1.03</v>
      </c>
      <c r="Z94" s="314">
        <v>1</v>
      </c>
      <c r="AA94" s="314">
        <v>1</v>
      </c>
      <c r="AB94" s="317">
        <v>0.83</v>
      </c>
      <c r="AC94" s="321">
        <v>0.75</v>
      </c>
      <c r="AD94" s="321">
        <v>0.69</v>
      </c>
      <c r="AE94" s="321">
        <v>0.65</v>
      </c>
      <c r="AF94" s="321">
        <v>0.62</v>
      </c>
      <c r="AG94" s="317">
        <v>0.59</v>
      </c>
      <c r="AH94" s="317">
        <v>0.55000000000000004</v>
      </c>
      <c r="AI94" s="317">
        <v>0.55000000000000004</v>
      </c>
    </row>
    <row r="95" spans="1:35" ht="31">
      <c r="A95" s="180" t="s">
        <v>1565</v>
      </c>
      <c r="B95" s="32" t="s">
        <v>1446</v>
      </c>
      <c r="C95" s="32" t="s">
        <v>1455</v>
      </c>
      <c r="D95" s="313">
        <v>1.08</v>
      </c>
      <c r="E95" s="313">
        <v>1.02</v>
      </c>
      <c r="F95" s="313">
        <v>0.94</v>
      </c>
      <c r="G95" s="314">
        <v>0.87</v>
      </c>
      <c r="H95" s="314">
        <v>0.85</v>
      </c>
      <c r="I95" s="314">
        <v>0.83</v>
      </c>
      <c r="J95" s="314">
        <v>0.8</v>
      </c>
      <c r="K95" s="314">
        <v>0.8</v>
      </c>
      <c r="L95" s="323">
        <v>0.63</v>
      </c>
      <c r="M95" s="317">
        <v>0.57999999999999996</v>
      </c>
      <c r="N95" s="317">
        <v>0.53</v>
      </c>
      <c r="O95" s="317">
        <v>0.49</v>
      </c>
      <c r="P95" s="317">
        <v>0.48</v>
      </c>
      <c r="Q95" s="317">
        <v>0.46</v>
      </c>
      <c r="R95" s="317">
        <v>0.45</v>
      </c>
      <c r="S95" s="318">
        <v>0.45</v>
      </c>
      <c r="T95" s="314">
        <v>1.33</v>
      </c>
      <c r="U95" s="314">
        <v>1.21</v>
      </c>
      <c r="V95" s="314">
        <v>1.1399999999999999</v>
      </c>
      <c r="W95" s="314">
        <v>1.0900000000000001</v>
      </c>
      <c r="X95" s="314">
        <v>1.06</v>
      </c>
      <c r="Y95" s="314">
        <v>1.03</v>
      </c>
      <c r="Z95" s="314">
        <v>1</v>
      </c>
      <c r="AA95" s="314">
        <v>1</v>
      </c>
      <c r="AB95" s="317">
        <v>0.83</v>
      </c>
      <c r="AC95" s="321">
        <v>0.75</v>
      </c>
      <c r="AD95" s="321">
        <v>0.69</v>
      </c>
      <c r="AE95" s="321">
        <v>0.65</v>
      </c>
      <c r="AF95" s="321">
        <v>0.62</v>
      </c>
      <c r="AG95" s="317">
        <v>0.59</v>
      </c>
      <c r="AH95" s="317">
        <v>0.55000000000000004</v>
      </c>
      <c r="AI95" s="317">
        <v>0.55000000000000004</v>
      </c>
    </row>
    <row r="96" spans="1:35" ht="31">
      <c r="A96" s="180" t="s">
        <v>1565</v>
      </c>
      <c r="B96" s="32" t="s">
        <v>1446</v>
      </c>
      <c r="C96" s="32" t="s">
        <v>1456</v>
      </c>
      <c r="D96" s="313">
        <v>1.08</v>
      </c>
      <c r="E96" s="313">
        <v>1.02</v>
      </c>
      <c r="F96" s="313">
        <v>0.94</v>
      </c>
      <c r="G96" s="314">
        <v>0.87</v>
      </c>
      <c r="H96" s="314">
        <v>0.85</v>
      </c>
      <c r="I96" s="314">
        <v>0.83</v>
      </c>
      <c r="J96" s="314">
        <v>0.8</v>
      </c>
      <c r="K96" s="314">
        <v>0.8</v>
      </c>
      <c r="L96" s="323">
        <v>0.63</v>
      </c>
      <c r="M96" s="317">
        <v>0.57999999999999996</v>
      </c>
      <c r="N96" s="317">
        <v>0.53</v>
      </c>
      <c r="O96" s="317">
        <v>0.49</v>
      </c>
      <c r="P96" s="317">
        <v>0.48</v>
      </c>
      <c r="Q96" s="317">
        <v>0.46</v>
      </c>
      <c r="R96" s="317">
        <v>0.45</v>
      </c>
      <c r="S96" s="318">
        <v>0.45</v>
      </c>
      <c r="T96" s="314">
        <v>1.33</v>
      </c>
      <c r="U96" s="314">
        <v>1.21</v>
      </c>
      <c r="V96" s="314">
        <v>1.1399999999999999</v>
      </c>
      <c r="W96" s="314">
        <v>1.0900000000000001</v>
      </c>
      <c r="X96" s="314">
        <v>1.06</v>
      </c>
      <c r="Y96" s="314">
        <v>1.03</v>
      </c>
      <c r="Z96" s="314">
        <v>1</v>
      </c>
      <c r="AA96" s="314">
        <v>1</v>
      </c>
      <c r="AB96" s="317">
        <v>0.83</v>
      </c>
      <c r="AC96" s="321">
        <v>0.75</v>
      </c>
      <c r="AD96" s="321">
        <v>0.69</v>
      </c>
      <c r="AE96" s="321">
        <v>0.65</v>
      </c>
      <c r="AF96" s="321">
        <v>0.62</v>
      </c>
      <c r="AG96" s="317">
        <v>0.59</v>
      </c>
      <c r="AH96" s="317">
        <v>0.55000000000000004</v>
      </c>
      <c r="AI96" s="317">
        <v>0.55000000000000004</v>
      </c>
    </row>
    <row r="97" spans="1:35" ht="31">
      <c r="A97" s="180" t="s">
        <v>1565</v>
      </c>
      <c r="B97" s="32" t="s">
        <v>1446</v>
      </c>
      <c r="C97" s="32" t="s">
        <v>1457</v>
      </c>
      <c r="D97" s="313">
        <v>1.08</v>
      </c>
      <c r="E97" s="313">
        <v>1.02</v>
      </c>
      <c r="F97" s="313">
        <v>0.94</v>
      </c>
      <c r="G97" s="314">
        <v>0.87</v>
      </c>
      <c r="H97" s="314">
        <v>0.85</v>
      </c>
      <c r="I97" s="314">
        <v>0.83</v>
      </c>
      <c r="J97" s="314">
        <v>0.8</v>
      </c>
      <c r="K97" s="314">
        <v>0.8</v>
      </c>
      <c r="L97" s="323">
        <v>0.63</v>
      </c>
      <c r="M97" s="317">
        <v>0.57999999999999996</v>
      </c>
      <c r="N97" s="317">
        <v>0.53</v>
      </c>
      <c r="O97" s="317">
        <v>0.49</v>
      </c>
      <c r="P97" s="317">
        <v>0.48</v>
      </c>
      <c r="Q97" s="317">
        <v>0.46</v>
      </c>
      <c r="R97" s="317">
        <v>0.45</v>
      </c>
      <c r="S97" s="318">
        <v>0.45</v>
      </c>
      <c r="T97" s="314">
        <v>1.33</v>
      </c>
      <c r="U97" s="314">
        <v>1.21</v>
      </c>
      <c r="V97" s="314">
        <v>1.1399999999999999</v>
      </c>
      <c r="W97" s="314">
        <v>1.0900000000000001</v>
      </c>
      <c r="X97" s="314">
        <v>1.06</v>
      </c>
      <c r="Y97" s="314">
        <v>1.03</v>
      </c>
      <c r="Z97" s="314">
        <v>1</v>
      </c>
      <c r="AA97" s="314">
        <v>1</v>
      </c>
      <c r="AB97" s="317">
        <v>0.83</v>
      </c>
      <c r="AC97" s="321">
        <v>0.75</v>
      </c>
      <c r="AD97" s="321">
        <v>0.69</v>
      </c>
      <c r="AE97" s="321">
        <v>0.65</v>
      </c>
      <c r="AF97" s="321">
        <v>0.62</v>
      </c>
      <c r="AG97" s="317">
        <v>0.59</v>
      </c>
      <c r="AH97" s="317">
        <v>0.55000000000000004</v>
      </c>
      <c r="AI97" s="317">
        <v>0.55000000000000004</v>
      </c>
    </row>
    <row r="98" spans="1:35" ht="31">
      <c r="A98" s="180" t="s">
        <v>1565</v>
      </c>
      <c r="B98" s="32" t="s">
        <v>1446</v>
      </c>
      <c r="C98" s="32" t="s">
        <v>1458</v>
      </c>
      <c r="D98" s="313">
        <v>1.08</v>
      </c>
      <c r="E98" s="313">
        <v>1.02</v>
      </c>
      <c r="F98" s="313">
        <v>0.94</v>
      </c>
      <c r="G98" s="314">
        <v>0.87</v>
      </c>
      <c r="H98" s="314">
        <v>0.85</v>
      </c>
      <c r="I98" s="314">
        <v>0.83</v>
      </c>
      <c r="J98" s="314">
        <v>0.8</v>
      </c>
      <c r="K98" s="314">
        <v>0.8</v>
      </c>
      <c r="L98" s="323">
        <v>0.63</v>
      </c>
      <c r="M98" s="317">
        <v>0.57999999999999996</v>
      </c>
      <c r="N98" s="317">
        <v>0.53</v>
      </c>
      <c r="O98" s="317">
        <v>0.49</v>
      </c>
      <c r="P98" s="317">
        <v>0.48</v>
      </c>
      <c r="Q98" s="317">
        <v>0.46</v>
      </c>
      <c r="R98" s="317">
        <v>0.45</v>
      </c>
      <c r="S98" s="318">
        <v>0.45</v>
      </c>
      <c r="T98" s="314">
        <v>1.33</v>
      </c>
      <c r="U98" s="314">
        <v>1.21</v>
      </c>
      <c r="V98" s="314">
        <v>1.1399999999999999</v>
      </c>
      <c r="W98" s="314">
        <v>1.0900000000000001</v>
      </c>
      <c r="X98" s="314">
        <v>1.06</v>
      </c>
      <c r="Y98" s="314">
        <v>1.03</v>
      </c>
      <c r="Z98" s="314">
        <v>1</v>
      </c>
      <c r="AA98" s="314">
        <v>1</v>
      </c>
      <c r="AB98" s="317">
        <v>0.83</v>
      </c>
      <c r="AC98" s="321">
        <v>0.75</v>
      </c>
      <c r="AD98" s="321">
        <v>0.69</v>
      </c>
      <c r="AE98" s="321">
        <v>0.65</v>
      </c>
      <c r="AF98" s="321">
        <v>0.62</v>
      </c>
      <c r="AG98" s="317">
        <v>0.59</v>
      </c>
      <c r="AH98" s="317">
        <v>0.55000000000000004</v>
      </c>
      <c r="AI98" s="317">
        <v>0.55000000000000004</v>
      </c>
    </row>
    <row r="99" spans="1:35" ht="31">
      <c r="A99" s="180" t="s">
        <v>1565</v>
      </c>
      <c r="B99" s="32" t="s">
        <v>1446</v>
      </c>
      <c r="C99" s="32" t="s">
        <v>1459</v>
      </c>
      <c r="D99" s="313">
        <v>1.08</v>
      </c>
      <c r="E99" s="313">
        <v>1.02</v>
      </c>
      <c r="F99" s="313">
        <v>0.94</v>
      </c>
      <c r="G99" s="314">
        <v>0.87</v>
      </c>
      <c r="H99" s="314">
        <v>0.85</v>
      </c>
      <c r="I99" s="314">
        <v>0.83</v>
      </c>
      <c r="J99" s="314">
        <v>0.8</v>
      </c>
      <c r="K99" s="314">
        <v>0.8</v>
      </c>
      <c r="L99" s="323">
        <v>0.63</v>
      </c>
      <c r="M99" s="317">
        <v>0.57999999999999996</v>
      </c>
      <c r="N99" s="317">
        <v>0.53</v>
      </c>
      <c r="O99" s="317">
        <v>0.49</v>
      </c>
      <c r="P99" s="317">
        <v>0.48</v>
      </c>
      <c r="Q99" s="317">
        <v>0.46</v>
      </c>
      <c r="R99" s="317">
        <v>0.45</v>
      </c>
      <c r="S99" s="318">
        <v>0.45</v>
      </c>
      <c r="T99" s="314">
        <v>1.33</v>
      </c>
      <c r="U99" s="314">
        <v>1.21</v>
      </c>
      <c r="V99" s="314">
        <v>1.1399999999999999</v>
      </c>
      <c r="W99" s="314">
        <v>1.0900000000000001</v>
      </c>
      <c r="X99" s="314">
        <v>1.06</v>
      </c>
      <c r="Y99" s="314">
        <v>1.03</v>
      </c>
      <c r="Z99" s="314">
        <v>1</v>
      </c>
      <c r="AA99" s="314">
        <v>1</v>
      </c>
      <c r="AB99" s="317">
        <v>0.83</v>
      </c>
      <c r="AC99" s="321">
        <v>0.75</v>
      </c>
      <c r="AD99" s="321">
        <v>0.69</v>
      </c>
      <c r="AE99" s="321">
        <v>0.65</v>
      </c>
      <c r="AF99" s="321">
        <v>0.62</v>
      </c>
      <c r="AG99" s="317">
        <v>0.59</v>
      </c>
      <c r="AH99" s="317">
        <v>0.55000000000000004</v>
      </c>
      <c r="AI99" s="317">
        <v>0.55000000000000004</v>
      </c>
    </row>
    <row r="100" spans="1:35" ht="31">
      <c r="A100" s="180" t="s">
        <v>1565</v>
      </c>
      <c r="B100" s="32" t="s">
        <v>1446</v>
      </c>
      <c r="C100" s="32" t="s">
        <v>1460</v>
      </c>
      <c r="D100" s="313">
        <v>1.08</v>
      </c>
      <c r="E100" s="313">
        <v>1.02</v>
      </c>
      <c r="F100" s="313">
        <v>0.94</v>
      </c>
      <c r="G100" s="314">
        <v>0.87</v>
      </c>
      <c r="H100" s="314">
        <v>0.85</v>
      </c>
      <c r="I100" s="314">
        <v>0.83</v>
      </c>
      <c r="J100" s="314">
        <v>0.8</v>
      </c>
      <c r="K100" s="314">
        <v>0.8</v>
      </c>
      <c r="L100" s="323">
        <v>0.63</v>
      </c>
      <c r="M100" s="317">
        <v>0.57999999999999996</v>
      </c>
      <c r="N100" s="317">
        <v>0.53</v>
      </c>
      <c r="O100" s="317">
        <v>0.49</v>
      </c>
      <c r="P100" s="317">
        <v>0.48</v>
      </c>
      <c r="Q100" s="317">
        <v>0.46</v>
      </c>
      <c r="R100" s="317">
        <v>0.45</v>
      </c>
      <c r="S100" s="318">
        <v>0.45</v>
      </c>
      <c r="T100" s="314">
        <v>1.33</v>
      </c>
      <c r="U100" s="314">
        <v>1.21</v>
      </c>
      <c r="V100" s="314">
        <v>1.1399999999999999</v>
      </c>
      <c r="W100" s="314">
        <v>1.0900000000000001</v>
      </c>
      <c r="X100" s="314">
        <v>1.06</v>
      </c>
      <c r="Y100" s="314">
        <v>1.03</v>
      </c>
      <c r="Z100" s="314">
        <v>1</v>
      </c>
      <c r="AA100" s="314">
        <v>1</v>
      </c>
      <c r="AB100" s="317">
        <v>0.83</v>
      </c>
      <c r="AC100" s="321">
        <v>0.75</v>
      </c>
      <c r="AD100" s="321">
        <v>0.69</v>
      </c>
      <c r="AE100" s="321">
        <v>0.65</v>
      </c>
      <c r="AF100" s="321">
        <v>0.62</v>
      </c>
      <c r="AG100" s="317">
        <v>0.59</v>
      </c>
      <c r="AH100" s="317">
        <v>0.55000000000000004</v>
      </c>
      <c r="AI100" s="317">
        <v>0.55000000000000004</v>
      </c>
    </row>
    <row r="101" spans="1:35" ht="31">
      <c r="A101" s="180" t="s">
        <v>1565</v>
      </c>
      <c r="B101" s="32" t="s">
        <v>1446</v>
      </c>
      <c r="C101" s="32" t="s">
        <v>1461</v>
      </c>
      <c r="D101" s="313">
        <v>1.08</v>
      </c>
      <c r="E101" s="313">
        <v>1.02</v>
      </c>
      <c r="F101" s="313">
        <v>0.94</v>
      </c>
      <c r="G101" s="314">
        <v>0.87</v>
      </c>
      <c r="H101" s="314">
        <v>0.85</v>
      </c>
      <c r="I101" s="314">
        <v>0.83</v>
      </c>
      <c r="J101" s="314">
        <v>0.8</v>
      </c>
      <c r="K101" s="314">
        <v>0.8</v>
      </c>
      <c r="L101" s="323">
        <v>0.63</v>
      </c>
      <c r="M101" s="317">
        <v>0.57999999999999996</v>
      </c>
      <c r="N101" s="317">
        <v>0.53</v>
      </c>
      <c r="O101" s="317">
        <v>0.49</v>
      </c>
      <c r="P101" s="317">
        <v>0.48</v>
      </c>
      <c r="Q101" s="317">
        <v>0.46</v>
      </c>
      <c r="R101" s="317">
        <v>0.45</v>
      </c>
      <c r="S101" s="318">
        <v>0.45</v>
      </c>
      <c r="T101" s="314">
        <v>1.33</v>
      </c>
      <c r="U101" s="314">
        <v>1.21</v>
      </c>
      <c r="V101" s="314">
        <v>1.1399999999999999</v>
      </c>
      <c r="W101" s="314">
        <v>1.0900000000000001</v>
      </c>
      <c r="X101" s="314">
        <v>1.06</v>
      </c>
      <c r="Y101" s="314">
        <v>1.03</v>
      </c>
      <c r="Z101" s="314">
        <v>1</v>
      </c>
      <c r="AA101" s="314">
        <v>1</v>
      </c>
      <c r="AB101" s="317">
        <v>0.83</v>
      </c>
      <c r="AC101" s="321">
        <v>0.75</v>
      </c>
      <c r="AD101" s="321">
        <v>0.69</v>
      </c>
      <c r="AE101" s="321">
        <v>0.65</v>
      </c>
      <c r="AF101" s="321">
        <v>0.62</v>
      </c>
      <c r="AG101" s="317">
        <v>0.59</v>
      </c>
      <c r="AH101" s="317">
        <v>0.55000000000000004</v>
      </c>
      <c r="AI101" s="317">
        <v>0.55000000000000004</v>
      </c>
    </row>
    <row r="102" spans="1:35" ht="31">
      <c r="A102" s="180" t="s">
        <v>1565</v>
      </c>
      <c r="B102" s="32" t="s">
        <v>1446</v>
      </c>
      <c r="C102" s="32" t="s">
        <v>1469</v>
      </c>
      <c r="D102" s="313">
        <v>1.08</v>
      </c>
      <c r="E102" s="313">
        <v>1.02</v>
      </c>
      <c r="F102" s="313">
        <v>0.94</v>
      </c>
      <c r="G102" s="314">
        <v>0.87</v>
      </c>
      <c r="H102" s="314">
        <v>0.85</v>
      </c>
      <c r="I102" s="314">
        <v>0.83</v>
      </c>
      <c r="J102" s="314">
        <v>0.8</v>
      </c>
      <c r="K102" s="315">
        <v>0.7</v>
      </c>
      <c r="L102" s="323">
        <v>0.63</v>
      </c>
      <c r="M102" s="317">
        <v>0.57999999999999996</v>
      </c>
      <c r="N102" s="317">
        <v>0.53</v>
      </c>
      <c r="O102" s="317">
        <v>0.49</v>
      </c>
      <c r="P102" s="317">
        <v>0.48</v>
      </c>
      <c r="Q102" s="317">
        <v>0.46</v>
      </c>
      <c r="R102" s="317">
        <v>0.45</v>
      </c>
      <c r="S102" s="320">
        <v>0.4</v>
      </c>
      <c r="T102" s="314">
        <v>1.33</v>
      </c>
      <c r="U102" s="314">
        <v>1.21</v>
      </c>
      <c r="V102" s="314">
        <v>1.1399999999999999</v>
      </c>
      <c r="W102" s="314">
        <v>1.0900000000000001</v>
      </c>
      <c r="X102" s="314">
        <v>1.06</v>
      </c>
      <c r="Y102" s="314">
        <v>1.03</v>
      </c>
      <c r="Z102" s="314">
        <v>1</v>
      </c>
      <c r="AA102" s="315">
        <v>0.9</v>
      </c>
      <c r="AB102" s="317">
        <v>0.83</v>
      </c>
      <c r="AC102" s="321">
        <v>0.75</v>
      </c>
      <c r="AD102" s="321">
        <v>0.69</v>
      </c>
      <c r="AE102" s="321">
        <v>0.65</v>
      </c>
      <c r="AF102" s="321">
        <v>0.62</v>
      </c>
      <c r="AG102" s="317">
        <v>0.59</v>
      </c>
      <c r="AH102" s="317">
        <v>0.55000000000000004</v>
      </c>
      <c r="AI102" s="325">
        <v>0.5</v>
      </c>
    </row>
    <row r="103" spans="1:35" ht="31">
      <c r="A103" s="180" t="s">
        <v>1565</v>
      </c>
      <c r="B103" s="32" t="s">
        <v>1446</v>
      </c>
      <c r="C103" s="33" t="s">
        <v>1470</v>
      </c>
      <c r="D103" s="313">
        <v>1.08</v>
      </c>
      <c r="E103" s="313">
        <v>1.02</v>
      </c>
      <c r="F103" s="313">
        <v>0.94</v>
      </c>
      <c r="G103" s="314">
        <v>0.87</v>
      </c>
      <c r="H103" s="314">
        <v>0.85</v>
      </c>
      <c r="I103" s="314">
        <v>0.83</v>
      </c>
      <c r="J103" s="314">
        <v>0.8</v>
      </c>
      <c r="K103" s="315">
        <v>0.7</v>
      </c>
      <c r="L103" s="323">
        <v>0.63</v>
      </c>
      <c r="M103" s="317">
        <v>0.57999999999999996</v>
      </c>
      <c r="N103" s="317">
        <v>0.53</v>
      </c>
      <c r="O103" s="317">
        <v>0.49</v>
      </c>
      <c r="P103" s="317">
        <v>0.48</v>
      </c>
      <c r="Q103" s="317">
        <v>0.46</v>
      </c>
      <c r="R103" s="317">
        <v>0.45</v>
      </c>
      <c r="S103" s="320">
        <v>0.4</v>
      </c>
      <c r="T103" s="314">
        <v>1.33</v>
      </c>
      <c r="U103" s="314">
        <v>1.21</v>
      </c>
      <c r="V103" s="314">
        <v>1.1399999999999999</v>
      </c>
      <c r="W103" s="314">
        <v>1.0900000000000001</v>
      </c>
      <c r="X103" s="314">
        <v>1.06</v>
      </c>
      <c r="Y103" s="314">
        <v>1.03</v>
      </c>
      <c r="Z103" s="314">
        <v>1</v>
      </c>
      <c r="AA103" s="315">
        <v>0.9</v>
      </c>
      <c r="AB103" s="317">
        <v>0.83</v>
      </c>
      <c r="AC103" s="321">
        <v>0.75</v>
      </c>
      <c r="AD103" s="321">
        <v>0.69</v>
      </c>
      <c r="AE103" s="321">
        <v>0.65</v>
      </c>
      <c r="AF103" s="321">
        <v>0.62</v>
      </c>
      <c r="AG103" s="317">
        <v>0.59</v>
      </c>
      <c r="AH103" s="317">
        <v>0.55000000000000004</v>
      </c>
      <c r="AI103" s="325">
        <v>0.5</v>
      </c>
    </row>
    <row r="104" spans="1:35" ht="31">
      <c r="A104" s="180" t="s">
        <v>1565</v>
      </c>
      <c r="B104" s="32" t="s">
        <v>1446</v>
      </c>
      <c r="C104" s="33" t="s">
        <v>1471</v>
      </c>
      <c r="D104" s="313">
        <v>1.08</v>
      </c>
      <c r="E104" s="313">
        <v>1.02</v>
      </c>
      <c r="F104" s="313">
        <v>0.94</v>
      </c>
      <c r="G104" s="314">
        <v>0.87</v>
      </c>
      <c r="H104" s="314">
        <v>0.85</v>
      </c>
      <c r="I104" s="314">
        <v>0.83</v>
      </c>
      <c r="J104" s="314">
        <v>0.8</v>
      </c>
      <c r="K104" s="315">
        <v>0.7</v>
      </c>
      <c r="L104" s="323">
        <v>0.63</v>
      </c>
      <c r="M104" s="317">
        <v>0.57999999999999996</v>
      </c>
      <c r="N104" s="317">
        <v>0.53</v>
      </c>
      <c r="O104" s="317">
        <v>0.49</v>
      </c>
      <c r="P104" s="317">
        <v>0.48</v>
      </c>
      <c r="Q104" s="317">
        <v>0.46</v>
      </c>
      <c r="R104" s="317">
        <v>0.45</v>
      </c>
      <c r="S104" s="320">
        <v>0.4</v>
      </c>
      <c r="T104" s="314">
        <v>1.33</v>
      </c>
      <c r="U104" s="314">
        <v>1.21</v>
      </c>
      <c r="V104" s="314">
        <v>1.1399999999999999</v>
      </c>
      <c r="W104" s="314">
        <v>1.0900000000000001</v>
      </c>
      <c r="X104" s="314">
        <v>1.06</v>
      </c>
      <c r="Y104" s="314">
        <v>1.03</v>
      </c>
      <c r="Z104" s="314">
        <v>1</v>
      </c>
      <c r="AA104" s="315">
        <v>0.9</v>
      </c>
      <c r="AB104" s="317">
        <v>0.83</v>
      </c>
      <c r="AC104" s="321">
        <v>0.75</v>
      </c>
      <c r="AD104" s="321">
        <v>0.69</v>
      </c>
      <c r="AE104" s="321">
        <v>0.65</v>
      </c>
      <c r="AF104" s="321">
        <v>0.62</v>
      </c>
      <c r="AG104" s="317">
        <v>0.59</v>
      </c>
      <c r="AH104" s="317">
        <v>0.55000000000000004</v>
      </c>
      <c r="AI104" s="325">
        <v>0.5</v>
      </c>
    </row>
    <row r="105" spans="1:35" ht="31">
      <c r="A105" s="180" t="s">
        <v>1565</v>
      </c>
      <c r="B105" s="32" t="s">
        <v>1446</v>
      </c>
      <c r="C105" s="33" t="s">
        <v>1472</v>
      </c>
      <c r="D105" s="313">
        <v>1.08</v>
      </c>
      <c r="E105" s="313">
        <v>1.02</v>
      </c>
      <c r="F105" s="313">
        <v>0.94</v>
      </c>
      <c r="G105" s="314">
        <v>0.87</v>
      </c>
      <c r="H105" s="314">
        <v>0.85</v>
      </c>
      <c r="I105" s="314">
        <v>0.83</v>
      </c>
      <c r="J105" s="314">
        <v>0.8</v>
      </c>
      <c r="K105" s="315">
        <v>0.7</v>
      </c>
      <c r="L105" s="323">
        <v>0.63</v>
      </c>
      <c r="M105" s="317">
        <v>0.57999999999999996</v>
      </c>
      <c r="N105" s="317">
        <v>0.53</v>
      </c>
      <c r="O105" s="317">
        <v>0.49</v>
      </c>
      <c r="P105" s="317">
        <v>0.48</v>
      </c>
      <c r="Q105" s="317">
        <v>0.46</v>
      </c>
      <c r="R105" s="317">
        <v>0.45</v>
      </c>
      <c r="S105" s="320">
        <v>0.4</v>
      </c>
      <c r="T105" s="314">
        <v>1.33</v>
      </c>
      <c r="U105" s="314">
        <v>1.21</v>
      </c>
      <c r="V105" s="314">
        <v>1.1399999999999999</v>
      </c>
      <c r="W105" s="314">
        <v>1.0900000000000001</v>
      </c>
      <c r="X105" s="314">
        <v>1.06</v>
      </c>
      <c r="Y105" s="314">
        <v>1.03</v>
      </c>
      <c r="Z105" s="314">
        <v>1</v>
      </c>
      <c r="AA105" s="315">
        <v>0.9</v>
      </c>
      <c r="AB105" s="317">
        <v>0.83</v>
      </c>
      <c r="AC105" s="321">
        <v>0.75</v>
      </c>
      <c r="AD105" s="321">
        <v>0.69</v>
      </c>
      <c r="AE105" s="321">
        <v>0.65</v>
      </c>
      <c r="AF105" s="321">
        <v>0.62</v>
      </c>
      <c r="AG105" s="317">
        <v>0.59</v>
      </c>
      <c r="AH105" s="317">
        <v>0.55000000000000004</v>
      </c>
      <c r="AI105" s="325">
        <v>0.5</v>
      </c>
    </row>
    <row r="106" spans="1:35" ht="31">
      <c r="A106" s="180" t="s">
        <v>1565</v>
      </c>
      <c r="B106" s="32" t="s">
        <v>1446</v>
      </c>
      <c r="C106" s="33" t="s">
        <v>1473</v>
      </c>
      <c r="D106" s="313">
        <v>1.08</v>
      </c>
      <c r="E106" s="313">
        <v>1.02</v>
      </c>
      <c r="F106" s="313">
        <v>0.94</v>
      </c>
      <c r="G106" s="314">
        <v>0.87</v>
      </c>
      <c r="H106" s="314">
        <v>0.85</v>
      </c>
      <c r="I106" s="314">
        <v>0.83</v>
      </c>
      <c r="J106" s="314">
        <v>0.8</v>
      </c>
      <c r="K106" s="315">
        <v>0.7</v>
      </c>
      <c r="L106" s="323">
        <v>0.63</v>
      </c>
      <c r="M106" s="317">
        <v>0.57999999999999996</v>
      </c>
      <c r="N106" s="317">
        <v>0.53</v>
      </c>
      <c r="O106" s="317">
        <v>0.49</v>
      </c>
      <c r="P106" s="317">
        <v>0.48</v>
      </c>
      <c r="Q106" s="317">
        <v>0.46</v>
      </c>
      <c r="R106" s="317">
        <v>0.45</v>
      </c>
      <c r="S106" s="320">
        <v>0.4</v>
      </c>
      <c r="T106" s="314">
        <v>1.33</v>
      </c>
      <c r="U106" s="314">
        <v>1.21</v>
      </c>
      <c r="V106" s="314">
        <v>1.1399999999999999</v>
      </c>
      <c r="W106" s="314">
        <v>1.0900000000000001</v>
      </c>
      <c r="X106" s="314">
        <v>1.06</v>
      </c>
      <c r="Y106" s="314">
        <v>1.03</v>
      </c>
      <c r="Z106" s="314">
        <v>1</v>
      </c>
      <c r="AA106" s="315">
        <v>0.9</v>
      </c>
      <c r="AB106" s="317">
        <v>0.83</v>
      </c>
      <c r="AC106" s="321">
        <v>0.75</v>
      </c>
      <c r="AD106" s="321">
        <v>0.69</v>
      </c>
      <c r="AE106" s="321">
        <v>0.65</v>
      </c>
      <c r="AF106" s="321">
        <v>0.62</v>
      </c>
      <c r="AG106" s="317">
        <v>0.59</v>
      </c>
      <c r="AH106" s="317">
        <v>0.55000000000000004</v>
      </c>
      <c r="AI106" s="325">
        <v>0.5</v>
      </c>
    </row>
    <row r="107" spans="1:35" ht="31">
      <c r="A107" s="180" t="s">
        <v>1565</v>
      </c>
      <c r="B107" s="32" t="s">
        <v>1328</v>
      </c>
      <c r="C107" s="32" t="s">
        <v>1464</v>
      </c>
      <c r="D107" s="313">
        <v>1.08</v>
      </c>
      <c r="E107" s="313">
        <v>1.02</v>
      </c>
      <c r="F107" s="313">
        <v>0.94</v>
      </c>
      <c r="G107" s="314">
        <v>0.87</v>
      </c>
      <c r="H107" s="314">
        <v>0.85</v>
      </c>
      <c r="I107" s="314">
        <v>0.83</v>
      </c>
      <c r="J107" s="314">
        <v>0.8</v>
      </c>
      <c r="K107" s="314">
        <v>0.8</v>
      </c>
      <c r="L107" s="323">
        <v>0.63</v>
      </c>
      <c r="M107" s="317">
        <v>0.57999999999999996</v>
      </c>
      <c r="N107" s="317">
        <v>0.53</v>
      </c>
      <c r="O107" s="317">
        <v>0.49</v>
      </c>
      <c r="P107" s="317">
        <v>0.48</v>
      </c>
      <c r="Q107" s="317">
        <v>0.46</v>
      </c>
      <c r="R107" s="317">
        <v>0.45</v>
      </c>
      <c r="S107" s="318">
        <v>0.45</v>
      </c>
      <c r="T107" s="314">
        <v>1.33</v>
      </c>
      <c r="U107" s="314">
        <v>1.21</v>
      </c>
      <c r="V107" s="314">
        <v>1.1399999999999999</v>
      </c>
      <c r="W107" s="314">
        <v>1.0900000000000001</v>
      </c>
      <c r="X107" s="314">
        <v>1.06</v>
      </c>
      <c r="Y107" s="314">
        <v>1.03</v>
      </c>
      <c r="Z107" s="314">
        <v>1</v>
      </c>
      <c r="AA107" s="314">
        <v>1</v>
      </c>
      <c r="AB107" s="317">
        <v>0.83</v>
      </c>
      <c r="AC107" s="321">
        <v>0.75</v>
      </c>
      <c r="AD107" s="321">
        <v>0.69</v>
      </c>
      <c r="AE107" s="321">
        <v>0.65</v>
      </c>
      <c r="AF107" s="321">
        <v>0.62</v>
      </c>
      <c r="AG107" s="317">
        <v>0.59</v>
      </c>
      <c r="AH107" s="317">
        <v>0.55000000000000004</v>
      </c>
      <c r="AI107" s="317">
        <v>0.55000000000000004</v>
      </c>
    </row>
    <row r="108" spans="1:35" ht="31">
      <c r="A108" s="180" t="s">
        <v>1565</v>
      </c>
      <c r="B108" s="32" t="s">
        <v>1328</v>
      </c>
      <c r="C108" s="32" t="s">
        <v>1465</v>
      </c>
      <c r="D108" s="313">
        <v>1.08</v>
      </c>
      <c r="E108" s="313">
        <v>1.02</v>
      </c>
      <c r="F108" s="313">
        <v>0.94</v>
      </c>
      <c r="G108" s="314">
        <v>0.87</v>
      </c>
      <c r="H108" s="314">
        <v>0.85</v>
      </c>
      <c r="I108" s="314">
        <v>0.83</v>
      </c>
      <c r="J108" s="314">
        <v>0.8</v>
      </c>
      <c r="K108" s="314">
        <v>0.8</v>
      </c>
      <c r="L108" s="323">
        <v>0.63</v>
      </c>
      <c r="M108" s="317">
        <v>0.57999999999999996</v>
      </c>
      <c r="N108" s="317">
        <v>0.53</v>
      </c>
      <c r="O108" s="317">
        <v>0.49</v>
      </c>
      <c r="P108" s="317">
        <v>0.48</v>
      </c>
      <c r="Q108" s="317">
        <v>0.46</v>
      </c>
      <c r="R108" s="317">
        <v>0.45</v>
      </c>
      <c r="S108" s="318">
        <v>0.45</v>
      </c>
      <c r="T108" s="314">
        <v>1.33</v>
      </c>
      <c r="U108" s="314">
        <v>1.21</v>
      </c>
      <c r="V108" s="314">
        <v>1.1399999999999999</v>
      </c>
      <c r="W108" s="314">
        <v>1.0900000000000001</v>
      </c>
      <c r="X108" s="314">
        <v>1.06</v>
      </c>
      <c r="Y108" s="314">
        <v>1.03</v>
      </c>
      <c r="Z108" s="314">
        <v>1</v>
      </c>
      <c r="AA108" s="314">
        <v>1</v>
      </c>
      <c r="AB108" s="317">
        <v>0.83</v>
      </c>
      <c r="AC108" s="321">
        <v>0.75</v>
      </c>
      <c r="AD108" s="321">
        <v>0.69</v>
      </c>
      <c r="AE108" s="321">
        <v>0.65</v>
      </c>
      <c r="AF108" s="321">
        <v>0.62</v>
      </c>
      <c r="AG108" s="317">
        <v>0.59</v>
      </c>
      <c r="AH108" s="317">
        <v>0.55000000000000004</v>
      </c>
      <c r="AI108" s="317">
        <v>0.55000000000000004</v>
      </c>
    </row>
    <row r="109" spans="1:35" ht="31">
      <c r="A109" s="180" t="s">
        <v>1565</v>
      </c>
      <c r="B109" s="32" t="s">
        <v>1328</v>
      </c>
      <c r="C109" s="32" t="s">
        <v>1466</v>
      </c>
      <c r="D109" s="313">
        <v>1.08</v>
      </c>
      <c r="E109" s="313">
        <v>1.02</v>
      </c>
      <c r="F109" s="313">
        <v>0.94</v>
      </c>
      <c r="G109" s="314">
        <v>0.87</v>
      </c>
      <c r="H109" s="314">
        <v>0.85</v>
      </c>
      <c r="I109" s="314">
        <v>0.83</v>
      </c>
      <c r="J109" s="314">
        <v>0.8</v>
      </c>
      <c r="K109" s="314">
        <v>0.8</v>
      </c>
      <c r="L109" s="323">
        <v>0.63</v>
      </c>
      <c r="M109" s="317">
        <v>0.57999999999999996</v>
      </c>
      <c r="N109" s="317">
        <v>0.53</v>
      </c>
      <c r="O109" s="317">
        <v>0.49</v>
      </c>
      <c r="P109" s="317">
        <v>0.48</v>
      </c>
      <c r="Q109" s="317">
        <v>0.46</v>
      </c>
      <c r="R109" s="317">
        <v>0.45</v>
      </c>
      <c r="S109" s="318">
        <v>0.45</v>
      </c>
      <c r="T109" s="314">
        <v>1.33</v>
      </c>
      <c r="U109" s="314">
        <v>1.21</v>
      </c>
      <c r="V109" s="314">
        <v>1.1399999999999999</v>
      </c>
      <c r="W109" s="314">
        <v>1.0900000000000001</v>
      </c>
      <c r="X109" s="314">
        <v>1.06</v>
      </c>
      <c r="Y109" s="314">
        <v>1.03</v>
      </c>
      <c r="Z109" s="314">
        <v>1</v>
      </c>
      <c r="AA109" s="314">
        <v>1</v>
      </c>
      <c r="AB109" s="317">
        <v>0.83</v>
      </c>
      <c r="AC109" s="321">
        <v>0.75</v>
      </c>
      <c r="AD109" s="321">
        <v>0.69</v>
      </c>
      <c r="AE109" s="321">
        <v>0.65</v>
      </c>
      <c r="AF109" s="321">
        <v>0.62</v>
      </c>
      <c r="AG109" s="317">
        <v>0.59</v>
      </c>
      <c r="AH109" s="317">
        <v>0.55000000000000004</v>
      </c>
      <c r="AI109" s="317">
        <v>0.55000000000000004</v>
      </c>
    </row>
    <row r="110" spans="1:35" ht="31">
      <c r="A110" s="180" t="s">
        <v>1565</v>
      </c>
      <c r="B110" s="32" t="s">
        <v>1328</v>
      </c>
      <c r="C110" s="32" t="s">
        <v>1467</v>
      </c>
      <c r="D110" s="313">
        <v>1.08</v>
      </c>
      <c r="E110" s="313">
        <v>1.02</v>
      </c>
      <c r="F110" s="313">
        <v>0.94</v>
      </c>
      <c r="G110" s="314">
        <v>0.87</v>
      </c>
      <c r="H110" s="314">
        <v>0.85</v>
      </c>
      <c r="I110" s="314">
        <v>0.83</v>
      </c>
      <c r="J110" s="314">
        <v>0.8</v>
      </c>
      <c r="K110" s="314">
        <v>0.8</v>
      </c>
      <c r="L110" s="323">
        <v>0.63</v>
      </c>
      <c r="M110" s="317">
        <v>0.57999999999999996</v>
      </c>
      <c r="N110" s="317">
        <v>0.53</v>
      </c>
      <c r="O110" s="317">
        <v>0.49</v>
      </c>
      <c r="P110" s="317">
        <v>0.48</v>
      </c>
      <c r="Q110" s="317">
        <v>0.46</v>
      </c>
      <c r="R110" s="317">
        <v>0.45</v>
      </c>
      <c r="S110" s="318">
        <v>0.45</v>
      </c>
      <c r="T110" s="314">
        <v>1.33</v>
      </c>
      <c r="U110" s="314">
        <v>1.21</v>
      </c>
      <c r="V110" s="314">
        <v>1.1399999999999999</v>
      </c>
      <c r="W110" s="314">
        <v>1.0900000000000001</v>
      </c>
      <c r="X110" s="314">
        <v>1.06</v>
      </c>
      <c r="Y110" s="314">
        <v>1.03</v>
      </c>
      <c r="Z110" s="314">
        <v>1</v>
      </c>
      <c r="AA110" s="314">
        <v>1</v>
      </c>
      <c r="AB110" s="317">
        <v>0.83</v>
      </c>
      <c r="AC110" s="321">
        <v>0.75</v>
      </c>
      <c r="AD110" s="321">
        <v>0.69</v>
      </c>
      <c r="AE110" s="321">
        <v>0.65</v>
      </c>
      <c r="AF110" s="321">
        <v>0.62</v>
      </c>
      <c r="AG110" s="317">
        <v>0.59</v>
      </c>
      <c r="AH110" s="317">
        <v>0.55000000000000004</v>
      </c>
      <c r="AI110" s="317">
        <v>0.55000000000000004</v>
      </c>
    </row>
    <row r="111" spans="1:35" ht="31">
      <c r="A111" s="180" t="s">
        <v>1565</v>
      </c>
      <c r="B111" s="32" t="s">
        <v>1328</v>
      </c>
      <c r="C111" s="463" t="s">
        <v>160</v>
      </c>
      <c r="D111" s="313">
        <v>1.08</v>
      </c>
      <c r="E111" s="313">
        <v>1.02</v>
      </c>
      <c r="F111" s="313">
        <v>0.94</v>
      </c>
      <c r="G111" s="314">
        <v>0.87</v>
      </c>
      <c r="H111" s="314">
        <v>0.85</v>
      </c>
      <c r="I111" s="314">
        <v>0.83</v>
      </c>
      <c r="J111" s="314">
        <v>0.8</v>
      </c>
      <c r="K111" s="314">
        <v>0.8</v>
      </c>
      <c r="L111" s="323">
        <v>0.63</v>
      </c>
      <c r="M111" s="317">
        <v>0.57999999999999996</v>
      </c>
      <c r="N111" s="317">
        <v>0.53</v>
      </c>
      <c r="O111" s="317">
        <v>0.49</v>
      </c>
      <c r="P111" s="317">
        <v>0.48</v>
      </c>
      <c r="Q111" s="317">
        <v>0.46</v>
      </c>
      <c r="R111" s="317">
        <v>0.45</v>
      </c>
      <c r="S111" s="318">
        <v>0.45</v>
      </c>
      <c r="T111" s="314">
        <v>1.33</v>
      </c>
      <c r="U111" s="314">
        <v>1.21</v>
      </c>
      <c r="V111" s="314">
        <v>1.1399999999999999</v>
      </c>
      <c r="W111" s="314">
        <v>1.0900000000000001</v>
      </c>
      <c r="X111" s="314">
        <v>1.06</v>
      </c>
      <c r="Y111" s="314">
        <v>1.03</v>
      </c>
      <c r="Z111" s="314">
        <v>1</v>
      </c>
      <c r="AA111" s="314">
        <v>1</v>
      </c>
      <c r="AB111" s="317">
        <v>0.83</v>
      </c>
      <c r="AC111" s="321">
        <v>0.75</v>
      </c>
      <c r="AD111" s="321">
        <v>0.69</v>
      </c>
      <c r="AE111" s="321">
        <v>0.65</v>
      </c>
      <c r="AF111" s="321">
        <v>0.62</v>
      </c>
      <c r="AG111" s="317">
        <v>0.59</v>
      </c>
      <c r="AH111" s="317">
        <v>0.55000000000000004</v>
      </c>
      <c r="AI111" s="317">
        <v>0.55000000000000004</v>
      </c>
    </row>
    <row r="112" spans="1:35" ht="31">
      <c r="A112" s="180" t="s">
        <v>1565</v>
      </c>
      <c r="B112" s="464" t="s">
        <v>166</v>
      </c>
      <c r="C112" s="466" t="s">
        <v>1815</v>
      </c>
      <c r="D112" s="313">
        <v>1.08</v>
      </c>
      <c r="E112" s="313">
        <v>1.02</v>
      </c>
      <c r="F112" s="313">
        <v>0.94</v>
      </c>
      <c r="G112" s="314">
        <v>0.87</v>
      </c>
      <c r="H112" s="314">
        <v>0.85</v>
      </c>
      <c r="I112" s="314">
        <v>0.83</v>
      </c>
      <c r="J112" s="314">
        <v>0.8</v>
      </c>
      <c r="K112" s="314">
        <v>0.8</v>
      </c>
      <c r="L112" s="323">
        <v>0.63</v>
      </c>
      <c r="M112" s="317">
        <v>0.57999999999999996</v>
      </c>
      <c r="N112" s="317">
        <v>0.53</v>
      </c>
      <c r="O112" s="317">
        <v>0.49</v>
      </c>
      <c r="P112" s="317">
        <v>0.48</v>
      </c>
      <c r="Q112" s="317">
        <v>0.46</v>
      </c>
      <c r="R112" s="317">
        <v>0.45</v>
      </c>
      <c r="S112" s="318">
        <v>0.45</v>
      </c>
      <c r="T112" s="314">
        <v>1.33</v>
      </c>
      <c r="U112" s="314">
        <v>1.21</v>
      </c>
      <c r="V112" s="314">
        <v>1.1399999999999999</v>
      </c>
      <c r="W112" s="314">
        <v>1.0900000000000001</v>
      </c>
      <c r="X112" s="314">
        <v>1.06</v>
      </c>
      <c r="Y112" s="314">
        <v>1.03</v>
      </c>
      <c r="Z112" s="314">
        <v>1</v>
      </c>
      <c r="AA112" s="314">
        <v>1</v>
      </c>
      <c r="AB112" s="317">
        <v>0.83</v>
      </c>
      <c r="AC112" s="321">
        <v>0.75</v>
      </c>
      <c r="AD112" s="321">
        <v>0.69</v>
      </c>
      <c r="AE112" s="321">
        <v>0.65</v>
      </c>
      <c r="AF112" s="321">
        <v>0.62</v>
      </c>
      <c r="AG112" s="317">
        <v>0.59</v>
      </c>
      <c r="AH112" s="317">
        <v>0.55000000000000004</v>
      </c>
      <c r="AI112" s="317">
        <v>0.55000000000000004</v>
      </c>
    </row>
    <row r="113" spans="1:35" ht="31">
      <c r="A113" s="180" t="s">
        <v>1565</v>
      </c>
      <c r="B113" s="464" t="s">
        <v>166</v>
      </c>
      <c r="C113" s="32" t="s">
        <v>1468</v>
      </c>
      <c r="D113" s="313">
        <v>1.08</v>
      </c>
      <c r="E113" s="313">
        <v>1.02</v>
      </c>
      <c r="F113" s="313">
        <v>0.94</v>
      </c>
      <c r="G113" s="314">
        <v>0.87</v>
      </c>
      <c r="H113" s="314">
        <v>0.85</v>
      </c>
      <c r="I113" s="314">
        <v>0.83</v>
      </c>
      <c r="J113" s="314">
        <v>0.8</v>
      </c>
      <c r="K113" s="314">
        <v>0.8</v>
      </c>
      <c r="L113" s="323">
        <v>0.63</v>
      </c>
      <c r="M113" s="317">
        <v>0.57999999999999996</v>
      </c>
      <c r="N113" s="317">
        <v>0.53</v>
      </c>
      <c r="O113" s="317">
        <v>0.49</v>
      </c>
      <c r="P113" s="317">
        <v>0.48</v>
      </c>
      <c r="Q113" s="317">
        <v>0.46</v>
      </c>
      <c r="R113" s="317">
        <v>0.45</v>
      </c>
      <c r="S113" s="318">
        <v>0.45</v>
      </c>
      <c r="T113" s="314">
        <v>1.33</v>
      </c>
      <c r="U113" s="314">
        <v>1.21</v>
      </c>
      <c r="V113" s="314">
        <v>1.1399999999999999</v>
      </c>
      <c r="W113" s="314">
        <v>1.0900000000000001</v>
      </c>
      <c r="X113" s="314">
        <v>1.06</v>
      </c>
      <c r="Y113" s="314">
        <v>1.03</v>
      </c>
      <c r="Z113" s="314">
        <v>1</v>
      </c>
      <c r="AA113" s="314">
        <v>1</v>
      </c>
      <c r="AB113" s="317">
        <v>0.83</v>
      </c>
      <c r="AC113" s="321">
        <v>0.75</v>
      </c>
      <c r="AD113" s="321">
        <v>0.69</v>
      </c>
      <c r="AE113" s="321">
        <v>0.65</v>
      </c>
      <c r="AF113" s="321">
        <v>0.62</v>
      </c>
      <c r="AG113" s="317">
        <v>0.59</v>
      </c>
      <c r="AH113" s="317">
        <v>0.55000000000000004</v>
      </c>
      <c r="AI113" s="317">
        <v>0.55000000000000004</v>
      </c>
    </row>
    <row r="114" spans="1:35" ht="31">
      <c r="A114" s="180" t="s">
        <v>1565</v>
      </c>
      <c r="B114" s="464" t="s">
        <v>166</v>
      </c>
      <c r="C114" s="466" t="s">
        <v>1816</v>
      </c>
      <c r="D114" s="313">
        <v>1.08</v>
      </c>
      <c r="E114" s="313">
        <v>1.02</v>
      </c>
      <c r="F114" s="313">
        <v>0.94</v>
      </c>
      <c r="G114" s="314">
        <v>0.87</v>
      </c>
      <c r="H114" s="314">
        <v>0.85</v>
      </c>
      <c r="I114" s="314">
        <v>0.83</v>
      </c>
      <c r="J114" s="314">
        <v>0.8</v>
      </c>
      <c r="K114" s="314">
        <v>0.8</v>
      </c>
      <c r="L114" s="323">
        <v>0.63</v>
      </c>
      <c r="M114" s="317">
        <v>0.57999999999999996</v>
      </c>
      <c r="N114" s="317">
        <v>0.53</v>
      </c>
      <c r="O114" s="317">
        <v>0.49</v>
      </c>
      <c r="P114" s="317">
        <v>0.48</v>
      </c>
      <c r="Q114" s="317">
        <v>0.46</v>
      </c>
      <c r="R114" s="317">
        <v>0.45</v>
      </c>
      <c r="S114" s="318">
        <v>0.45</v>
      </c>
      <c r="T114" s="314">
        <v>1.33</v>
      </c>
      <c r="U114" s="314">
        <v>1.21</v>
      </c>
      <c r="V114" s="314">
        <v>1.1399999999999999</v>
      </c>
      <c r="W114" s="314">
        <v>1.0900000000000001</v>
      </c>
      <c r="X114" s="314">
        <v>1.06</v>
      </c>
      <c r="Y114" s="314">
        <v>1.03</v>
      </c>
      <c r="Z114" s="314">
        <v>1</v>
      </c>
      <c r="AA114" s="314">
        <v>1</v>
      </c>
      <c r="AB114" s="317">
        <v>0.83</v>
      </c>
      <c r="AC114" s="321">
        <v>0.75</v>
      </c>
      <c r="AD114" s="321">
        <v>0.69</v>
      </c>
      <c r="AE114" s="321">
        <v>0.65</v>
      </c>
      <c r="AF114" s="321">
        <v>0.62</v>
      </c>
      <c r="AG114" s="317">
        <v>0.59</v>
      </c>
      <c r="AH114" s="317">
        <v>0.55000000000000004</v>
      </c>
      <c r="AI114" s="317">
        <v>0.55000000000000004</v>
      </c>
    </row>
    <row r="115" spans="1:35" ht="31">
      <c r="A115" s="180" t="s">
        <v>1565</v>
      </c>
      <c r="B115" s="464" t="s">
        <v>166</v>
      </c>
      <c r="C115" s="464" t="s">
        <v>171</v>
      </c>
      <c r="D115" s="313">
        <v>1.08</v>
      </c>
      <c r="E115" s="313">
        <v>1.02</v>
      </c>
      <c r="F115" s="313">
        <v>0.94</v>
      </c>
      <c r="G115" s="314">
        <v>0.87</v>
      </c>
      <c r="H115" s="314">
        <v>0.85</v>
      </c>
      <c r="I115" s="314">
        <v>0.83</v>
      </c>
      <c r="J115" s="314">
        <v>0.8</v>
      </c>
      <c r="K115" s="315">
        <v>0.7</v>
      </c>
      <c r="L115" s="323">
        <v>0.63</v>
      </c>
      <c r="M115" s="317">
        <v>0.57999999999999996</v>
      </c>
      <c r="N115" s="317">
        <v>0.53</v>
      </c>
      <c r="O115" s="317">
        <v>0.49</v>
      </c>
      <c r="P115" s="317">
        <v>0.48</v>
      </c>
      <c r="Q115" s="317">
        <v>0.46</v>
      </c>
      <c r="R115" s="317">
        <v>0.45</v>
      </c>
      <c r="S115" s="320">
        <v>0.4</v>
      </c>
      <c r="T115" s="314">
        <v>1.33</v>
      </c>
      <c r="U115" s="314">
        <v>1.21</v>
      </c>
      <c r="V115" s="314">
        <v>1.1399999999999999</v>
      </c>
      <c r="W115" s="314">
        <v>1.0900000000000001</v>
      </c>
      <c r="X115" s="314">
        <v>1.06</v>
      </c>
      <c r="Y115" s="314">
        <v>1.03</v>
      </c>
      <c r="Z115" s="314">
        <v>1</v>
      </c>
      <c r="AA115" s="315">
        <v>0.9</v>
      </c>
      <c r="AB115" s="317">
        <v>0.83</v>
      </c>
      <c r="AC115" s="321">
        <v>0.75</v>
      </c>
      <c r="AD115" s="321">
        <v>0.69</v>
      </c>
      <c r="AE115" s="321">
        <v>0.65</v>
      </c>
      <c r="AF115" s="321">
        <v>0.62</v>
      </c>
      <c r="AG115" s="317">
        <v>0.59</v>
      </c>
      <c r="AH115" s="317">
        <v>0.55000000000000004</v>
      </c>
      <c r="AI115" s="325">
        <v>0.5</v>
      </c>
    </row>
    <row r="116" spans="1:35">
      <c r="A116" s="32" t="s">
        <v>360</v>
      </c>
      <c r="B116" s="465" t="s">
        <v>1807</v>
      </c>
      <c r="C116" s="465" t="s">
        <v>1822</v>
      </c>
      <c r="D116" s="313">
        <v>1.02</v>
      </c>
      <c r="E116" s="313">
        <v>0.97</v>
      </c>
      <c r="F116" s="313">
        <v>0.93</v>
      </c>
      <c r="G116" s="314">
        <v>0.89</v>
      </c>
      <c r="H116" s="314">
        <v>0.85</v>
      </c>
      <c r="I116" s="314">
        <v>0.8</v>
      </c>
      <c r="J116" s="314">
        <v>0.8</v>
      </c>
      <c r="K116" s="314">
        <v>0.8</v>
      </c>
      <c r="L116" s="323">
        <v>0.59</v>
      </c>
      <c r="M116" s="317">
        <v>0.56999999999999995</v>
      </c>
      <c r="N116" s="317">
        <v>0.55000000000000004</v>
      </c>
      <c r="O116" s="317">
        <v>0.52</v>
      </c>
      <c r="P116" s="317">
        <v>0.49</v>
      </c>
      <c r="Q116" s="317">
        <v>0.45</v>
      </c>
      <c r="R116" s="317">
        <v>0.45</v>
      </c>
      <c r="S116" s="318">
        <v>0.45</v>
      </c>
      <c r="T116" s="313">
        <v>1.26</v>
      </c>
      <c r="U116" s="313">
        <v>1.19</v>
      </c>
      <c r="V116" s="313">
        <v>1.1299999999999999</v>
      </c>
      <c r="W116" s="313">
        <v>1.07</v>
      </c>
      <c r="X116" s="313">
        <v>1.03</v>
      </c>
      <c r="Y116" s="314">
        <v>1</v>
      </c>
      <c r="Z116" s="314">
        <v>1</v>
      </c>
      <c r="AA116" s="314">
        <v>1</v>
      </c>
      <c r="AB116" s="317">
        <v>0.78</v>
      </c>
      <c r="AC116" s="321">
        <v>0.74</v>
      </c>
      <c r="AD116" s="321">
        <v>0.69</v>
      </c>
      <c r="AE116" s="321">
        <v>0.64</v>
      </c>
      <c r="AF116" s="321">
        <v>0.6</v>
      </c>
      <c r="AG116" s="317">
        <v>0.55000000000000004</v>
      </c>
      <c r="AH116" s="317">
        <v>0.55000000000000004</v>
      </c>
      <c r="AI116" s="317">
        <v>0.55000000000000004</v>
      </c>
    </row>
    <row r="117" spans="1:35">
      <c r="A117" s="32" t="s">
        <v>1307</v>
      </c>
      <c r="B117" s="465" t="s">
        <v>1807</v>
      </c>
      <c r="C117" s="32" t="s">
        <v>1474</v>
      </c>
      <c r="D117" s="313">
        <v>1.02</v>
      </c>
      <c r="E117" s="313">
        <v>0.97</v>
      </c>
      <c r="F117" s="313">
        <v>0.93</v>
      </c>
      <c r="G117" s="314">
        <v>0.89</v>
      </c>
      <c r="H117" s="314">
        <v>0.85</v>
      </c>
      <c r="I117" s="314">
        <v>0.8</v>
      </c>
      <c r="J117" s="314">
        <v>0.8</v>
      </c>
      <c r="K117" s="314">
        <v>0.8</v>
      </c>
      <c r="L117" s="323">
        <v>0.59</v>
      </c>
      <c r="M117" s="317">
        <v>0.56999999999999995</v>
      </c>
      <c r="N117" s="317">
        <v>0.55000000000000004</v>
      </c>
      <c r="O117" s="317">
        <v>0.52</v>
      </c>
      <c r="P117" s="317">
        <v>0.49</v>
      </c>
      <c r="Q117" s="317">
        <v>0.45</v>
      </c>
      <c r="R117" s="317">
        <v>0.45</v>
      </c>
      <c r="S117" s="318">
        <v>0.45</v>
      </c>
      <c r="T117" s="313">
        <v>1.26</v>
      </c>
      <c r="U117" s="313">
        <v>1.19</v>
      </c>
      <c r="V117" s="313">
        <v>1.1299999999999999</v>
      </c>
      <c r="W117" s="313">
        <v>1.07</v>
      </c>
      <c r="X117" s="313">
        <v>1.03</v>
      </c>
      <c r="Y117" s="314">
        <v>1</v>
      </c>
      <c r="Z117" s="314">
        <v>1</v>
      </c>
      <c r="AA117" s="314">
        <v>1</v>
      </c>
      <c r="AB117" s="317">
        <v>0.78</v>
      </c>
      <c r="AC117" s="321">
        <v>0.74</v>
      </c>
      <c r="AD117" s="321">
        <v>0.69</v>
      </c>
      <c r="AE117" s="321">
        <v>0.64</v>
      </c>
      <c r="AF117" s="321">
        <v>0.6</v>
      </c>
      <c r="AG117" s="317">
        <v>0.55000000000000004</v>
      </c>
      <c r="AH117" s="317">
        <v>0.55000000000000004</v>
      </c>
      <c r="AI117" s="317">
        <v>0.55000000000000004</v>
      </c>
    </row>
    <row r="118" spans="1:35">
      <c r="A118" s="32" t="s">
        <v>1307</v>
      </c>
      <c r="B118" s="465" t="s">
        <v>1807</v>
      </c>
      <c r="C118" s="32" t="s">
        <v>1426</v>
      </c>
      <c r="D118" s="313">
        <v>1.02</v>
      </c>
      <c r="E118" s="313">
        <v>0.97</v>
      </c>
      <c r="F118" s="313">
        <v>0.93</v>
      </c>
      <c r="G118" s="314">
        <v>0.89</v>
      </c>
      <c r="H118" s="314">
        <v>0.85</v>
      </c>
      <c r="I118" s="314">
        <v>0.8</v>
      </c>
      <c r="J118" s="314">
        <v>0.8</v>
      </c>
      <c r="K118" s="314">
        <v>0.8</v>
      </c>
      <c r="L118" s="323">
        <v>0.59</v>
      </c>
      <c r="M118" s="317">
        <v>0.56999999999999995</v>
      </c>
      <c r="N118" s="317">
        <v>0.55000000000000004</v>
      </c>
      <c r="O118" s="317">
        <v>0.52</v>
      </c>
      <c r="P118" s="317">
        <v>0.49</v>
      </c>
      <c r="Q118" s="317">
        <v>0.45</v>
      </c>
      <c r="R118" s="317">
        <v>0.45</v>
      </c>
      <c r="S118" s="318">
        <v>0.45</v>
      </c>
      <c r="T118" s="313">
        <v>1.26</v>
      </c>
      <c r="U118" s="313">
        <v>1.19</v>
      </c>
      <c r="V118" s="313">
        <v>1.1299999999999999</v>
      </c>
      <c r="W118" s="313">
        <v>1.07</v>
      </c>
      <c r="X118" s="313">
        <v>1.03</v>
      </c>
      <c r="Y118" s="314">
        <v>1</v>
      </c>
      <c r="Z118" s="314">
        <v>1</v>
      </c>
      <c r="AA118" s="314">
        <v>1</v>
      </c>
      <c r="AB118" s="317">
        <v>0.78</v>
      </c>
      <c r="AC118" s="321">
        <v>0.74</v>
      </c>
      <c r="AD118" s="321">
        <v>0.69</v>
      </c>
      <c r="AE118" s="321">
        <v>0.64</v>
      </c>
      <c r="AF118" s="321">
        <v>0.6</v>
      </c>
      <c r="AG118" s="317">
        <v>0.55000000000000004</v>
      </c>
      <c r="AH118" s="317">
        <v>0.55000000000000004</v>
      </c>
      <c r="AI118" s="317">
        <v>0.55000000000000004</v>
      </c>
    </row>
    <row r="119" spans="1:35">
      <c r="A119" s="32" t="s">
        <v>1307</v>
      </c>
      <c r="B119" s="465" t="s">
        <v>1807</v>
      </c>
      <c r="C119" s="32" t="s">
        <v>1476</v>
      </c>
      <c r="D119" s="313">
        <v>1.02</v>
      </c>
      <c r="E119" s="313">
        <v>0.97</v>
      </c>
      <c r="F119" s="313">
        <v>0.93</v>
      </c>
      <c r="G119" s="314">
        <v>0.89</v>
      </c>
      <c r="H119" s="314">
        <v>0.85</v>
      </c>
      <c r="I119" s="314">
        <v>0.8</v>
      </c>
      <c r="J119" s="314">
        <v>0.8</v>
      </c>
      <c r="K119" s="314">
        <v>0.8</v>
      </c>
      <c r="L119" s="323">
        <v>0.59</v>
      </c>
      <c r="M119" s="317">
        <v>0.56999999999999995</v>
      </c>
      <c r="N119" s="317">
        <v>0.55000000000000004</v>
      </c>
      <c r="O119" s="317">
        <v>0.52</v>
      </c>
      <c r="P119" s="317">
        <v>0.49</v>
      </c>
      <c r="Q119" s="317">
        <v>0.45</v>
      </c>
      <c r="R119" s="317">
        <v>0.45</v>
      </c>
      <c r="S119" s="318">
        <v>0.45</v>
      </c>
      <c r="T119" s="313">
        <v>1.26</v>
      </c>
      <c r="U119" s="313">
        <v>1.19</v>
      </c>
      <c r="V119" s="313">
        <v>1.1299999999999999</v>
      </c>
      <c r="W119" s="313">
        <v>1.07</v>
      </c>
      <c r="X119" s="313">
        <v>1.03</v>
      </c>
      <c r="Y119" s="314">
        <v>1</v>
      </c>
      <c r="Z119" s="314">
        <v>1</v>
      </c>
      <c r="AA119" s="314">
        <v>1</v>
      </c>
      <c r="AB119" s="317">
        <v>0.78</v>
      </c>
      <c r="AC119" s="321">
        <v>0.74</v>
      </c>
      <c r="AD119" s="321">
        <v>0.69</v>
      </c>
      <c r="AE119" s="321">
        <v>0.64</v>
      </c>
      <c r="AF119" s="321">
        <v>0.6</v>
      </c>
      <c r="AG119" s="317">
        <v>0.55000000000000004</v>
      </c>
      <c r="AH119" s="317">
        <v>0.55000000000000004</v>
      </c>
      <c r="AI119" s="317">
        <v>0.55000000000000004</v>
      </c>
    </row>
    <row r="120" spans="1:35">
      <c r="A120" s="32" t="s">
        <v>1307</v>
      </c>
      <c r="B120" s="465" t="s">
        <v>1807</v>
      </c>
      <c r="C120" s="464" t="s">
        <v>87</v>
      </c>
      <c r="D120" s="313">
        <v>1.02</v>
      </c>
      <c r="E120" s="313">
        <v>0.97</v>
      </c>
      <c r="F120" s="313">
        <v>0.93</v>
      </c>
      <c r="G120" s="314">
        <v>0.89</v>
      </c>
      <c r="H120" s="314">
        <v>0.85</v>
      </c>
      <c r="I120" s="314">
        <v>0.8</v>
      </c>
      <c r="J120" s="314">
        <v>0.8</v>
      </c>
      <c r="K120" s="314">
        <v>0.8</v>
      </c>
      <c r="L120" s="323">
        <v>0.59</v>
      </c>
      <c r="M120" s="317">
        <v>0.56999999999999995</v>
      </c>
      <c r="N120" s="317">
        <v>0.55000000000000004</v>
      </c>
      <c r="O120" s="317">
        <v>0.52</v>
      </c>
      <c r="P120" s="317">
        <v>0.49</v>
      </c>
      <c r="Q120" s="317">
        <v>0.45</v>
      </c>
      <c r="R120" s="317">
        <v>0.45</v>
      </c>
      <c r="S120" s="318">
        <v>0.45</v>
      </c>
      <c r="T120" s="313">
        <v>1.26</v>
      </c>
      <c r="U120" s="313">
        <v>1.19</v>
      </c>
      <c r="V120" s="313">
        <v>1.1299999999999999</v>
      </c>
      <c r="W120" s="313">
        <v>1.07</v>
      </c>
      <c r="X120" s="313">
        <v>1.03</v>
      </c>
      <c r="Y120" s="314">
        <v>1</v>
      </c>
      <c r="Z120" s="314">
        <v>1</v>
      </c>
      <c r="AA120" s="314">
        <v>1</v>
      </c>
      <c r="AB120" s="317">
        <v>0.78</v>
      </c>
      <c r="AC120" s="321">
        <v>0.74</v>
      </c>
      <c r="AD120" s="321">
        <v>0.69</v>
      </c>
      <c r="AE120" s="321">
        <v>0.64</v>
      </c>
      <c r="AF120" s="321">
        <v>0.6</v>
      </c>
      <c r="AG120" s="317">
        <v>0.55000000000000004</v>
      </c>
      <c r="AH120" s="317">
        <v>0.55000000000000004</v>
      </c>
      <c r="AI120" s="317">
        <v>0.55000000000000004</v>
      </c>
    </row>
    <row r="121" spans="1:35">
      <c r="A121" s="32" t="s">
        <v>360</v>
      </c>
      <c r="B121" s="32" t="s">
        <v>1427</v>
      </c>
      <c r="C121" s="32" t="s">
        <v>1431</v>
      </c>
      <c r="D121" s="313">
        <v>1.02</v>
      </c>
      <c r="E121" s="313">
        <v>0.97</v>
      </c>
      <c r="F121" s="313">
        <v>0.93</v>
      </c>
      <c r="G121" s="314">
        <v>0.89</v>
      </c>
      <c r="H121" s="314">
        <v>0.85</v>
      </c>
      <c r="I121" s="314">
        <v>0.8</v>
      </c>
      <c r="J121" s="314">
        <v>0.8</v>
      </c>
      <c r="K121" s="314">
        <v>0.8</v>
      </c>
      <c r="L121" s="323">
        <v>0.59</v>
      </c>
      <c r="M121" s="317">
        <v>0.56999999999999995</v>
      </c>
      <c r="N121" s="317">
        <v>0.55000000000000004</v>
      </c>
      <c r="O121" s="317">
        <v>0.52</v>
      </c>
      <c r="P121" s="317">
        <v>0.49</v>
      </c>
      <c r="Q121" s="317">
        <v>0.45</v>
      </c>
      <c r="R121" s="317">
        <v>0.45</v>
      </c>
      <c r="S121" s="318">
        <v>0.45</v>
      </c>
      <c r="T121" s="313">
        <v>1.26</v>
      </c>
      <c r="U121" s="313">
        <v>1.19</v>
      </c>
      <c r="V121" s="313">
        <v>1.1299999999999999</v>
      </c>
      <c r="W121" s="313">
        <v>1.07</v>
      </c>
      <c r="X121" s="313">
        <v>1.03</v>
      </c>
      <c r="Y121" s="314">
        <v>1</v>
      </c>
      <c r="Z121" s="314">
        <v>1</v>
      </c>
      <c r="AA121" s="314">
        <v>1</v>
      </c>
      <c r="AB121" s="317">
        <v>0.78</v>
      </c>
      <c r="AC121" s="321">
        <v>0.74</v>
      </c>
      <c r="AD121" s="321">
        <v>0.69</v>
      </c>
      <c r="AE121" s="321">
        <v>0.64</v>
      </c>
      <c r="AF121" s="321">
        <v>0.6</v>
      </c>
      <c r="AG121" s="317">
        <v>0.55000000000000004</v>
      </c>
      <c r="AH121" s="317">
        <v>0.55000000000000004</v>
      </c>
      <c r="AI121" s="317">
        <v>0.55000000000000004</v>
      </c>
    </row>
    <row r="122" spans="1:35">
      <c r="A122" s="32" t="s">
        <v>1307</v>
      </c>
      <c r="B122" s="32" t="s">
        <v>1427</v>
      </c>
      <c r="C122" s="471" t="s">
        <v>1432</v>
      </c>
      <c r="D122" s="313">
        <v>1.02</v>
      </c>
      <c r="E122" s="313">
        <v>0.97</v>
      </c>
      <c r="F122" s="313">
        <v>0.93</v>
      </c>
      <c r="G122" s="314">
        <v>0.89</v>
      </c>
      <c r="H122" s="314">
        <v>0.85</v>
      </c>
      <c r="I122" s="314">
        <v>0.8</v>
      </c>
      <c r="J122" s="314">
        <v>0.8</v>
      </c>
      <c r="K122" s="314">
        <v>0.8</v>
      </c>
      <c r="L122" s="323">
        <v>0.59</v>
      </c>
      <c r="M122" s="317">
        <v>0.56999999999999995</v>
      </c>
      <c r="N122" s="317">
        <v>0.55000000000000004</v>
      </c>
      <c r="O122" s="317">
        <v>0.52</v>
      </c>
      <c r="P122" s="317">
        <v>0.49</v>
      </c>
      <c r="Q122" s="317">
        <v>0.45</v>
      </c>
      <c r="R122" s="317">
        <v>0.45</v>
      </c>
      <c r="S122" s="318">
        <v>0.45</v>
      </c>
      <c r="T122" s="313">
        <v>1.26</v>
      </c>
      <c r="U122" s="313">
        <v>1.19</v>
      </c>
      <c r="V122" s="313">
        <v>1.1299999999999999</v>
      </c>
      <c r="W122" s="313">
        <v>1.07</v>
      </c>
      <c r="X122" s="313">
        <v>1.03</v>
      </c>
      <c r="Y122" s="314">
        <v>1</v>
      </c>
      <c r="Z122" s="314">
        <v>1</v>
      </c>
      <c r="AA122" s="314">
        <v>1</v>
      </c>
      <c r="AB122" s="317">
        <v>0.78</v>
      </c>
      <c r="AC122" s="321">
        <v>0.74</v>
      </c>
      <c r="AD122" s="321">
        <v>0.69</v>
      </c>
      <c r="AE122" s="321">
        <v>0.64</v>
      </c>
      <c r="AF122" s="321">
        <v>0.6</v>
      </c>
      <c r="AG122" s="317">
        <v>0.55000000000000004</v>
      </c>
      <c r="AH122" s="317">
        <v>0.55000000000000004</v>
      </c>
      <c r="AI122" s="317">
        <v>0.55000000000000004</v>
      </c>
    </row>
    <row r="123" spans="1:35">
      <c r="A123" s="32" t="s">
        <v>1307</v>
      </c>
      <c r="B123" s="32" t="s">
        <v>1427</v>
      </c>
      <c r="C123" s="32" t="s">
        <v>1434</v>
      </c>
      <c r="D123" s="313">
        <v>1.02</v>
      </c>
      <c r="E123" s="313">
        <v>0.97</v>
      </c>
      <c r="F123" s="313">
        <v>0.93</v>
      </c>
      <c r="G123" s="314">
        <v>0.89</v>
      </c>
      <c r="H123" s="314">
        <v>0.85</v>
      </c>
      <c r="I123" s="314">
        <v>0.8</v>
      </c>
      <c r="J123" s="314">
        <v>0.8</v>
      </c>
      <c r="K123" s="314">
        <v>0.8</v>
      </c>
      <c r="L123" s="323">
        <v>0.59</v>
      </c>
      <c r="M123" s="317">
        <v>0.56999999999999995</v>
      </c>
      <c r="N123" s="317">
        <v>0.55000000000000004</v>
      </c>
      <c r="O123" s="317">
        <v>0.52</v>
      </c>
      <c r="P123" s="317">
        <v>0.49</v>
      </c>
      <c r="Q123" s="317">
        <v>0.45</v>
      </c>
      <c r="R123" s="317">
        <v>0.45</v>
      </c>
      <c r="S123" s="318">
        <v>0.45</v>
      </c>
      <c r="T123" s="313">
        <v>1.26</v>
      </c>
      <c r="U123" s="313">
        <v>1.19</v>
      </c>
      <c r="V123" s="313">
        <v>1.1299999999999999</v>
      </c>
      <c r="W123" s="313">
        <v>1.07</v>
      </c>
      <c r="X123" s="313">
        <v>1.03</v>
      </c>
      <c r="Y123" s="314">
        <v>1</v>
      </c>
      <c r="Z123" s="314">
        <v>1</v>
      </c>
      <c r="AA123" s="314">
        <v>1</v>
      </c>
      <c r="AB123" s="317">
        <v>0.78</v>
      </c>
      <c r="AC123" s="321">
        <v>0.74</v>
      </c>
      <c r="AD123" s="321">
        <v>0.69</v>
      </c>
      <c r="AE123" s="321">
        <v>0.64</v>
      </c>
      <c r="AF123" s="321">
        <v>0.6</v>
      </c>
      <c r="AG123" s="317">
        <v>0.55000000000000004</v>
      </c>
      <c r="AH123" s="317">
        <v>0.55000000000000004</v>
      </c>
      <c r="AI123" s="317">
        <v>0.55000000000000004</v>
      </c>
    </row>
    <row r="124" spans="1:35">
      <c r="A124" s="32" t="s">
        <v>1307</v>
      </c>
      <c r="B124" s="32" t="s">
        <v>1427</v>
      </c>
      <c r="C124" s="32" t="s">
        <v>1477</v>
      </c>
      <c r="D124" s="313">
        <v>1.02</v>
      </c>
      <c r="E124" s="313">
        <v>0.97</v>
      </c>
      <c r="F124" s="313">
        <v>0.93</v>
      </c>
      <c r="G124" s="314">
        <v>0.89</v>
      </c>
      <c r="H124" s="314">
        <v>0.85</v>
      </c>
      <c r="I124" s="314">
        <v>0.8</v>
      </c>
      <c r="J124" s="314">
        <v>0.8</v>
      </c>
      <c r="K124" s="314">
        <v>0.8</v>
      </c>
      <c r="L124" s="323">
        <v>0.59</v>
      </c>
      <c r="M124" s="317">
        <v>0.56999999999999995</v>
      </c>
      <c r="N124" s="317">
        <v>0.55000000000000004</v>
      </c>
      <c r="O124" s="317">
        <v>0.52</v>
      </c>
      <c r="P124" s="317">
        <v>0.49</v>
      </c>
      <c r="Q124" s="317">
        <v>0.45</v>
      </c>
      <c r="R124" s="317">
        <v>0.45</v>
      </c>
      <c r="S124" s="318">
        <v>0.45</v>
      </c>
      <c r="T124" s="313">
        <v>1.26</v>
      </c>
      <c r="U124" s="313">
        <v>1.19</v>
      </c>
      <c r="V124" s="313">
        <v>1.1299999999999999</v>
      </c>
      <c r="W124" s="313">
        <v>1.07</v>
      </c>
      <c r="X124" s="313">
        <v>1.03</v>
      </c>
      <c r="Y124" s="314">
        <v>1</v>
      </c>
      <c r="Z124" s="314">
        <v>1</v>
      </c>
      <c r="AA124" s="314">
        <v>1</v>
      </c>
      <c r="AB124" s="317">
        <v>0.78</v>
      </c>
      <c r="AC124" s="321">
        <v>0.74</v>
      </c>
      <c r="AD124" s="321">
        <v>0.69</v>
      </c>
      <c r="AE124" s="321">
        <v>0.64</v>
      </c>
      <c r="AF124" s="321">
        <v>0.6</v>
      </c>
      <c r="AG124" s="317">
        <v>0.55000000000000004</v>
      </c>
      <c r="AH124" s="317">
        <v>0.55000000000000004</v>
      </c>
      <c r="AI124" s="317">
        <v>0.55000000000000004</v>
      </c>
    </row>
    <row r="125" spans="1:35">
      <c r="A125" s="32" t="s">
        <v>1307</v>
      </c>
      <c r="B125" s="32" t="s">
        <v>1427</v>
      </c>
      <c r="C125" s="32" t="s">
        <v>1435</v>
      </c>
      <c r="D125" s="313">
        <v>1.02</v>
      </c>
      <c r="E125" s="313">
        <v>0.97</v>
      </c>
      <c r="F125" s="313">
        <v>0.93</v>
      </c>
      <c r="G125" s="314">
        <v>0.89</v>
      </c>
      <c r="H125" s="314">
        <v>0.85</v>
      </c>
      <c r="I125" s="314">
        <v>0.8</v>
      </c>
      <c r="J125" s="314">
        <v>0.8</v>
      </c>
      <c r="K125" s="314">
        <v>0.8</v>
      </c>
      <c r="L125" s="323">
        <v>0.59</v>
      </c>
      <c r="M125" s="317">
        <v>0.56999999999999995</v>
      </c>
      <c r="N125" s="317">
        <v>0.55000000000000004</v>
      </c>
      <c r="O125" s="317">
        <v>0.52</v>
      </c>
      <c r="P125" s="317">
        <v>0.49</v>
      </c>
      <c r="Q125" s="317">
        <v>0.45</v>
      </c>
      <c r="R125" s="317">
        <v>0.45</v>
      </c>
      <c r="S125" s="318">
        <v>0.45</v>
      </c>
      <c r="T125" s="313">
        <v>1.26</v>
      </c>
      <c r="U125" s="313">
        <v>1.19</v>
      </c>
      <c r="V125" s="313">
        <v>1.1299999999999999</v>
      </c>
      <c r="W125" s="313">
        <v>1.07</v>
      </c>
      <c r="X125" s="313">
        <v>1.03</v>
      </c>
      <c r="Y125" s="314">
        <v>1</v>
      </c>
      <c r="Z125" s="314">
        <v>1</v>
      </c>
      <c r="AA125" s="314">
        <v>1</v>
      </c>
      <c r="AB125" s="317">
        <v>0.78</v>
      </c>
      <c r="AC125" s="321">
        <v>0.74</v>
      </c>
      <c r="AD125" s="321">
        <v>0.69</v>
      </c>
      <c r="AE125" s="321">
        <v>0.64</v>
      </c>
      <c r="AF125" s="321">
        <v>0.6</v>
      </c>
      <c r="AG125" s="317">
        <v>0.55000000000000004</v>
      </c>
      <c r="AH125" s="317">
        <v>0.55000000000000004</v>
      </c>
      <c r="AI125" s="317">
        <v>0.55000000000000004</v>
      </c>
    </row>
    <row r="126" spans="1:35">
      <c r="A126" s="32" t="s">
        <v>1307</v>
      </c>
      <c r="B126" s="32" t="s">
        <v>1427</v>
      </c>
      <c r="C126" s="463" t="s">
        <v>106</v>
      </c>
      <c r="D126" s="313">
        <v>1.02</v>
      </c>
      <c r="E126" s="313">
        <v>0.97</v>
      </c>
      <c r="F126" s="313">
        <v>0.93</v>
      </c>
      <c r="G126" s="314">
        <v>0.89</v>
      </c>
      <c r="H126" s="314">
        <v>0.85</v>
      </c>
      <c r="I126" s="314">
        <v>0.8</v>
      </c>
      <c r="J126" s="314">
        <v>0.8</v>
      </c>
      <c r="K126" s="314">
        <v>0.8</v>
      </c>
      <c r="L126" s="323">
        <v>0.59</v>
      </c>
      <c r="M126" s="317">
        <v>0.56999999999999995</v>
      </c>
      <c r="N126" s="317">
        <v>0.55000000000000004</v>
      </c>
      <c r="O126" s="317">
        <v>0.52</v>
      </c>
      <c r="P126" s="317">
        <v>0.49</v>
      </c>
      <c r="Q126" s="317">
        <v>0.45</v>
      </c>
      <c r="R126" s="317">
        <v>0.45</v>
      </c>
      <c r="S126" s="318">
        <v>0.45</v>
      </c>
      <c r="T126" s="313">
        <v>1.26</v>
      </c>
      <c r="U126" s="313">
        <v>1.19</v>
      </c>
      <c r="V126" s="313">
        <v>1.1299999999999999</v>
      </c>
      <c r="W126" s="313">
        <v>1.07</v>
      </c>
      <c r="X126" s="313">
        <v>1.03</v>
      </c>
      <c r="Y126" s="314">
        <v>1</v>
      </c>
      <c r="Z126" s="314">
        <v>1</v>
      </c>
      <c r="AA126" s="314">
        <v>1</v>
      </c>
      <c r="AB126" s="317">
        <v>0.78</v>
      </c>
      <c r="AC126" s="321">
        <v>0.74</v>
      </c>
      <c r="AD126" s="321">
        <v>0.69</v>
      </c>
      <c r="AE126" s="321">
        <v>0.64</v>
      </c>
      <c r="AF126" s="321">
        <v>0.6</v>
      </c>
      <c r="AG126" s="317">
        <v>0.55000000000000004</v>
      </c>
      <c r="AH126" s="317">
        <v>0.55000000000000004</v>
      </c>
      <c r="AI126" s="317">
        <v>0.55000000000000004</v>
      </c>
    </row>
    <row r="127" spans="1:35">
      <c r="A127" s="32" t="s">
        <v>1307</v>
      </c>
      <c r="B127" s="32" t="s">
        <v>1427</v>
      </c>
      <c r="C127" s="32" t="s">
        <v>1436</v>
      </c>
      <c r="D127" s="313">
        <v>1.02</v>
      </c>
      <c r="E127" s="313">
        <v>0.97</v>
      </c>
      <c r="F127" s="313">
        <v>0.93</v>
      </c>
      <c r="G127" s="314">
        <v>0.89</v>
      </c>
      <c r="H127" s="314">
        <v>0.85</v>
      </c>
      <c r="I127" s="314">
        <v>0.8</v>
      </c>
      <c r="J127" s="314">
        <v>0.8</v>
      </c>
      <c r="K127" s="314">
        <v>0.8</v>
      </c>
      <c r="L127" s="323">
        <v>0.59</v>
      </c>
      <c r="M127" s="317">
        <v>0.56999999999999995</v>
      </c>
      <c r="N127" s="317">
        <v>0.55000000000000004</v>
      </c>
      <c r="O127" s="317">
        <v>0.52</v>
      </c>
      <c r="P127" s="317">
        <v>0.49</v>
      </c>
      <c r="Q127" s="317">
        <v>0.45</v>
      </c>
      <c r="R127" s="317">
        <v>0.45</v>
      </c>
      <c r="S127" s="318">
        <v>0.45</v>
      </c>
      <c r="T127" s="313">
        <v>1.26</v>
      </c>
      <c r="U127" s="313">
        <v>1.19</v>
      </c>
      <c r="V127" s="313">
        <v>1.1299999999999999</v>
      </c>
      <c r="W127" s="313">
        <v>1.07</v>
      </c>
      <c r="X127" s="313">
        <v>1.03</v>
      </c>
      <c r="Y127" s="314">
        <v>1</v>
      </c>
      <c r="Z127" s="314">
        <v>1</v>
      </c>
      <c r="AA127" s="314">
        <v>1</v>
      </c>
      <c r="AB127" s="317">
        <v>0.78</v>
      </c>
      <c r="AC127" s="321">
        <v>0.74</v>
      </c>
      <c r="AD127" s="321">
        <v>0.69</v>
      </c>
      <c r="AE127" s="321">
        <v>0.64</v>
      </c>
      <c r="AF127" s="321">
        <v>0.6</v>
      </c>
      <c r="AG127" s="317">
        <v>0.55000000000000004</v>
      </c>
      <c r="AH127" s="317">
        <v>0.55000000000000004</v>
      </c>
      <c r="AI127" s="317">
        <v>0.55000000000000004</v>
      </c>
    </row>
    <row r="128" spans="1:35">
      <c r="A128" s="32" t="s">
        <v>1307</v>
      </c>
      <c r="B128" s="32" t="s">
        <v>1427</v>
      </c>
      <c r="C128" s="165" t="s">
        <v>104</v>
      </c>
      <c r="D128" s="313">
        <v>1.02</v>
      </c>
      <c r="E128" s="313">
        <v>0.97</v>
      </c>
      <c r="F128" s="313">
        <v>0.93</v>
      </c>
      <c r="G128" s="314">
        <v>0.89</v>
      </c>
      <c r="H128" s="314">
        <v>0.85</v>
      </c>
      <c r="I128" s="314">
        <v>0.8</v>
      </c>
      <c r="J128" s="314">
        <v>0.8</v>
      </c>
      <c r="K128" s="314">
        <v>0.8</v>
      </c>
      <c r="L128" s="323">
        <v>0.59</v>
      </c>
      <c r="M128" s="317">
        <v>0.56999999999999995</v>
      </c>
      <c r="N128" s="317">
        <v>0.55000000000000004</v>
      </c>
      <c r="O128" s="317">
        <v>0.52</v>
      </c>
      <c r="P128" s="317">
        <v>0.49</v>
      </c>
      <c r="Q128" s="317">
        <v>0.45</v>
      </c>
      <c r="R128" s="317">
        <v>0.45</v>
      </c>
      <c r="S128" s="318">
        <v>0.45</v>
      </c>
      <c r="T128" s="313">
        <v>1.26</v>
      </c>
      <c r="U128" s="313">
        <v>1.19</v>
      </c>
      <c r="V128" s="313">
        <v>1.1299999999999999</v>
      </c>
      <c r="W128" s="313">
        <v>1.07</v>
      </c>
      <c r="X128" s="313">
        <v>1.03</v>
      </c>
      <c r="Y128" s="314">
        <v>1</v>
      </c>
      <c r="Z128" s="314">
        <v>1</v>
      </c>
      <c r="AA128" s="314">
        <v>1</v>
      </c>
      <c r="AB128" s="317">
        <v>0.78</v>
      </c>
      <c r="AC128" s="321">
        <v>0.74</v>
      </c>
      <c r="AD128" s="321">
        <v>0.69</v>
      </c>
      <c r="AE128" s="321">
        <v>0.64</v>
      </c>
      <c r="AF128" s="321">
        <v>0.6</v>
      </c>
      <c r="AG128" s="317">
        <v>0.55000000000000004</v>
      </c>
      <c r="AH128" s="317">
        <v>0.55000000000000004</v>
      </c>
      <c r="AI128" s="317">
        <v>0.55000000000000004</v>
      </c>
    </row>
    <row r="129" spans="1:35">
      <c r="A129" s="32" t="s">
        <v>1307</v>
      </c>
      <c r="B129" s="32" t="s">
        <v>1427</v>
      </c>
      <c r="C129" s="32" t="s">
        <v>1437</v>
      </c>
      <c r="D129" s="313">
        <v>1.02</v>
      </c>
      <c r="E129" s="313">
        <v>0.97</v>
      </c>
      <c r="F129" s="313">
        <v>0.93</v>
      </c>
      <c r="G129" s="314">
        <v>0.89</v>
      </c>
      <c r="H129" s="314">
        <v>0.85</v>
      </c>
      <c r="I129" s="314">
        <v>0.8</v>
      </c>
      <c r="J129" s="314">
        <v>0.8</v>
      </c>
      <c r="K129" s="314">
        <v>0.8</v>
      </c>
      <c r="L129" s="323">
        <v>0.59</v>
      </c>
      <c r="M129" s="317">
        <v>0.56999999999999995</v>
      </c>
      <c r="N129" s="317">
        <v>0.55000000000000004</v>
      </c>
      <c r="O129" s="317">
        <v>0.52</v>
      </c>
      <c r="P129" s="317">
        <v>0.49</v>
      </c>
      <c r="Q129" s="317">
        <v>0.45</v>
      </c>
      <c r="R129" s="317">
        <v>0.45</v>
      </c>
      <c r="S129" s="318">
        <v>0.45</v>
      </c>
      <c r="T129" s="313">
        <v>1.26</v>
      </c>
      <c r="U129" s="313">
        <v>1.19</v>
      </c>
      <c r="V129" s="313">
        <v>1.1299999999999999</v>
      </c>
      <c r="W129" s="313">
        <v>1.07</v>
      </c>
      <c r="X129" s="313">
        <v>1.03</v>
      </c>
      <c r="Y129" s="314">
        <v>1</v>
      </c>
      <c r="Z129" s="314">
        <v>1</v>
      </c>
      <c r="AA129" s="314">
        <v>1</v>
      </c>
      <c r="AB129" s="317">
        <v>0.78</v>
      </c>
      <c r="AC129" s="321">
        <v>0.74</v>
      </c>
      <c r="AD129" s="321">
        <v>0.69</v>
      </c>
      <c r="AE129" s="321">
        <v>0.64</v>
      </c>
      <c r="AF129" s="321">
        <v>0.6</v>
      </c>
      <c r="AG129" s="317">
        <v>0.55000000000000004</v>
      </c>
      <c r="AH129" s="317">
        <v>0.55000000000000004</v>
      </c>
      <c r="AI129" s="317">
        <v>0.55000000000000004</v>
      </c>
    </row>
    <row r="130" spans="1:35">
      <c r="A130" s="32" t="s">
        <v>1307</v>
      </c>
      <c r="B130" s="32" t="s">
        <v>1427</v>
      </c>
      <c r="C130" s="32" t="s">
        <v>1640</v>
      </c>
      <c r="D130" s="313">
        <v>1.02</v>
      </c>
      <c r="E130" s="313">
        <v>0.97</v>
      </c>
      <c r="F130" s="313">
        <v>0.93</v>
      </c>
      <c r="G130" s="314">
        <v>0.89</v>
      </c>
      <c r="H130" s="314">
        <v>0.85</v>
      </c>
      <c r="I130" s="314">
        <v>0.8</v>
      </c>
      <c r="J130" s="314">
        <v>0.8</v>
      </c>
      <c r="K130" s="314">
        <v>0.8</v>
      </c>
      <c r="L130" s="323">
        <v>0.59</v>
      </c>
      <c r="M130" s="317">
        <v>0.56999999999999995</v>
      </c>
      <c r="N130" s="317">
        <v>0.55000000000000004</v>
      </c>
      <c r="O130" s="317">
        <v>0.52</v>
      </c>
      <c r="P130" s="317">
        <v>0.49</v>
      </c>
      <c r="Q130" s="317">
        <v>0.45</v>
      </c>
      <c r="R130" s="317">
        <v>0.45</v>
      </c>
      <c r="S130" s="318">
        <v>0.45</v>
      </c>
      <c r="T130" s="313">
        <v>1.26</v>
      </c>
      <c r="U130" s="313">
        <v>1.19</v>
      </c>
      <c r="V130" s="313">
        <v>1.1299999999999999</v>
      </c>
      <c r="W130" s="313">
        <v>1.07</v>
      </c>
      <c r="X130" s="313">
        <v>1.03</v>
      </c>
      <c r="Y130" s="314">
        <v>1</v>
      </c>
      <c r="Z130" s="314">
        <v>1</v>
      </c>
      <c r="AA130" s="314">
        <v>1</v>
      </c>
      <c r="AB130" s="317">
        <v>0.78</v>
      </c>
      <c r="AC130" s="321">
        <v>0.74</v>
      </c>
      <c r="AD130" s="321">
        <v>0.69</v>
      </c>
      <c r="AE130" s="321">
        <v>0.64</v>
      </c>
      <c r="AF130" s="321">
        <v>0.6</v>
      </c>
      <c r="AG130" s="317">
        <v>0.55000000000000004</v>
      </c>
      <c r="AH130" s="317">
        <v>0.55000000000000004</v>
      </c>
      <c r="AI130" s="317">
        <v>0.55000000000000004</v>
      </c>
    </row>
    <row r="131" spans="1:35">
      <c r="A131" s="32" t="s">
        <v>1307</v>
      </c>
      <c r="B131" s="32" t="s">
        <v>1427</v>
      </c>
      <c r="C131" s="32" t="s">
        <v>1438</v>
      </c>
      <c r="D131" s="313">
        <v>1.02</v>
      </c>
      <c r="E131" s="313">
        <v>0.97</v>
      </c>
      <c r="F131" s="313">
        <v>0.93</v>
      </c>
      <c r="G131" s="314">
        <v>0.89</v>
      </c>
      <c r="H131" s="314">
        <v>0.85</v>
      </c>
      <c r="I131" s="314">
        <v>0.8</v>
      </c>
      <c r="J131" s="314">
        <v>0.8</v>
      </c>
      <c r="K131" s="314">
        <v>0.8</v>
      </c>
      <c r="L131" s="323">
        <v>0.59</v>
      </c>
      <c r="M131" s="317">
        <v>0.56999999999999995</v>
      </c>
      <c r="N131" s="317">
        <v>0.55000000000000004</v>
      </c>
      <c r="O131" s="317">
        <v>0.52</v>
      </c>
      <c r="P131" s="317">
        <v>0.49</v>
      </c>
      <c r="Q131" s="317">
        <v>0.45</v>
      </c>
      <c r="R131" s="317">
        <v>0.45</v>
      </c>
      <c r="S131" s="318">
        <v>0.45</v>
      </c>
      <c r="T131" s="313">
        <v>1.26</v>
      </c>
      <c r="U131" s="313">
        <v>1.19</v>
      </c>
      <c r="V131" s="313">
        <v>1.1299999999999999</v>
      </c>
      <c r="W131" s="313">
        <v>1.07</v>
      </c>
      <c r="X131" s="313">
        <v>1.03</v>
      </c>
      <c r="Y131" s="314">
        <v>1</v>
      </c>
      <c r="Z131" s="314">
        <v>1</v>
      </c>
      <c r="AA131" s="314">
        <v>1</v>
      </c>
      <c r="AB131" s="317">
        <v>0.78</v>
      </c>
      <c r="AC131" s="321">
        <v>0.74</v>
      </c>
      <c r="AD131" s="321">
        <v>0.69</v>
      </c>
      <c r="AE131" s="321">
        <v>0.64</v>
      </c>
      <c r="AF131" s="321">
        <v>0.6</v>
      </c>
      <c r="AG131" s="317">
        <v>0.55000000000000004</v>
      </c>
      <c r="AH131" s="317">
        <v>0.55000000000000004</v>
      </c>
      <c r="AI131" s="317">
        <v>0.55000000000000004</v>
      </c>
    </row>
    <row r="132" spans="1:35">
      <c r="A132" s="32" t="s">
        <v>1307</v>
      </c>
      <c r="B132" s="32" t="s">
        <v>1427</v>
      </c>
      <c r="C132" s="32" t="s">
        <v>1439</v>
      </c>
      <c r="D132" s="313">
        <v>1.02</v>
      </c>
      <c r="E132" s="313">
        <v>0.97</v>
      </c>
      <c r="F132" s="313">
        <v>0.93</v>
      </c>
      <c r="G132" s="314">
        <v>0.89</v>
      </c>
      <c r="H132" s="314">
        <v>0.85</v>
      </c>
      <c r="I132" s="314">
        <v>0.8</v>
      </c>
      <c r="J132" s="314">
        <v>0.8</v>
      </c>
      <c r="K132" s="314">
        <v>0.8</v>
      </c>
      <c r="L132" s="323">
        <v>0.59</v>
      </c>
      <c r="M132" s="317">
        <v>0.56999999999999995</v>
      </c>
      <c r="N132" s="317">
        <v>0.55000000000000004</v>
      </c>
      <c r="O132" s="317">
        <v>0.52</v>
      </c>
      <c r="P132" s="317">
        <v>0.49</v>
      </c>
      <c r="Q132" s="317">
        <v>0.45</v>
      </c>
      <c r="R132" s="317">
        <v>0.45</v>
      </c>
      <c r="S132" s="318">
        <v>0.45</v>
      </c>
      <c r="T132" s="313">
        <v>1.26</v>
      </c>
      <c r="U132" s="313">
        <v>1.19</v>
      </c>
      <c r="V132" s="313">
        <v>1.1299999999999999</v>
      </c>
      <c r="W132" s="313">
        <v>1.07</v>
      </c>
      <c r="X132" s="313">
        <v>1.03</v>
      </c>
      <c r="Y132" s="314">
        <v>1</v>
      </c>
      <c r="Z132" s="314">
        <v>1</v>
      </c>
      <c r="AA132" s="314">
        <v>1</v>
      </c>
      <c r="AB132" s="317">
        <v>0.78</v>
      </c>
      <c r="AC132" s="321">
        <v>0.74</v>
      </c>
      <c r="AD132" s="321">
        <v>0.69</v>
      </c>
      <c r="AE132" s="321">
        <v>0.64</v>
      </c>
      <c r="AF132" s="321">
        <v>0.6</v>
      </c>
      <c r="AG132" s="317">
        <v>0.55000000000000004</v>
      </c>
      <c r="AH132" s="317">
        <v>0.55000000000000004</v>
      </c>
      <c r="AI132" s="317">
        <v>0.55000000000000004</v>
      </c>
    </row>
    <row r="133" spans="1:35">
      <c r="A133" s="32" t="s">
        <v>1307</v>
      </c>
      <c r="B133" s="32" t="s">
        <v>1427</v>
      </c>
      <c r="C133" s="32" t="s">
        <v>1481</v>
      </c>
      <c r="D133" s="313">
        <v>1.02</v>
      </c>
      <c r="E133" s="313">
        <v>0.97</v>
      </c>
      <c r="F133" s="313">
        <v>0.93</v>
      </c>
      <c r="G133" s="314">
        <v>0.89</v>
      </c>
      <c r="H133" s="314">
        <v>0.85</v>
      </c>
      <c r="I133" s="314">
        <v>0.8</v>
      </c>
      <c r="J133" s="314">
        <v>0.8</v>
      </c>
      <c r="K133" s="314">
        <v>0.8</v>
      </c>
      <c r="L133" s="323">
        <v>0.59</v>
      </c>
      <c r="M133" s="317">
        <v>0.56999999999999995</v>
      </c>
      <c r="N133" s="317">
        <v>0.55000000000000004</v>
      </c>
      <c r="O133" s="317">
        <v>0.52</v>
      </c>
      <c r="P133" s="317">
        <v>0.49</v>
      </c>
      <c r="Q133" s="317">
        <v>0.45</v>
      </c>
      <c r="R133" s="317">
        <v>0.45</v>
      </c>
      <c r="S133" s="318">
        <v>0.45</v>
      </c>
      <c r="T133" s="313">
        <v>1.26</v>
      </c>
      <c r="U133" s="313">
        <v>1.19</v>
      </c>
      <c r="V133" s="313">
        <v>1.1299999999999999</v>
      </c>
      <c r="W133" s="313">
        <v>1.07</v>
      </c>
      <c r="X133" s="313">
        <v>1.03</v>
      </c>
      <c r="Y133" s="314">
        <v>1</v>
      </c>
      <c r="Z133" s="314">
        <v>1</v>
      </c>
      <c r="AA133" s="314">
        <v>1</v>
      </c>
      <c r="AB133" s="317">
        <v>0.78</v>
      </c>
      <c r="AC133" s="321">
        <v>0.74</v>
      </c>
      <c r="AD133" s="321">
        <v>0.69</v>
      </c>
      <c r="AE133" s="321">
        <v>0.64</v>
      </c>
      <c r="AF133" s="321">
        <v>0.6</v>
      </c>
      <c r="AG133" s="317">
        <v>0.55000000000000004</v>
      </c>
      <c r="AH133" s="317">
        <v>0.55000000000000004</v>
      </c>
      <c r="AI133" s="317">
        <v>0.55000000000000004</v>
      </c>
    </row>
    <row r="134" spans="1:35">
      <c r="A134" s="32" t="s">
        <v>1307</v>
      </c>
      <c r="B134" s="32" t="s">
        <v>1427</v>
      </c>
      <c r="C134" s="32" t="s">
        <v>1482</v>
      </c>
      <c r="D134" s="313">
        <v>1.02</v>
      </c>
      <c r="E134" s="313">
        <v>0.97</v>
      </c>
      <c r="F134" s="313">
        <v>0.93</v>
      </c>
      <c r="G134" s="314">
        <v>0.89</v>
      </c>
      <c r="H134" s="314">
        <v>0.85</v>
      </c>
      <c r="I134" s="314">
        <v>0.8</v>
      </c>
      <c r="J134" s="314">
        <v>0.8</v>
      </c>
      <c r="K134" s="314">
        <v>0.8</v>
      </c>
      <c r="L134" s="323">
        <v>0.59</v>
      </c>
      <c r="M134" s="317">
        <v>0.56999999999999995</v>
      </c>
      <c r="N134" s="317">
        <v>0.55000000000000004</v>
      </c>
      <c r="O134" s="317">
        <v>0.52</v>
      </c>
      <c r="P134" s="317">
        <v>0.49</v>
      </c>
      <c r="Q134" s="317">
        <v>0.45</v>
      </c>
      <c r="R134" s="317">
        <v>0.45</v>
      </c>
      <c r="S134" s="318">
        <v>0.45</v>
      </c>
      <c r="T134" s="313">
        <v>1.26</v>
      </c>
      <c r="U134" s="313">
        <v>1.19</v>
      </c>
      <c r="V134" s="313">
        <v>1.1299999999999999</v>
      </c>
      <c r="W134" s="313">
        <v>1.07</v>
      </c>
      <c r="X134" s="313">
        <v>1.03</v>
      </c>
      <c r="Y134" s="314">
        <v>1</v>
      </c>
      <c r="Z134" s="314">
        <v>1</v>
      </c>
      <c r="AA134" s="314">
        <v>1</v>
      </c>
      <c r="AB134" s="317">
        <v>0.78</v>
      </c>
      <c r="AC134" s="321">
        <v>0.74</v>
      </c>
      <c r="AD134" s="321">
        <v>0.69</v>
      </c>
      <c r="AE134" s="321">
        <v>0.64</v>
      </c>
      <c r="AF134" s="321">
        <v>0.6</v>
      </c>
      <c r="AG134" s="317">
        <v>0.55000000000000004</v>
      </c>
      <c r="AH134" s="317">
        <v>0.55000000000000004</v>
      </c>
      <c r="AI134" s="317">
        <v>0.55000000000000004</v>
      </c>
    </row>
    <row r="135" spans="1:35">
      <c r="A135" s="32" t="s">
        <v>1307</v>
      </c>
      <c r="B135" s="32" t="s">
        <v>1427</v>
      </c>
      <c r="C135" s="32" t="s">
        <v>1440</v>
      </c>
      <c r="D135" s="313">
        <v>1.02</v>
      </c>
      <c r="E135" s="313">
        <v>0.97</v>
      </c>
      <c r="F135" s="313">
        <v>0.93</v>
      </c>
      <c r="G135" s="314">
        <v>0.89</v>
      </c>
      <c r="H135" s="314">
        <v>0.85</v>
      </c>
      <c r="I135" s="314">
        <v>0.8</v>
      </c>
      <c r="J135" s="314">
        <v>0.8</v>
      </c>
      <c r="K135" s="314">
        <v>0.8</v>
      </c>
      <c r="L135" s="323">
        <v>0.59</v>
      </c>
      <c r="M135" s="317">
        <v>0.56999999999999995</v>
      </c>
      <c r="N135" s="317">
        <v>0.55000000000000004</v>
      </c>
      <c r="O135" s="317">
        <v>0.52</v>
      </c>
      <c r="P135" s="317">
        <v>0.49</v>
      </c>
      <c r="Q135" s="317">
        <v>0.45</v>
      </c>
      <c r="R135" s="317">
        <v>0.45</v>
      </c>
      <c r="S135" s="318">
        <v>0.45</v>
      </c>
      <c r="T135" s="313">
        <v>1.26</v>
      </c>
      <c r="U135" s="313">
        <v>1.19</v>
      </c>
      <c r="V135" s="313">
        <v>1.1299999999999999</v>
      </c>
      <c r="W135" s="313">
        <v>1.07</v>
      </c>
      <c r="X135" s="313">
        <v>1.03</v>
      </c>
      <c r="Y135" s="314">
        <v>1</v>
      </c>
      <c r="Z135" s="314">
        <v>1</v>
      </c>
      <c r="AA135" s="314">
        <v>1</v>
      </c>
      <c r="AB135" s="317">
        <v>0.78</v>
      </c>
      <c r="AC135" s="321">
        <v>0.74</v>
      </c>
      <c r="AD135" s="321">
        <v>0.69</v>
      </c>
      <c r="AE135" s="321">
        <v>0.64</v>
      </c>
      <c r="AF135" s="321">
        <v>0.6</v>
      </c>
      <c r="AG135" s="317">
        <v>0.55000000000000004</v>
      </c>
      <c r="AH135" s="317">
        <v>0.55000000000000004</v>
      </c>
      <c r="AI135" s="317">
        <v>0.55000000000000004</v>
      </c>
    </row>
    <row r="136" spans="1:35">
      <c r="A136" s="32" t="s">
        <v>1307</v>
      </c>
      <c r="B136" s="32" t="s">
        <v>1427</v>
      </c>
      <c r="C136" s="32" t="s">
        <v>1441</v>
      </c>
      <c r="D136" s="313">
        <v>1.02</v>
      </c>
      <c r="E136" s="313">
        <v>0.97</v>
      </c>
      <c r="F136" s="313">
        <v>0.93</v>
      </c>
      <c r="G136" s="314">
        <v>0.89</v>
      </c>
      <c r="H136" s="314">
        <v>0.85</v>
      </c>
      <c r="I136" s="314">
        <v>0.8</v>
      </c>
      <c r="J136" s="314">
        <v>0.8</v>
      </c>
      <c r="K136" s="314">
        <v>0.8</v>
      </c>
      <c r="L136" s="323">
        <v>0.59</v>
      </c>
      <c r="M136" s="317">
        <v>0.56999999999999995</v>
      </c>
      <c r="N136" s="317">
        <v>0.55000000000000004</v>
      </c>
      <c r="O136" s="317">
        <v>0.52</v>
      </c>
      <c r="P136" s="317">
        <v>0.49</v>
      </c>
      <c r="Q136" s="317">
        <v>0.45</v>
      </c>
      <c r="R136" s="317">
        <v>0.45</v>
      </c>
      <c r="S136" s="318">
        <v>0.45</v>
      </c>
      <c r="T136" s="313">
        <v>1.26</v>
      </c>
      <c r="U136" s="313">
        <v>1.19</v>
      </c>
      <c r="V136" s="313">
        <v>1.1299999999999999</v>
      </c>
      <c r="W136" s="313">
        <v>1.07</v>
      </c>
      <c r="X136" s="313">
        <v>1.03</v>
      </c>
      <c r="Y136" s="314">
        <v>1</v>
      </c>
      <c r="Z136" s="314">
        <v>1</v>
      </c>
      <c r="AA136" s="314">
        <v>1</v>
      </c>
      <c r="AB136" s="317">
        <v>0.78</v>
      </c>
      <c r="AC136" s="321">
        <v>0.74</v>
      </c>
      <c r="AD136" s="321">
        <v>0.69</v>
      </c>
      <c r="AE136" s="321">
        <v>0.64</v>
      </c>
      <c r="AF136" s="321">
        <v>0.6</v>
      </c>
      <c r="AG136" s="317">
        <v>0.55000000000000004</v>
      </c>
      <c r="AH136" s="317">
        <v>0.55000000000000004</v>
      </c>
      <c r="AI136" s="317">
        <v>0.55000000000000004</v>
      </c>
    </row>
    <row r="137" spans="1:35">
      <c r="A137" s="32" t="s">
        <v>1307</v>
      </c>
      <c r="B137" s="32" t="s">
        <v>1427</v>
      </c>
      <c r="C137" s="32" t="s">
        <v>1444</v>
      </c>
      <c r="D137" s="313">
        <v>1.02</v>
      </c>
      <c r="E137" s="313">
        <v>0.97</v>
      </c>
      <c r="F137" s="313">
        <v>0.93</v>
      </c>
      <c r="G137" s="314">
        <v>0.89</v>
      </c>
      <c r="H137" s="314">
        <v>0.85</v>
      </c>
      <c r="I137" s="314">
        <v>0.8</v>
      </c>
      <c r="J137" s="314">
        <v>0.8</v>
      </c>
      <c r="K137" s="314">
        <v>0.8</v>
      </c>
      <c r="L137" s="323">
        <v>0.59</v>
      </c>
      <c r="M137" s="317">
        <v>0.56999999999999995</v>
      </c>
      <c r="N137" s="317">
        <v>0.55000000000000004</v>
      </c>
      <c r="O137" s="317">
        <v>0.52</v>
      </c>
      <c r="P137" s="317">
        <v>0.49</v>
      </c>
      <c r="Q137" s="317">
        <v>0.45</v>
      </c>
      <c r="R137" s="317">
        <v>0.45</v>
      </c>
      <c r="S137" s="318">
        <v>0.45</v>
      </c>
      <c r="T137" s="313">
        <v>1.26</v>
      </c>
      <c r="U137" s="313">
        <v>1.19</v>
      </c>
      <c r="V137" s="313">
        <v>1.1299999999999999</v>
      </c>
      <c r="W137" s="313">
        <v>1.07</v>
      </c>
      <c r="X137" s="313">
        <v>1.03</v>
      </c>
      <c r="Y137" s="314">
        <v>1</v>
      </c>
      <c r="Z137" s="314">
        <v>1</v>
      </c>
      <c r="AA137" s="314">
        <v>1</v>
      </c>
      <c r="AB137" s="317">
        <v>0.78</v>
      </c>
      <c r="AC137" s="321">
        <v>0.74</v>
      </c>
      <c r="AD137" s="321">
        <v>0.69</v>
      </c>
      <c r="AE137" s="321">
        <v>0.64</v>
      </c>
      <c r="AF137" s="321">
        <v>0.6</v>
      </c>
      <c r="AG137" s="317">
        <v>0.55000000000000004</v>
      </c>
      <c r="AH137" s="317">
        <v>0.55000000000000004</v>
      </c>
      <c r="AI137" s="317">
        <v>0.55000000000000004</v>
      </c>
    </row>
    <row r="138" spans="1:35">
      <c r="A138" s="32" t="s">
        <v>1307</v>
      </c>
      <c r="B138" s="465" t="s">
        <v>1807</v>
      </c>
      <c r="C138" s="32" t="s">
        <v>1346</v>
      </c>
      <c r="D138" s="313">
        <v>1.02</v>
      </c>
      <c r="E138" s="313">
        <v>0.97</v>
      </c>
      <c r="F138" s="313">
        <v>0.93</v>
      </c>
      <c r="G138" s="314">
        <v>0.89</v>
      </c>
      <c r="H138" s="314">
        <v>0.85</v>
      </c>
      <c r="I138" s="314">
        <v>0.8</v>
      </c>
      <c r="J138" s="315">
        <v>0.7</v>
      </c>
      <c r="K138" s="315">
        <v>0.7</v>
      </c>
      <c r="L138" s="323">
        <v>0.59</v>
      </c>
      <c r="M138" s="317">
        <v>0.56999999999999995</v>
      </c>
      <c r="N138" s="317">
        <v>0.55000000000000004</v>
      </c>
      <c r="O138" s="317">
        <v>0.52</v>
      </c>
      <c r="P138" s="317">
        <v>0.49</v>
      </c>
      <c r="Q138" s="317">
        <v>0.45</v>
      </c>
      <c r="R138" s="319">
        <v>0.4</v>
      </c>
      <c r="S138" s="320">
        <v>0.4</v>
      </c>
      <c r="T138" s="313">
        <v>1.26</v>
      </c>
      <c r="U138" s="313">
        <v>1.19</v>
      </c>
      <c r="V138" s="313">
        <v>1.1299999999999999</v>
      </c>
      <c r="W138" s="313">
        <v>1.07</v>
      </c>
      <c r="X138" s="313">
        <v>1.03</v>
      </c>
      <c r="Y138" s="314">
        <v>1</v>
      </c>
      <c r="Z138" s="315">
        <v>0.9</v>
      </c>
      <c r="AA138" s="315">
        <v>0.9</v>
      </c>
      <c r="AB138" s="317">
        <v>0.78</v>
      </c>
      <c r="AC138" s="321">
        <v>0.74</v>
      </c>
      <c r="AD138" s="321">
        <v>0.69</v>
      </c>
      <c r="AE138" s="321">
        <v>0.64</v>
      </c>
      <c r="AF138" s="321">
        <v>0.6</v>
      </c>
      <c r="AG138" s="317">
        <v>0.55000000000000004</v>
      </c>
      <c r="AH138" s="319">
        <v>0.5</v>
      </c>
      <c r="AI138" s="319">
        <v>0.5</v>
      </c>
    </row>
    <row r="139" spans="1:35">
      <c r="A139" s="482" t="s">
        <v>1809</v>
      </c>
      <c r="B139" s="465" t="s">
        <v>1807</v>
      </c>
      <c r="C139" s="465" t="s">
        <v>1822</v>
      </c>
      <c r="D139" s="313">
        <v>0.98</v>
      </c>
      <c r="E139" s="313">
        <v>0.94</v>
      </c>
      <c r="F139" s="313">
        <v>0.89</v>
      </c>
      <c r="G139" s="314">
        <v>0.85</v>
      </c>
      <c r="H139" s="314">
        <v>0.83</v>
      </c>
      <c r="I139" s="314">
        <v>0.82</v>
      </c>
      <c r="J139" s="314">
        <v>0.8</v>
      </c>
      <c r="K139" s="314">
        <v>0.8</v>
      </c>
      <c r="L139" s="324">
        <v>0.61</v>
      </c>
      <c r="M139" s="321">
        <v>0.6</v>
      </c>
      <c r="N139" s="321">
        <v>0.56999999999999995</v>
      </c>
      <c r="O139" s="321">
        <v>0.54</v>
      </c>
      <c r="P139" s="321">
        <v>0.51</v>
      </c>
      <c r="Q139" s="321">
        <v>0.48</v>
      </c>
      <c r="R139" s="321">
        <v>0.45</v>
      </c>
      <c r="S139" s="322">
        <v>0.45</v>
      </c>
      <c r="T139" s="313">
        <v>1.25</v>
      </c>
      <c r="U139" s="313">
        <v>1.21</v>
      </c>
      <c r="V139" s="313">
        <v>1.1499999999999999</v>
      </c>
      <c r="W139" s="313">
        <v>1.0900000000000001</v>
      </c>
      <c r="X139" s="313">
        <v>1.05</v>
      </c>
      <c r="Y139" s="313">
        <v>1.02</v>
      </c>
      <c r="Z139" s="314">
        <v>1</v>
      </c>
      <c r="AA139" s="314">
        <v>1</v>
      </c>
      <c r="AB139" s="317">
        <v>0.83</v>
      </c>
      <c r="AC139" s="321">
        <v>0.8</v>
      </c>
      <c r="AD139" s="321">
        <v>0.76</v>
      </c>
      <c r="AE139" s="321">
        <v>0.7</v>
      </c>
      <c r="AF139" s="321">
        <v>0.66</v>
      </c>
      <c r="AG139" s="317">
        <v>0.61</v>
      </c>
      <c r="AH139" s="317">
        <v>0.55000000000000004</v>
      </c>
      <c r="AI139" s="317">
        <v>0.55000000000000004</v>
      </c>
    </row>
    <row r="140" spans="1:35">
      <c r="A140" s="482" t="s">
        <v>1809</v>
      </c>
      <c r="B140" s="465" t="s">
        <v>1807</v>
      </c>
      <c r="C140" s="32" t="s">
        <v>1474</v>
      </c>
      <c r="D140" s="313">
        <v>0.98</v>
      </c>
      <c r="E140" s="313">
        <v>0.94</v>
      </c>
      <c r="F140" s="313">
        <v>0.89</v>
      </c>
      <c r="G140" s="314">
        <v>0.85</v>
      </c>
      <c r="H140" s="314">
        <v>0.83</v>
      </c>
      <c r="I140" s="314">
        <v>0.82</v>
      </c>
      <c r="J140" s="314">
        <v>0.8</v>
      </c>
      <c r="K140" s="314">
        <v>0.8</v>
      </c>
      <c r="L140" s="324">
        <v>0.61</v>
      </c>
      <c r="M140" s="321">
        <v>0.6</v>
      </c>
      <c r="N140" s="321">
        <v>0.56999999999999995</v>
      </c>
      <c r="O140" s="321">
        <v>0.54</v>
      </c>
      <c r="P140" s="321">
        <v>0.51</v>
      </c>
      <c r="Q140" s="321">
        <v>0.48</v>
      </c>
      <c r="R140" s="321">
        <v>0.45</v>
      </c>
      <c r="S140" s="322">
        <v>0.45</v>
      </c>
      <c r="T140" s="313">
        <v>1.25</v>
      </c>
      <c r="U140" s="313">
        <v>1.21</v>
      </c>
      <c r="V140" s="313">
        <v>1.1499999999999999</v>
      </c>
      <c r="W140" s="313">
        <v>1.0900000000000001</v>
      </c>
      <c r="X140" s="313">
        <v>1.05</v>
      </c>
      <c r="Y140" s="313">
        <v>1.02</v>
      </c>
      <c r="Z140" s="314">
        <v>1</v>
      </c>
      <c r="AA140" s="314">
        <v>1</v>
      </c>
      <c r="AB140" s="317">
        <v>0.83</v>
      </c>
      <c r="AC140" s="321">
        <v>0.8</v>
      </c>
      <c r="AD140" s="321">
        <v>0.76</v>
      </c>
      <c r="AE140" s="321">
        <v>0.7</v>
      </c>
      <c r="AF140" s="321">
        <v>0.66</v>
      </c>
      <c r="AG140" s="317">
        <v>0.61</v>
      </c>
      <c r="AH140" s="317">
        <v>0.55000000000000004</v>
      </c>
      <c r="AI140" s="317">
        <v>0.55000000000000004</v>
      </c>
    </row>
    <row r="141" spans="1:35">
      <c r="A141" s="482" t="s">
        <v>1809</v>
      </c>
      <c r="B141" s="465" t="s">
        <v>1807</v>
      </c>
      <c r="C141" s="32" t="s">
        <v>1426</v>
      </c>
      <c r="D141" s="313">
        <v>0.98</v>
      </c>
      <c r="E141" s="313">
        <v>0.94</v>
      </c>
      <c r="F141" s="313">
        <v>0.89</v>
      </c>
      <c r="G141" s="314">
        <v>0.85</v>
      </c>
      <c r="H141" s="314">
        <v>0.83</v>
      </c>
      <c r="I141" s="314">
        <v>0.82</v>
      </c>
      <c r="J141" s="314">
        <v>0.8</v>
      </c>
      <c r="K141" s="314">
        <v>0.8</v>
      </c>
      <c r="L141" s="324">
        <v>0.61</v>
      </c>
      <c r="M141" s="321">
        <v>0.6</v>
      </c>
      <c r="N141" s="321">
        <v>0.56999999999999995</v>
      </c>
      <c r="O141" s="321">
        <v>0.54</v>
      </c>
      <c r="P141" s="321">
        <v>0.51</v>
      </c>
      <c r="Q141" s="321">
        <v>0.48</v>
      </c>
      <c r="R141" s="321">
        <v>0.45</v>
      </c>
      <c r="S141" s="322">
        <v>0.45</v>
      </c>
      <c r="T141" s="313">
        <v>1.25</v>
      </c>
      <c r="U141" s="313">
        <v>1.21</v>
      </c>
      <c r="V141" s="313">
        <v>1.1499999999999999</v>
      </c>
      <c r="W141" s="313">
        <v>1.0900000000000001</v>
      </c>
      <c r="X141" s="313">
        <v>1.05</v>
      </c>
      <c r="Y141" s="313">
        <v>1.02</v>
      </c>
      <c r="Z141" s="314">
        <v>1</v>
      </c>
      <c r="AA141" s="314">
        <v>1</v>
      </c>
      <c r="AB141" s="317">
        <v>0.83</v>
      </c>
      <c r="AC141" s="321">
        <v>0.8</v>
      </c>
      <c r="AD141" s="321">
        <v>0.76</v>
      </c>
      <c r="AE141" s="321">
        <v>0.7</v>
      </c>
      <c r="AF141" s="321">
        <v>0.66</v>
      </c>
      <c r="AG141" s="317">
        <v>0.61</v>
      </c>
      <c r="AH141" s="317">
        <v>0.55000000000000004</v>
      </c>
      <c r="AI141" s="317">
        <v>0.55000000000000004</v>
      </c>
    </row>
    <row r="142" spans="1:35">
      <c r="A142" s="482" t="s">
        <v>1809</v>
      </c>
      <c r="B142" s="465" t="s">
        <v>1807</v>
      </c>
      <c r="C142" s="32" t="s">
        <v>1476</v>
      </c>
      <c r="D142" s="313">
        <v>0.98</v>
      </c>
      <c r="E142" s="313">
        <v>0.94</v>
      </c>
      <c r="F142" s="313">
        <v>0.89</v>
      </c>
      <c r="G142" s="314">
        <v>0.85</v>
      </c>
      <c r="H142" s="314">
        <v>0.83</v>
      </c>
      <c r="I142" s="314">
        <v>0.82</v>
      </c>
      <c r="J142" s="314">
        <v>0.8</v>
      </c>
      <c r="K142" s="314">
        <v>0.8</v>
      </c>
      <c r="L142" s="324">
        <v>0.61</v>
      </c>
      <c r="M142" s="321">
        <v>0.6</v>
      </c>
      <c r="N142" s="321">
        <v>0.56999999999999995</v>
      </c>
      <c r="O142" s="321">
        <v>0.54</v>
      </c>
      <c r="P142" s="321">
        <v>0.51</v>
      </c>
      <c r="Q142" s="321">
        <v>0.48</v>
      </c>
      <c r="R142" s="321">
        <v>0.45</v>
      </c>
      <c r="S142" s="322">
        <v>0.45</v>
      </c>
      <c r="T142" s="313">
        <v>1.25</v>
      </c>
      <c r="U142" s="313">
        <v>1.21</v>
      </c>
      <c r="V142" s="313">
        <v>1.1499999999999999</v>
      </c>
      <c r="W142" s="313">
        <v>1.0900000000000001</v>
      </c>
      <c r="X142" s="313">
        <v>1.05</v>
      </c>
      <c r="Y142" s="313">
        <v>1.02</v>
      </c>
      <c r="Z142" s="314">
        <v>1</v>
      </c>
      <c r="AA142" s="314">
        <v>1</v>
      </c>
      <c r="AB142" s="317">
        <v>0.83</v>
      </c>
      <c r="AC142" s="321">
        <v>0.8</v>
      </c>
      <c r="AD142" s="321">
        <v>0.76</v>
      </c>
      <c r="AE142" s="321">
        <v>0.7</v>
      </c>
      <c r="AF142" s="321">
        <v>0.66</v>
      </c>
      <c r="AG142" s="317">
        <v>0.61</v>
      </c>
      <c r="AH142" s="317">
        <v>0.55000000000000004</v>
      </c>
      <c r="AI142" s="317">
        <v>0.55000000000000004</v>
      </c>
    </row>
    <row r="143" spans="1:35">
      <c r="A143" s="482" t="s">
        <v>1809</v>
      </c>
      <c r="B143" s="465" t="s">
        <v>1807</v>
      </c>
      <c r="C143" s="464" t="s">
        <v>87</v>
      </c>
      <c r="D143" s="313">
        <v>0.98</v>
      </c>
      <c r="E143" s="313">
        <v>0.94</v>
      </c>
      <c r="F143" s="313">
        <v>0.89</v>
      </c>
      <c r="G143" s="314">
        <v>0.85</v>
      </c>
      <c r="H143" s="314">
        <v>0.83</v>
      </c>
      <c r="I143" s="314">
        <v>0.82</v>
      </c>
      <c r="J143" s="314">
        <v>0.8</v>
      </c>
      <c r="K143" s="314">
        <v>0.8</v>
      </c>
      <c r="L143" s="324">
        <v>0.61</v>
      </c>
      <c r="M143" s="321">
        <v>0.6</v>
      </c>
      <c r="N143" s="321">
        <v>0.56999999999999995</v>
      </c>
      <c r="O143" s="321">
        <v>0.54</v>
      </c>
      <c r="P143" s="321">
        <v>0.51</v>
      </c>
      <c r="Q143" s="321">
        <v>0.48</v>
      </c>
      <c r="R143" s="321">
        <v>0.45</v>
      </c>
      <c r="S143" s="322">
        <v>0.45</v>
      </c>
      <c r="T143" s="313">
        <v>1.25</v>
      </c>
      <c r="U143" s="313">
        <v>1.21</v>
      </c>
      <c r="V143" s="313">
        <v>1.1499999999999999</v>
      </c>
      <c r="W143" s="313">
        <v>1.0900000000000001</v>
      </c>
      <c r="X143" s="313">
        <v>1.05</v>
      </c>
      <c r="Y143" s="313">
        <v>1.02</v>
      </c>
      <c r="Z143" s="314">
        <v>1</v>
      </c>
      <c r="AA143" s="314">
        <v>1</v>
      </c>
      <c r="AB143" s="317">
        <v>0.83</v>
      </c>
      <c r="AC143" s="321">
        <v>0.8</v>
      </c>
      <c r="AD143" s="321">
        <v>0.76</v>
      </c>
      <c r="AE143" s="321">
        <v>0.7</v>
      </c>
      <c r="AF143" s="321">
        <v>0.66</v>
      </c>
      <c r="AG143" s="317">
        <v>0.61</v>
      </c>
      <c r="AH143" s="317">
        <v>0.55000000000000004</v>
      </c>
      <c r="AI143" s="317">
        <v>0.55000000000000004</v>
      </c>
    </row>
    <row r="144" spans="1:35">
      <c r="A144" s="482" t="s">
        <v>1809</v>
      </c>
      <c r="B144" s="32" t="s">
        <v>1427</v>
      </c>
      <c r="C144" s="32" t="s">
        <v>1428</v>
      </c>
      <c r="D144" s="313">
        <v>0.98</v>
      </c>
      <c r="E144" s="313">
        <v>0.94</v>
      </c>
      <c r="F144" s="313">
        <v>0.89</v>
      </c>
      <c r="G144" s="314">
        <v>0.85</v>
      </c>
      <c r="H144" s="314">
        <v>0.83</v>
      </c>
      <c r="I144" s="314">
        <v>0.82</v>
      </c>
      <c r="J144" s="314">
        <v>0.8</v>
      </c>
      <c r="K144" s="314">
        <v>0.8</v>
      </c>
      <c r="L144" s="324">
        <v>0.61</v>
      </c>
      <c r="M144" s="321">
        <v>0.6</v>
      </c>
      <c r="N144" s="321">
        <v>0.56999999999999995</v>
      </c>
      <c r="O144" s="321">
        <v>0.54</v>
      </c>
      <c r="P144" s="321">
        <v>0.51</v>
      </c>
      <c r="Q144" s="321">
        <v>0.48</v>
      </c>
      <c r="R144" s="321">
        <v>0.45</v>
      </c>
      <c r="S144" s="322">
        <v>0.45</v>
      </c>
      <c r="T144" s="313">
        <v>1.25</v>
      </c>
      <c r="U144" s="313">
        <v>1.21</v>
      </c>
      <c r="V144" s="313">
        <v>1.1499999999999999</v>
      </c>
      <c r="W144" s="313">
        <v>1.0900000000000001</v>
      </c>
      <c r="X144" s="313">
        <v>1.05</v>
      </c>
      <c r="Y144" s="313">
        <v>1.02</v>
      </c>
      <c r="Z144" s="314">
        <v>1</v>
      </c>
      <c r="AA144" s="314">
        <v>1</v>
      </c>
      <c r="AB144" s="317">
        <v>0.83</v>
      </c>
      <c r="AC144" s="321">
        <v>0.8</v>
      </c>
      <c r="AD144" s="321">
        <v>0.76</v>
      </c>
      <c r="AE144" s="321">
        <v>0.7</v>
      </c>
      <c r="AF144" s="321">
        <v>0.66</v>
      </c>
      <c r="AG144" s="317">
        <v>0.61</v>
      </c>
      <c r="AH144" s="317">
        <v>0.55000000000000004</v>
      </c>
      <c r="AI144" s="317">
        <v>0.55000000000000004</v>
      </c>
    </row>
    <row r="145" spans="1:35">
      <c r="A145" s="482" t="s">
        <v>1809</v>
      </c>
      <c r="B145" s="32" t="s">
        <v>1427</v>
      </c>
      <c r="C145" s="32" t="s">
        <v>1489</v>
      </c>
      <c r="D145" s="313">
        <v>0.98</v>
      </c>
      <c r="E145" s="313">
        <v>0.94</v>
      </c>
      <c r="F145" s="313">
        <v>0.89</v>
      </c>
      <c r="G145" s="314">
        <v>0.85</v>
      </c>
      <c r="H145" s="314">
        <v>0.83</v>
      </c>
      <c r="I145" s="314">
        <v>0.82</v>
      </c>
      <c r="J145" s="314">
        <v>0.8</v>
      </c>
      <c r="K145" s="314">
        <v>0.8</v>
      </c>
      <c r="L145" s="324">
        <v>0.61</v>
      </c>
      <c r="M145" s="321">
        <v>0.6</v>
      </c>
      <c r="N145" s="321">
        <v>0.56999999999999995</v>
      </c>
      <c r="O145" s="321">
        <v>0.54</v>
      </c>
      <c r="P145" s="321">
        <v>0.51</v>
      </c>
      <c r="Q145" s="321">
        <v>0.48</v>
      </c>
      <c r="R145" s="321">
        <v>0.45</v>
      </c>
      <c r="S145" s="322">
        <v>0.45</v>
      </c>
      <c r="T145" s="313">
        <v>1.25</v>
      </c>
      <c r="U145" s="313">
        <v>1.21</v>
      </c>
      <c r="V145" s="313">
        <v>1.1499999999999999</v>
      </c>
      <c r="W145" s="313">
        <v>1.0900000000000001</v>
      </c>
      <c r="X145" s="313">
        <v>1.05</v>
      </c>
      <c r="Y145" s="313">
        <v>1.02</v>
      </c>
      <c r="Z145" s="314">
        <v>1</v>
      </c>
      <c r="AA145" s="314">
        <v>1</v>
      </c>
      <c r="AB145" s="317">
        <v>0.83</v>
      </c>
      <c r="AC145" s="321">
        <v>0.8</v>
      </c>
      <c r="AD145" s="321">
        <v>0.76</v>
      </c>
      <c r="AE145" s="321">
        <v>0.7</v>
      </c>
      <c r="AF145" s="321">
        <v>0.66</v>
      </c>
      <c r="AG145" s="317">
        <v>0.61</v>
      </c>
      <c r="AH145" s="317">
        <v>0.55000000000000004</v>
      </c>
      <c r="AI145" s="317">
        <v>0.55000000000000004</v>
      </c>
    </row>
    <row r="146" spans="1:35">
      <c r="A146" s="482" t="s">
        <v>1809</v>
      </c>
      <c r="B146" s="32" t="s">
        <v>1427</v>
      </c>
      <c r="C146" s="32" t="s">
        <v>1429</v>
      </c>
      <c r="D146" s="313">
        <v>0.98</v>
      </c>
      <c r="E146" s="313">
        <v>0.94</v>
      </c>
      <c r="F146" s="313">
        <v>0.89</v>
      </c>
      <c r="G146" s="314">
        <v>0.85</v>
      </c>
      <c r="H146" s="314">
        <v>0.83</v>
      </c>
      <c r="I146" s="314">
        <v>0.82</v>
      </c>
      <c r="J146" s="314">
        <v>0.8</v>
      </c>
      <c r="K146" s="314">
        <v>0.8</v>
      </c>
      <c r="L146" s="324">
        <v>0.61</v>
      </c>
      <c r="M146" s="321">
        <v>0.6</v>
      </c>
      <c r="N146" s="321">
        <v>0.56999999999999995</v>
      </c>
      <c r="O146" s="321">
        <v>0.54</v>
      </c>
      <c r="P146" s="321">
        <v>0.51</v>
      </c>
      <c r="Q146" s="321">
        <v>0.48</v>
      </c>
      <c r="R146" s="321">
        <v>0.45</v>
      </c>
      <c r="S146" s="322">
        <v>0.45</v>
      </c>
      <c r="T146" s="313">
        <v>1.25</v>
      </c>
      <c r="U146" s="313">
        <v>1.21</v>
      </c>
      <c r="V146" s="313">
        <v>1.1499999999999999</v>
      </c>
      <c r="W146" s="313">
        <v>1.0900000000000001</v>
      </c>
      <c r="X146" s="313">
        <v>1.05</v>
      </c>
      <c r="Y146" s="313">
        <v>1.02</v>
      </c>
      <c r="Z146" s="314">
        <v>1</v>
      </c>
      <c r="AA146" s="314">
        <v>1</v>
      </c>
      <c r="AB146" s="317">
        <v>0.83</v>
      </c>
      <c r="AC146" s="321">
        <v>0.8</v>
      </c>
      <c r="AD146" s="321">
        <v>0.76</v>
      </c>
      <c r="AE146" s="321">
        <v>0.7</v>
      </c>
      <c r="AF146" s="321">
        <v>0.66</v>
      </c>
      <c r="AG146" s="317">
        <v>0.61</v>
      </c>
      <c r="AH146" s="317">
        <v>0.55000000000000004</v>
      </c>
      <c r="AI146" s="317">
        <v>0.55000000000000004</v>
      </c>
    </row>
    <row r="147" spans="1:35">
      <c r="A147" s="482" t="s">
        <v>1809</v>
      </c>
      <c r="B147" s="32" t="s">
        <v>1427</v>
      </c>
      <c r="C147" s="32" t="s">
        <v>1430</v>
      </c>
      <c r="D147" s="313">
        <v>0.98</v>
      </c>
      <c r="E147" s="313">
        <v>0.94</v>
      </c>
      <c r="F147" s="313">
        <v>0.89</v>
      </c>
      <c r="G147" s="314">
        <v>0.85</v>
      </c>
      <c r="H147" s="314">
        <v>0.83</v>
      </c>
      <c r="I147" s="314">
        <v>0.82</v>
      </c>
      <c r="J147" s="314">
        <v>0.8</v>
      </c>
      <c r="K147" s="314">
        <v>0.8</v>
      </c>
      <c r="L147" s="324">
        <v>0.61</v>
      </c>
      <c r="M147" s="321">
        <v>0.6</v>
      </c>
      <c r="N147" s="321">
        <v>0.56999999999999995</v>
      </c>
      <c r="O147" s="321">
        <v>0.54</v>
      </c>
      <c r="P147" s="321">
        <v>0.51</v>
      </c>
      <c r="Q147" s="321">
        <v>0.48</v>
      </c>
      <c r="R147" s="321">
        <v>0.45</v>
      </c>
      <c r="S147" s="322">
        <v>0.45</v>
      </c>
      <c r="T147" s="313">
        <v>1.25</v>
      </c>
      <c r="U147" s="313">
        <v>1.21</v>
      </c>
      <c r="V147" s="313">
        <v>1.1499999999999999</v>
      </c>
      <c r="W147" s="313">
        <v>1.0900000000000001</v>
      </c>
      <c r="X147" s="313">
        <v>1.05</v>
      </c>
      <c r="Y147" s="313">
        <v>1.02</v>
      </c>
      <c r="Z147" s="314">
        <v>1</v>
      </c>
      <c r="AA147" s="314">
        <v>1</v>
      </c>
      <c r="AB147" s="317">
        <v>0.83</v>
      </c>
      <c r="AC147" s="321">
        <v>0.8</v>
      </c>
      <c r="AD147" s="321">
        <v>0.76</v>
      </c>
      <c r="AE147" s="321">
        <v>0.7</v>
      </c>
      <c r="AF147" s="321">
        <v>0.66</v>
      </c>
      <c r="AG147" s="317">
        <v>0.61</v>
      </c>
      <c r="AH147" s="317">
        <v>0.55000000000000004</v>
      </c>
      <c r="AI147" s="317">
        <v>0.55000000000000004</v>
      </c>
    </row>
    <row r="148" spans="1:35">
      <c r="A148" s="482" t="s">
        <v>1809</v>
      </c>
      <c r="B148" s="32" t="s">
        <v>1427</v>
      </c>
      <c r="C148" s="471" t="s">
        <v>1806</v>
      </c>
      <c r="D148" s="313">
        <v>0.98</v>
      </c>
      <c r="E148" s="313">
        <v>0.94</v>
      </c>
      <c r="F148" s="313">
        <v>0.89</v>
      </c>
      <c r="G148" s="314">
        <v>0.85</v>
      </c>
      <c r="H148" s="314">
        <v>0.83</v>
      </c>
      <c r="I148" s="314">
        <v>0.82</v>
      </c>
      <c r="J148" s="314">
        <v>0.8</v>
      </c>
      <c r="K148" s="314">
        <v>0.8</v>
      </c>
      <c r="L148" s="324">
        <v>0.61</v>
      </c>
      <c r="M148" s="321">
        <v>0.6</v>
      </c>
      <c r="N148" s="321">
        <v>0.56999999999999995</v>
      </c>
      <c r="O148" s="321">
        <v>0.54</v>
      </c>
      <c r="P148" s="321">
        <v>0.51</v>
      </c>
      <c r="Q148" s="321">
        <v>0.48</v>
      </c>
      <c r="R148" s="321">
        <v>0.45</v>
      </c>
      <c r="S148" s="322">
        <v>0.45</v>
      </c>
      <c r="T148" s="313">
        <v>1.25</v>
      </c>
      <c r="U148" s="313">
        <v>1.21</v>
      </c>
      <c r="V148" s="313">
        <v>1.1499999999999999</v>
      </c>
      <c r="W148" s="313">
        <v>1.0900000000000001</v>
      </c>
      <c r="X148" s="313">
        <v>1.05</v>
      </c>
      <c r="Y148" s="313">
        <v>1.02</v>
      </c>
      <c r="Z148" s="314">
        <v>1</v>
      </c>
      <c r="AA148" s="314">
        <v>1</v>
      </c>
      <c r="AB148" s="317">
        <v>0.83</v>
      </c>
      <c r="AC148" s="321">
        <v>0.8</v>
      </c>
      <c r="AD148" s="321">
        <v>0.76</v>
      </c>
      <c r="AE148" s="321">
        <v>0.7</v>
      </c>
      <c r="AF148" s="321">
        <v>0.66</v>
      </c>
      <c r="AG148" s="317">
        <v>0.61</v>
      </c>
      <c r="AH148" s="317">
        <v>0.55000000000000004</v>
      </c>
      <c r="AI148" s="317">
        <v>0.55000000000000004</v>
      </c>
    </row>
    <row r="149" spans="1:35">
      <c r="A149" s="482" t="s">
        <v>1809</v>
      </c>
      <c r="B149" s="32" t="s">
        <v>1427</v>
      </c>
      <c r="C149" s="32" t="s">
        <v>1431</v>
      </c>
      <c r="D149" s="313">
        <v>0.98</v>
      </c>
      <c r="E149" s="313">
        <v>0.94</v>
      </c>
      <c r="F149" s="313">
        <v>0.89</v>
      </c>
      <c r="G149" s="314">
        <v>0.85</v>
      </c>
      <c r="H149" s="314">
        <v>0.83</v>
      </c>
      <c r="I149" s="314">
        <v>0.82</v>
      </c>
      <c r="J149" s="314">
        <v>0.8</v>
      </c>
      <c r="K149" s="314">
        <v>0.8</v>
      </c>
      <c r="L149" s="324">
        <v>0.61</v>
      </c>
      <c r="M149" s="321">
        <v>0.6</v>
      </c>
      <c r="N149" s="321">
        <v>0.56999999999999995</v>
      </c>
      <c r="O149" s="321">
        <v>0.54</v>
      </c>
      <c r="P149" s="321">
        <v>0.51</v>
      </c>
      <c r="Q149" s="321">
        <v>0.48</v>
      </c>
      <c r="R149" s="321">
        <v>0.45</v>
      </c>
      <c r="S149" s="322">
        <v>0.45</v>
      </c>
      <c r="T149" s="313">
        <v>1.25</v>
      </c>
      <c r="U149" s="313">
        <v>1.21</v>
      </c>
      <c r="V149" s="313">
        <v>1.1499999999999999</v>
      </c>
      <c r="W149" s="313">
        <v>1.0900000000000001</v>
      </c>
      <c r="X149" s="313">
        <v>1.05</v>
      </c>
      <c r="Y149" s="313">
        <v>1.02</v>
      </c>
      <c r="Z149" s="314">
        <v>1</v>
      </c>
      <c r="AA149" s="314">
        <v>1</v>
      </c>
      <c r="AB149" s="317">
        <v>0.83</v>
      </c>
      <c r="AC149" s="321">
        <v>0.8</v>
      </c>
      <c r="AD149" s="321">
        <v>0.76</v>
      </c>
      <c r="AE149" s="321">
        <v>0.7</v>
      </c>
      <c r="AF149" s="321">
        <v>0.66</v>
      </c>
      <c r="AG149" s="317">
        <v>0.61</v>
      </c>
      <c r="AH149" s="317">
        <v>0.55000000000000004</v>
      </c>
      <c r="AI149" s="317">
        <v>0.55000000000000004</v>
      </c>
    </row>
    <row r="150" spans="1:35">
      <c r="A150" s="482" t="s">
        <v>1809</v>
      </c>
      <c r="B150" s="32" t="s">
        <v>1427</v>
      </c>
      <c r="C150" s="32" t="s">
        <v>1432</v>
      </c>
      <c r="D150" s="313">
        <v>0.98</v>
      </c>
      <c r="E150" s="313">
        <v>0.94</v>
      </c>
      <c r="F150" s="313">
        <v>0.89</v>
      </c>
      <c r="G150" s="314">
        <v>0.85</v>
      </c>
      <c r="H150" s="314">
        <v>0.83</v>
      </c>
      <c r="I150" s="314">
        <v>0.82</v>
      </c>
      <c r="J150" s="314">
        <v>0.8</v>
      </c>
      <c r="K150" s="314">
        <v>0.8</v>
      </c>
      <c r="L150" s="324">
        <v>0.61</v>
      </c>
      <c r="M150" s="321">
        <v>0.6</v>
      </c>
      <c r="N150" s="321">
        <v>0.56999999999999995</v>
      </c>
      <c r="O150" s="321">
        <v>0.54</v>
      </c>
      <c r="P150" s="321">
        <v>0.51</v>
      </c>
      <c r="Q150" s="321">
        <v>0.48</v>
      </c>
      <c r="R150" s="321">
        <v>0.45</v>
      </c>
      <c r="S150" s="322">
        <v>0.45</v>
      </c>
      <c r="T150" s="313">
        <v>1.25</v>
      </c>
      <c r="U150" s="313">
        <v>1.21</v>
      </c>
      <c r="V150" s="313">
        <v>1.1499999999999999</v>
      </c>
      <c r="W150" s="313">
        <v>1.0900000000000001</v>
      </c>
      <c r="X150" s="313">
        <v>1.05</v>
      </c>
      <c r="Y150" s="313">
        <v>1.02</v>
      </c>
      <c r="Z150" s="314">
        <v>1</v>
      </c>
      <c r="AA150" s="314">
        <v>1</v>
      </c>
      <c r="AB150" s="317">
        <v>0.83</v>
      </c>
      <c r="AC150" s="321">
        <v>0.8</v>
      </c>
      <c r="AD150" s="321">
        <v>0.76</v>
      </c>
      <c r="AE150" s="321">
        <v>0.7</v>
      </c>
      <c r="AF150" s="321">
        <v>0.66</v>
      </c>
      <c r="AG150" s="317">
        <v>0.61</v>
      </c>
      <c r="AH150" s="317">
        <v>0.55000000000000004</v>
      </c>
      <c r="AI150" s="317">
        <v>0.55000000000000004</v>
      </c>
    </row>
    <row r="151" spans="1:35">
      <c r="A151" s="482" t="s">
        <v>1809</v>
      </c>
      <c r="B151" s="32" t="s">
        <v>1427</v>
      </c>
      <c r="C151" s="32" t="s">
        <v>1433</v>
      </c>
      <c r="D151" s="313">
        <v>0.98</v>
      </c>
      <c r="E151" s="313">
        <v>0.94</v>
      </c>
      <c r="F151" s="313">
        <v>0.89</v>
      </c>
      <c r="G151" s="314">
        <v>0.85</v>
      </c>
      <c r="H151" s="314">
        <v>0.83</v>
      </c>
      <c r="I151" s="314">
        <v>0.82</v>
      </c>
      <c r="J151" s="314">
        <v>0.8</v>
      </c>
      <c r="K151" s="314">
        <v>0.8</v>
      </c>
      <c r="L151" s="324">
        <v>0.61</v>
      </c>
      <c r="M151" s="321">
        <v>0.6</v>
      </c>
      <c r="N151" s="321">
        <v>0.56999999999999995</v>
      </c>
      <c r="O151" s="321">
        <v>0.54</v>
      </c>
      <c r="P151" s="321">
        <v>0.51</v>
      </c>
      <c r="Q151" s="321">
        <v>0.48</v>
      </c>
      <c r="R151" s="321">
        <v>0.45</v>
      </c>
      <c r="S151" s="322">
        <v>0.45</v>
      </c>
      <c r="T151" s="313">
        <v>1.25</v>
      </c>
      <c r="U151" s="313">
        <v>1.21</v>
      </c>
      <c r="V151" s="313">
        <v>1.1499999999999999</v>
      </c>
      <c r="W151" s="313">
        <v>1.0900000000000001</v>
      </c>
      <c r="X151" s="313">
        <v>1.05</v>
      </c>
      <c r="Y151" s="313">
        <v>1.02</v>
      </c>
      <c r="Z151" s="314">
        <v>1</v>
      </c>
      <c r="AA151" s="314">
        <v>1</v>
      </c>
      <c r="AB151" s="317">
        <v>0.83</v>
      </c>
      <c r="AC151" s="321">
        <v>0.8</v>
      </c>
      <c r="AD151" s="321">
        <v>0.76</v>
      </c>
      <c r="AE151" s="321">
        <v>0.7</v>
      </c>
      <c r="AF151" s="321">
        <v>0.66</v>
      </c>
      <c r="AG151" s="317">
        <v>0.61</v>
      </c>
      <c r="AH151" s="317">
        <v>0.55000000000000004</v>
      </c>
      <c r="AI151" s="317">
        <v>0.55000000000000004</v>
      </c>
    </row>
    <row r="152" spans="1:35">
      <c r="A152" s="482" t="s">
        <v>1809</v>
      </c>
      <c r="B152" s="32" t="s">
        <v>1427</v>
      </c>
      <c r="C152" s="32" t="s">
        <v>1434</v>
      </c>
      <c r="D152" s="313">
        <v>0.98</v>
      </c>
      <c r="E152" s="313">
        <v>0.94</v>
      </c>
      <c r="F152" s="313">
        <v>0.89</v>
      </c>
      <c r="G152" s="314">
        <v>0.85</v>
      </c>
      <c r="H152" s="314">
        <v>0.83</v>
      </c>
      <c r="I152" s="314">
        <v>0.82</v>
      </c>
      <c r="J152" s="314">
        <v>0.8</v>
      </c>
      <c r="K152" s="314">
        <v>0.8</v>
      </c>
      <c r="L152" s="324">
        <v>0.61</v>
      </c>
      <c r="M152" s="321">
        <v>0.6</v>
      </c>
      <c r="N152" s="321">
        <v>0.56999999999999995</v>
      </c>
      <c r="O152" s="321">
        <v>0.54</v>
      </c>
      <c r="P152" s="321">
        <v>0.51</v>
      </c>
      <c r="Q152" s="321">
        <v>0.48</v>
      </c>
      <c r="R152" s="321">
        <v>0.45</v>
      </c>
      <c r="S152" s="322">
        <v>0.45</v>
      </c>
      <c r="T152" s="313">
        <v>1.25</v>
      </c>
      <c r="U152" s="313">
        <v>1.21</v>
      </c>
      <c r="V152" s="313">
        <v>1.1499999999999999</v>
      </c>
      <c r="W152" s="313">
        <v>1.0900000000000001</v>
      </c>
      <c r="X152" s="313">
        <v>1.05</v>
      </c>
      <c r="Y152" s="313">
        <v>1.02</v>
      </c>
      <c r="Z152" s="314">
        <v>1</v>
      </c>
      <c r="AA152" s="314">
        <v>1</v>
      </c>
      <c r="AB152" s="317">
        <v>0.83</v>
      </c>
      <c r="AC152" s="321">
        <v>0.8</v>
      </c>
      <c r="AD152" s="321">
        <v>0.76</v>
      </c>
      <c r="AE152" s="321">
        <v>0.7</v>
      </c>
      <c r="AF152" s="321">
        <v>0.66</v>
      </c>
      <c r="AG152" s="317">
        <v>0.61</v>
      </c>
      <c r="AH152" s="317">
        <v>0.55000000000000004</v>
      </c>
      <c r="AI152" s="317">
        <v>0.55000000000000004</v>
      </c>
    </row>
    <row r="153" spans="1:35">
      <c r="A153" s="482" t="s">
        <v>1809</v>
      </c>
      <c r="B153" s="32" t="s">
        <v>1427</v>
      </c>
      <c r="C153" s="32" t="s">
        <v>1477</v>
      </c>
      <c r="D153" s="313">
        <v>0.98</v>
      </c>
      <c r="E153" s="313">
        <v>0.94</v>
      </c>
      <c r="F153" s="313">
        <v>0.89</v>
      </c>
      <c r="G153" s="314">
        <v>0.85</v>
      </c>
      <c r="H153" s="314">
        <v>0.83</v>
      </c>
      <c r="I153" s="314">
        <v>0.82</v>
      </c>
      <c r="J153" s="314">
        <v>0.8</v>
      </c>
      <c r="K153" s="314">
        <v>0.8</v>
      </c>
      <c r="L153" s="324">
        <v>0.61</v>
      </c>
      <c r="M153" s="321">
        <v>0.6</v>
      </c>
      <c r="N153" s="321">
        <v>0.56999999999999995</v>
      </c>
      <c r="O153" s="321">
        <v>0.54</v>
      </c>
      <c r="P153" s="321">
        <v>0.51</v>
      </c>
      <c r="Q153" s="321">
        <v>0.48</v>
      </c>
      <c r="R153" s="321">
        <v>0.45</v>
      </c>
      <c r="S153" s="322">
        <v>0.45</v>
      </c>
      <c r="T153" s="313">
        <v>1.25</v>
      </c>
      <c r="U153" s="313">
        <v>1.21</v>
      </c>
      <c r="V153" s="313">
        <v>1.1499999999999999</v>
      </c>
      <c r="W153" s="313">
        <v>1.0900000000000001</v>
      </c>
      <c r="X153" s="313">
        <v>1.05</v>
      </c>
      <c r="Y153" s="313">
        <v>1.02</v>
      </c>
      <c r="Z153" s="314">
        <v>1</v>
      </c>
      <c r="AA153" s="314">
        <v>1</v>
      </c>
      <c r="AB153" s="317">
        <v>0.83</v>
      </c>
      <c r="AC153" s="321">
        <v>0.8</v>
      </c>
      <c r="AD153" s="321">
        <v>0.76</v>
      </c>
      <c r="AE153" s="321">
        <v>0.7</v>
      </c>
      <c r="AF153" s="321">
        <v>0.66</v>
      </c>
      <c r="AG153" s="317">
        <v>0.61</v>
      </c>
      <c r="AH153" s="317">
        <v>0.55000000000000004</v>
      </c>
      <c r="AI153" s="317">
        <v>0.55000000000000004</v>
      </c>
    </row>
    <row r="154" spans="1:35">
      <c r="A154" s="482" t="s">
        <v>1809</v>
      </c>
      <c r="B154" s="32" t="s">
        <v>1427</v>
      </c>
      <c r="C154" s="463" t="s">
        <v>106</v>
      </c>
      <c r="D154" s="313">
        <v>0.98</v>
      </c>
      <c r="E154" s="313">
        <v>0.94</v>
      </c>
      <c r="F154" s="313">
        <v>0.89</v>
      </c>
      <c r="G154" s="314">
        <v>0.85</v>
      </c>
      <c r="H154" s="314">
        <v>0.83</v>
      </c>
      <c r="I154" s="314">
        <v>0.82</v>
      </c>
      <c r="J154" s="314">
        <v>0.8</v>
      </c>
      <c r="K154" s="314">
        <v>0.8</v>
      </c>
      <c r="L154" s="324">
        <v>0.61</v>
      </c>
      <c r="M154" s="321">
        <v>0.6</v>
      </c>
      <c r="N154" s="321">
        <v>0.56999999999999995</v>
      </c>
      <c r="O154" s="321">
        <v>0.54</v>
      </c>
      <c r="P154" s="321">
        <v>0.51</v>
      </c>
      <c r="Q154" s="321">
        <v>0.48</v>
      </c>
      <c r="R154" s="321">
        <v>0.45</v>
      </c>
      <c r="S154" s="322">
        <v>0.45</v>
      </c>
      <c r="T154" s="313">
        <v>1.25</v>
      </c>
      <c r="U154" s="313">
        <v>1.21</v>
      </c>
      <c r="V154" s="313">
        <v>1.1499999999999999</v>
      </c>
      <c r="W154" s="313">
        <v>1.0900000000000001</v>
      </c>
      <c r="X154" s="313">
        <v>1.05</v>
      </c>
      <c r="Y154" s="313">
        <v>1.02</v>
      </c>
      <c r="Z154" s="314">
        <v>1</v>
      </c>
      <c r="AA154" s="314">
        <v>1</v>
      </c>
      <c r="AB154" s="317">
        <v>0.83</v>
      </c>
      <c r="AC154" s="321">
        <v>0.8</v>
      </c>
      <c r="AD154" s="321">
        <v>0.76</v>
      </c>
      <c r="AE154" s="321">
        <v>0.7</v>
      </c>
      <c r="AF154" s="321">
        <v>0.66</v>
      </c>
      <c r="AG154" s="317">
        <v>0.61</v>
      </c>
      <c r="AH154" s="317">
        <v>0.55000000000000004</v>
      </c>
      <c r="AI154" s="317">
        <v>0.55000000000000004</v>
      </c>
    </row>
    <row r="155" spans="1:35">
      <c r="A155" s="482" t="s">
        <v>1809</v>
      </c>
      <c r="B155" s="32" t="s">
        <v>1427</v>
      </c>
      <c r="C155" s="32" t="s">
        <v>1436</v>
      </c>
      <c r="D155" s="313">
        <v>0.98</v>
      </c>
      <c r="E155" s="313">
        <v>0.94</v>
      </c>
      <c r="F155" s="313">
        <v>0.89</v>
      </c>
      <c r="G155" s="314">
        <v>0.85</v>
      </c>
      <c r="H155" s="314">
        <v>0.83</v>
      </c>
      <c r="I155" s="314">
        <v>0.82</v>
      </c>
      <c r="J155" s="314">
        <v>0.8</v>
      </c>
      <c r="K155" s="314">
        <v>0.8</v>
      </c>
      <c r="L155" s="324">
        <v>0.61</v>
      </c>
      <c r="M155" s="321">
        <v>0.6</v>
      </c>
      <c r="N155" s="321">
        <v>0.56999999999999995</v>
      </c>
      <c r="O155" s="321">
        <v>0.54</v>
      </c>
      <c r="P155" s="321">
        <v>0.51</v>
      </c>
      <c r="Q155" s="321">
        <v>0.48</v>
      </c>
      <c r="R155" s="321">
        <v>0.45</v>
      </c>
      <c r="S155" s="322">
        <v>0.45</v>
      </c>
      <c r="T155" s="313">
        <v>1.25</v>
      </c>
      <c r="U155" s="313">
        <v>1.21</v>
      </c>
      <c r="V155" s="313">
        <v>1.1499999999999999</v>
      </c>
      <c r="W155" s="313">
        <v>1.0900000000000001</v>
      </c>
      <c r="X155" s="313">
        <v>1.05</v>
      </c>
      <c r="Y155" s="313">
        <v>1.02</v>
      </c>
      <c r="Z155" s="314">
        <v>1</v>
      </c>
      <c r="AA155" s="314">
        <v>1</v>
      </c>
      <c r="AB155" s="317">
        <v>0.83</v>
      </c>
      <c r="AC155" s="321">
        <v>0.8</v>
      </c>
      <c r="AD155" s="321">
        <v>0.76</v>
      </c>
      <c r="AE155" s="321">
        <v>0.7</v>
      </c>
      <c r="AF155" s="321">
        <v>0.66</v>
      </c>
      <c r="AG155" s="317">
        <v>0.61</v>
      </c>
      <c r="AH155" s="317">
        <v>0.55000000000000004</v>
      </c>
      <c r="AI155" s="317">
        <v>0.55000000000000004</v>
      </c>
    </row>
    <row r="156" spans="1:35">
      <c r="A156" s="482" t="s">
        <v>1809</v>
      </c>
      <c r="B156" s="32" t="s">
        <v>1427</v>
      </c>
      <c r="C156" s="165" t="s">
        <v>104</v>
      </c>
      <c r="D156" s="313">
        <v>0.98</v>
      </c>
      <c r="E156" s="313">
        <v>0.94</v>
      </c>
      <c r="F156" s="313">
        <v>0.89</v>
      </c>
      <c r="G156" s="314">
        <v>0.85</v>
      </c>
      <c r="H156" s="314">
        <v>0.83</v>
      </c>
      <c r="I156" s="314">
        <v>0.82</v>
      </c>
      <c r="J156" s="314">
        <v>0.8</v>
      </c>
      <c r="K156" s="314">
        <v>0.8</v>
      </c>
      <c r="L156" s="324">
        <v>0.61</v>
      </c>
      <c r="M156" s="321">
        <v>0.6</v>
      </c>
      <c r="N156" s="321">
        <v>0.56999999999999995</v>
      </c>
      <c r="O156" s="321">
        <v>0.54</v>
      </c>
      <c r="P156" s="321">
        <v>0.51</v>
      </c>
      <c r="Q156" s="321">
        <v>0.48</v>
      </c>
      <c r="R156" s="321">
        <v>0.45</v>
      </c>
      <c r="S156" s="322">
        <v>0.45</v>
      </c>
      <c r="T156" s="313">
        <v>1.25</v>
      </c>
      <c r="U156" s="313">
        <v>1.21</v>
      </c>
      <c r="V156" s="313">
        <v>1.1499999999999999</v>
      </c>
      <c r="W156" s="313">
        <v>1.0900000000000001</v>
      </c>
      <c r="X156" s="313">
        <v>1.05</v>
      </c>
      <c r="Y156" s="313">
        <v>1.02</v>
      </c>
      <c r="Z156" s="314">
        <v>1</v>
      </c>
      <c r="AA156" s="314">
        <v>1</v>
      </c>
      <c r="AB156" s="317">
        <v>0.83</v>
      </c>
      <c r="AC156" s="321">
        <v>0.8</v>
      </c>
      <c r="AD156" s="321">
        <v>0.76</v>
      </c>
      <c r="AE156" s="321">
        <v>0.7</v>
      </c>
      <c r="AF156" s="321">
        <v>0.66</v>
      </c>
      <c r="AG156" s="317">
        <v>0.61</v>
      </c>
      <c r="AH156" s="317">
        <v>0.55000000000000004</v>
      </c>
      <c r="AI156" s="317">
        <v>0.55000000000000004</v>
      </c>
    </row>
    <row r="157" spans="1:35">
      <c r="A157" s="482" t="s">
        <v>1809</v>
      </c>
      <c r="B157" s="32" t="s">
        <v>1427</v>
      </c>
      <c r="C157" s="32" t="s">
        <v>1640</v>
      </c>
      <c r="D157" s="313">
        <v>0.98</v>
      </c>
      <c r="E157" s="313">
        <v>0.94</v>
      </c>
      <c r="F157" s="313">
        <v>0.89</v>
      </c>
      <c r="G157" s="314">
        <v>0.85</v>
      </c>
      <c r="H157" s="314">
        <v>0.83</v>
      </c>
      <c r="I157" s="314">
        <v>0.82</v>
      </c>
      <c r="J157" s="314">
        <v>0.8</v>
      </c>
      <c r="K157" s="314">
        <v>0.8</v>
      </c>
      <c r="L157" s="324">
        <v>0.61</v>
      </c>
      <c r="M157" s="321">
        <v>0.6</v>
      </c>
      <c r="N157" s="321">
        <v>0.56999999999999995</v>
      </c>
      <c r="O157" s="321">
        <v>0.54</v>
      </c>
      <c r="P157" s="321">
        <v>0.51</v>
      </c>
      <c r="Q157" s="321">
        <v>0.48</v>
      </c>
      <c r="R157" s="321">
        <v>0.45</v>
      </c>
      <c r="S157" s="322">
        <v>0.45</v>
      </c>
      <c r="T157" s="313">
        <v>1.25</v>
      </c>
      <c r="U157" s="313">
        <v>1.21</v>
      </c>
      <c r="V157" s="313">
        <v>1.1499999999999999</v>
      </c>
      <c r="W157" s="313">
        <v>1.0900000000000001</v>
      </c>
      <c r="X157" s="313">
        <v>1.05</v>
      </c>
      <c r="Y157" s="313">
        <v>1.02</v>
      </c>
      <c r="Z157" s="314">
        <v>1</v>
      </c>
      <c r="AA157" s="314">
        <v>1</v>
      </c>
      <c r="AB157" s="317">
        <v>0.83</v>
      </c>
      <c r="AC157" s="321">
        <v>0.8</v>
      </c>
      <c r="AD157" s="321">
        <v>0.76</v>
      </c>
      <c r="AE157" s="321">
        <v>0.7</v>
      </c>
      <c r="AF157" s="321">
        <v>0.66</v>
      </c>
      <c r="AG157" s="317">
        <v>0.61</v>
      </c>
      <c r="AH157" s="317">
        <v>0.55000000000000004</v>
      </c>
      <c r="AI157" s="317">
        <v>0.55000000000000004</v>
      </c>
    </row>
    <row r="158" spans="1:35">
      <c r="A158" s="482" t="s">
        <v>1809</v>
      </c>
      <c r="B158" s="32" t="s">
        <v>1427</v>
      </c>
      <c r="C158" s="32" t="s">
        <v>1438</v>
      </c>
      <c r="D158" s="313">
        <v>0.98</v>
      </c>
      <c r="E158" s="313">
        <v>0.94</v>
      </c>
      <c r="F158" s="313">
        <v>0.89</v>
      </c>
      <c r="G158" s="314">
        <v>0.85</v>
      </c>
      <c r="H158" s="314">
        <v>0.83</v>
      </c>
      <c r="I158" s="314">
        <v>0.82</v>
      </c>
      <c r="J158" s="314">
        <v>0.8</v>
      </c>
      <c r="K158" s="314">
        <v>0.8</v>
      </c>
      <c r="L158" s="324">
        <v>0.61</v>
      </c>
      <c r="M158" s="321">
        <v>0.6</v>
      </c>
      <c r="N158" s="321">
        <v>0.56999999999999995</v>
      </c>
      <c r="O158" s="321">
        <v>0.54</v>
      </c>
      <c r="P158" s="321">
        <v>0.51</v>
      </c>
      <c r="Q158" s="321">
        <v>0.48</v>
      </c>
      <c r="R158" s="321">
        <v>0.45</v>
      </c>
      <c r="S158" s="322">
        <v>0.45</v>
      </c>
      <c r="T158" s="313">
        <v>1.25</v>
      </c>
      <c r="U158" s="313">
        <v>1.21</v>
      </c>
      <c r="V158" s="313">
        <v>1.1499999999999999</v>
      </c>
      <c r="W158" s="313">
        <v>1.0900000000000001</v>
      </c>
      <c r="X158" s="313">
        <v>1.05</v>
      </c>
      <c r="Y158" s="313">
        <v>1.02</v>
      </c>
      <c r="Z158" s="314">
        <v>1</v>
      </c>
      <c r="AA158" s="314">
        <v>1</v>
      </c>
      <c r="AB158" s="317">
        <v>0.83</v>
      </c>
      <c r="AC158" s="321">
        <v>0.8</v>
      </c>
      <c r="AD158" s="321">
        <v>0.76</v>
      </c>
      <c r="AE158" s="321">
        <v>0.7</v>
      </c>
      <c r="AF158" s="321">
        <v>0.66</v>
      </c>
      <c r="AG158" s="317">
        <v>0.61</v>
      </c>
      <c r="AH158" s="317">
        <v>0.55000000000000004</v>
      </c>
      <c r="AI158" s="317">
        <v>0.55000000000000004</v>
      </c>
    </row>
    <row r="159" spans="1:35">
      <c r="A159" s="482" t="s">
        <v>1809</v>
      </c>
      <c r="B159" s="32" t="s">
        <v>1427</v>
      </c>
      <c r="C159" s="32" t="s">
        <v>1439</v>
      </c>
      <c r="D159" s="313">
        <v>0.98</v>
      </c>
      <c r="E159" s="313">
        <v>0.94</v>
      </c>
      <c r="F159" s="313">
        <v>0.89</v>
      </c>
      <c r="G159" s="314">
        <v>0.85</v>
      </c>
      <c r="H159" s="314">
        <v>0.83</v>
      </c>
      <c r="I159" s="314">
        <v>0.82</v>
      </c>
      <c r="J159" s="314">
        <v>0.8</v>
      </c>
      <c r="K159" s="314">
        <v>0.8</v>
      </c>
      <c r="L159" s="324">
        <v>0.61</v>
      </c>
      <c r="M159" s="321">
        <v>0.6</v>
      </c>
      <c r="N159" s="321">
        <v>0.56999999999999995</v>
      </c>
      <c r="O159" s="321">
        <v>0.54</v>
      </c>
      <c r="P159" s="321">
        <v>0.51</v>
      </c>
      <c r="Q159" s="321">
        <v>0.48</v>
      </c>
      <c r="R159" s="321">
        <v>0.45</v>
      </c>
      <c r="S159" s="322">
        <v>0.45</v>
      </c>
      <c r="T159" s="313">
        <v>1.25</v>
      </c>
      <c r="U159" s="313">
        <v>1.21</v>
      </c>
      <c r="V159" s="313">
        <v>1.1499999999999999</v>
      </c>
      <c r="W159" s="313">
        <v>1.0900000000000001</v>
      </c>
      <c r="X159" s="313">
        <v>1.05</v>
      </c>
      <c r="Y159" s="313">
        <v>1.02</v>
      </c>
      <c r="Z159" s="314">
        <v>1</v>
      </c>
      <c r="AA159" s="314">
        <v>1</v>
      </c>
      <c r="AB159" s="317">
        <v>0.83</v>
      </c>
      <c r="AC159" s="321">
        <v>0.8</v>
      </c>
      <c r="AD159" s="321">
        <v>0.76</v>
      </c>
      <c r="AE159" s="321">
        <v>0.7</v>
      </c>
      <c r="AF159" s="321">
        <v>0.66</v>
      </c>
      <c r="AG159" s="317">
        <v>0.61</v>
      </c>
      <c r="AH159" s="317">
        <v>0.55000000000000004</v>
      </c>
      <c r="AI159" s="317">
        <v>0.55000000000000004</v>
      </c>
    </row>
    <row r="160" spans="1:35">
      <c r="A160" s="482" t="s">
        <v>1809</v>
      </c>
      <c r="B160" s="32" t="s">
        <v>1427</v>
      </c>
      <c r="C160" s="32" t="s">
        <v>1478</v>
      </c>
      <c r="D160" s="313">
        <v>0.98</v>
      </c>
      <c r="E160" s="313">
        <v>0.94</v>
      </c>
      <c r="F160" s="313">
        <v>0.89</v>
      </c>
      <c r="G160" s="314">
        <v>0.85</v>
      </c>
      <c r="H160" s="314">
        <v>0.83</v>
      </c>
      <c r="I160" s="314">
        <v>0.82</v>
      </c>
      <c r="J160" s="314">
        <v>0.8</v>
      </c>
      <c r="K160" s="314">
        <v>0.8</v>
      </c>
      <c r="L160" s="324">
        <v>0.61</v>
      </c>
      <c r="M160" s="321">
        <v>0.6</v>
      </c>
      <c r="N160" s="321">
        <v>0.56999999999999995</v>
      </c>
      <c r="O160" s="321">
        <v>0.54</v>
      </c>
      <c r="P160" s="321">
        <v>0.51</v>
      </c>
      <c r="Q160" s="321">
        <v>0.48</v>
      </c>
      <c r="R160" s="321">
        <v>0.45</v>
      </c>
      <c r="S160" s="322">
        <v>0.45</v>
      </c>
      <c r="T160" s="313">
        <v>1.25</v>
      </c>
      <c r="U160" s="313">
        <v>1.21</v>
      </c>
      <c r="V160" s="313">
        <v>1.1499999999999999</v>
      </c>
      <c r="W160" s="313">
        <v>1.0900000000000001</v>
      </c>
      <c r="X160" s="313">
        <v>1.05</v>
      </c>
      <c r="Y160" s="313">
        <v>1.02</v>
      </c>
      <c r="Z160" s="314">
        <v>1</v>
      </c>
      <c r="AA160" s="314">
        <v>1</v>
      </c>
      <c r="AB160" s="317">
        <v>0.83</v>
      </c>
      <c r="AC160" s="321">
        <v>0.8</v>
      </c>
      <c r="AD160" s="321">
        <v>0.76</v>
      </c>
      <c r="AE160" s="321">
        <v>0.7</v>
      </c>
      <c r="AF160" s="321">
        <v>0.66</v>
      </c>
      <c r="AG160" s="317">
        <v>0.61</v>
      </c>
      <c r="AH160" s="317">
        <v>0.55000000000000004</v>
      </c>
      <c r="AI160" s="317">
        <v>0.55000000000000004</v>
      </c>
    </row>
    <row r="161" spans="1:35">
      <c r="A161" s="482" t="s">
        <v>1809</v>
      </c>
      <c r="B161" s="32" t="s">
        <v>1427</v>
      </c>
      <c r="C161" s="32" t="s">
        <v>1479</v>
      </c>
      <c r="D161" s="313">
        <v>0.98</v>
      </c>
      <c r="E161" s="313">
        <v>0.94</v>
      </c>
      <c r="F161" s="313">
        <v>0.89</v>
      </c>
      <c r="G161" s="314">
        <v>0.85</v>
      </c>
      <c r="H161" s="314">
        <v>0.83</v>
      </c>
      <c r="I161" s="314">
        <v>0.82</v>
      </c>
      <c r="J161" s="314">
        <v>0.8</v>
      </c>
      <c r="K161" s="314">
        <v>0.8</v>
      </c>
      <c r="L161" s="324">
        <v>0.61</v>
      </c>
      <c r="M161" s="321">
        <v>0.6</v>
      </c>
      <c r="N161" s="321">
        <v>0.56999999999999995</v>
      </c>
      <c r="O161" s="321">
        <v>0.54</v>
      </c>
      <c r="P161" s="321">
        <v>0.51</v>
      </c>
      <c r="Q161" s="321">
        <v>0.48</v>
      </c>
      <c r="R161" s="321">
        <v>0.45</v>
      </c>
      <c r="S161" s="322">
        <v>0.45</v>
      </c>
      <c r="T161" s="313">
        <v>1.25</v>
      </c>
      <c r="U161" s="313">
        <v>1.21</v>
      </c>
      <c r="V161" s="313">
        <v>1.1499999999999999</v>
      </c>
      <c r="W161" s="313">
        <v>1.0900000000000001</v>
      </c>
      <c r="X161" s="313">
        <v>1.05</v>
      </c>
      <c r="Y161" s="313">
        <v>1.02</v>
      </c>
      <c r="Z161" s="314">
        <v>1</v>
      </c>
      <c r="AA161" s="314">
        <v>1</v>
      </c>
      <c r="AB161" s="317">
        <v>0.83</v>
      </c>
      <c r="AC161" s="321">
        <v>0.8</v>
      </c>
      <c r="AD161" s="321">
        <v>0.76</v>
      </c>
      <c r="AE161" s="321">
        <v>0.7</v>
      </c>
      <c r="AF161" s="321">
        <v>0.66</v>
      </c>
      <c r="AG161" s="317">
        <v>0.61</v>
      </c>
      <c r="AH161" s="317">
        <v>0.55000000000000004</v>
      </c>
      <c r="AI161" s="317">
        <v>0.55000000000000004</v>
      </c>
    </row>
    <row r="162" spans="1:35">
      <c r="A162" s="482" t="s">
        <v>1809</v>
      </c>
      <c r="B162" s="32" t="s">
        <v>1427</v>
      </c>
      <c r="C162" s="32" t="s">
        <v>1440</v>
      </c>
      <c r="D162" s="313">
        <v>0.98</v>
      </c>
      <c r="E162" s="313">
        <v>0.94</v>
      </c>
      <c r="F162" s="313">
        <v>0.89</v>
      </c>
      <c r="G162" s="314">
        <v>0.85</v>
      </c>
      <c r="H162" s="314">
        <v>0.83</v>
      </c>
      <c r="I162" s="314">
        <v>0.82</v>
      </c>
      <c r="J162" s="314">
        <v>0.8</v>
      </c>
      <c r="K162" s="314">
        <v>0.8</v>
      </c>
      <c r="L162" s="324">
        <v>0.61</v>
      </c>
      <c r="M162" s="321">
        <v>0.6</v>
      </c>
      <c r="N162" s="321">
        <v>0.56999999999999995</v>
      </c>
      <c r="O162" s="321">
        <v>0.54</v>
      </c>
      <c r="P162" s="321">
        <v>0.51</v>
      </c>
      <c r="Q162" s="321">
        <v>0.48</v>
      </c>
      <c r="R162" s="321">
        <v>0.45</v>
      </c>
      <c r="S162" s="322">
        <v>0.45</v>
      </c>
      <c r="T162" s="313">
        <v>1.25</v>
      </c>
      <c r="U162" s="313">
        <v>1.21</v>
      </c>
      <c r="V162" s="313">
        <v>1.1499999999999999</v>
      </c>
      <c r="W162" s="313">
        <v>1.0900000000000001</v>
      </c>
      <c r="X162" s="313">
        <v>1.05</v>
      </c>
      <c r="Y162" s="313">
        <v>1.02</v>
      </c>
      <c r="Z162" s="314">
        <v>1</v>
      </c>
      <c r="AA162" s="314">
        <v>1</v>
      </c>
      <c r="AB162" s="317">
        <v>0.83</v>
      </c>
      <c r="AC162" s="321">
        <v>0.8</v>
      </c>
      <c r="AD162" s="321">
        <v>0.76</v>
      </c>
      <c r="AE162" s="321">
        <v>0.7</v>
      </c>
      <c r="AF162" s="321">
        <v>0.66</v>
      </c>
      <c r="AG162" s="317">
        <v>0.61</v>
      </c>
      <c r="AH162" s="317">
        <v>0.55000000000000004</v>
      </c>
      <c r="AI162" s="317">
        <v>0.55000000000000004</v>
      </c>
    </row>
    <row r="163" spans="1:35">
      <c r="A163" s="482" t="s">
        <v>1809</v>
      </c>
      <c r="B163" s="32" t="s">
        <v>1427</v>
      </c>
      <c r="C163" s="32" t="s">
        <v>1480</v>
      </c>
      <c r="D163" s="313">
        <v>0.98</v>
      </c>
      <c r="E163" s="313">
        <v>0.94</v>
      </c>
      <c r="F163" s="313">
        <v>0.89</v>
      </c>
      <c r="G163" s="314">
        <v>0.85</v>
      </c>
      <c r="H163" s="314">
        <v>0.83</v>
      </c>
      <c r="I163" s="314">
        <v>0.82</v>
      </c>
      <c r="J163" s="314">
        <v>0.8</v>
      </c>
      <c r="K163" s="314">
        <v>0.8</v>
      </c>
      <c r="L163" s="324">
        <v>0.61</v>
      </c>
      <c r="M163" s="321">
        <v>0.6</v>
      </c>
      <c r="N163" s="321">
        <v>0.56999999999999995</v>
      </c>
      <c r="O163" s="321">
        <v>0.54</v>
      </c>
      <c r="P163" s="321">
        <v>0.51</v>
      </c>
      <c r="Q163" s="321">
        <v>0.48</v>
      </c>
      <c r="R163" s="321">
        <v>0.45</v>
      </c>
      <c r="S163" s="322">
        <v>0.45</v>
      </c>
      <c r="T163" s="313">
        <v>1.25</v>
      </c>
      <c r="U163" s="313">
        <v>1.21</v>
      </c>
      <c r="V163" s="313">
        <v>1.1499999999999999</v>
      </c>
      <c r="W163" s="313">
        <v>1.0900000000000001</v>
      </c>
      <c r="X163" s="313">
        <v>1.05</v>
      </c>
      <c r="Y163" s="313">
        <v>1.02</v>
      </c>
      <c r="Z163" s="314">
        <v>1</v>
      </c>
      <c r="AA163" s="314">
        <v>1</v>
      </c>
      <c r="AB163" s="317">
        <v>0.83</v>
      </c>
      <c r="AC163" s="321">
        <v>0.8</v>
      </c>
      <c r="AD163" s="321">
        <v>0.76</v>
      </c>
      <c r="AE163" s="321">
        <v>0.7</v>
      </c>
      <c r="AF163" s="321">
        <v>0.66</v>
      </c>
      <c r="AG163" s="317">
        <v>0.61</v>
      </c>
      <c r="AH163" s="317">
        <v>0.55000000000000004</v>
      </c>
      <c r="AI163" s="317">
        <v>0.55000000000000004</v>
      </c>
    </row>
    <row r="164" spans="1:35">
      <c r="A164" s="482" t="s">
        <v>1809</v>
      </c>
      <c r="B164" s="32" t="s">
        <v>1427</v>
      </c>
      <c r="C164" s="32" t="s">
        <v>1442</v>
      </c>
      <c r="D164" s="313">
        <v>0.98</v>
      </c>
      <c r="E164" s="313">
        <v>0.94</v>
      </c>
      <c r="F164" s="313">
        <v>0.89</v>
      </c>
      <c r="G164" s="314">
        <v>0.85</v>
      </c>
      <c r="H164" s="314">
        <v>0.83</v>
      </c>
      <c r="I164" s="314">
        <v>0.82</v>
      </c>
      <c r="J164" s="314">
        <v>0.8</v>
      </c>
      <c r="K164" s="314">
        <v>0.8</v>
      </c>
      <c r="L164" s="324">
        <v>0.61</v>
      </c>
      <c r="M164" s="321">
        <v>0.6</v>
      </c>
      <c r="N164" s="321">
        <v>0.56999999999999995</v>
      </c>
      <c r="O164" s="321">
        <v>0.54</v>
      </c>
      <c r="P164" s="321">
        <v>0.51</v>
      </c>
      <c r="Q164" s="321">
        <v>0.48</v>
      </c>
      <c r="R164" s="321">
        <v>0.45</v>
      </c>
      <c r="S164" s="322">
        <v>0.45</v>
      </c>
      <c r="T164" s="313">
        <v>1.25</v>
      </c>
      <c r="U164" s="313">
        <v>1.21</v>
      </c>
      <c r="V164" s="313">
        <v>1.1499999999999999</v>
      </c>
      <c r="W164" s="313">
        <v>1.0900000000000001</v>
      </c>
      <c r="X164" s="313">
        <v>1.05</v>
      </c>
      <c r="Y164" s="313">
        <v>1.02</v>
      </c>
      <c r="Z164" s="314">
        <v>1</v>
      </c>
      <c r="AA164" s="314">
        <v>1</v>
      </c>
      <c r="AB164" s="317">
        <v>0.83</v>
      </c>
      <c r="AC164" s="321">
        <v>0.8</v>
      </c>
      <c r="AD164" s="321">
        <v>0.76</v>
      </c>
      <c r="AE164" s="321">
        <v>0.7</v>
      </c>
      <c r="AF164" s="321">
        <v>0.66</v>
      </c>
      <c r="AG164" s="317">
        <v>0.61</v>
      </c>
      <c r="AH164" s="317">
        <v>0.55000000000000004</v>
      </c>
      <c r="AI164" s="317">
        <v>0.55000000000000004</v>
      </c>
    </row>
    <row r="165" spans="1:35">
      <c r="A165" s="482" t="s">
        <v>1809</v>
      </c>
      <c r="B165" s="32" t="s">
        <v>1427</v>
      </c>
      <c r="C165" s="32" t="s">
        <v>1445</v>
      </c>
      <c r="D165" s="313">
        <v>0.98</v>
      </c>
      <c r="E165" s="313">
        <v>0.94</v>
      </c>
      <c r="F165" s="313">
        <v>0.89</v>
      </c>
      <c r="G165" s="314">
        <v>0.85</v>
      </c>
      <c r="H165" s="314">
        <v>0.83</v>
      </c>
      <c r="I165" s="314">
        <v>0.82</v>
      </c>
      <c r="J165" s="314">
        <v>0.8</v>
      </c>
      <c r="K165" s="314">
        <v>0.8</v>
      </c>
      <c r="L165" s="324">
        <v>0.61</v>
      </c>
      <c r="M165" s="321">
        <v>0.6</v>
      </c>
      <c r="N165" s="321">
        <v>0.56999999999999995</v>
      </c>
      <c r="O165" s="321">
        <v>0.54</v>
      </c>
      <c r="P165" s="321">
        <v>0.51</v>
      </c>
      <c r="Q165" s="321">
        <v>0.48</v>
      </c>
      <c r="R165" s="321">
        <v>0.45</v>
      </c>
      <c r="S165" s="322">
        <v>0.45</v>
      </c>
      <c r="T165" s="313">
        <v>1.25</v>
      </c>
      <c r="U165" s="313">
        <v>1.21</v>
      </c>
      <c r="V165" s="313">
        <v>1.1499999999999999</v>
      </c>
      <c r="W165" s="313">
        <v>1.0900000000000001</v>
      </c>
      <c r="X165" s="313">
        <v>1.05</v>
      </c>
      <c r="Y165" s="313">
        <v>1.02</v>
      </c>
      <c r="Z165" s="314">
        <v>1</v>
      </c>
      <c r="AA165" s="314">
        <v>1</v>
      </c>
      <c r="AB165" s="317">
        <v>0.83</v>
      </c>
      <c r="AC165" s="321">
        <v>0.8</v>
      </c>
      <c r="AD165" s="321">
        <v>0.76</v>
      </c>
      <c r="AE165" s="321">
        <v>0.7</v>
      </c>
      <c r="AF165" s="321">
        <v>0.66</v>
      </c>
      <c r="AG165" s="317">
        <v>0.61</v>
      </c>
      <c r="AH165" s="317">
        <v>0.55000000000000004</v>
      </c>
      <c r="AI165" s="317">
        <v>0.55000000000000004</v>
      </c>
    </row>
    <row r="166" spans="1:35">
      <c r="A166" s="482" t="s">
        <v>1809</v>
      </c>
      <c r="B166" s="32" t="s">
        <v>1427</v>
      </c>
      <c r="C166" s="463" t="s">
        <v>119</v>
      </c>
      <c r="D166" s="313">
        <v>0.98</v>
      </c>
      <c r="E166" s="313">
        <v>0.94</v>
      </c>
      <c r="F166" s="313">
        <v>0.89</v>
      </c>
      <c r="G166" s="314">
        <v>0.85</v>
      </c>
      <c r="H166" s="314">
        <v>0.83</v>
      </c>
      <c r="I166" s="314">
        <v>0.82</v>
      </c>
      <c r="J166" s="314">
        <v>0.8</v>
      </c>
      <c r="K166" s="314">
        <v>0.8</v>
      </c>
      <c r="L166" s="324">
        <v>0.61</v>
      </c>
      <c r="M166" s="321">
        <v>0.6</v>
      </c>
      <c r="N166" s="321">
        <v>0.56999999999999995</v>
      </c>
      <c r="O166" s="321">
        <v>0.54</v>
      </c>
      <c r="P166" s="321">
        <v>0.51</v>
      </c>
      <c r="Q166" s="321">
        <v>0.48</v>
      </c>
      <c r="R166" s="321">
        <v>0.45</v>
      </c>
      <c r="S166" s="322">
        <v>0.45</v>
      </c>
      <c r="T166" s="313">
        <v>1.25</v>
      </c>
      <c r="U166" s="313">
        <v>1.21</v>
      </c>
      <c r="V166" s="313">
        <v>1.1499999999999999</v>
      </c>
      <c r="W166" s="313">
        <v>1.0900000000000001</v>
      </c>
      <c r="X166" s="313">
        <v>1.05</v>
      </c>
      <c r="Y166" s="313">
        <v>1.02</v>
      </c>
      <c r="Z166" s="314">
        <v>1</v>
      </c>
      <c r="AA166" s="314">
        <v>1</v>
      </c>
      <c r="AB166" s="317">
        <v>0.83</v>
      </c>
      <c r="AC166" s="321">
        <v>0.8</v>
      </c>
      <c r="AD166" s="321">
        <v>0.76</v>
      </c>
      <c r="AE166" s="321">
        <v>0.7</v>
      </c>
      <c r="AF166" s="321">
        <v>0.66</v>
      </c>
      <c r="AG166" s="317">
        <v>0.61</v>
      </c>
      <c r="AH166" s="317">
        <v>0.55000000000000004</v>
      </c>
      <c r="AI166" s="317">
        <v>0.55000000000000004</v>
      </c>
    </row>
    <row r="167" spans="1:35">
      <c r="A167" s="482" t="s">
        <v>1809</v>
      </c>
      <c r="B167" s="32" t="s">
        <v>1446</v>
      </c>
      <c r="C167" s="32" t="s">
        <v>1447</v>
      </c>
      <c r="D167" s="313">
        <v>0.98</v>
      </c>
      <c r="E167" s="313">
        <v>0.94</v>
      </c>
      <c r="F167" s="313">
        <v>0.89</v>
      </c>
      <c r="G167" s="314">
        <v>0.85</v>
      </c>
      <c r="H167" s="314">
        <v>0.83</v>
      </c>
      <c r="I167" s="314">
        <v>0.82</v>
      </c>
      <c r="J167" s="314">
        <v>0.8</v>
      </c>
      <c r="K167" s="314">
        <v>0.8</v>
      </c>
      <c r="L167" s="324">
        <v>0.61</v>
      </c>
      <c r="M167" s="321">
        <v>0.6</v>
      </c>
      <c r="N167" s="321">
        <v>0.56999999999999995</v>
      </c>
      <c r="O167" s="321">
        <v>0.54</v>
      </c>
      <c r="P167" s="321">
        <v>0.51</v>
      </c>
      <c r="Q167" s="321">
        <v>0.48</v>
      </c>
      <c r="R167" s="321">
        <v>0.45</v>
      </c>
      <c r="S167" s="322">
        <v>0.45</v>
      </c>
      <c r="T167" s="313">
        <v>1.25</v>
      </c>
      <c r="U167" s="313">
        <v>1.21</v>
      </c>
      <c r="V167" s="313">
        <v>1.1499999999999999</v>
      </c>
      <c r="W167" s="313">
        <v>1.0900000000000001</v>
      </c>
      <c r="X167" s="313">
        <v>1.05</v>
      </c>
      <c r="Y167" s="313">
        <v>1.02</v>
      </c>
      <c r="Z167" s="314">
        <v>1</v>
      </c>
      <c r="AA167" s="314">
        <v>1</v>
      </c>
      <c r="AB167" s="317">
        <v>0.83</v>
      </c>
      <c r="AC167" s="321">
        <v>0.8</v>
      </c>
      <c r="AD167" s="321">
        <v>0.76</v>
      </c>
      <c r="AE167" s="321">
        <v>0.7</v>
      </c>
      <c r="AF167" s="321">
        <v>0.66</v>
      </c>
      <c r="AG167" s="317">
        <v>0.61</v>
      </c>
      <c r="AH167" s="317">
        <v>0.55000000000000004</v>
      </c>
      <c r="AI167" s="317">
        <v>0.55000000000000004</v>
      </c>
    </row>
    <row r="168" spans="1:35">
      <c r="A168" s="482" t="s">
        <v>1809</v>
      </c>
      <c r="B168" s="32" t="s">
        <v>1446</v>
      </c>
      <c r="C168" s="32" t="s">
        <v>1450</v>
      </c>
      <c r="D168" s="313">
        <v>0.98</v>
      </c>
      <c r="E168" s="313">
        <v>0.94</v>
      </c>
      <c r="F168" s="313">
        <v>0.89</v>
      </c>
      <c r="G168" s="314">
        <v>0.85</v>
      </c>
      <c r="H168" s="314">
        <v>0.83</v>
      </c>
      <c r="I168" s="314">
        <v>0.82</v>
      </c>
      <c r="J168" s="314">
        <v>0.8</v>
      </c>
      <c r="K168" s="314">
        <v>0.8</v>
      </c>
      <c r="L168" s="324">
        <v>0.61</v>
      </c>
      <c r="M168" s="321">
        <v>0.6</v>
      </c>
      <c r="N168" s="321">
        <v>0.56999999999999995</v>
      </c>
      <c r="O168" s="321">
        <v>0.54</v>
      </c>
      <c r="P168" s="321">
        <v>0.51</v>
      </c>
      <c r="Q168" s="321">
        <v>0.48</v>
      </c>
      <c r="R168" s="321">
        <v>0.45</v>
      </c>
      <c r="S168" s="322">
        <v>0.45</v>
      </c>
      <c r="T168" s="313">
        <v>1.25</v>
      </c>
      <c r="U168" s="313">
        <v>1.21</v>
      </c>
      <c r="V168" s="313">
        <v>1.1499999999999999</v>
      </c>
      <c r="W168" s="313">
        <v>1.0900000000000001</v>
      </c>
      <c r="X168" s="313">
        <v>1.05</v>
      </c>
      <c r="Y168" s="313">
        <v>1.02</v>
      </c>
      <c r="Z168" s="314">
        <v>1</v>
      </c>
      <c r="AA168" s="314">
        <v>1</v>
      </c>
      <c r="AB168" s="317">
        <v>0.83</v>
      </c>
      <c r="AC168" s="321">
        <v>0.8</v>
      </c>
      <c r="AD168" s="321">
        <v>0.76</v>
      </c>
      <c r="AE168" s="321">
        <v>0.7</v>
      </c>
      <c r="AF168" s="321">
        <v>0.66</v>
      </c>
      <c r="AG168" s="317">
        <v>0.61</v>
      </c>
      <c r="AH168" s="317">
        <v>0.55000000000000004</v>
      </c>
      <c r="AI168" s="317">
        <v>0.55000000000000004</v>
      </c>
    </row>
    <row r="169" spans="1:35">
      <c r="A169" s="482" t="s">
        <v>1809</v>
      </c>
      <c r="B169" s="32" t="s">
        <v>1446</v>
      </c>
      <c r="C169" s="32" t="s">
        <v>1451</v>
      </c>
      <c r="D169" s="313">
        <v>0.98</v>
      </c>
      <c r="E169" s="313">
        <v>0.94</v>
      </c>
      <c r="F169" s="313">
        <v>0.89</v>
      </c>
      <c r="G169" s="314">
        <v>0.85</v>
      </c>
      <c r="H169" s="314">
        <v>0.83</v>
      </c>
      <c r="I169" s="314">
        <v>0.82</v>
      </c>
      <c r="J169" s="314">
        <v>0.8</v>
      </c>
      <c r="K169" s="314">
        <v>0.8</v>
      </c>
      <c r="L169" s="324">
        <v>0.61</v>
      </c>
      <c r="M169" s="321">
        <v>0.6</v>
      </c>
      <c r="N169" s="321">
        <v>0.56999999999999995</v>
      </c>
      <c r="O169" s="321">
        <v>0.54</v>
      </c>
      <c r="P169" s="321">
        <v>0.51</v>
      </c>
      <c r="Q169" s="321">
        <v>0.48</v>
      </c>
      <c r="R169" s="321">
        <v>0.45</v>
      </c>
      <c r="S169" s="322">
        <v>0.45</v>
      </c>
      <c r="T169" s="313">
        <v>1.25</v>
      </c>
      <c r="U169" s="313">
        <v>1.21</v>
      </c>
      <c r="V169" s="313">
        <v>1.1499999999999999</v>
      </c>
      <c r="W169" s="313">
        <v>1.0900000000000001</v>
      </c>
      <c r="X169" s="313">
        <v>1.05</v>
      </c>
      <c r="Y169" s="313">
        <v>1.02</v>
      </c>
      <c r="Z169" s="314">
        <v>1</v>
      </c>
      <c r="AA169" s="314">
        <v>1</v>
      </c>
      <c r="AB169" s="317">
        <v>0.83</v>
      </c>
      <c r="AC169" s="321">
        <v>0.8</v>
      </c>
      <c r="AD169" s="321">
        <v>0.76</v>
      </c>
      <c r="AE169" s="321">
        <v>0.7</v>
      </c>
      <c r="AF169" s="321">
        <v>0.66</v>
      </c>
      <c r="AG169" s="317">
        <v>0.61</v>
      </c>
      <c r="AH169" s="317">
        <v>0.55000000000000004</v>
      </c>
      <c r="AI169" s="317">
        <v>0.55000000000000004</v>
      </c>
    </row>
    <row r="170" spans="1:35">
      <c r="A170" s="482" t="s">
        <v>1809</v>
      </c>
      <c r="B170" s="32" t="s">
        <v>1446</v>
      </c>
      <c r="C170" s="32" t="s">
        <v>1453</v>
      </c>
      <c r="D170" s="313">
        <v>0.98</v>
      </c>
      <c r="E170" s="313">
        <v>0.94</v>
      </c>
      <c r="F170" s="313">
        <v>0.89</v>
      </c>
      <c r="G170" s="314">
        <v>0.85</v>
      </c>
      <c r="H170" s="314">
        <v>0.83</v>
      </c>
      <c r="I170" s="314">
        <v>0.82</v>
      </c>
      <c r="J170" s="314">
        <v>0.8</v>
      </c>
      <c r="K170" s="314">
        <v>0.8</v>
      </c>
      <c r="L170" s="324">
        <v>0.61</v>
      </c>
      <c r="M170" s="321">
        <v>0.6</v>
      </c>
      <c r="N170" s="321">
        <v>0.56999999999999995</v>
      </c>
      <c r="O170" s="321">
        <v>0.54</v>
      </c>
      <c r="P170" s="321">
        <v>0.51</v>
      </c>
      <c r="Q170" s="321">
        <v>0.48</v>
      </c>
      <c r="R170" s="321">
        <v>0.45</v>
      </c>
      <c r="S170" s="322">
        <v>0.45</v>
      </c>
      <c r="T170" s="313">
        <v>1.25</v>
      </c>
      <c r="U170" s="313">
        <v>1.21</v>
      </c>
      <c r="V170" s="313">
        <v>1.1499999999999999</v>
      </c>
      <c r="W170" s="313">
        <v>1.0900000000000001</v>
      </c>
      <c r="X170" s="313">
        <v>1.05</v>
      </c>
      <c r="Y170" s="313">
        <v>1.02</v>
      </c>
      <c r="Z170" s="314">
        <v>1</v>
      </c>
      <c r="AA170" s="314">
        <v>1</v>
      </c>
      <c r="AB170" s="317">
        <v>0.83</v>
      </c>
      <c r="AC170" s="321">
        <v>0.8</v>
      </c>
      <c r="AD170" s="321">
        <v>0.76</v>
      </c>
      <c r="AE170" s="321">
        <v>0.7</v>
      </c>
      <c r="AF170" s="321">
        <v>0.66</v>
      </c>
      <c r="AG170" s="317">
        <v>0.61</v>
      </c>
      <c r="AH170" s="317">
        <v>0.55000000000000004</v>
      </c>
      <c r="AI170" s="317">
        <v>0.55000000000000004</v>
      </c>
    </row>
    <row r="171" spans="1:35">
      <c r="A171" s="482" t="s">
        <v>1809</v>
      </c>
      <c r="B171" s="32" t="s">
        <v>1446</v>
      </c>
      <c r="C171" s="32" t="s">
        <v>1454</v>
      </c>
      <c r="D171" s="313">
        <v>0.98</v>
      </c>
      <c r="E171" s="313">
        <v>0.94</v>
      </c>
      <c r="F171" s="313">
        <v>0.89</v>
      </c>
      <c r="G171" s="314">
        <v>0.85</v>
      </c>
      <c r="H171" s="314">
        <v>0.83</v>
      </c>
      <c r="I171" s="314">
        <v>0.82</v>
      </c>
      <c r="J171" s="314">
        <v>0.8</v>
      </c>
      <c r="K171" s="314">
        <v>0.8</v>
      </c>
      <c r="L171" s="324">
        <v>0.61</v>
      </c>
      <c r="M171" s="321">
        <v>0.6</v>
      </c>
      <c r="N171" s="321">
        <v>0.56999999999999995</v>
      </c>
      <c r="O171" s="321">
        <v>0.54</v>
      </c>
      <c r="P171" s="321">
        <v>0.51</v>
      </c>
      <c r="Q171" s="321">
        <v>0.48</v>
      </c>
      <c r="R171" s="321">
        <v>0.45</v>
      </c>
      <c r="S171" s="322">
        <v>0.45</v>
      </c>
      <c r="T171" s="313">
        <v>1.25</v>
      </c>
      <c r="U171" s="313">
        <v>1.21</v>
      </c>
      <c r="V171" s="313">
        <v>1.1499999999999999</v>
      </c>
      <c r="W171" s="313">
        <v>1.0900000000000001</v>
      </c>
      <c r="X171" s="313">
        <v>1.05</v>
      </c>
      <c r="Y171" s="313">
        <v>1.02</v>
      </c>
      <c r="Z171" s="314">
        <v>1</v>
      </c>
      <c r="AA171" s="314">
        <v>1</v>
      </c>
      <c r="AB171" s="317">
        <v>0.83</v>
      </c>
      <c r="AC171" s="321">
        <v>0.8</v>
      </c>
      <c r="AD171" s="321">
        <v>0.76</v>
      </c>
      <c r="AE171" s="321">
        <v>0.7</v>
      </c>
      <c r="AF171" s="321">
        <v>0.66</v>
      </c>
      <c r="AG171" s="317">
        <v>0.61</v>
      </c>
      <c r="AH171" s="317">
        <v>0.55000000000000004</v>
      </c>
      <c r="AI171" s="317">
        <v>0.55000000000000004</v>
      </c>
    </row>
    <row r="172" spans="1:35">
      <c r="A172" s="482" t="s">
        <v>1809</v>
      </c>
      <c r="B172" s="32" t="s">
        <v>1446</v>
      </c>
      <c r="C172" s="32" t="s">
        <v>1455</v>
      </c>
      <c r="D172" s="313">
        <v>0.98</v>
      </c>
      <c r="E172" s="313">
        <v>0.94</v>
      </c>
      <c r="F172" s="313">
        <v>0.89</v>
      </c>
      <c r="G172" s="314">
        <v>0.85</v>
      </c>
      <c r="H172" s="314">
        <v>0.83</v>
      </c>
      <c r="I172" s="314">
        <v>0.82</v>
      </c>
      <c r="J172" s="314">
        <v>0.8</v>
      </c>
      <c r="K172" s="314">
        <v>0.8</v>
      </c>
      <c r="L172" s="324">
        <v>0.61</v>
      </c>
      <c r="M172" s="321">
        <v>0.6</v>
      </c>
      <c r="N172" s="321">
        <v>0.56999999999999995</v>
      </c>
      <c r="O172" s="321">
        <v>0.54</v>
      </c>
      <c r="P172" s="321">
        <v>0.51</v>
      </c>
      <c r="Q172" s="321">
        <v>0.48</v>
      </c>
      <c r="R172" s="321">
        <v>0.45</v>
      </c>
      <c r="S172" s="322">
        <v>0.45</v>
      </c>
      <c r="T172" s="313">
        <v>1.25</v>
      </c>
      <c r="U172" s="313">
        <v>1.21</v>
      </c>
      <c r="V172" s="313">
        <v>1.1499999999999999</v>
      </c>
      <c r="W172" s="313">
        <v>1.0900000000000001</v>
      </c>
      <c r="X172" s="313">
        <v>1.05</v>
      </c>
      <c r="Y172" s="313">
        <v>1.02</v>
      </c>
      <c r="Z172" s="314">
        <v>1</v>
      </c>
      <c r="AA172" s="314">
        <v>1</v>
      </c>
      <c r="AB172" s="317">
        <v>0.83</v>
      </c>
      <c r="AC172" s="321">
        <v>0.8</v>
      </c>
      <c r="AD172" s="321">
        <v>0.76</v>
      </c>
      <c r="AE172" s="321">
        <v>0.7</v>
      </c>
      <c r="AF172" s="321">
        <v>0.66</v>
      </c>
      <c r="AG172" s="317">
        <v>0.61</v>
      </c>
      <c r="AH172" s="317">
        <v>0.55000000000000004</v>
      </c>
      <c r="AI172" s="317">
        <v>0.55000000000000004</v>
      </c>
    </row>
    <row r="173" spans="1:35">
      <c r="A173" s="482" t="s">
        <v>1809</v>
      </c>
      <c r="B173" s="32" t="s">
        <v>1446</v>
      </c>
      <c r="C173" s="32" t="s">
        <v>1458</v>
      </c>
      <c r="D173" s="313">
        <v>0.98</v>
      </c>
      <c r="E173" s="313">
        <v>0.94</v>
      </c>
      <c r="F173" s="313">
        <v>0.89</v>
      </c>
      <c r="G173" s="314">
        <v>0.85</v>
      </c>
      <c r="H173" s="314">
        <v>0.83</v>
      </c>
      <c r="I173" s="314">
        <v>0.82</v>
      </c>
      <c r="J173" s="314">
        <v>0.8</v>
      </c>
      <c r="K173" s="314">
        <v>0.8</v>
      </c>
      <c r="L173" s="324">
        <v>0.61</v>
      </c>
      <c r="M173" s="321">
        <v>0.6</v>
      </c>
      <c r="N173" s="321">
        <v>0.56999999999999995</v>
      </c>
      <c r="O173" s="321">
        <v>0.54</v>
      </c>
      <c r="P173" s="321">
        <v>0.51</v>
      </c>
      <c r="Q173" s="321">
        <v>0.48</v>
      </c>
      <c r="R173" s="321">
        <v>0.45</v>
      </c>
      <c r="S173" s="322">
        <v>0.45</v>
      </c>
      <c r="T173" s="313">
        <v>1.25</v>
      </c>
      <c r="U173" s="313">
        <v>1.21</v>
      </c>
      <c r="V173" s="313">
        <v>1.1499999999999999</v>
      </c>
      <c r="W173" s="313">
        <v>1.0900000000000001</v>
      </c>
      <c r="X173" s="313">
        <v>1.05</v>
      </c>
      <c r="Y173" s="313">
        <v>1.02</v>
      </c>
      <c r="Z173" s="314">
        <v>1</v>
      </c>
      <c r="AA173" s="314">
        <v>1</v>
      </c>
      <c r="AB173" s="317">
        <v>0.83</v>
      </c>
      <c r="AC173" s="321">
        <v>0.8</v>
      </c>
      <c r="AD173" s="321">
        <v>0.76</v>
      </c>
      <c r="AE173" s="321">
        <v>0.7</v>
      </c>
      <c r="AF173" s="321">
        <v>0.66</v>
      </c>
      <c r="AG173" s="317">
        <v>0.61</v>
      </c>
      <c r="AH173" s="317">
        <v>0.55000000000000004</v>
      </c>
      <c r="AI173" s="317">
        <v>0.55000000000000004</v>
      </c>
    </row>
    <row r="174" spans="1:35">
      <c r="A174" s="482" t="s">
        <v>1809</v>
      </c>
      <c r="B174" s="32" t="s">
        <v>1446</v>
      </c>
      <c r="C174" s="32" t="s">
        <v>1459</v>
      </c>
      <c r="D174" s="313">
        <v>0.98</v>
      </c>
      <c r="E174" s="313">
        <v>0.94</v>
      </c>
      <c r="F174" s="313">
        <v>0.89</v>
      </c>
      <c r="G174" s="314">
        <v>0.85</v>
      </c>
      <c r="H174" s="314">
        <v>0.83</v>
      </c>
      <c r="I174" s="314">
        <v>0.82</v>
      </c>
      <c r="J174" s="314">
        <v>0.8</v>
      </c>
      <c r="K174" s="314">
        <v>0.8</v>
      </c>
      <c r="L174" s="324">
        <v>0.61</v>
      </c>
      <c r="M174" s="321">
        <v>0.6</v>
      </c>
      <c r="N174" s="321">
        <v>0.56999999999999995</v>
      </c>
      <c r="O174" s="321">
        <v>0.54</v>
      </c>
      <c r="P174" s="321">
        <v>0.51</v>
      </c>
      <c r="Q174" s="321">
        <v>0.48</v>
      </c>
      <c r="R174" s="321">
        <v>0.45</v>
      </c>
      <c r="S174" s="322">
        <v>0.45</v>
      </c>
      <c r="T174" s="313">
        <v>1.25</v>
      </c>
      <c r="U174" s="313">
        <v>1.21</v>
      </c>
      <c r="V174" s="313">
        <v>1.1499999999999999</v>
      </c>
      <c r="W174" s="313">
        <v>1.0900000000000001</v>
      </c>
      <c r="X174" s="313">
        <v>1.05</v>
      </c>
      <c r="Y174" s="313">
        <v>1.02</v>
      </c>
      <c r="Z174" s="314">
        <v>1</v>
      </c>
      <c r="AA174" s="314">
        <v>1</v>
      </c>
      <c r="AB174" s="317">
        <v>0.83</v>
      </c>
      <c r="AC174" s="321">
        <v>0.8</v>
      </c>
      <c r="AD174" s="321">
        <v>0.76</v>
      </c>
      <c r="AE174" s="321">
        <v>0.7</v>
      </c>
      <c r="AF174" s="321">
        <v>0.66</v>
      </c>
      <c r="AG174" s="317">
        <v>0.61</v>
      </c>
      <c r="AH174" s="317">
        <v>0.55000000000000004</v>
      </c>
      <c r="AI174" s="317">
        <v>0.55000000000000004</v>
      </c>
    </row>
    <row r="175" spans="1:35">
      <c r="A175" s="482" t="s">
        <v>1809</v>
      </c>
      <c r="B175" s="32" t="s">
        <v>1328</v>
      </c>
      <c r="C175" s="32" t="s">
        <v>1464</v>
      </c>
      <c r="D175" s="313">
        <v>0.98</v>
      </c>
      <c r="E175" s="313">
        <v>0.94</v>
      </c>
      <c r="F175" s="313">
        <v>0.89</v>
      </c>
      <c r="G175" s="314">
        <v>0.85</v>
      </c>
      <c r="H175" s="314">
        <v>0.83</v>
      </c>
      <c r="I175" s="314">
        <v>0.82</v>
      </c>
      <c r="J175" s="314">
        <v>0.8</v>
      </c>
      <c r="K175" s="314">
        <v>0.8</v>
      </c>
      <c r="L175" s="324">
        <v>0.61</v>
      </c>
      <c r="M175" s="321">
        <v>0.6</v>
      </c>
      <c r="N175" s="321">
        <v>0.56999999999999995</v>
      </c>
      <c r="O175" s="321">
        <v>0.54</v>
      </c>
      <c r="P175" s="321">
        <v>0.51</v>
      </c>
      <c r="Q175" s="321">
        <v>0.48</v>
      </c>
      <c r="R175" s="321">
        <v>0.45</v>
      </c>
      <c r="S175" s="322">
        <v>0.45</v>
      </c>
      <c r="T175" s="313">
        <v>1.25</v>
      </c>
      <c r="U175" s="313">
        <v>1.21</v>
      </c>
      <c r="V175" s="313">
        <v>1.1499999999999999</v>
      </c>
      <c r="W175" s="313">
        <v>1.0900000000000001</v>
      </c>
      <c r="X175" s="313">
        <v>1.05</v>
      </c>
      <c r="Y175" s="313">
        <v>1.02</v>
      </c>
      <c r="Z175" s="314">
        <v>1</v>
      </c>
      <c r="AA175" s="314">
        <v>1</v>
      </c>
      <c r="AB175" s="317">
        <v>0.83</v>
      </c>
      <c r="AC175" s="321">
        <v>0.8</v>
      </c>
      <c r="AD175" s="321">
        <v>0.76</v>
      </c>
      <c r="AE175" s="321">
        <v>0.7</v>
      </c>
      <c r="AF175" s="321">
        <v>0.66</v>
      </c>
      <c r="AG175" s="317">
        <v>0.61</v>
      </c>
      <c r="AH175" s="317">
        <v>0.55000000000000004</v>
      </c>
      <c r="AI175" s="317">
        <v>0.55000000000000004</v>
      </c>
    </row>
    <row r="176" spans="1:35">
      <c r="A176" s="482" t="s">
        <v>1809</v>
      </c>
      <c r="B176" s="32" t="s">
        <v>1328</v>
      </c>
      <c r="C176" s="32" t="s">
        <v>1465</v>
      </c>
      <c r="D176" s="313">
        <v>0.98</v>
      </c>
      <c r="E176" s="313">
        <v>0.94</v>
      </c>
      <c r="F176" s="313">
        <v>0.89</v>
      </c>
      <c r="G176" s="314">
        <v>0.85</v>
      </c>
      <c r="H176" s="314">
        <v>0.83</v>
      </c>
      <c r="I176" s="314">
        <v>0.82</v>
      </c>
      <c r="J176" s="314">
        <v>0.8</v>
      </c>
      <c r="K176" s="314">
        <v>0.8</v>
      </c>
      <c r="L176" s="324">
        <v>0.61</v>
      </c>
      <c r="M176" s="321">
        <v>0.6</v>
      </c>
      <c r="N176" s="321">
        <v>0.56999999999999995</v>
      </c>
      <c r="O176" s="321">
        <v>0.54</v>
      </c>
      <c r="P176" s="321">
        <v>0.51</v>
      </c>
      <c r="Q176" s="321">
        <v>0.48</v>
      </c>
      <c r="R176" s="321">
        <v>0.45</v>
      </c>
      <c r="S176" s="322">
        <v>0.45</v>
      </c>
      <c r="T176" s="313">
        <v>1.25</v>
      </c>
      <c r="U176" s="313">
        <v>1.21</v>
      </c>
      <c r="V176" s="313">
        <v>1.1499999999999999</v>
      </c>
      <c r="W176" s="313">
        <v>1.0900000000000001</v>
      </c>
      <c r="X176" s="313">
        <v>1.05</v>
      </c>
      <c r="Y176" s="313">
        <v>1.02</v>
      </c>
      <c r="Z176" s="314">
        <v>1</v>
      </c>
      <c r="AA176" s="314">
        <v>1</v>
      </c>
      <c r="AB176" s="317">
        <v>0.83</v>
      </c>
      <c r="AC176" s="321">
        <v>0.8</v>
      </c>
      <c r="AD176" s="321">
        <v>0.76</v>
      </c>
      <c r="AE176" s="321">
        <v>0.7</v>
      </c>
      <c r="AF176" s="321">
        <v>0.66</v>
      </c>
      <c r="AG176" s="317">
        <v>0.61</v>
      </c>
      <c r="AH176" s="317">
        <v>0.55000000000000004</v>
      </c>
      <c r="AI176" s="317">
        <v>0.55000000000000004</v>
      </c>
    </row>
    <row r="177" spans="1:35">
      <c r="A177" s="482" t="s">
        <v>1809</v>
      </c>
      <c r="B177" s="32" t="s">
        <v>1328</v>
      </c>
      <c r="C177" s="32" t="s">
        <v>1466</v>
      </c>
      <c r="D177" s="313">
        <v>0.98</v>
      </c>
      <c r="E177" s="313">
        <v>0.94</v>
      </c>
      <c r="F177" s="313">
        <v>0.89</v>
      </c>
      <c r="G177" s="314">
        <v>0.85</v>
      </c>
      <c r="H177" s="314">
        <v>0.83</v>
      </c>
      <c r="I177" s="314">
        <v>0.82</v>
      </c>
      <c r="J177" s="314">
        <v>0.8</v>
      </c>
      <c r="K177" s="314">
        <v>0.8</v>
      </c>
      <c r="L177" s="324">
        <v>0.61</v>
      </c>
      <c r="M177" s="321">
        <v>0.6</v>
      </c>
      <c r="N177" s="321">
        <v>0.56999999999999995</v>
      </c>
      <c r="O177" s="321">
        <v>0.54</v>
      </c>
      <c r="P177" s="321">
        <v>0.51</v>
      </c>
      <c r="Q177" s="321">
        <v>0.48</v>
      </c>
      <c r="R177" s="321">
        <v>0.45</v>
      </c>
      <c r="S177" s="322">
        <v>0.45</v>
      </c>
      <c r="T177" s="313">
        <v>1.25</v>
      </c>
      <c r="U177" s="313">
        <v>1.21</v>
      </c>
      <c r="V177" s="313">
        <v>1.1499999999999999</v>
      </c>
      <c r="W177" s="313">
        <v>1.0900000000000001</v>
      </c>
      <c r="X177" s="313">
        <v>1.05</v>
      </c>
      <c r="Y177" s="313">
        <v>1.02</v>
      </c>
      <c r="Z177" s="314">
        <v>1</v>
      </c>
      <c r="AA177" s="314">
        <v>1</v>
      </c>
      <c r="AB177" s="317">
        <v>0.83</v>
      </c>
      <c r="AC177" s="321">
        <v>0.8</v>
      </c>
      <c r="AD177" s="321">
        <v>0.76</v>
      </c>
      <c r="AE177" s="321">
        <v>0.7</v>
      </c>
      <c r="AF177" s="321">
        <v>0.66</v>
      </c>
      <c r="AG177" s="317">
        <v>0.61</v>
      </c>
      <c r="AH177" s="317">
        <v>0.55000000000000004</v>
      </c>
      <c r="AI177" s="317">
        <v>0.55000000000000004</v>
      </c>
    </row>
    <row r="178" spans="1:35">
      <c r="A178" s="482" t="s">
        <v>1809</v>
      </c>
      <c r="B178" s="32" t="s">
        <v>1328</v>
      </c>
      <c r="C178" s="32" t="s">
        <v>1467</v>
      </c>
      <c r="D178" s="313">
        <v>0.98</v>
      </c>
      <c r="E178" s="313">
        <v>0.94</v>
      </c>
      <c r="F178" s="313">
        <v>0.89</v>
      </c>
      <c r="G178" s="314">
        <v>0.85</v>
      </c>
      <c r="H178" s="314">
        <v>0.83</v>
      </c>
      <c r="I178" s="314">
        <v>0.82</v>
      </c>
      <c r="J178" s="314">
        <v>0.8</v>
      </c>
      <c r="K178" s="314">
        <v>0.8</v>
      </c>
      <c r="L178" s="324">
        <v>0.61</v>
      </c>
      <c r="M178" s="321">
        <v>0.6</v>
      </c>
      <c r="N178" s="321">
        <v>0.56999999999999995</v>
      </c>
      <c r="O178" s="321">
        <v>0.54</v>
      </c>
      <c r="P178" s="321">
        <v>0.51</v>
      </c>
      <c r="Q178" s="321">
        <v>0.48</v>
      </c>
      <c r="R178" s="321">
        <v>0.45</v>
      </c>
      <c r="S178" s="322">
        <v>0.45</v>
      </c>
      <c r="T178" s="313">
        <v>1.25</v>
      </c>
      <c r="U178" s="313">
        <v>1.21</v>
      </c>
      <c r="V178" s="313">
        <v>1.1499999999999999</v>
      </c>
      <c r="W178" s="313">
        <v>1.0900000000000001</v>
      </c>
      <c r="X178" s="313">
        <v>1.05</v>
      </c>
      <c r="Y178" s="313">
        <v>1.02</v>
      </c>
      <c r="Z178" s="314">
        <v>1</v>
      </c>
      <c r="AA178" s="314">
        <v>1</v>
      </c>
      <c r="AB178" s="317">
        <v>0.83</v>
      </c>
      <c r="AC178" s="321">
        <v>0.8</v>
      </c>
      <c r="AD178" s="321">
        <v>0.76</v>
      </c>
      <c r="AE178" s="321">
        <v>0.7</v>
      </c>
      <c r="AF178" s="321">
        <v>0.66</v>
      </c>
      <c r="AG178" s="317">
        <v>0.61</v>
      </c>
      <c r="AH178" s="317">
        <v>0.55000000000000004</v>
      </c>
      <c r="AI178" s="317">
        <v>0.55000000000000004</v>
      </c>
    </row>
    <row r="179" spans="1:35">
      <c r="A179" s="482" t="s">
        <v>1809</v>
      </c>
      <c r="B179" s="32" t="s">
        <v>1328</v>
      </c>
      <c r="C179" s="463" t="s">
        <v>160</v>
      </c>
      <c r="D179" s="313">
        <v>0.98</v>
      </c>
      <c r="E179" s="313">
        <v>0.94</v>
      </c>
      <c r="F179" s="313">
        <v>0.89</v>
      </c>
      <c r="G179" s="314">
        <v>0.85</v>
      </c>
      <c r="H179" s="314">
        <v>0.83</v>
      </c>
      <c r="I179" s="314">
        <v>0.82</v>
      </c>
      <c r="J179" s="314">
        <v>0.8</v>
      </c>
      <c r="K179" s="314">
        <v>0.8</v>
      </c>
      <c r="L179" s="324">
        <v>0.61</v>
      </c>
      <c r="M179" s="321">
        <v>0.6</v>
      </c>
      <c r="N179" s="321">
        <v>0.56999999999999995</v>
      </c>
      <c r="O179" s="321">
        <v>0.54</v>
      </c>
      <c r="P179" s="321">
        <v>0.51</v>
      </c>
      <c r="Q179" s="321">
        <v>0.48</v>
      </c>
      <c r="R179" s="321">
        <v>0.45</v>
      </c>
      <c r="S179" s="322">
        <v>0.45</v>
      </c>
      <c r="T179" s="313">
        <v>1.25</v>
      </c>
      <c r="U179" s="313">
        <v>1.21</v>
      </c>
      <c r="V179" s="313">
        <v>1.1499999999999999</v>
      </c>
      <c r="W179" s="313">
        <v>1.0900000000000001</v>
      </c>
      <c r="X179" s="313">
        <v>1.05</v>
      </c>
      <c r="Y179" s="313">
        <v>1.02</v>
      </c>
      <c r="Z179" s="314">
        <v>1</v>
      </c>
      <c r="AA179" s="314">
        <v>1</v>
      </c>
      <c r="AB179" s="317">
        <v>0.83</v>
      </c>
      <c r="AC179" s="321">
        <v>0.8</v>
      </c>
      <c r="AD179" s="321">
        <v>0.76</v>
      </c>
      <c r="AE179" s="321">
        <v>0.7</v>
      </c>
      <c r="AF179" s="321">
        <v>0.66</v>
      </c>
      <c r="AG179" s="317">
        <v>0.61</v>
      </c>
      <c r="AH179" s="317">
        <v>0.55000000000000004</v>
      </c>
      <c r="AI179" s="317">
        <v>0.55000000000000004</v>
      </c>
    </row>
    <row r="180" spans="1:35">
      <c r="A180" s="482" t="s">
        <v>1809</v>
      </c>
      <c r="B180" s="32" t="s">
        <v>1328</v>
      </c>
      <c r="C180" s="32" t="s">
        <v>1487</v>
      </c>
      <c r="D180" s="313">
        <v>0.98</v>
      </c>
      <c r="E180" s="313">
        <v>0.94</v>
      </c>
      <c r="F180" s="313">
        <v>0.89</v>
      </c>
      <c r="G180" s="314">
        <v>0.85</v>
      </c>
      <c r="H180" s="314">
        <v>0.83</v>
      </c>
      <c r="I180" s="314">
        <v>0.82</v>
      </c>
      <c r="J180" s="314">
        <v>0.8</v>
      </c>
      <c r="K180" s="314">
        <v>0.8</v>
      </c>
      <c r="L180" s="324">
        <v>0.61</v>
      </c>
      <c r="M180" s="321">
        <v>0.6</v>
      </c>
      <c r="N180" s="321">
        <v>0.56999999999999995</v>
      </c>
      <c r="O180" s="321">
        <v>0.54</v>
      </c>
      <c r="P180" s="321">
        <v>0.51</v>
      </c>
      <c r="Q180" s="321">
        <v>0.48</v>
      </c>
      <c r="R180" s="321">
        <v>0.45</v>
      </c>
      <c r="S180" s="322">
        <v>0.45</v>
      </c>
      <c r="T180" s="313">
        <v>1.25</v>
      </c>
      <c r="U180" s="313">
        <v>1.21</v>
      </c>
      <c r="V180" s="313">
        <v>1.1499999999999999</v>
      </c>
      <c r="W180" s="313">
        <v>1.0900000000000001</v>
      </c>
      <c r="X180" s="313">
        <v>1.05</v>
      </c>
      <c r="Y180" s="313">
        <v>1.02</v>
      </c>
      <c r="Z180" s="314">
        <v>1</v>
      </c>
      <c r="AA180" s="314">
        <v>1</v>
      </c>
      <c r="AB180" s="317">
        <v>0.83</v>
      </c>
      <c r="AC180" s="321">
        <v>0.8</v>
      </c>
      <c r="AD180" s="321">
        <v>0.76</v>
      </c>
      <c r="AE180" s="321">
        <v>0.7</v>
      </c>
      <c r="AF180" s="321">
        <v>0.66</v>
      </c>
      <c r="AG180" s="317">
        <v>0.61</v>
      </c>
      <c r="AH180" s="317">
        <v>0.55000000000000004</v>
      </c>
      <c r="AI180" s="317">
        <v>0.55000000000000004</v>
      </c>
    </row>
    <row r="181" spans="1:35">
      <c r="A181" s="482" t="s">
        <v>1809</v>
      </c>
      <c r="B181" s="32" t="s">
        <v>1328</v>
      </c>
      <c r="C181" s="463" t="s">
        <v>159</v>
      </c>
      <c r="D181" s="313">
        <v>0.98</v>
      </c>
      <c r="E181" s="313">
        <v>0.94</v>
      </c>
      <c r="F181" s="313">
        <v>0.89</v>
      </c>
      <c r="G181" s="314">
        <v>0.85</v>
      </c>
      <c r="H181" s="314">
        <v>0.83</v>
      </c>
      <c r="I181" s="314">
        <v>0.82</v>
      </c>
      <c r="J181" s="314">
        <v>0.8</v>
      </c>
      <c r="K181" s="314">
        <v>0.8</v>
      </c>
      <c r="L181" s="324">
        <v>0.61</v>
      </c>
      <c r="M181" s="321">
        <v>0.6</v>
      </c>
      <c r="N181" s="321">
        <v>0.56999999999999995</v>
      </c>
      <c r="O181" s="321">
        <v>0.54</v>
      </c>
      <c r="P181" s="321">
        <v>0.51</v>
      </c>
      <c r="Q181" s="321">
        <v>0.48</v>
      </c>
      <c r="R181" s="321">
        <v>0.45</v>
      </c>
      <c r="S181" s="322">
        <v>0.45</v>
      </c>
      <c r="T181" s="313">
        <v>1.25</v>
      </c>
      <c r="U181" s="313">
        <v>1.21</v>
      </c>
      <c r="V181" s="313">
        <v>1.1499999999999999</v>
      </c>
      <c r="W181" s="313">
        <v>1.0900000000000001</v>
      </c>
      <c r="X181" s="313">
        <v>1.05</v>
      </c>
      <c r="Y181" s="313">
        <v>1.02</v>
      </c>
      <c r="Z181" s="314">
        <v>1</v>
      </c>
      <c r="AA181" s="314">
        <v>1</v>
      </c>
      <c r="AB181" s="317">
        <v>0.83</v>
      </c>
      <c r="AC181" s="321">
        <v>0.8</v>
      </c>
      <c r="AD181" s="321">
        <v>0.76</v>
      </c>
      <c r="AE181" s="321">
        <v>0.7</v>
      </c>
      <c r="AF181" s="321">
        <v>0.66</v>
      </c>
      <c r="AG181" s="317">
        <v>0.61</v>
      </c>
      <c r="AH181" s="317">
        <v>0.55000000000000004</v>
      </c>
      <c r="AI181" s="317">
        <v>0.55000000000000004</v>
      </c>
    </row>
    <row r="182" spans="1:35">
      <c r="A182" s="482" t="s">
        <v>1809</v>
      </c>
      <c r="B182" s="32" t="s">
        <v>1328</v>
      </c>
      <c r="C182" s="32" t="s">
        <v>1488</v>
      </c>
      <c r="D182" s="313">
        <v>0.98</v>
      </c>
      <c r="E182" s="313">
        <v>0.94</v>
      </c>
      <c r="F182" s="313">
        <v>0.89</v>
      </c>
      <c r="G182" s="314">
        <v>0.85</v>
      </c>
      <c r="H182" s="314">
        <v>0.83</v>
      </c>
      <c r="I182" s="314">
        <v>0.82</v>
      </c>
      <c r="J182" s="314">
        <v>0.8</v>
      </c>
      <c r="K182" s="314">
        <v>0.8</v>
      </c>
      <c r="L182" s="324">
        <v>0.61</v>
      </c>
      <c r="M182" s="321">
        <v>0.6</v>
      </c>
      <c r="N182" s="321">
        <v>0.56999999999999995</v>
      </c>
      <c r="O182" s="321">
        <v>0.54</v>
      </c>
      <c r="P182" s="321">
        <v>0.51</v>
      </c>
      <c r="Q182" s="321">
        <v>0.48</v>
      </c>
      <c r="R182" s="321">
        <v>0.45</v>
      </c>
      <c r="S182" s="322">
        <v>0.45</v>
      </c>
      <c r="T182" s="313">
        <v>1.25</v>
      </c>
      <c r="U182" s="313">
        <v>1.21</v>
      </c>
      <c r="V182" s="313">
        <v>1.1499999999999999</v>
      </c>
      <c r="W182" s="313">
        <v>1.0900000000000001</v>
      </c>
      <c r="X182" s="313">
        <v>1.05</v>
      </c>
      <c r="Y182" s="313">
        <v>1.02</v>
      </c>
      <c r="Z182" s="314">
        <v>1</v>
      </c>
      <c r="AA182" s="314">
        <v>1</v>
      </c>
      <c r="AB182" s="317">
        <v>0.83</v>
      </c>
      <c r="AC182" s="321">
        <v>0.8</v>
      </c>
      <c r="AD182" s="321">
        <v>0.76</v>
      </c>
      <c r="AE182" s="321">
        <v>0.7</v>
      </c>
      <c r="AF182" s="321">
        <v>0.66</v>
      </c>
      <c r="AG182" s="317">
        <v>0.61</v>
      </c>
      <c r="AH182" s="317">
        <v>0.55000000000000004</v>
      </c>
      <c r="AI182" s="317">
        <v>0.55000000000000004</v>
      </c>
    </row>
    <row r="183" spans="1:35">
      <c r="A183" s="482" t="s">
        <v>1809</v>
      </c>
      <c r="B183" s="32" t="s">
        <v>1328</v>
      </c>
      <c r="C183" s="471" t="s">
        <v>1814</v>
      </c>
      <c r="D183" s="313">
        <v>0.98</v>
      </c>
      <c r="E183" s="313">
        <v>0.94</v>
      </c>
      <c r="F183" s="313">
        <v>0.89</v>
      </c>
      <c r="G183" s="314">
        <v>0.85</v>
      </c>
      <c r="H183" s="314">
        <v>0.83</v>
      </c>
      <c r="I183" s="314">
        <v>0.82</v>
      </c>
      <c r="J183" s="314">
        <v>0.8</v>
      </c>
      <c r="K183" s="314">
        <v>0.8</v>
      </c>
      <c r="L183" s="324">
        <v>0.61</v>
      </c>
      <c r="M183" s="321">
        <v>0.6</v>
      </c>
      <c r="N183" s="321">
        <v>0.56999999999999995</v>
      </c>
      <c r="O183" s="321">
        <v>0.54</v>
      </c>
      <c r="P183" s="321">
        <v>0.51</v>
      </c>
      <c r="Q183" s="321">
        <v>0.48</v>
      </c>
      <c r="R183" s="321">
        <v>0.45</v>
      </c>
      <c r="S183" s="322">
        <v>0.45</v>
      </c>
      <c r="T183" s="313">
        <v>1.25</v>
      </c>
      <c r="U183" s="313">
        <v>1.21</v>
      </c>
      <c r="V183" s="313">
        <v>1.1499999999999999</v>
      </c>
      <c r="W183" s="313">
        <v>1.0900000000000001</v>
      </c>
      <c r="X183" s="313">
        <v>1.05</v>
      </c>
      <c r="Y183" s="313">
        <v>1.02</v>
      </c>
      <c r="Z183" s="314">
        <v>1</v>
      </c>
      <c r="AA183" s="314">
        <v>1</v>
      </c>
      <c r="AB183" s="317">
        <v>0.83</v>
      </c>
      <c r="AC183" s="321">
        <v>0.8</v>
      </c>
      <c r="AD183" s="321">
        <v>0.76</v>
      </c>
      <c r="AE183" s="321">
        <v>0.7</v>
      </c>
      <c r="AF183" s="321">
        <v>0.66</v>
      </c>
      <c r="AG183" s="317">
        <v>0.61</v>
      </c>
      <c r="AH183" s="317">
        <v>0.55000000000000004</v>
      </c>
      <c r="AI183" s="317">
        <v>0.55000000000000004</v>
      </c>
    </row>
    <row r="184" spans="1:35">
      <c r="A184" s="482" t="s">
        <v>1809</v>
      </c>
      <c r="B184" s="464" t="s">
        <v>166</v>
      </c>
      <c r="C184" s="466" t="s">
        <v>1815</v>
      </c>
      <c r="D184" s="313">
        <v>0.98</v>
      </c>
      <c r="E184" s="313">
        <v>0.94</v>
      </c>
      <c r="F184" s="313">
        <v>0.89</v>
      </c>
      <c r="G184" s="314">
        <v>0.85</v>
      </c>
      <c r="H184" s="314">
        <v>0.83</v>
      </c>
      <c r="I184" s="314">
        <v>0.82</v>
      </c>
      <c r="J184" s="314">
        <v>0.8</v>
      </c>
      <c r="K184" s="314">
        <v>0.8</v>
      </c>
      <c r="L184" s="324">
        <v>0.61</v>
      </c>
      <c r="M184" s="321">
        <v>0.6</v>
      </c>
      <c r="N184" s="321">
        <v>0.56999999999999995</v>
      </c>
      <c r="O184" s="321">
        <v>0.54</v>
      </c>
      <c r="P184" s="321">
        <v>0.51</v>
      </c>
      <c r="Q184" s="321">
        <v>0.48</v>
      </c>
      <c r="R184" s="321">
        <v>0.45</v>
      </c>
      <c r="S184" s="322">
        <v>0.45</v>
      </c>
      <c r="T184" s="313">
        <v>1.25</v>
      </c>
      <c r="U184" s="313">
        <v>1.21</v>
      </c>
      <c r="V184" s="313">
        <v>1.1499999999999999</v>
      </c>
      <c r="W184" s="313">
        <v>1.0900000000000001</v>
      </c>
      <c r="X184" s="313">
        <v>1.05</v>
      </c>
      <c r="Y184" s="313">
        <v>1.02</v>
      </c>
      <c r="Z184" s="314">
        <v>1</v>
      </c>
      <c r="AA184" s="314">
        <v>1</v>
      </c>
      <c r="AB184" s="317">
        <v>0.83</v>
      </c>
      <c r="AC184" s="321">
        <v>0.8</v>
      </c>
      <c r="AD184" s="321">
        <v>0.76</v>
      </c>
      <c r="AE184" s="321">
        <v>0.7</v>
      </c>
      <c r="AF184" s="321">
        <v>0.66</v>
      </c>
      <c r="AG184" s="317">
        <v>0.61</v>
      </c>
      <c r="AH184" s="317">
        <v>0.55000000000000004</v>
      </c>
      <c r="AI184" s="317">
        <v>0.55000000000000004</v>
      </c>
    </row>
    <row r="185" spans="1:35">
      <c r="A185" s="482" t="s">
        <v>1809</v>
      </c>
      <c r="B185" s="464" t="s">
        <v>166</v>
      </c>
      <c r="C185" s="466" t="s">
        <v>1816</v>
      </c>
      <c r="D185" s="313">
        <v>0.98</v>
      </c>
      <c r="E185" s="313">
        <v>0.94</v>
      </c>
      <c r="F185" s="313">
        <v>0.89</v>
      </c>
      <c r="G185" s="314">
        <v>0.85</v>
      </c>
      <c r="H185" s="314">
        <v>0.83</v>
      </c>
      <c r="I185" s="314">
        <v>0.82</v>
      </c>
      <c r="J185" s="314">
        <v>0.8</v>
      </c>
      <c r="K185" s="314">
        <v>0.8</v>
      </c>
      <c r="L185" s="324">
        <v>0.61</v>
      </c>
      <c r="M185" s="321">
        <v>0.6</v>
      </c>
      <c r="N185" s="321">
        <v>0.56999999999999995</v>
      </c>
      <c r="O185" s="321">
        <v>0.54</v>
      </c>
      <c r="P185" s="321">
        <v>0.51</v>
      </c>
      <c r="Q185" s="321">
        <v>0.48</v>
      </c>
      <c r="R185" s="321">
        <v>0.45</v>
      </c>
      <c r="S185" s="322">
        <v>0.45</v>
      </c>
      <c r="T185" s="313">
        <v>1.25</v>
      </c>
      <c r="U185" s="313">
        <v>1.21</v>
      </c>
      <c r="V185" s="313">
        <v>1.1499999999999999</v>
      </c>
      <c r="W185" s="313">
        <v>1.0900000000000001</v>
      </c>
      <c r="X185" s="313">
        <v>1.05</v>
      </c>
      <c r="Y185" s="313">
        <v>1.02</v>
      </c>
      <c r="Z185" s="314">
        <v>1</v>
      </c>
      <c r="AA185" s="314">
        <v>1</v>
      </c>
      <c r="AB185" s="317">
        <v>0.83</v>
      </c>
      <c r="AC185" s="321">
        <v>0.8</v>
      </c>
      <c r="AD185" s="321">
        <v>0.76</v>
      </c>
      <c r="AE185" s="321">
        <v>0.7</v>
      </c>
      <c r="AF185" s="321">
        <v>0.66</v>
      </c>
      <c r="AG185" s="317">
        <v>0.61</v>
      </c>
      <c r="AH185" s="317">
        <v>0.55000000000000004</v>
      </c>
      <c r="AI185" s="317">
        <v>0.55000000000000004</v>
      </c>
    </row>
    <row r="186" spans="1:35">
      <c r="A186" s="482" t="s">
        <v>1809</v>
      </c>
      <c r="B186" s="464" t="s">
        <v>166</v>
      </c>
      <c r="C186" s="464" t="s">
        <v>174</v>
      </c>
      <c r="D186" s="313">
        <v>0.98</v>
      </c>
      <c r="E186" s="313">
        <v>0.94</v>
      </c>
      <c r="F186" s="313">
        <v>0.89</v>
      </c>
      <c r="G186" s="314">
        <v>0.85</v>
      </c>
      <c r="H186" s="314">
        <v>0.83</v>
      </c>
      <c r="I186" s="314">
        <v>0.82</v>
      </c>
      <c r="J186" s="314">
        <v>0.8</v>
      </c>
      <c r="K186" s="314">
        <v>0.8</v>
      </c>
      <c r="L186" s="324">
        <v>0.61</v>
      </c>
      <c r="M186" s="321">
        <v>0.6</v>
      </c>
      <c r="N186" s="321">
        <v>0.56999999999999995</v>
      </c>
      <c r="O186" s="321">
        <v>0.54</v>
      </c>
      <c r="P186" s="321">
        <v>0.51</v>
      </c>
      <c r="Q186" s="321">
        <v>0.48</v>
      </c>
      <c r="R186" s="321">
        <v>0.45</v>
      </c>
      <c r="S186" s="322">
        <v>0.45</v>
      </c>
      <c r="T186" s="313">
        <v>1.25</v>
      </c>
      <c r="U186" s="313">
        <v>1.21</v>
      </c>
      <c r="V186" s="313">
        <v>1.1499999999999999</v>
      </c>
      <c r="W186" s="313">
        <v>1.0900000000000001</v>
      </c>
      <c r="X186" s="313">
        <v>1.05</v>
      </c>
      <c r="Y186" s="313">
        <v>1.02</v>
      </c>
      <c r="Z186" s="314">
        <v>1</v>
      </c>
      <c r="AA186" s="314">
        <v>1</v>
      </c>
      <c r="AB186" s="317">
        <v>0.83</v>
      </c>
      <c r="AC186" s="321">
        <v>0.8</v>
      </c>
      <c r="AD186" s="321">
        <v>0.76</v>
      </c>
      <c r="AE186" s="321">
        <v>0.7</v>
      </c>
      <c r="AF186" s="321">
        <v>0.66</v>
      </c>
      <c r="AG186" s="317">
        <v>0.61</v>
      </c>
      <c r="AH186" s="317">
        <v>0.55000000000000004</v>
      </c>
      <c r="AI186" s="317">
        <v>0.55000000000000004</v>
      </c>
    </row>
    <row r="187" spans="1:35">
      <c r="A187" s="482" t="s">
        <v>1809</v>
      </c>
      <c r="B187" s="32" t="s">
        <v>1325</v>
      </c>
      <c r="C187" s="32" t="s">
        <v>1335</v>
      </c>
      <c r="D187" s="313">
        <v>0.98</v>
      </c>
      <c r="E187" s="313">
        <v>0.94</v>
      </c>
      <c r="F187" s="313">
        <v>0.89</v>
      </c>
      <c r="G187" s="314">
        <v>0.85</v>
      </c>
      <c r="H187" s="314">
        <v>0.83</v>
      </c>
      <c r="I187" s="314">
        <v>0.82</v>
      </c>
      <c r="J187" s="314">
        <v>0.8</v>
      </c>
      <c r="K187" s="314">
        <v>0.8</v>
      </c>
      <c r="L187" s="324">
        <v>0.61</v>
      </c>
      <c r="M187" s="321">
        <v>0.6</v>
      </c>
      <c r="N187" s="321">
        <v>0.56999999999999995</v>
      </c>
      <c r="O187" s="321">
        <v>0.54</v>
      </c>
      <c r="P187" s="321">
        <v>0.51</v>
      </c>
      <c r="Q187" s="321">
        <v>0.48</v>
      </c>
      <c r="R187" s="321">
        <v>0.45</v>
      </c>
      <c r="S187" s="322">
        <v>0.45</v>
      </c>
      <c r="T187" s="313">
        <v>1.25</v>
      </c>
      <c r="U187" s="313">
        <v>1.21</v>
      </c>
      <c r="V187" s="313">
        <v>1.1499999999999999</v>
      </c>
      <c r="W187" s="313">
        <v>1.0900000000000001</v>
      </c>
      <c r="X187" s="313">
        <v>1.05</v>
      </c>
      <c r="Y187" s="313">
        <v>1.02</v>
      </c>
      <c r="Z187" s="314">
        <v>1</v>
      </c>
      <c r="AA187" s="314">
        <v>1</v>
      </c>
      <c r="AB187" s="317">
        <v>0.83</v>
      </c>
      <c r="AC187" s="321">
        <v>0.8</v>
      </c>
      <c r="AD187" s="321">
        <v>0.76</v>
      </c>
      <c r="AE187" s="321">
        <v>0.7</v>
      </c>
      <c r="AF187" s="321">
        <v>0.66</v>
      </c>
      <c r="AG187" s="317">
        <v>0.61</v>
      </c>
      <c r="AH187" s="317">
        <v>0.55000000000000004</v>
      </c>
      <c r="AI187" s="317">
        <v>0.55000000000000004</v>
      </c>
    </row>
    <row r="188" spans="1:35">
      <c r="A188" s="482" t="s">
        <v>1809</v>
      </c>
      <c r="B188" s="32" t="s">
        <v>1325</v>
      </c>
      <c r="C188" s="32" t="s">
        <v>1338</v>
      </c>
      <c r="D188" s="313">
        <v>0.98</v>
      </c>
      <c r="E188" s="313">
        <v>0.94</v>
      </c>
      <c r="F188" s="313">
        <v>0.89</v>
      </c>
      <c r="G188" s="314">
        <v>0.85</v>
      </c>
      <c r="H188" s="314">
        <v>0.83</v>
      </c>
      <c r="I188" s="314">
        <v>0.82</v>
      </c>
      <c r="J188" s="314">
        <v>0.8</v>
      </c>
      <c r="K188" s="314">
        <v>0.8</v>
      </c>
      <c r="L188" s="324">
        <v>0.61</v>
      </c>
      <c r="M188" s="321">
        <v>0.6</v>
      </c>
      <c r="N188" s="321">
        <v>0.56999999999999995</v>
      </c>
      <c r="O188" s="321">
        <v>0.54</v>
      </c>
      <c r="P188" s="321">
        <v>0.51</v>
      </c>
      <c r="Q188" s="321">
        <v>0.48</v>
      </c>
      <c r="R188" s="321">
        <v>0.45</v>
      </c>
      <c r="S188" s="322">
        <v>0.45</v>
      </c>
      <c r="T188" s="313">
        <v>1.25</v>
      </c>
      <c r="U188" s="313">
        <v>1.21</v>
      </c>
      <c r="V188" s="313">
        <v>1.1499999999999999</v>
      </c>
      <c r="W188" s="313">
        <v>1.0900000000000001</v>
      </c>
      <c r="X188" s="313">
        <v>1.05</v>
      </c>
      <c r="Y188" s="313">
        <v>1.02</v>
      </c>
      <c r="Z188" s="314">
        <v>1</v>
      </c>
      <c r="AA188" s="314">
        <v>1</v>
      </c>
      <c r="AB188" s="317">
        <v>0.83</v>
      </c>
      <c r="AC188" s="321">
        <v>0.8</v>
      </c>
      <c r="AD188" s="321">
        <v>0.76</v>
      </c>
      <c r="AE188" s="321">
        <v>0.7</v>
      </c>
      <c r="AF188" s="321">
        <v>0.66</v>
      </c>
      <c r="AG188" s="317">
        <v>0.61</v>
      </c>
      <c r="AH188" s="317">
        <v>0.55000000000000004</v>
      </c>
      <c r="AI188" s="317">
        <v>0.55000000000000004</v>
      </c>
    </row>
    <row r="189" spans="1:35">
      <c r="A189" s="482" t="s">
        <v>1809</v>
      </c>
      <c r="B189" s="32" t="s">
        <v>1325</v>
      </c>
      <c r="C189" s="32" t="s">
        <v>1339</v>
      </c>
      <c r="D189" s="313">
        <v>0.98</v>
      </c>
      <c r="E189" s="313">
        <v>0.94</v>
      </c>
      <c r="F189" s="313">
        <v>0.89</v>
      </c>
      <c r="G189" s="314">
        <v>0.85</v>
      </c>
      <c r="H189" s="314">
        <v>0.83</v>
      </c>
      <c r="I189" s="314">
        <v>0.82</v>
      </c>
      <c r="J189" s="314">
        <v>0.8</v>
      </c>
      <c r="K189" s="314">
        <v>0.8</v>
      </c>
      <c r="L189" s="324">
        <v>0.61</v>
      </c>
      <c r="M189" s="321">
        <v>0.6</v>
      </c>
      <c r="N189" s="321">
        <v>0.56999999999999995</v>
      </c>
      <c r="O189" s="321">
        <v>0.54</v>
      </c>
      <c r="P189" s="321">
        <v>0.51</v>
      </c>
      <c r="Q189" s="321">
        <v>0.48</v>
      </c>
      <c r="R189" s="321">
        <v>0.45</v>
      </c>
      <c r="S189" s="322">
        <v>0.45</v>
      </c>
      <c r="T189" s="313">
        <v>1.25</v>
      </c>
      <c r="U189" s="313">
        <v>1.21</v>
      </c>
      <c r="V189" s="313">
        <v>1.1499999999999999</v>
      </c>
      <c r="W189" s="313">
        <v>1.0900000000000001</v>
      </c>
      <c r="X189" s="313">
        <v>1.05</v>
      </c>
      <c r="Y189" s="313">
        <v>1.02</v>
      </c>
      <c r="Z189" s="314">
        <v>1</v>
      </c>
      <c r="AA189" s="314">
        <v>1</v>
      </c>
      <c r="AB189" s="317">
        <v>0.83</v>
      </c>
      <c r="AC189" s="321">
        <v>0.8</v>
      </c>
      <c r="AD189" s="321">
        <v>0.76</v>
      </c>
      <c r="AE189" s="321">
        <v>0.7</v>
      </c>
      <c r="AF189" s="321">
        <v>0.66</v>
      </c>
      <c r="AG189" s="317">
        <v>0.61</v>
      </c>
      <c r="AH189" s="317">
        <v>0.55000000000000004</v>
      </c>
      <c r="AI189" s="317">
        <v>0.55000000000000004</v>
      </c>
    </row>
    <row r="190" spans="1:35">
      <c r="A190" s="482" t="s">
        <v>1809</v>
      </c>
      <c r="B190" s="465" t="s">
        <v>1807</v>
      </c>
      <c r="C190" s="32" t="s">
        <v>1486</v>
      </c>
      <c r="D190" s="313">
        <v>0.98</v>
      </c>
      <c r="E190" s="313">
        <v>0.94</v>
      </c>
      <c r="F190" s="313">
        <v>0.89</v>
      </c>
      <c r="G190" s="314">
        <v>0.85</v>
      </c>
      <c r="H190" s="314">
        <v>0.83</v>
      </c>
      <c r="I190" s="314">
        <v>0.82</v>
      </c>
      <c r="J190" s="314">
        <v>0.8</v>
      </c>
      <c r="K190" s="315">
        <v>0.7</v>
      </c>
      <c r="L190" s="324">
        <v>0.61</v>
      </c>
      <c r="M190" s="321">
        <v>0.6</v>
      </c>
      <c r="N190" s="321">
        <v>0.56999999999999995</v>
      </c>
      <c r="O190" s="321">
        <v>0.54</v>
      </c>
      <c r="P190" s="321">
        <v>0.51</v>
      </c>
      <c r="Q190" s="321">
        <v>0.48</v>
      </c>
      <c r="R190" s="321">
        <v>0.45</v>
      </c>
      <c r="S190" s="320">
        <v>0.4</v>
      </c>
      <c r="T190" s="313">
        <v>1.25</v>
      </c>
      <c r="U190" s="313">
        <v>1.21</v>
      </c>
      <c r="V190" s="313">
        <v>1.1499999999999999</v>
      </c>
      <c r="W190" s="313">
        <v>1.0900000000000001</v>
      </c>
      <c r="X190" s="313">
        <v>1.05</v>
      </c>
      <c r="Y190" s="313">
        <v>1.02</v>
      </c>
      <c r="Z190" s="314">
        <v>1</v>
      </c>
      <c r="AA190" s="315">
        <v>0.9</v>
      </c>
      <c r="AB190" s="317">
        <v>0.83</v>
      </c>
      <c r="AC190" s="321">
        <v>0.8</v>
      </c>
      <c r="AD190" s="321">
        <v>0.76</v>
      </c>
      <c r="AE190" s="321">
        <v>0.7</v>
      </c>
      <c r="AF190" s="321">
        <v>0.66</v>
      </c>
      <c r="AG190" s="317">
        <v>0.61</v>
      </c>
      <c r="AH190" s="317">
        <v>0.55000000000000004</v>
      </c>
      <c r="AI190" s="319">
        <v>0.5</v>
      </c>
    </row>
    <row r="191" spans="1:35">
      <c r="A191" s="482" t="s">
        <v>1809</v>
      </c>
      <c r="B191" s="32" t="s">
        <v>1483</v>
      </c>
      <c r="C191" s="32" t="s">
        <v>1484</v>
      </c>
      <c r="D191" s="313">
        <v>0.98</v>
      </c>
      <c r="E191" s="313">
        <v>0.94</v>
      </c>
      <c r="F191" s="313">
        <v>0.89</v>
      </c>
      <c r="G191" s="314">
        <v>0.85</v>
      </c>
      <c r="H191" s="314">
        <v>0.83</v>
      </c>
      <c r="I191" s="314">
        <v>0.82</v>
      </c>
      <c r="J191" s="314">
        <v>0.8</v>
      </c>
      <c r="K191" s="315">
        <v>0.7</v>
      </c>
      <c r="L191" s="324">
        <v>0.61</v>
      </c>
      <c r="M191" s="321">
        <v>0.6</v>
      </c>
      <c r="N191" s="321">
        <v>0.56999999999999995</v>
      </c>
      <c r="O191" s="321">
        <v>0.54</v>
      </c>
      <c r="P191" s="321">
        <v>0.51</v>
      </c>
      <c r="Q191" s="321">
        <v>0.48</v>
      </c>
      <c r="R191" s="321">
        <v>0.45</v>
      </c>
      <c r="S191" s="320">
        <v>0.4</v>
      </c>
      <c r="T191" s="313">
        <v>1.25</v>
      </c>
      <c r="U191" s="313">
        <v>1.21</v>
      </c>
      <c r="V191" s="313">
        <v>1.1499999999999999</v>
      </c>
      <c r="W191" s="313">
        <v>1.0900000000000001</v>
      </c>
      <c r="X191" s="313">
        <v>1.05</v>
      </c>
      <c r="Y191" s="313">
        <v>1.02</v>
      </c>
      <c r="Z191" s="314">
        <v>1</v>
      </c>
      <c r="AA191" s="315">
        <v>0.9</v>
      </c>
      <c r="AB191" s="317">
        <v>0.83</v>
      </c>
      <c r="AC191" s="321">
        <v>0.8</v>
      </c>
      <c r="AD191" s="321">
        <v>0.76</v>
      </c>
      <c r="AE191" s="321">
        <v>0.7</v>
      </c>
      <c r="AF191" s="321">
        <v>0.66</v>
      </c>
      <c r="AG191" s="317">
        <v>0.61</v>
      </c>
      <c r="AH191" s="317">
        <v>0.55000000000000004</v>
      </c>
      <c r="AI191" s="319">
        <v>0.5</v>
      </c>
    </row>
    <row r="192" spans="1:35">
      <c r="A192" s="469" t="s">
        <v>1826</v>
      </c>
      <c r="B192" s="465" t="s">
        <v>1807</v>
      </c>
      <c r="C192" s="32" t="s">
        <v>1476</v>
      </c>
      <c r="D192" s="313">
        <v>1.08</v>
      </c>
      <c r="E192" s="313">
        <v>1.02</v>
      </c>
      <c r="F192" s="313">
        <v>0.94</v>
      </c>
      <c r="G192" s="314">
        <v>0.87</v>
      </c>
      <c r="H192" s="314">
        <v>0.85</v>
      </c>
      <c r="I192" s="314">
        <v>0.83</v>
      </c>
      <c r="J192" s="314">
        <v>0.8</v>
      </c>
      <c r="K192" s="314">
        <v>0.8</v>
      </c>
      <c r="L192" s="323">
        <v>0.63</v>
      </c>
      <c r="M192" s="317">
        <v>0.57999999999999996</v>
      </c>
      <c r="N192" s="317">
        <v>0.53</v>
      </c>
      <c r="O192" s="317">
        <v>0.49</v>
      </c>
      <c r="P192" s="317">
        <v>0.48</v>
      </c>
      <c r="Q192" s="317">
        <v>0.46</v>
      </c>
      <c r="R192" s="317">
        <v>0.45</v>
      </c>
      <c r="S192" s="318">
        <v>0.45</v>
      </c>
      <c r="T192" s="313">
        <v>1.25</v>
      </c>
      <c r="U192" s="313">
        <v>1.17</v>
      </c>
      <c r="V192" s="313">
        <v>1.1299999999999999</v>
      </c>
      <c r="W192" s="313">
        <v>1.0900000000000001</v>
      </c>
      <c r="X192" s="313">
        <v>1.06</v>
      </c>
      <c r="Y192" s="313">
        <v>1.03</v>
      </c>
      <c r="Z192" s="314">
        <v>1</v>
      </c>
      <c r="AA192" s="314">
        <v>1</v>
      </c>
      <c r="AB192" s="317">
        <v>0.83</v>
      </c>
      <c r="AC192" s="321">
        <v>0.76</v>
      </c>
      <c r="AD192" s="321">
        <v>0.7</v>
      </c>
      <c r="AE192" s="321">
        <v>0.65</v>
      </c>
      <c r="AF192" s="321">
        <v>0.62</v>
      </c>
      <c r="AG192" s="317">
        <v>0.59</v>
      </c>
      <c r="AH192" s="317">
        <v>0.55000000000000004</v>
      </c>
      <c r="AI192" s="317">
        <v>0.55000000000000004</v>
      </c>
    </row>
    <row r="193" spans="1:35">
      <c r="A193" s="469" t="s">
        <v>1826</v>
      </c>
      <c r="B193" s="465" t="s">
        <v>1807</v>
      </c>
      <c r="C193" s="464" t="s">
        <v>87</v>
      </c>
      <c r="D193" s="313">
        <v>1.08</v>
      </c>
      <c r="E193" s="313">
        <v>1.02</v>
      </c>
      <c r="F193" s="313">
        <v>0.94</v>
      </c>
      <c r="G193" s="314">
        <v>0.87</v>
      </c>
      <c r="H193" s="314">
        <v>0.85</v>
      </c>
      <c r="I193" s="314">
        <v>0.83</v>
      </c>
      <c r="J193" s="314">
        <v>0.8</v>
      </c>
      <c r="K193" s="314">
        <v>0.8</v>
      </c>
      <c r="L193" s="323">
        <v>0.63</v>
      </c>
      <c r="M193" s="317">
        <v>0.57999999999999996</v>
      </c>
      <c r="N193" s="317">
        <v>0.53</v>
      </c>
      <c r="O193" s="317">
        <v>0.49</v>
      </c>
      <c r="P193" s="317">
        <v>0.48</v>
      </c>
      <c r="Q193" s="317">
        <v>0.46</v>
      </c>
      <c r="R193" s="317">
        <v>0.45</v>
      </c>
      <c r="S193" s="318">
        <v>0.45</v>
      </c>
      <c r="T193" s="313">
        <v>1.25</v>
      </c>
      <c r="U193" s="313">
        <v>1.17</v>
      </c>
      <c r="V193" s="313">
        <v>1.1299999999999999</v>
      </c>
      <c r="W193" s="313">
        <v>1.0900000000000001</v>
      </c>
      <c r="X193" s="313">
        <v>1.06</v>
      </c>
      <c r="Y193" s="313">
        <v>1.03</v>
      </c>
      <c r="Z193" s="314">
        <v>1</v>
      </c>
      <c r="AA193" s="314">
        <v>1</v>
      </c>
      <c r="AB193" s="317">
        <v>0.83</v>
      </c>
      <c r="AC193" s="321">
        <v>0.76</v>
      </c>
      <c r="AD193" s="321">
        <v>0.7</v>
      </c>
      <c r="AE193" s="321">
        <v>0.65</v>
      </c>
      <c r="AF193" s="321">
        <v>0.62</v>
      </c>
      <c r="AG193" s="317">
        <v>0.59</v>
      </c>
      <c r="AH193" s="317">
        <v>0.55000000000000004</v>
      </c>
      <c r="AI193" s="317">
        <v>0.55000000000000004</v>
      </c>
    </row>
    <row r="194" spans="1:35">
      <c r="A194" s="469" t="s">
        <v>1826</v>
      </c>
      <c r="B194" s="32" t="s">
        <v>1427</v>
      </c>
      <c r="C194" s="32" t="s">
        <v>1489</v>
      </c>
      <c r="D194" s="313">
        <v>1.08</v>
      </c>
      <c r="E194" s="313">
        <v>1.02</v>
      </c>
      <c r="F194" s="313">
        <v>0.94</v>
      </c>
      <c r="G194" s="314">
        <v>0.87</v>
      </c>
      <c r="H194" s="314">
        <v>0.85</v>
      </c>
      <c r="I194" s="314">
        <v>0.83</v>
      </c>
      <c r="J194" s="314">
        <v>0.8</v>
      </c>
      <c r="K194" s="314">
        <v>0.8</v>
      </c>
      <c r="L194" s="323">
        <v>0.63</v>
      </c>
      <c r="M194" s="317">
        <v>0.57999999999999996</v>
      </c>
      <c r="N194" s="317">
        <v>0.53</v>
      </c>
      <c r="O194" s="317">
        <v>0.49</v>
      </c>
      <c r="P194" s="317">
        <v>0.48</v>
      </c>
      <c r="Q194" s="317">
        <v>0.46</v>
      </c>
      <c r="R194" s="317">
        <v>0.45</v>
      </c>
      <c r="S194" s="318">
        <v>0.45</v>
      </c>
      <c r="T194" s="313">
        <v>1.25</v>
      </c>
      <c r="U194" s="313">
        <v>1.17</v>
      </c>
      <c r="V194" s="313">
        <v>1.1299999999999999</v>
      </c>
      <c r="W194" s="313">
        <v>1.0900000000000001</v>
      </c>
      <c r="X194" s="313">
        <v>1.06</v>
      </c>
      <c r="Y194" s="313">
        <v>1.03</v>
      </c>
      <c r="Z194" s="314">
        <v>1</v>
      </c>
      <c r="AA194" s="314">
        <v>1</v>
      </c>
      <c r="AB194" s="317">
        <v>0.83</v>
      </c>
      <c r="AC194" s="321">
        <v>0.76</v>
      </c>
      <c r="AD194" s="321">
        <v>0.7</v>
      </c>
      <c r="AE194" s="321">
        <v>0.65</v>
      </c>
      <c r="AF194" s="321">
        <v>0.62</v>
      </c>
      <c r="AG194" s="317">
        <v>0.59</v>
      </c>
      <c r="AH194" s="317">
        <v>0.55000000000000004</v>
      </c>
      <c r="AI194" s="317">
        <v>0.55000000000000004</v>
      </c>
    </row>
    <row r="195" spans="1:35">
      <c r="A195" s="469" t="s">
        <v>1826</v>
      </c>
      <c r="B195" s="32" t="s">
        <v>1427</v>
      </c>
      <c r="C195" s="32" t="s">
        <v>1428</v>
      </c>
      <c r="D195" s="313">
        <v>1.08</v>
      </c>
      <c r="E195" s="313">
        <v>1.02</v>
      </c>
      <c r="F195" s="313">
        <v>0.94</v>
      </c>
      <c r="G195" s="314">
        <v>0.87</v>
      </c>
      <c r="H195" s="314">
        <v>0.85</v>
      </c>
      <c r="I195" s="314">
        <v>0.83</v>
      </c>
      <c r="J195" s="314">
        <v>0.8</v>
      </c>
      <c r="K195" s="314">
        <v>0.8</v>
      </c>
      <c r="L195" s="323">
        <v>0.63</v>
      </c>
      <c r="M195" s="317">
        <v>0.57999999999999996</v>
      </c>
      <c r="N195" s="317">
        <v>0.53</v>
      </c>
      <c r="O195" s="317">
        <v>0.49</v>
      </c>
      <c r="P195" s="317">
        <v>0.48</v>
      </c>
      <c r="Q195" s="317">
        <v>0.46</v>
      </c>
      <c r="R195" s="317">
        <v>0.45</v>
      </c>
      <c r="S195" s="318">
        <v>0.45</v>
      </c>
      <c r="T195" s="313">
        <v>1.25</v>
      </c>
      <c r="U195" s="313">
        <v>1.17</v>
      </c>
      <c r="V195" s="313">
        <v>1.1299999999999999</v>
      </c>
      <c r="W195" s="313">
        <v>1.0900000000000001</v>
      </c>
      <c r="X195" s="313">
        <v>1.06</v>
      </c>
      <c r="Y195" s="313">
        <v>1.03</v>
      </c>
      <c r="Z195" s="314">
        <v>1</v>
      </c>
      <c r="AA195" s="314">
        <v>1</v>
      </c>
      <c r="AB195" s="317">
        <v>0.83</v>
      </c>
      <c r="AC195" s="321">
        <v>0.76</v>
      </c>
      <c r="AD195" s="321">
        <v>0.7</v>
      </c>
      <c r="AE195" s="321">
        <v>0.65</v>
      </c>
      <c r="AF195" s="321">
        <v>0.62</v>
      </c>
      <c r="AG195" s="317">
        <v>0.59</v>
      </c>
      <c r="AH195" s="317">
        <v>0.55000000000000004</v>
      </c>
      <c r="AI195" s="317">
        <v>0.55000000000000004</v>
      </c>
    </row>
    <row r="196" spans="1:35">
      <c r="A196" s="469" t="s">
        <v>1826</v>
      </c>
      <c r="B196" s="32" t="s">
        <v>1427</v>
      </c>
      <c r="C196" s="32" t="s">
        <v>1429</v>
      </c>
      <c r="D196" s="313">
        <v>1.08</v>
      </c>
      <c r="E196" s="313">
        <v>1.02</v>
      </c>
      <c r="F196" s="313">
        <v>0.94</v>
      </c>
      <c r="G196" s="314">
        <v>0.87</v>
      </c>
      <c r="H196" s="314">
        <v>0.85</v>
      </c>
      <c r="I196" s="314">
        <v>0.83</v>
      </c>
      <c r="J196" s="314">
        <v>0.8</v>
      </c>
      <c r="K196" s="314">
        <v>0.8</v>
      </c>
      <c r="L196" s="323">
        <v>0.63</v>
      </c>
      <c r="M196" s="317">
        <v>0.57999999999999996</v>
      </c>
      <c r="N196" s="317">
        <v>0.53</v>
      </c>
      <c r="O196" s="317">
        <v>0.49</v>
      </c>
      <c r="P196" s="317">
        <v>0.48</v>
      </c>
      <c r="Q196" s="317">
        <v>0.46</v>
      </c>
      <c r="R196" s="317">
        <v>0.45</v>
      </c>
      <c r="S196" s="318">
        <v>0.45</v>
      </c>
      <c r="T196" s="313">
        <v>1.25</v>
      </c>
      <c r="U196" s="313">
        <v>1.17</v>
      </c>
      <c r="V196" s="313">
        <v>1.1299999999999999</v>
      </c>
      <c r="W196" s="313">
        <v>1.0900000000000001</v>
      </c>
      <c r="X196" s="313">
        <v>1.06</v>
      </c>
      <c r="Y196" s="313">
        <v>1.03</v>
      </c>
      <c r="Z196" s="314">
        <v>1</v>
      </c>
      <c r="AA196" s="314">
        <v>1</v>
      </c>
      <c r="AB196" s="317">
        <v>0.83</v>
      </c>
      <c r="AC196" s="321">
        <v>0.76</v>
      </c>
      <c r="AD196" s="321">
        <v>0.7</v>
      </c>
      <c r="AE196" s="321">
        <v>0.65</v>
      </c>
      <c r="AF196" s="321">
        <v>0.62</v>
      </c>
      <c r="AG196" s="317">
        <v>0.59</v>
      </c>
      <c r="AH196" s="317">
        <v>0.55000000000000004</v>
      </c>
      <c r="AI196" s="317">
        <v>0.55000000000000004</v>
      </c>
    </row>
    <row r="197" spans="1:35">
      <c r="A197" s="469" t="s">
        <v>1826</v>
      </c>
      <c r="B197" s="32" t="s">
        <v>1427</v>
      </c>
      <c r="C197" s="32" t="s">
        <v>1430</v>
      </c>
      <c r="D197" s="313">
        <v>1.08</v>
      </c>
      <c r="E197" s="313">
        <v>1.02</v>
      </c>
      <c r="F197" s="313">
        <v>0.94</v>
      </c>
      <c r="G197" s="314">
        <v>0.87</v>
      </c>
      <c r="H197" s="314">
        <v>0.85</v>
      </c>
      <c r="I197" s="314">
        <v>0.83</v>
      </c>
      <c r="J197" s="314">
        <v>0.8</v>
      </c>
      <c r="K197" s="314">
        <v>0.8</v>
      </c>
      <c r="L197" s="323">
        <v>0.63</v>
      </c>
      <c r="M197" s="317">
        <v>0.57999999999999996</v>
      </c>
      <c r="N197" s="317">
        <v>0.53</v>
      </c>
      <c r="O197" s="317">
        <v>0.49</v>
      </c>
      <c r="P197" s="317">
        <v>0.48</v>
      </c>
      <c r="Q197" s="317">
        <v>0.46</v>
      </c>
      <c r="R197" s="317">
        <v>0.45</v>
      </c>
      <c r="S197" s="318">
        <v>0.45</v>
      </c>
      <c r="T197" s="313">
        <v>1.25</v>
      </c>
      <c r="U197" s="313">
        <v>1.17</v>
      </c>
      <c r="V197" s="313">
        <v>1.1299999999999999</v>
      </c>
      <c r="W197" s="313">
        <v>1.0900000000000001</v>
      </c>
      <c r="X197" s="313">
        <v>1.06</v>
      </c>
      <c r="Y197" s="313">
        <v>1.03</v>
      </c>
      <c r="Z197" s="314">
        <v>1</v>
      </c>
      <c r="AA197" s="314">
        <v>1</v>
      </c>
      <c r="AB197" s="317">
        <v>0.83</v>
      </c>
      <c r="AC197" s="321">
        <v>0.76</v>
      </c>
      <c r="AD197" s="321">
        <v>0.7</v>
      </c>
      <c r="AE197" s="321">
        <v>0.65</v>
      </c>
      <c r="AF197" s="321">
        <v>0.62</v>
      </c>
      <c r="AG197" s="317">
        <v>0.59</v>
      </c>
      <c r="AH197" s="317">
        <v>0.55000000000000004</v>
      </c>
      <c r="AI197" s="317">
        <v>0.55000000000000004</v>
      </c>
    </row>
    <row r="198" spans="1:35">
      <c r="A198" s="469" t="s">
        <v>1826</v>
      </c>
      <c r="B198" s="32" t="s">
        <v>1427</v>
      </c>
      <c r="C198" s="471" t="s">
        <v>1806</v>
      </c>
      <c r="D198" s="313">
        <v>1.08</v>
      </c>
      <c r="E198" s="313">
        <v>1.02</v>
      </c>
      <c r="F198" s="313">
        <v>0.94</v>
      </c>
      <c r="G198" s="314">
        <v>0.87</v>
      </c>
      <c r="H198" s="314">
        <v>0.85</v>
      </c>
      <c r="I198" s="314">
        <v>0.83</v>
      </c>
      <c r="J198" s="314">
        <v>0.8</v>
      </c>
      <c r="K198" s="314">
        <v>0.8</v>
      </c>
      <c r="L198" s="323">
        <v>0.63</v>
      </c>
      <c r="M198" s="317">
        <v>0.57999999999999996</v>
      </c>
      <c r="N198" s="317">
        <v>0.53</v>
      </c>
      <c r="O198" s="317">
        <v>0.49</v>
      </c>
      <c r="P198" s="317">
        <v>0.48</v>
      </c>
      <c r="Q198" s="317">
        <v>0.46</v>
      </c>
      <c r="R198" s="317">
        <v>0.45</v>
      </c>
      <c r="S198" s="318">
        <v>0.45</v>
      </c>
      <c r="T198" s="313">
        <v>1.25</v>
      </c>
      <c r="U198" s="313">
        <v>1.17</v>
      </c>
      <c r="V198" s="313">
        <v>1.1299999999999999</v>
      </c>
      <c r="W198" s="313">
        <v>1.0900000000000001</v>
      </c>
      <c r="X198" s="313">
        <v>1.06</v>
      </c>
      <c r="Y198" s="313">
        <v>1.03</v>
      </c>
      <c r="Z198" s="314">
        <v>1</v>
      </c>
      <c r="AA198" s="314">
        <v>1</v>
      </c>
      <c r="AB198" s="317">
        <v>0.83</v>
      </c>
      <c r="AC198" s="321">
        <v>0.76</v>
      </c>
      <c r="AD198" s="321">
        <v>0.7</v>
      </c>
      <c r="AE198" s="321">
        <v>0.65</v>
      </c>
      <c r="AF198" s="321">
        <v>0.62</v>
      </c>
      <c r="AG198" s="317">
        <v>0.59</v>
      </c>
      <c r="AH198" s="317">
        <v>0.55000000000000004</v>
      </c>
      <c r="AI198" s="317">
        <v>0.55000000000000004</v>
      </c>
    </row>
    <row r="199" spans="1:35">
      <c r="A199" s="469" t="s">
        <v>1826</v>
      </c>
      <c r="B199" s="32" t="s">
        <v>1427</v>
      </c>
      <c r="C199" s="32" t="s">
        <v>1432</v>
      </c>
      <c r="D199" s="313">
        <v>1.08</v>
      </c>
      <c r="E199" s="313">
        <v>1.02</v>
      </c>
      <c r="F199" s="313">
        <v>0.94</v>
      </c>
      <c r="G199" s="314">
        <v>0.87</v>
      </c>
      <c r="H199" s="314">
        <v>0.85</v>
      </c>
      <c r="I199" s="314">
        <v>0.83</v>
      </c>
      <c r="J199" s="314">
        <v>0.8</v>
      </c>
      <c r="K199" s="314">
        <v>0.8</v>
      </c>
      <c r="L199" s="323">
        <v>0.63</v>
      </c>
      <c r="M199" s="317">
        <v>0.57999999999999996</v>
      </c>
      <c r="N199" s="317">
        <v>0.53</v>
      </c>
      <c r="O199" s="317">
        <v>0.49</v>
      </c>
      <c r="P199" s="317">
        <v>0.48</v>
      </c>
      <c r="Q199" s="317">
        <v>0.46</v>
      </c>
      <c r="R199" s="317">
        <v>0.45</v>
      </c>
      <c r="S199" s="318">
        <v>0.45</v>
      </c>
      <c r="T199" s="313">
        <v>1.25</v>
      </c>
      <c r="U199" s="313">
        <v>1.17</v>
      </c>
      <c r="V199" s="313">
        <v>1.1299999999999999</v>
      </c>
      <c r="W199" s="313">
        <v>1.0900000000000001</v>
      </c>
      <c r="X199" s="313">
        <v>1.06</v>
      </c>
      <c r="Y199" s="313">
        <v>1.03</v>
      </c>
      <c r="Z199" s="314">
        <v>1</v>
      </c>
      <c r="AA199" s="314">
        <v>1</v>
      </c>
      <c r="AB199" s="317">
        <v>0.83</v>
      </c>
      <c r="AC199" s="321">
        <v>0.76</v>
      </c>
      <c r="AD199" s="321">
        <v>0.7</v>
      </c>
      <c r="AE199" s="321">
        <v>0.65</v>
      </c>
      <c r="AF199" s="321">
        <v>0.62</v>
      </c>
      <c r="AG199" s="317">
        <v>0.59</v>
      </c>
      <c r="AH199" s="317">
        <v>0.55000000000000004</v>
      </c>
      <c r="AI199" s="317">
        <v>0.55000000000000004</v>
      </c>
    </row>
    <row r="200" spans="1:35">
      <c r="A200" s="469" t="s">
        <v>1826</v>
      </c>
      <c r="B200" s="32" t="s">
        <v>1427</v>
      </c>
      <c r="C200" s="32" t="s">
        <v>1434</v>
      </c>
      <c r="D200" s="313">
        <v>1.08</v>
      </c>
      <c r="E200" s="313">
        <v>1.02</v>
      </c>
      <c r="F200" s="313">
        <v>0.94</v>
      </c>
      <c r="G200" s="314">
        <v>0.87</v>
      </c>
      <c r="H200" s="314">
        <v>0.85</v>
      </c>
      <c r="I200" s="314">
        <v>0.83</v>
      </c>
      <c r="J200" s="314">
        <v>0.8</v>
      </c>
      <c r="K200" s="314">
        <v>0.8</v>
      </c>
      <c r="L200" s="323">
        <v>0.63</v>
      </c>
      <c r="M200" s="317">
        <v>0.57999999999999996</v>
      </c>
      <c r="N200" s="317">
        <v>0.53</v>
      </c>
      <c r="O200" s="317">
        <v>0.49</v>
      </c>
      <c r="P200" s="317">
        <v>0.48</v>
      </c>
      <c r="Q200" s="317">
        <v>0.46</v>
      </c>
      <c r="R200" s="317">
        <v>0.45</v>
      </c>
      <c r="S200" s="318">
        <v>0.45</v>
      </c>
      <c r="T200" s="313">
        <v>1.25</v>
      </c>
      <c r="U200" s="313">
        <v>1.17</v>
      </c>
      <c r="V200" s="313">
        <v>1.1299999999999999</v>
      </c>
      <c r="W200" s="313">
        <v>1.0900000000000001</v>
      </c>
      <c r="X200" s="313">
        <v>1.06</v>
      </c>
      <c r="Y200" s="313">
        <v>1.03</v>
      </c>
      <c r="Z200" s="314">
        <v>1</v>
      </c>
      <c r="AA200" s="314">
        <v>1</v>
      </c>
      <c r="AB200" s="317">
        <v>0.83</v>
      </c>
      <c r="AC200" s="321">
        <v>0.76</v>
      </c>
      <c r="AD200" s="321">
        <v>0.7</v>
      </c>
      <c r="AE200" s="321">
        <v>0.65</v>
      </c>
      <c r="AF200" s="321">
        <v>0.62</v>
      </c>
      <c r="AG200" s="317">
        <v>0.59</v>
      </c>
      <c r="AH200" s="317">
        <v>0.55000000000000004</v>
      </c>
      <c r="AI200" s="317">
        <v>0.55000000000000004</v>
      </c>
    </row>
    <row r="201" spans="1:35">
      <c r="A201" s="469" t="s">
        <v>1826</v>
      </c>
      <c r="B201" s="32" t="s">
        <v>1427</v>
      </c>
      <c r="C201" s="32" t="s">
        <v>1477</v>
      </c>
      <c r="D201" s="313">
        <v>1.08</v>
      </c>
      <c r="E201" s="313">
        <v>1.02</v>
      </c>
      <c r="F201" s="313">
        <v>0.94</v>
      </c>
      <c r="G201" s="314">
        <v>0.87</v>
      </c>
      <c r="H201" s="314">
        <v>0.85</v>
      </c>
      <c r="I201" s="314">
        <v>0.83</v>
      </c>
      <c r="J201" s="314">
        <v>0.8</v>
      </c>
      <c r="K201" s="314">
        <v>0.8</v>
      </c>
      <c r="L201" s="323">
        <v>0.63</v>
      </c>
      <c r="M201" s="317">
        <v>0.57999999999999996</v>
      </c>
      <c r="N201" s="317">
        <v>0.53</v>
      </c>
      <c r="O201" s="317">
        <v>0.49</v>
      </c>
      <c r="P201" s="317">
        <v>0.48</v>
      </c>
      <c r="Q201" s="317">
        <v>0.46</v>
      </c>
      <c r="R201" s="317">
        <v>0.45</v>
      </c>
      <c r="S201" s="318">
        <v>0.45</v>
      </c>
      <c r="T201" s="313">
        <v>1.25</v>
      </c>
      <c r="U201" s="313">
        <v>1.17</v>
      </c>
      <c r="V201" s="313">
        <v>1.1299999999999999</v>
      </c>
      <c r="W201" s="313">
        <v>1.0900000000000001</v>
      </c>
      <c r="X201" s="313">
        <v>1.06</v>
      </c>
      <c r="Y201" s="313">
        <v>1.03</v>
      </c>
      <c r="Z201" s="314">
        <v>1</v>
      </c>
      <c r="AA201" s="314">
        <v>1</v>
      </c>
      <c r="AB201" s="317">
        <v>0.83</v>
      </c>
      <c r="AC201" s="321">
        <v>0.76</v>
      </c>
      <c r="AD201" s="321">
        <v>0.7</v>
      </c>
      <c r="AE201" s="321">
        <v>0.65</v>
      </c>
      <c r="AF201" s="321">
        <v>0.62</v>
      </c>
      <c r="AG201" s="317">
        <v>0.59</v>
      </c>
      <c r="AH201" s="317">
        <v>0.55000000000000004</v>
      </c>
      <c r="AI201" s="317">
        <v>0.55000000000000004</v>
      </c>
    </row>
    <row r="202" spans="1:35">
      <c r="A202" s="469" t="s">
        <v>1826</v>
      </c>
      <c r="B202" s="32" t="s">
        <v>1427</v>
      </c>
      <c r="C202" s="32" t="s">
        <v>1438</v>
      </c>
      <c r="D202" s="313">
        <v>1.08</v>
      </c>
      <c r="E202" s="313">
        <v>1.02</v>
      </c>
      <c r="F202" s="313">
        <v>0.94</v>
      </c>
      <c r="G202" s="314">
        <v>0.87</v>
      </c>
      <c r="H202" s="314">
        <v>0.85</v>
      </c>
      <c r="I202" s="314">
        <v>0.83</v>
      </c>
      <c r="J202" s="314">
        <v>0.8</v>
      </c>
      <c r="K202" s="314">
        <v>0.8</v>
      </c>
      <c r="L202" s="323">
        <v>0.63</v>
      </c>
      <c r="M202" s="317">
        <v>0.57999999999999996</v>
      </c>
      <c r="N202" s="317">
        <v>0.53</v>
      </c>
      <c r="O202" s="317">
        <v>0.49</v>
      </c>
      <c r="P202" s="317">
        <v>0.48</v>
      </c>
      <c r="Q202" s="317">
        <v>0.46</v>
      </c>
      <c r="R202" s="317">
        <v>0.45</v>
      </c>
      <c r="S202" s="318">
        <v>0.45</v>
      </c>
      <c r="T202" s="313">
        <v>1.25</v>
      </c>
      <c r="U202" s="313">
        <v>1.17</v>
      </c>
      <c r="V202" s="313">
        <v>1.1299999999999999</v>
      </c>
      <c r="W202" s="313">
        <v>1.0900000000000001</v>
      </c>
      <c r="X202" s="313">
        <v>1.06</v>
      </c>
      <c r="Y202" s="313">
        <v>1.03</v>
      </c>
      <c r="Z202" s="314">
        <v>1</v>
      </c>
      <c r="AA202" s="314">
        <v>1</v>
      </c>
      <c r="AB202" s="317">
        <v>0.83</v>
      </c>
      <c r="AC202" s="321">
        <v>0.76</v>
      </c>
      <c r="AD202" s="321">
        <v>0.7</v>
      </c>
      <c r="AE202" s="321">
        <v>0.65</v>
      </c>
      <c r="AF202" s="321">
        <v>0.62</v>
      </c>
      <c r="AG202" s="317">
        <v>0.59</v>
      </c>
      <c r="AH202" s="317">
        <v>0.55000000000000004</v>
      </c>
      <c r="AI202" s="317">
        <v>0.55000000000000004</v>
      </c>
    </row>
    <row r="203" spans="1:35">
      <c r="A203" s="469" t="s">
        <v>1826</v>
      </c>
      <c r="B203" s="32" t="s">
        <v>1427</v>
      </c>
      <c r="C203" s="32" t="s">
        <v>1478</v>
      </c>
      <c r="D203" s="313">
        <v>1.08</v>
      </c>
      <c r="E203" s="313">
        <v>1.02</v>
      </c>
      <c r="F203" s="313">
        <v>0.94</v>
      </c>
      <c r="G203" s="314">
        <v>0.87</v>
      </c>
      <c r="H203" s="314">
        <v>0.85</v>
      </c>
      <c r="I203" s="314">
        <v>0.83</v>
      </c>
      <c r="J203" s="314">
        <v>0.8</v>
      </c>
      <c r="K203" s="314">
        <v>0.8</v>
      </c>
      <c r="L203" s="323">
        <v>0.63</v>
      </c>
      <c r="M203" s="317">
        <v>0.57999999999999996</v>
      </c>
      <c r="N203" s="317">
        <v>0.53</v>
      </c>
      <c r="O203" s="317">
        <v>0.49</v>
      </c>
      <c r="P203" s="317">
        <v>0.48</v>
      </c>
      <c r="Q203" s="317">
        <v>0.46</v>
      </c>
      <c r="R203" s="317">
        <v>0.45</v>
      </c>
      <c r="S203" s="318">
        <v>0.45</v>
      </c>
      <c r="T203" s="313">
        <v>1.25</v>
      </c>
      <c r="U203" s="313">
        <v>1.17</v>
      </c>
      <c r="V203" s="313">
        <v>1.1299999999999999</v>
      </c>
      <c r="W203" s="313">
        <v>1.0900000000000001</v>
      </c>
      <c r="X203" s="313">
        <v>1.06</v>
      </c>
      <c r="Y203" s="313">
        <v>1.03</v>
      </c>
      <c r="Z203" s="314">
        <v>1</v>
      </c>
      <c r="AA203" s="314">
        <v>1</v>
      </c>
      <c r="AB203" s="317">
        <v>0.83</v>
      </c>
      <c r="AC203" s="321">
        <v>0.76</v>
      </c>
      <c r="AD203" s="321">
        <v>0.7</v>
      </c>
      <c r="AE203" s="321">
        <v>0.65</v>
      </c>
      <c r="AF203" s="321">
        <v>0.62</v>
      </c>
      <c r="AG203" s="317">
        <v>0.59</v>
      </c>
      <c r="AH203" s="317">
        <v>0.55000000000000004</v>
      </c>
      <c r="AI203" s="317">
        <v>0.55000000000000004</v>
      </c>
    </row>
    <row r="204" spans="1:35">
      <c r="A204" s="469" t="s">
        <v>1826</v>
      </c>
      <c r="B204" s="32" t="s">
        <v>1427</v>
      </c>
      <c r="C204" s="32" t="s">
        <v>1479</v>
      </c>
      <c r="D204" s="313">
        <v>1.08</v>
      </c>
      <c r="E204" s="313">
        <v>1.02</v>
      </c>
      <c r="F204" s="313">
        <v>0.94</v>
      </c>
      <c r="G204" s="314">
        <v>0.87</v>
      </c>
      <c r="H204" s="314">
        <v>0.85</v>
      </c>
      <c r="I204" s="314">
        <v>0.83</v>
      </c>
      <c r="J204" s="314">
        <v>0.8</v>
      </c>
      <c r="K204" s="314">
        <v>0.8</v>
      </c>
      <c r="L204" s="323">
        <v>0.63</v>
      </c>
      <c r="M204" s="317">
        <v>0.57999999999999996</v>
      </c>
      <c r="N204" s="317">
        <v>0.53</v>
      </c>
      <c r="O204" s="317">
        <v>0.49</v>
      </c>
      <c r="P204" s="317">
        <v>0.48</v>
      </c>
      <c r="Q204" s="317">
        <v>0.46</v>
      </c>
      <c r="R204" s="317">
        <v>0.45</v>
      </c>
      <c r="S204" s="318">
        <v>0.45</v>
      </c>
      <c r="T204" s="313">
        <v>1.25</v>
      </c>
      <c r="U204" s="313">
        <v>1.17</v>
      </c>
      <c r="V204" s="313">
        <v>1.1299999999999999</v>
      </c>
      <c r="W204" s="313">
        <v>1.0900000000000001</v>
      </c>
      <c r="X204" s="313">
        <v>1.06</v>
      </c>
      <c r="Y204" s="313">
        <v>1.03</v>
      </c>
      <c r="Z204" s="314">
        <v>1</v>
      </c>
      <c r="AA204" s="314">
        <v>1</v>
      </c>
      <c r="AB204" s="317">
        <v>0.83</v>
      </c>
      <c r="AC204" s="321">
        <v>0.76</v>
      </c>
      <c r="AD204" s="321">
        <v>0.7</v>
      </c>
      <c r="AE204" s="321">
        <v>0.65</v>
      </c>
      <c r="AF204" s="321">
        <v>0.62</v>
      </c>
      <c r="AG204" s="317">
        <v>0.59</v>
      </c>
      <c r="AH204" s="317">
        <v>0.55000000000000004</v>
      </c>
      <c r="AI204" s="317">
        <v>0.55000000000000004</v>
      </c>
    </row>
    <row r="205" spans="1:35">
      <c r="A205" s="469" t="s">
        <v>1826</v>
      </c>
      <c r="B205" s="32" t="s">
        <v>1427</v>
      </c>
      <c r="C205" s="32" t="s">
        <v>1445</v>
      </c>
      <c r="D205" s="313">
        <v>1.08</v>
      </c>
      <c r="E205" s="313">
        <v>1.02</v>
      </c>
      <c r="F205" s="313">
        <v>0.94</v>
      </c>
      <c r="G205" s="314">
        <v>0.87</v>
      </c>
      <c r="H205" s="314">
        <v>0.85</v>
      </c>
      <c r="I205" s="314">
        <v>0.83</v>
      </c>
      <c r="J205" s="314">
        <v>0.8</v>
      </c>
      <c r="K205" s="314">
        <v>0.8</v>
      </c>
      <c r="L205" s="323">
        <v>0.63</v>
      </c>
      <c r="M205" s="317">
        <v>0.57999999999999996</v>
      </c>
      <c r="N205" s="317">
        <v>0.53</v>
      </c>
      <c r="O205" s="317">
        <v>0.49</v>
      </c>
      <c r="P205" s="317">
        <v>0.48</v>
      </c>
      <c r="Q205" s="317">
        <v>0.46</v>
      </c>
      <c r="R205" s="317">
        <v>0.45</v>
      </c>
      <c r="S205" s="318">
        <v>0.45</v>
      </c>
      <c r="T205" s="313">
        <v>1.25</v>
      </c>
      <c r="U205" s="313">
        <v>1.17</v>
      </c>
      <c r="V205" s="313">
        <v>1.1299999999999999</v>
      </c>
      <c r="W205" s="313">
        <v>1.0900000000000001</v>
      </c>
      <c r="X205" s="313">
        <v>1.06</v>
      </c>
      <c r="Y205" s="313">
        <v>1.03</v>
      </c>
      <c r="Z205" s="314">
        <v>1</v>
      </c>
      <c r="AA205" s="314">
        <v>1</v>
      </c>
      <c r="AB205" s="317">
        <v>0.83</v>
      </c>
      <c r="AC205" s="321">
        <v>0.76</v>
      </c>
      <c r="AD205" s="321">
        <v>0.7</v>
      </c>
      <c r="AE205" s="321">
        <v>0.65</v>
      </c>
      <c r="AF205" s="321">
        <v>0.62</v>
      </c>
      <c r="AG205" s="317">
        <v>0.59</v>
      </c>
      <c r="AH205" s="317">
        <v>0.55000000000000004</v>
      </c>
      <c r="AI205" s="317">
        <v>0.55000000000000004</v>
      </c>
    </row>
    <row r="206" spans="1:35">
      <c r="A206" s="469" t="s">
        <v>1826</v>
      </c>
      <c r="B206" s="32" t="s">
        <v>1427</v>
      </c>
      <c r="C206" s="32" t="s">
        <v>1480</v>
      </c>
      <c r="D206" s="313">
        <v>1.08</v>
      </c>
      <c r="E206" s="313">
        <v>1.02</v>
      </c>
      <c r="F206" s="313">
        <v>0.94</v>
      </c>
      <c r="G206" s="314">
        <v>0.87</v>
      </c>
      <c r="H206" s="314">
        <v>0.85</v>
      </c>
      <c r="I206" s="314">
        <v>0.83</v>
      </c>
      <c r="J206" s="314">
        <v>0.8</v>
      </c>
      <c r="K206" s="314">
        <v>0.8</v>
      </c>
      <c r="L206" s="323">
        <v>0.63</v>
      </c>
      <c r="M206" s="317">
        <v>0.57999999999999996</v>
      </c>
      <c r="N206" s="317">
        <v>0.53</v>
      </c>
      <c r="O206" s="317">
        <v>0.49</v>
      </c>
      <c r="P206" s="317">
        <v>0.48</v>
      </c>
      <c r="Q206" s="317">
        <v>0.46</v>
      </c>
      <c r="R206" s="317">
        <v>0.45</v>
      </c>
      <c r="S206" s="318">
        <v>0.45</v>
      </c>
      <c r="T206" s="313">
        <v>1.25</v>
      </c>
      <c r="U206" s="313">
        <v>1.17</v>
      </c>
      <c r="V206" s="313">
        <v>1.1299999999999999</v>
      </c>
      <c r="W206" s="313">
        <v>1.0900000000000001</v>
      </c>
      <c r="X206" s="313">
        <v>1.06</v>
      </c>
      <c r="Y206" s="313">
        <v>1.03</v>
      </c>
      <c r="Z206" s="314">
        <v>1</v>
      </c>
      <c r="AA206" s="314">
        <v>1</v>
      </c>
      <c r="AB206" s="317">
        <v>0.83</v>
      </c>
      <c r="AC206" s="321">
        <v>0.76</v>
      </c>
      <c r="AD206" s="321">
        <v>0.7</v>
      </c>
      <c r="AE206" s="321">
        <v>0.65</v>
      </c>
      <c r="AF206" s="321">
        <v>0.62</v>
      </c>
      <c r="AG206" s="317">
        <v>0.59</v>
      </c>
      <c r="AH206" s="317">
        <v>0.55000000000000004</v>
      </c>
      <c r="AI206" s="317">
        <v>0.55000000000000004</v>
      </c>
    </row>
    <row r="207" spans="1:35">
      <c r="A207" s="469" t="s">
        <v>1826</v>
      </c>
      <c r="B207" s="32" t="s">
        <v>1427</v>
      </c>
      <c r="C207" s="463" t="s">
        <v>119</v>
      </c>
      <c r="D207" s="313">
        <v>1.08</v>
      </c>
      <c r="E207" s="313">
        <v>1.02</v>
      </c>
      <c r="F207" s="313">
        <v>0.94</v>
      </c>
      <c r="G207" s="314">
        <v>0.87</v>
      </c>
      <c r="H207" s="314">
        <v>0.85</v>
      </c>
      <c r="I207" s="314">
        <v>0.83</v>
      </c>
      <c r="J207" s="314">
        <v>0.8</v>
      </c>
      <c r="K207" s="314">
        <v>0.8</v>
      </c>
      <c r="L207" s="323">
        <v>0.63</v>
      </c>
      <c r="M207" s="317">
        <v>0.57999999999999996</v>
      </c>
      <c r="N207" s="317">
        <v>0.53</v>
      </c>
      <c r="O207" s="317">
        <v>0.49</v>
      </c>
      <c r="P207" s="317">
        <v>0.48</v>
      </c>
      <c r="Q207" s="317">
        <v>0.46</v>
      </c>
      <c r="R207" s="317">
        <v>0.45</v>
      </c>
      <c r="S207" s="318">
        <v>0.45</v>
      </c>
      <c r="T207" s="313">
        <v>1.25</v>
      </c>
      <c r="U207" s="313">
        <v>1.17</v>
      </c>
      <c r="V207" s="313">
        <v>1.1299999999999999</v>
      </c>
      <c r="W207" s="313">
        <v>1.0900000000000001</v>
      </c>
      <c r="X207" s="313">
        <v>1.06</v>
      </c>
      <c r="Y207" s="313">
        <v>1.03</v>
      </c>
      <c r="Z207" s="314">
        <v>1</v>
      </c>
      <c r="AA207" s="314">
        <v>1</v>
      </c>
      <c r="AB207" s="317">
        <v>0.83</v>
      </c>
      <c r="AC207" s="321">
        <v>0.76</v>
      </c>
      <c r="AD207" s="321">
        <v>0.7</v>
      </c>
      <c r="AE207" s="321">
        <v>0.65</v>
      </c>
      <c r="AF207" s="321">
        <v>0.62</v>
      </c>
      <c r="AG207" s="317">
        <v>0.59</v>
      </c>
      <c r="AH207" s="317">
        <v>0.55000000000000004</v>
      </c>
      <c r="AI207" s="317">
        <v>0.55000000000000004</v>
      </c>
    </row>
    <row r="208" spans="1:35">
      <c r="A208" s="469" t="s">
        <v>1826</v>
      </c>
      <c r="B208" s="32" t="s">
        <v>1328</v>
      </c>
      <c r="C208" s="32" t="s">
        <v>1464</v>
      </c>
      <c r="D208" s="313">
        <v>1.08</v>
      </c>
      <c r="E208" s="313">
        <v>1.02</v>
      </c>
      <c r="F208" s="313">
        <v>0.94</v>
      </c>
      <c r="G208" s="314">
        <v>0.87</v>
      </c>
      <c r="H208" s="314">
        <v>0.85</v>
      </c>
      <c r="I208" s="314">
        <v>0.83</v>
      </c>
      <c r="J208" s="314">
        <v>0.8</v>
      </c>
      <c r="K208" s="314">
        <v>0.8</v>
      </c>
      <c r="L208" s="323">
        <v>0.63</v>
      </c>
      <c r="M208" s="317">
        <v>0.57999999999999996</v>
      </c>
      <c r="N208" s="317">
        <v>0.53</v>
      </c>
      <c r="O208" s="317">
        <v>0.49</v>
      </c>
      <c r="P208" s="317">
        <v>0.48</v>
      </c>
      <c r="Q208" s="317">
        <v>0.46</v>
      </c>
      <c r="R208" s="317">
        <v>0.45</v>
      </c>
      <c r="S208" s="318">
        <v>0.45</v>
      </c>
      <c r="T208" s="313">
        <v>1.25</v>
      </c>
      <c r="U208" s="313">
        <v>1.17</v>
      </c>
      <c r="V208" s="313">
        <v>1.1299999999999999</v>
      </c>
      <c r="W208" s="313">
        <v>1.0900000000000001</v>
      </c>
      <c r="X208" s="313">
        <v>1.06</v>
      </c>
      <c r="Y208" s="313">
        <v>1.03</v>
      </c>
      <c r="Z208" s="314">
        <v>1</v>
      </c>
      <c r="AA208" s="314">
        <v>1</v>
      </c>
      <c r="AB208" s="317">
        <v>0.83</v>
      </c>
      <c r="AC208" s="321">
        <v>0.76</v>
      </c>
      <c r="AD208" s="321">
        <v>0.7</v>
      </c>
      <c r="AE208" s="321">
        <v>0.65</v>
      </c>
      <c r="AF208" s="321">
        <v>0.62</v>
      </c>
      <c r="AG208" s="317">
        <v>0.59</v>
      </c>
      <c r="AH208" s="317">
        <v>0.55000000000000004</v>
      </c>
      <c r="AI208" s="317">
        <v>0.55000000000000004</v>
      </c>
    </row>
    <row r="209" spans="1:35">
      <c r="A209" s="469" t="s">
        <v>1826</v>
      </c>
      <c r="B209" s="32" t="s">
        <v>1328</v>
      </c>
      <c r="C209" s="32" t="s">
        <v>1465</v>
      </c>
      <c r="D209" s="313">
        <v>1.08</v>
      </c>
      <c r="E209" s="313">
        <v>1.02</v>
      </c>
      <c r="F209" s="313">
        <v>0.94</v>
      </c>
      <c r="G209" s="314">
        <v>0.87</v>
      </c>
      <c r="H209" s="314">
        <v>0.85</v>
      </c>
      <c r="I209" s="314">
        <v>0.83</v>
      </c>
      <c r="J209" s="314">
        <v>0.8</v>
      </c>
      <c r="K209" s="314">
        <v>0.8</v>
      </c>
      <c r="L209" s="323">
        <v>0.63</v>
      </c>
      <c r="M209" s="317">
        <v>0.57999999999999996</v>
      </c>
      <c r="N209" s="317">
        <v>0.53</v>
      </c>
      <c r="O209" s="317">
        <v>0.49</v>
      </c>
      <c r="P209" s="317">
        <v>0.48</v>
      </c>
      <c r="Q209" s="317">
        <v>0.46</v>
      </c>
      <c r="R209" s="317">
        <v>0.45</v>
      </c>
      <c r="S209" s="318">
        <v>0.45</v>
      </c>
      <c r="T209" s="313">
        <v>1.25</v>
      </c>
      <c r="U209" s="313">
        <v>1.17</v>
      </c>
      <c r="V209" s="313">
        <v>1.1299999999999999</v>
      </c>
      <c r="W209" s="313">
        <v>1.0900000000000001</v>
      </c>
      <c r="X209" s="313">
        <v>1.06</v>
      </c>
      <c r="Y209" s="313">
        <v>1.03</v>
      </c>
      <c r="Z209" s="314">
        <v>1</v>
      </c>
      <c r="AA209" s="314">
        <v>1</v>
      </c>
      <c r="AB209" s="317">
        <v>0.83</v>
      </c>
      <c r="AC209" s="321">
        <v>0.76</v>
      </c>
      <c r="AD209" s="321">
        <v>0.7</v>
      </c>
      <c r="AE209" s="321">
        <v>0.65</v>
      </c>
      <c r="AF209" s="321">
        <v>0.62</v>
      </c>
      <c r="AG209" s="317">
        <v>0.59</v>
      </c>
      <c r="AH209" s="317">
        <v>0.55000000000000004</v>
      </c>
      <c r="AI209" s="317">
        <v>0.55000000000000004</v>
      </c>
    </row>
    <row r="210" spans="1:35">
      <c r="A210" s="469" t="s">
        <v>1826</v>
      </c>
      <c r="B210" s="32" t="s">
        <v>1328</v>
      </c>
      <c r="C210" s="32" t="s">
        <v>1466</v>
      </c>
      <c r="D210" s="313">
        <v>1.08</v>
      </c>
      <c r="E210" s="313">
        <v>1.02</v>
      </c>
      <c r="F210" s="313">
        <v>0.94</v>
      </c>
      <c r="G210" s="314">
        <v>0.87</v>
      </c>
      <c r="H210" s="314">
        <v>0.85</v>
      </c>
      <c r="I210" s="314">
        <v>0.83</v>
      </c>
      <c r="J210" s="314">
        <v>0.8</v>
      </c>
      <c r="K210" s="314">
        <v>0.8</v>
      </c>
      <c r="L210" s="323">
        <v>0.63</v>
      </c>
      <c r="M210" s="317">
        <v>0.57999999999999996</v>
      </c>
      <c r="N210" s="317">
        <v>0.53</v>
      </c>
      <c r="O210" s="317">
        <v>0.49</v>
      </c>
      <c r="P210" s="317">
        <v>0.48</v>
      </c>
      <c r="Q210" s="317">
        <v>0.46</v>
      </c>
      <c r="R210" s="317">
        <v>0.45</v>
      </c>
      <c r="S210" s="318">
        <v>0.45</v>
      </c>
      <c r="T210" s="313">
        <v>1.25</v>
      </c>
      <c r="U210" s="313">
        <v>1.17</v>
      </c>
      <c r="V210" s="313">
        <v>1.1299999999999999</v>
      </c>
      <c r="W210" s="313">
        <v>1.0900000000000001</v>
      </c>
      <c r="X210" s="313">
        <v>1.06</v>
      </c>
      <c r="Y210" s="313">
        <v>1.03</v>
      </c>
      <c r="Z210" s="314">
        <v>1</v>
      </c>
      <c r="AA210" s="314">
        <v>1</v>
      </c>
      <c r="AB210" s="317">
        <v>0.83</v>
      </c>
      <c r="AC210" s="321">
        <v>0.76</v>
      </c>
      <c r="AD210" s="321">
        <v>0.7</v>
      </c>
      <c r="AE210" s="321">
        <v>0.65</v>
      </c>
      <c r="AF210" s="321">
        <v>0.62</v>
      </c>
      <c r="AG210" s="317">
        <v>0.59</v>
      </c>
      <c r="AH210" s="317">
        <v>0.55000000000000004</v>
      </c>
      <c r="AI210" s="317">
        <v>0.55000000000000004</v>
      </c>
    </row>
    <row r="211" spans="1:35">
      <c r="A211" s="469" t="s">
        <v>1826</v>
      </c>
      <c r="B211" s="32" t="s">
        <v>1328</v>
      </c>
      <c r="C211" s="32" t="s">
        <v>1467</v>
      </c>
      <c r="D211" s="313">
        <v>1.08</v>
      </c>
      <c r="E211" s="313">
        <v>1.02</v>
      </c>
      <c r="F211" s="313">
        <v>0.94</v>
      </c>
      <c r="G211" s="314">
        <v>0.87</v>
      </c>
      <c r="H211" s="314">
        <v>0.85</v>
      </c>
      <c r="I211" s="314">
        <v>0.83</v>
      </c>
      <c r="J211" s="314">
        <v>0.8</v>
      </c>
      <c r="K211" s="314">
        <v>0.8</v>
      </c>
      <c r="L211" s="323">
        <v>0.63</v>
      </c>
      <c r="M211" s="317">
        <v>0.57999999999999996</v>
      </c>
      <c r="N211" s="317">
        <v>0.53</v>
      </c>
      <c r="O211" s="317">
        <v>0.49</v>
      </c>
      <c r="P211" s="317">
        <v>0.48</v>
      </c>
      <c r="Q211" s="317">
        <v>0.46</v>
      </c>
      <c r="R211" s="317">
        <v>0.45</v>
      </c>
      <c r="S211" s="318">
        <v>0.45</v>
      </c>
      <c r="T211" s="313">
        <v>1.25</v>
      </c>
      <c r="U211" s="313">
        <v>1.17</v>
      </c>
      <c r="V211" s="313">
        <v>1.1299999999999999</v>
      </c>
      <c r="W211" s="313">
        <v>1.0900000000000001</v>
      </c>
      <c r="X211" s="313">
        <v>1.06</v>
      </c>
      <c r="Y211" s="313">
        <v>1.03</v>
      </c>
      <c r="Z211" s="314">
        <v>1</v>
      </c>
      <c r="AA211" s="314">
        <v>1</v>
      </c>
      <c r="AB211" s="317">
        <v>0.83</v>
      </c>
      <c r="AC211" s="321">
        <v>0.76</v>
      </c>
      <c r="AD211" s="321">
        <v>0.7</v>
      </c>
      <c r="AE211" s="321">
        <v>0.65</v>
      </c>
      <c r="AF211" s="321">
        <v>0.62</v>
      </c>
      <c r="AG211" s="317">
        <v>0.59</v>
      </c>
      <c r="AH211" s="317">
        <v>0.55000000000000004</v>
      </c>
      <c r="AI211" s="317">
        <v>0.55000000000000004</v>
      </c>
    </row>
    <row r="212" spans="1:35">
      <c r="A212" s="469" t="s">
        <v>1826</v>
      </c>
      <c r="B212" s="32" t="s">
        <v>1328</v>
      </c>
      <c r="C212" s="463" t="s">
        <v>160</v>
      </c>
      <c r="D212" s="313">
        <v>1.08</v>
      </c>
      <c r="E212" s="313">
        <v>1.02</v>
      </c>
      <c r="F212" s="313">
        <v>0.94</v>
      </c>
      <c r="G212" s="314">
        <v>0.87</v>
      </c>
      <c r="H212" s="314">
        <v>0.85</v>
      </c>
      <c r="I212" s="314">
        <v>0.83</v>
      </c>
      <c r="J212" s="314">
        <v>0.8</v>
      </c>
      <c r="K212" s="314">
        <v>0.8</v>
      </c>
      <c r="L212" s="323">
        <v>0.63</v>
      </c>
      <c r="M212" s="317">
        <v>0.57999999999999996</v>
      </c>
      <c r="N212" s="317">
        <v>0.53</v>
      </c>
      <c r="O212" s="317">
        <v>0.49</v>
      </c>
      <c r="P212" s="317">
        <v>0.48</v>
      </c>
      <c r="Q212" s="317">
        <v>0.46</v>
      </c>
      <c r="R212" s="317">
        <v>0.45</v>
      </c>
      <c r="S212" s="318">
        <v>0.45</v>
      </c>
      <c r="T212" s="313">
        <v>1.25</v>
      </c>
      <c r="U212" s="313">
        <v>1.17</v>
      </c>
      <c r="V212" s="313">
        <v>1.1299999999999999</v>
      </c>
      <c r="W212" s="313">
        <v>1.0900000000000001</v>
      </c>
      <c r="X212" s="313">
        <v>1.06</v>
      </c>
      <c r="Y212" s="313">
        <v>1.03</v>
      </c>
      <c r="Z212" s="314">
        <v>1</v>
      </c>
      <c r="AA212" s="314">
        <v>1</v>
      </c>
      <c r="AB212" s="317">
        <v>0.83</v>
      </c>
      <c r="AC212" s="321">
        <v>0.76</v>
      </c>
      <c r="AD212" s="321">
        <v>0.7</v>
      </c>
      <c r="AE212" s="321">
        <v>0.65</v>
      </c>
      <c r="AF212" s="321">
        <v>0.62</v>
      </c>
      <c r="AG212" s="317">
        <v>0.59</v>
      </c>
      <c r="AH212" s="317">
        <v>0.55000000000000004</v>
      </c>
      <c r="AI212" s="317">
        <v>0.55000000000000004</v>
      </c>
    </row>
    <row r="213" spans="1:35">
      <c r="A213" s="469" t="s">
        <v>1826</v>
      </c>
      <c r="B213" s="32" t="s">
        <v>1328</v>
      </c>
      <c r="C213" s="32" t="s">
        <v>1487</v>
      </c>
      <c r="D213" s="313">
        <v>1.08</v>
      </c>
      <c r="E213" s="313">
        <v>1.02</v>
      </c>
      <c r="F213" s="313">
        <v>0.94</v>
      </c>
      <c r="G213" s="314">
        <v>0.87</v>
      </c>
      <c r="H213" s="314">
        <v>0.85</v>
      </c>
      <c r="I213" s="314">
        <v>0.83</v>
      </c>
      <c r="J213" s="314">
        <v>0.8</v>
      </c>
      <c r="K213" s="314">
        <v>0.8</v>
      </c>
      <c r="L213" s="323">
        <v>0.63</v>
      </c>
      <c r="M213" s="317">
        <v>0.57999999999999996</v>
      </c>
      <c r="N213" s="317">
        <v>0.53</v>
      </c>
      <c r="O213" s="317">
        <v>0.49</v>
      </c>
      <c r="P213" s="317">
        <v>0.48</v>
      </c>
      <c r="Q213" s="317">
        <v>0.46</v>
      </c>
      <c r="R213" s="317">
        <v>0.45</v>
      </c>
      <c r="S213" s="318">
        <v>0.45</v>
      </c>
      <c r="T213" s="313">
        <v>1.25</v>
      </c>
      <c r="U213" s="313">
        <v>1.17</v>
      </c>
      <c r="V213" s="313">
        <v>1.1299999999999999</v>
      </c>
      <c r="W213" s="313">
        <v>1.0900000000000001</v>
      </c>
      <c r="X213" s="313">
        <v>1.06</v>
      </c>
      <c r="Y213" s="313">
        <v>1.03</v>
      </c>
      <c r="Z213" s="314">
        <v>1</v>
      </c>
      <c r="AA213" s="314">
        <v>1</v>
      </c>
      <c r="AB213" s="317">
        <v>0.83</v>
      </c>
      <c r="AC213" s="321">
        <v>0.76</v>
      </c>
      <c r="AD213" s="321">
        <v>0.7</v>
      </c>
      <c r="AE213" s="321">
        <v>0.65</v>
      </c>
      <c r="AF213" s="321">
        <v>0.62</v>
      </c>
      <c r="AG213" s="317">
        <v>0.59</v>
      </c>
      <c r="AH213" s="317">
        <v>0.55000000000000004</v>
      </c>
      <c r="AI213" s="317">
        <v>0.55000000000000004</v>
      </c>
    </row>
    <row r="214" spans="1:35">
      <c r="A214" s="469" t="s">
        <v>1826</v>
      </c>
      <c r="B214" s="32" t="s">
        <v>1328</v>
      </c>
      <c r="C214" s="463" t="s">
        <v>159</v>
      </c>
      <c r="D214" s="313">
        <v>1.08</v>
      </c>
      <c r="E214" s="313">
        <v>1.02</v>
      </c>
      <c r="F214" s="313">
        <v>0.94</v>
      </c>
      <c r="G214" s="314">
        <v>0.87</v>
      </c>
      <c r="H214" s="314">
        <v>0.85</v>
      </c>
      <c r="I214" s="314">
        <v>0.83</v>
      </c>
      <c r="J214" s="314">
        <v>0.8</v>
      </c>
      <c r="K214" s="314">
        <v>0.8</v>
      </c>
      <c r="L214" s="323">
        <v>0.63</v>
      </c>
      <c r="M214" s="317">
        <v>0.57999999999999996</v>
      </c>
      <c r="N214" s="317">
        <v>0.53</v>
      </c>
      <c r="O214" s="317">
        <v>0.49</v>
      </c>
      <c r="P214" s="317">
        <v>0.48</v>
      </c>
      <c r="Q214" s="317">
        <v>0.46</v>
      </c>
      <c r="R214" s="317">
        <v>0.45</v>
      </c>
      <c r="S214" s="318">
        <v>0.45</v>
      </c>
      <c r="T214" s="313">
        <v>1.25</v>
      </c>
      <c r="U214" s="313">
        <v>1.17</v>
      </c>
      <c r="V214" s="313">
        <v>1.1299999999999999</v>
      </c>
      <c r="W214" s="313">
        <v>1.0900000000000001</v>
      </c>
      <c r="X214" s="313">
        <v>1.06</v>
      </c>
      <c r="Y214" s="313">
        <v>1.03</v>
      </c>
      <c r="Z214" s="314">
        <v>1</v>
      </c>
      <c r="AA214" s="314">
        <v>1</v>
      </c>
      <c r="AB214" s="317">
        <v>0.83</v>
      </c>
      <c r="AC214" s="321">
        <v>0.76</v>
      </c>
      <c r="AD214" s="321">
        <v>0.7</v>
      </c>
      <c r="AE214" s="321">
        <v>0.65</v>
      </c>
      <c r="AF214" s="321">
        <v>0.62</v>
      </c>
      <c r="AG214" s="317">
        <v>0.59</v>
      </c>
      <c r="AH214" s="317">
        <v>0.55000000000000004</v>
      </c>
      <c r="AI214" s="317">
        <v>0.55000000000000004</v>
      </c>
    </row>
    <row r="215" spans="1:35">
      <c r="A215" s="469" t="s">
        <v>1826</v>
      </c>
      <c r="B215" s="32" t="s">
        <v>1328</v>
      </c>
      <c r="C215" s="32" t="s">
        <v>1488</v>
      </c>
      <c r="D215" s="313">
        <v>1.08</v>
      </c>
      <c r="E215" s="313">
        <v>1.02</v>
      </c>
      <c r="F215" s="313">
        <v>0.94</v>
      </c>
      <c r="G215" s="314">
        <v>0.87</v>
      </c>
      <c r="H215" s="314">
        <v>0.85</v>
      </c>
      <c r="I215" s="314">
        <v>0.83</v>
      </c>
      <c r="J215" s="314">
        <v>0.8</v>
      </c>
      <c r="K215" s="314">
        <v>0.8</v>
      </c>
      <c r="L215" s="323">
        <v>0.63</v>
      </c>
      <c r="M215" s="317">
        <v>0.57999999999999996</v>
      </c>
      <c r="N215" s="317">
        <v>0.53</v>
      </c>
      <c r="O215" s="317">
        <v>0.49</v>
      </c>
      <c r="P215" s="317">
        <v>0.48</v>
      </c>
      <c r="Q215" s="317">
        <v>0.46</v>
      </c>
      <c r="R215" s="317">
        <v>0.45</v>
      </c>
      <c r="S215" s="318">
        <v>0.45</v>
      </c>
      <c r="T215" s="313">
        <v>1.25</v>
      </c>
      <c r="U215" s="313">
        <v>1.17</v>
      </c>
      <c r="V215" s="313">
        <v>1.1299999999999999</v>
      </c>
      <c r="W215" s="313">
        <v>1.0900000000000001</v>
      </c>
      <c r="X215" s="313">
        <v>1.06</v>
      </c>
      <c r="Y215" s="313">
        <v>1.03</v>
      </c>
      <c r="Z215" s="314">
        <v>1</v>
      </c>
      <c r="AA215" s="314">
        <v>1</v>
      </c>
      <c r="AB215" s="317">
        <v>0.83</v>
      </c>
      <c r="AC215" s="321">
        <v>0.76</v>
      </c>
      <c r="AD215" s="321">
        <v>0.7</v>
      </c>
      <c r="AE215" s="321">
        <v>0.65</v>
      </c>
      <c r="AF215" s="321">
        <v>0.62</v>
      </c>
      <c r="AG215" s="317">
        <v>0.59</v>
      </c>
      <c r="AH215" s="317">
        <v>0.55000000000000004</v>
      </c>
      <c r="AI215" s="317">
        <v>0.55000000000000004</v>
      </c>
    </row>
    <row r="216" spans="1:35">
      <c r="A216" s="469" t="s">
        <v>1826</v>
      </c>
      <c r="B216" s="32" t="s">
        <v>1328</v>
      </c>
      <c r="C216" s="471" t="s">
        <v>1814</v>
      </c>
      <c r="D216" s="313">
        <v>1.08</v>
      </c>
      <c r="E216" s="313">
        <v>1.02</v>
      </c>
      <c r="F216" s="313">
        <v>0.94</v>
      </c>
      <c r="G216" s="314">
        <v>0.87</v>
      </c>
      <c r="H216" s="314">
        <v>0.85</v>
      </c>
      <c r="I216" s="314">
        <v>0.83</v>
      </c>
      <c r="J216" s="314">
        <v>0.8</v>
      </c>
      <c r="K216" s="314">
        <v>0.8</v>
      </c>
      <c r="L216" s="323">
        <v>0.63</v>
      </c>
      <c r="M216" s="317">
        <v>0.57999999999999996</v>
      </c>
      <c r="N216" s="317">
        <v>0.53</v>
      </c>
      <c r="O216" s="317">
        <v>0.49</v>
      </c>
      <c r="P216" s="317">
        <v>0.48</v>
      </c>
      <c r="Q216" s="317">
        <v>0.46</v>
      </c>
      <c r="R216" s="317">
        <v>0.45</v>
      </c>
      <c r="S216" s="318">
        <v>0.45</v>
      </c>
      <c r="T216" s="313">
        <v>1.25</v>
      </c>
      <c r="U216" s="313">
        <v>1.17</v>
      </c>
      <c r="V216" s="313">
        <v>1.1299999999999999</v>
      </c>
      <c r="W216" s="313">
        <v>1.0900000000000001</v>
      </c>
      <c r="X216" s="313">
        <v>1.06</v>
      </c>
      <c r="Y216" s="313">
        <v>1.03</v>
      </c>
      <c r="Z216" s="314">
        <v>1</v>
      </c>
      <c r="AA216" s="314">
        <v>1</v>
      </c>
      <c r="AB216" s="317">
        <v>0.83</v>
      </c>
      <c r="AC216" s="321">
        <v>0.76</v>
      </c>
      <c r="AD216" s="321">
        <v>0.7</v>
      </c>
      <c r="AE216" s="321">
        <v>0.65</v>
      </c>
      <c r="AF216" s="321">
        <v>0.62</v>
      </c>
      <c r="AG216" s="317">
        <v>0.59</v>
      </c>
      <c r="AH216" s="317">
        <v>0.55000000000000004</v>
      </c>
      <c r="AI216" s="317">
        <v>0.55000000000000004</v>
      </c>
    </row>
    <row r="217" spans="1:35">
      <c r="A217" s="469" t="s">
        <v>1826</v>
      </c>
      <c r="B217" s="465" t="s">
        <v>1807</v>
      </c>
      <c r="C217" s="32" t="s">
        <v>1486</v>
      </c>
      <c r="D217" s="313">
        <v>1.08</v>
      </c>
      <c r="E217" s="313">
        <v>1.02</v>
      </c>
      <c r="F217" s="313">
        <v>0.94</v>
      </c>
      <c r="G217" s="314">
        <v>0.87</v>
      </c>
      <c r="H217" s="314">
        <v>0.85</v>
      </c>
      <c r="I217" s="314">
        <v>0.83</v>
      </c>
      <c r="J217" s="314">
        <v>0.8</v>
      </c>
      <c r="K217" s="315">
        <v>0.7</v>
      </c>
      <c r="L217" s="323">
        <v>0.63</v>
      </c>
      <c r="M217" s="317">
        <v>0.57999999999999996</v>
      </c>
      <c r="N217" s="317">
        <v>0.53</v>
      </c>
      <c r="O217" s="317">
        <v>0.49</v>
      </c>
      <c r="P217" s="317">
        <v>0.48</v>
      </c>
      <c r="Q217" s="317">
        <v>0.46</v>
      </c>
      <c r="R217" s="317">
        <v>0.45</v>
      </c>
      <c r="S217" s="320">
        <v>0.4</v>
      </c>
      <c r="T217" s="313">
        <v>1.25</v>
      </c>
      <c r="U217" s="313">
        <v>1.17</v>
      </c>
      <c r="V217" s="313">
        <v>1.1299999999999999</v>
      </c>
      <c r="W217" s="313">
        <v>1.0900000000000001</v>
      </c>
      <c r="X217" s="313">
        <v>1.06</v>
      </c>
      <c r="Y217" s="313">
        <v>1.03</v>
      </c>
      <c r="Z217" s="314">
        <v>1</v>
      </c>
      <c r="AA217" s="315">
        <v>0.9</v>
      </c>
      <c r="AB217" s="317">
        <v>0.83</v>
      </c>
      <c r="AC217" s="321">
        <v>0.76</v>
      </c>
      <c r="AD217" s="321">
        <v>0.7</v>
      </c>
      <c r="AE217" s="321">
        <v>0.65</v>
      </c>
      <c r="AF217" s="321">
        <v>0.62</v>
      </c>
      <c r="AG217" s="317">
        <v>0.59</v>
      </c>
      <c r="AH217" s="317">
        <v>0.55000000000000004</v>
      </c>
      <c r="AI217" s="319">
        <v>0.5</v>
      </c>
    </row>
    <row r="218" spans="1:35">
      <c r="A218" s="469" t="s">
        <v>1826</v>
      </c>
      <c r="B218" s="32" t="s">
        <v>1483</v>
      </c>
      <c r="C218" s="32" t="s">
        <v>1484</v>
      </c>
      <c r="D218" s="313">
        <v>1.08</v>
      </c>
      <c r="E218" s="313">
        <v>1.02</v>
      </c>
      <c r="F218" s="313">
        <v>0.94</v>
      </c>
      <c r="G218" s="314">
        <v>0.87</v>
      </c>
      <c r="H218" s="314">
        <v>0.85</v>
      </c>
      <c r="I218" s="314">
        <v>0.83</v>
      </c>
      <c r="J218" s="314">
        <v>0.8</v>
      </c>
      <c r="K218" s="315">
        <v>0.7</v>
      </c>
      <c r="L218" s="323">
        <v>0.63</v>
      </c>
      <c r="M218" s="317">
        <v>0.57999999999999996</v>
      </c>
      <c r="N218" s="317">
        <v>0.53</v>
      </c>
      <c r="O218" s="317">
        <v>0.49</v>
      </c>
      <c r="P218" s="317">
        <v>0.48</v>
      </c>
      <c r="Q218" s="317">
        <v>0.46</v>
      </c>
      <c r="R218" s="317">
        <v>0.45</v>
      </c>
      <c r="S218" s="320">
        <v>0.4</v>
      </c>
      <c r="T218" s="313">
        <v>1.25</v>
      </c>
      <c r="U218" s="313">
        <v>1.17</v>
      </c>
      <c r="V218" s="313">
        <v>1.1299999999999999</v>
      </c>
      <c r="W218" s="313">
        <v>1.0900000000000001</v>
      </c>
      <c r="X218" s="313">
        <v>1.06</v>
      </c>
      <c r="Y218" s="313">
        <v>1.03</v>
      </c>
      <c r="Z218" s="314">
        <v>1</v>
      </c>
      <c r="AA218" s="315">
        <v>0.9</v>
      </c>
      <c r="AB218" s="317">
        <v>0.83</v>
      </c>
      <c r="AC218" s="321">
        <v>0.76</v>
      </c>
      <c r="AD218" s="321">
        <v>0.7</v>
      </c>
      <c r="AE218" s="321">
        <v>0.65</v>
      </c>
      <c r="AF218" s="321">
        <v>0.62</v>
      </c>
      <c r="AG218" s="317">
        <v>0.59</v>
      </c>
      <c r="AH218" s="317">
        <v>0.55000000000000004</v>
      </c>
      <c r="AI218" s="319">
        <v>0.5</v>
      </c>
    </row>
    <row r="219" spans="1:35">
      <c r="A219" s="469" t="s">
        <v>1826</v>
      </c>
      <c r="B219" s="32" t="s">
        <v>1328</v>
      </c>
      <c r="C219" s="471" t="s">
        <v>1813</v>
      </c>
      <c r="D219" s="313">
        <v>1.08</v>
      </c>
      <c r="E219" s="313">
        <v>1.02</v>
      </c>
      <c r="F219" s="313">
        <v>0.94</v>
      </c>
      <c r="G219" s="314">
        <v>0.87</v>
      </c>
      <c r="H219" s="314">
        <v>0.85</v>
      </c>
      <c r="I219" s="314">
        <v>0.83</v>
      </c>
      <c r="J219" s="314">
        <v>0.8</v>
      </c>
      <c r="K219" s="315">
        <v>0.7</v>
      </c>
      <c r="L219" s="323">
        <v>0.63</v>
      </c>
      <c r="M219" s="317">
        <v>0.57999999999999996</v>
      </c>
      <c r="N219" s="317">
        <v>0.53</v>
      </c>
      <c r="O219" s="317">
        <v>0.49</v>
      </c>
      <c r="P219" s="317">
        <v>0.48</v>
      </c>
      <c r="Q219" s="317">
        <v>0.46</v>
      </c>
      <c r="R219" s="317">
        <v>0.45</v>
      </c>
      <c r="S219" s="320">
        <v>0.4</v>
      </c>
      <c r="T219" s="313">
        <v>1.25</v>
      </c>
      <c r="U219" s="313">
        <v>1.17</v>
      </c>
      <c r="V219" s="313">
        <v>1.1299999999999999</v>
      </c>
      <c r="W219" s="313">
        <v>1.0900000000000001</v>
      </c>
      <c r="X219" s="313">
        <v>1.06</v>
      </c>
      <c r="Y219" s="313">
        <v>1.03</v>
      </c>
      <c r="Z219" s="314">
        <v>1</v>
      </c>
      <c r="AA219" s="315">
        <v>0.9</v>
      </c>
      <c r="AB219" s="317">
        <v>0.83</v>
      </c>
      <c r="AC219" s="321">
        <v>0.76</v>
      </c>
      <c r="AD219" s="321">
        <v>0.7</v>
      </c>
      <c r="AE219" s="321">
        <v>0.65</v>
      </c>
      <c r="AF219" s="321">
        <v>0.62</v>
      </c>
      <c r="AG219" s="317">
        <v>0.59</v>
      </c>
      <c r="AH219" s="317">
        <v>0.55000000000000004</v>
      </c>
      <c r="AI219" s="319">
        <v>0.5</v>
      </c>
    </row>
    <row r="220" spans="1:35">
      <c r="A220" s="469" t="s">
        <v>1826</v>
      </c>
      <c r="B220" s="32" t="s">
        <v>1328</v>
      </c>
      <c r="C220" s="32" t="s">
        <v>1499</v>
      </c>
      <c r="D220" s="313">
        <v>1.08</v>
      </c>
      <c r="E220" s="313">
        <v>1.02</v>
      </c>
      <c r="F220" s="313">
        <v>0.94</v>
      </c>
      <c r="G220" s="314">
        <v>0.87</v>
      </c>
      <c r="H220" s="314">
        <v>0.85</v>
      </c>
      <c r="I220" s="314">
        <v>0.83</v>
      </c>
      <c r="J220" s="314">
        <v>0.8</v>
      </c>
      <c r="K220" s="315">
        <v>0.7</v>
      </c>
      <c r="L220" s="323">
        <v>0.63</v>
      </c>
      <c r="M220" s="317">
        <v>0.57999999999999996</v>
      </c>
      <c r="N220" s="317">
        <v>0.53</v>
      </c>
      <c r="O220" s="317">
        <v>0.49</v>
      </c>
      <c r="P220" s="317">
        <v>0.48</v>
      </c>
      <c r="Q220" s="317">
        <v>0.46</v>
      </c>
      <c r="R220" s="317">
        <v>0.45</v>
      </c>
      <c r="S220" s="320">
        <v>0.4</v>
      </c>
      <c r="T220" s="313">
        <v>1.25</v>
      </c>
      <c r="U220" s="313">
        <v>1.17</v>
      </c>
      <c r="V220" s="313">
        <v>1.1299999999999999</v>
      </c>
      <c r="W220" s="313">
        <v>1.0900000000000001</v>
      </c>
      <c r="X220" s="313">
        <v>1.06</v>
      </c>
      <c r="Y220" s="313">
        <v>1.03</v>
      </c>
      <c r="Z220" s="314">
        <v>1</v>
      </c>
      <c r="AA220" s="315">
        <v>0.9</v>
      </c>
      <c r="AB220" s="317">
        <v>0.83</v>
      </c>
      <c r="AC220" s="321">
        <v>0.76</v>
      </c>
      <c r="AD220" s="321">
        <v>0.7</v>
      </c>
      <c r="AE220" s="321">
        <v>0.65</v>
      </c>
      <c r="AF220" s="321">
        <v>0.62</v>
      </c>
      <c r="AG220" s="317">
        <v>0.59</v>
      </c>
      <c r="AH220" s="317">
        <v>0.55000000000000004</v>
      </c>
      <c r="AI220" s="319">
        <v>0.5</v>
      </c>
    </row>
    <row r="221" spans="1:35">
      <c r="A221" s="469" t="s">
        <v>1826</v>
      </c>
      <c r="B221" s="32" t="s">
        <v>1328</v>
      </c>
      <c r="C221" s="32" t="s">
        <v>1500</v>
      </c>
      <c r="D221" s="313">
        <v>1.08</v>
      </c>
      <c r="E221" s="313">
        <v>1.02</v>
      </c>
      <c r="F221" s="313">
        <v>0.94</v>
      </c>
      <c r="G221" s="314">
        <v>0.87</v>
      </c>
      <c r="H221" s="314">
        <v>0.85</v>
      </c>
      <c r="I221" s="314">
        <v>0.83</v>
      </c>
      <c r="J221" s="314">
        <v>0.8</v>
      </c>
      <c r="K221" s="315">
        <v>0.7</v>
      </c>
      <c r="L221" s="323">
        <v>0.63</v>
      </c>
      <c r="M221" s="317">
        <v>0.57999999999999996</v>
      </c>
      <c r="N221" s="317">
        <v>0.53</v>
      </c>
      <c r="O221" s="317">
        <v>0.49</v>
      </c>
      <c r="P221" s="317">
        <v>0.48</v>
      </c>
      <c r="Q221" s="317">
        <v>0.46</v>
      </c>
      <c r="R221" s="317">
        <v>0.45</v>
      </c>
      <c r="S221" s="320">
        <v>0.4</v>
      </c>
      <c r="T221" s="313">
        <v>1.25</v>
      </c>
      <c r="U221" s="313">
        <v>1.17</v>
      </c>
      <c r="V221" s="313">
        <v>1.1299999999999999</v>
      </c>
      <c r="W221" s="313">
        <v>1.0900000000000001</v>
      </c>
      <c r="X221" s="313">
        <v>1.06</v>
      </c>
      <c r="Y221" s="313">
        <v>1.03</v>
      </c>
      <c r="Z221" s="314">
        <v>1</v>
      </c>
      <c r="AA221" s="315">
        <v>0.9</v>
      </c>
      <c r="AB221" s="317">
        <v>0.83</v>
      </c>
      <c r="AC221" s="321">
        <v>0.76</v>
      </c>
      <c r="AD221" s="321">
        <v>0.7</v>
      </c>
      <c r="AE221" s="321">
        <v>0.65</v>
      </c>
      <c r="AF221" s="321">
        <v>0.62</v>
      </c>
      <c r="AG221" s="317">
        <v>0.59</v>
      </c>
      <c r="AH221" s="317">
        <v>0.55000000000000004</v>
      </c>
      <c r="AI221" s="319">
        <v>0.5</v>
      </c>
    </row>
    <row r="222" spans="1:35">
      <c r="A222" s="32" t="s">
        <v>1562</v>
      </c>
      <c r="B222" s="464" t="s">
        <v>166</v>
      </c>
      <c r="C222" s="466" t="s">
        <v>1815</v>
      </c>
      <c r="D222" s="313">
        <v>1.1000000000000001</v>
      </c>
      <c r="E222" s="313">
        <v>1.04</v>
      </c>
      <c r="F222" s="313">
        <v>0.97</v>
      </c>
      <c r="G222" s="314">
        <v>0.9</v>
      </c>
      <c r="H222" s="314">
        <v>0.8</v>
      </c>
      <c r="I222" s="314">
        <v>0.8</v>
      </c>
      <c r="J222" s="314">
        <v>0.8</v>
      </c>
      <c r="K222" s="314">
        <v>0.8</v>
      </c>
      <c r="L222" s="323">
        <v>0.65</v>
      </c>
      <c r="M222" s="317">
        <v>0.62</v>
      </c>
      <c r="N222" s="317">
        <v>0.57999999999999996</v>
      </c>
      <c r="O222" s="317">
        <v>0.52</v>
      </c>
      <c r="P222" s="317">
        <v>0.45</v>
      </c>
      <c r="Q222" s="317">
        <v>0.45</v>
      </c>
      <c r="R222" s="317">
        <v>0.45</v>
      </c>
      <c r="S222" s="318">
        <v>0.45</v>
      </c>
      <c r="T222" s="314">
        <v>1.3</v>
      </c>
      <c r="U222" s="313">
        <v>1.22</v>
      </c>
      <c r="V222" s="313">
        <v>1.1299999999999999</v>
      </c>
      <c r="W222" s="313">
        <v>1.04</v>
      </c>
      <c r="X222" s="314">
        <v>1</v>
      </c>
      <c r="Y222" s="314">
        <v>1</v>
      </c>
      <c r="Z222" s="314">
        <v>1</v>
      </c>
      <c r="AA222" s="314">
        <v>1</v>
      </c>
      <c r="AB222" s="317">
        <v>0.81</v>
      </c>
      <c r="AC222" s="321">
        <v>0.76</v>
      </c>
      <c r="AD222" s="321">
        <v>0.69</v>
      </c>
      <c r="AE222" s="321">
        <v>0.62</v>
      </c>
      <c r="AF222" s="321">
        <v>0.55000000000000004</v>
      </c>
      <c r="AG222" s="317">
        <v>0.55000000000000004</v>
      </c>
      <c r="AH222" s="317">
        <v>0.55000000000000004</v>
      </c>
      <c r="AI222" s="317">
        <v>0.55000000000000004</v>
      </c>
    </row>
    <row r="223" spans="1:35">
      <c r="A223" s="32" t="s">
        <v>1490</v>
      </c>
      <c r="B223" s="464" t="s">
        <v>166</v>
      </c>
      <c r="C223" s="464" t="s">
        <v>174</v>
      </c>
      <c r="D223" s="313">
        <v>1.1000000000000001</v>
      </c>
      <c r="E223" s="313">
        <v>1.04</v>
      </c>
      <c r="F223" s="313">
        <v>0.97</v>
      </c>
      <c r="G223" s="314">
        <v>0.9</v>
      </c>
      <c r="H223" s="314">
        <v>0.8</v>
      </c>
      <c r="I223" s="314">
        <v>0.8</v>
      </c>
      <c r="J223" s="314">
        <v>0.8</v>
      </c>
      <c r="K223" s="314">
        <v>0.8</v>
      </c>
      <c r="L223" s="323">
        <v>0.65</v>
      </c>
      <c r="M223" s="317">
        <v>0.62</v>
      </c>
      <c r="N223" s="317">
        <v>0.57999999999999996</v>
      </c>
      <c r="O223" s="317">
        <v>0.52</v>
      </c>
      <c r="P223" s="317">
        <v>0.45</v>
      </c>
      <c r="Q223" s="317">
        <v>0.45</v>
      </c>
      <c r="R223" s="317">
        <v>0.45</v>
      </c>
      <c r="S223" s="318">
        <v>0.45</v>
      </c>
      <c r="T223" s="314">
        <v>1.3</v>
      </c>
      <c r="U223" s="313">
        <v>1.22</v>
      </c>
      <c r="V223" s="313">
        <v>1.1299999999999999</v>
      </c>
      <c r="W223" s="313">
        <v>1.04</v>
      </c>
      <c r="X223" s="314">
        <v>1</v>
      </c>
      <c r="Y223" s="314">
        <v>1</v>
      </c>
      <c r="Z223" s="314">
        <v>1</v>
      </c>
      <c r="AA223" s="314">
        <v>1</v>
      </c>
      <c r="AB223" s="317">
        <v>0.81</v>
      </c>
      <c r="AC223" s="321">
        <v>0.76</v>
      </c>
      <c r="AD223" s="321">
        <v>0.69</v>
      </c>
      <c r="AE223" s="321">
        <v>0.62</v>
      </c>
      <c r="AF223" s="321">
        <v>0.55000000000000004</v>
      </c>
      <c r="AG223" s="317">
        <v>0.55000000000000004</v>
      </c>
      <c r="AH223" s="317">
        <v>0.55000000000000004</v>
      </c>
      <c r="AI223" s="317">
        <v>0.55000000000000004</v>
      </c>
    </row>
    <row r="224" spans="1:35">
      <c r="A224" s="32" t="s">
        <v>1490</v>
      </c>
      <c r="B224" s="464" t="s">
        <v>166</v>
      </c>
      <c r="C224" s="464" t="s">
        <v>168</v>
      </c>
      <c r="D224" s="313">
        <v>1.1000000000000001</v>
      </c>
      <c r="E224" s="313">
        <v>1.04</v>
      </c>
      <c r="F224" s="313">
        <v>0.97</v>
      </c>
      <c r="G224" s="314">
        <v>0.9</v>
      </c>
      <c r="H224" s="314">
        <v>0.8</v>
      </c>
      <c r="I224" s="315">
        <v>0.7</v>
      </c>
      <c r="J224" s="315">
        <v>0.7</v>
      </c>
      <c r="K224" s="315">
        <v>0.7</v>
      </c>
      <c r="L224" s="323">
        <v>0.65</v>
      </c>
      <c r="M224" s="317">
        <v>0.62</v>
      </c>
      <c r="N224" s="317">
        <v>0.57999999999999996</v>
      </c>
      <c r="O224" s="317">
        <v>0.52</v>
      </c>
      <c r="P224" s="317">
        <v>0.45</v>
      </c>
      <c r="Q224" s="319">
        <v>0.4</v>
      </c>
      <c r="R224" s="319">
        <v>0.4</v>
      </c>
      <c r="S224" s="320">
        <v>0.4</v>
      </c>
      <c r="T224" s="314">
        <v>1.3</v>
      </c>
      <c r="U224" s="313">
        <v>1.22</v>
      </c>
      <c r="V224" s="313">
        <v>1.1299999999999999</v>
      </c>
      <c r="W224" s="313">
        <v>1.04</v>
      </c>
      <c r="X224" s="314">
        <v>1</v>
      </c>
      <c r="Y224" s="315">
        <v>0.9</v>
      </c>
      <c r="Z224" s="315">
        <v>0.9</v>
      </c>
      <c r="AA224" s="315">
        <v>0.9</v>
      </c>
      <c r="AB224" s="317">
        <v>0.81</v>
      </c>
      <c r="AC224" s="321">
        <v>0.76</v>
      </c>
      <c r="AD224" s="321">
        <v>0.69</v>
      </c>
      <c r="AE224" s="321">
        <v>0.62</v>
      </c>
      <c r="AF224" s="321">
        <v>0.55000000000000004</v>
      </c>
      <c r="AG224" s="319">
        <v>0.5</v>
      </c>
      <c r="AH224" s="319">
        <v>0.5</v>
      </c>
      <c r="AI224" s="319">
        <v>0.5</v>
      </c>
    </row>
    <row r="225" spans="1:38">
      <c r="A225" s="32" t="s">
        <v>1490</v>
      </c>
      <c r="B225" s="464" t="s">
        <v>166</v>
      </c>
      <c r="C225" s="32" t="s">
        <v>1491</v>
      </c>
      <c r="D225" s="313">
        <v>1.1000000000000001</v>
      </c>
      <c r="E225" s="313">
        <v>1.04</v>
      </c>
      <c r="F225" s="313">
        <v>0.97</v>
      </c>
      <c r="G225" s="314">
        <v>0.9</v>
      </c>
      <c r="H225" s="314">
        <v>0.8</v>
      </c>
      <c r="I225" s="315">
        <v>0.7</v>
      </c>
      <c r="J225" s="315">
        <v>0.7</v>
      </c>
      <c r="K225" s="315">
        <v>0.7</v>
      </c>
      <c r="L225" s="323">
        <v>0.65</v>
      </c>
      <c r="M225" s="317">
        <v>0.62</v>
      </c>
      <c r="N225" s="317">
        <v>0.57999999999999996</v>
      </c>
      <c r="O225" s="317">
        <v>0.52</v>
      </c>
      <c r="P225" s="317">
        <v>0.45</v>
      </c>
      <c r="Q225" s="319">
        <v>0.4</v>
      </c>
      <c r="R225" s="319">
        <v>0.4</v>
      </c>
      <c r="S225" s="320">
        <v>0.4</v>
      </c>
      <c r="T225" s="314">
        <v>1.3</v>
      </c>
      <c r="U225" s="313">
        <v>1.22</v>
      </c>
      <c r="V225" s="313">
        <v>1.1299999999999999</v>
      </c>
      <c r="W225" s="313">
        <v>1.04</v>
      </c>
      <c r="X225" s="314">
        <v>1</v>
      </c>
      <c r="Y225" s="315">
        <v>0.9</v>
      </c>
      <c r="Z225" s="315">
        <v>0.9</v>
      </c>
      <c r="AA225" s="315">
        <v>0.9</v>
      </c>
      <c r="AB225" s="317">
        <v>0.81</v>
      </c>
      <c r="AC225" s="321">
        <v>0.76</v>
      </c>
      <c r="AD225" s="321">
        <v>0.69</v>
      </c>
      <c r="AE225" s="321">
        <v>0.62</v>
      </c>
      <c r="AF225" s="321">
        <v>0.55000000000000004</v>
      </c>
      <c r="AG225" s="319">
        <v>0.5</v>
      </c>
      <c r="AH225" s="319">
        <v>0.5</v>
      </c>
      <c r="AI225" s="319">
        <v>0.5</v>
      </c>
    </row>
    <row r="226" spans="1:38">
      <c r="A226" s="32" t="s">
        <v>1490</v>
      </c>
      <c r="B226" s="32" t="s">
        <v>1325</v>
      </c>
      <c r="C226" s="32" t="s">
        <v>1335</v>
      </c>
      <c r="D226" s="313">
        <v>1.1000000000000001</v>
      </c>
      <c r="E226" s="313">
        <v>1.04</v>
      </c>
      <c r="F226" s="313">
        <v>0.97</v>
      </c>
      <c r="G226" s="314">
        <v>0.9</v>
      </c>
      <c r="H226" s="314">
        <v>0.8</v>
      </c>
      <c r="I226" s="314">
        <v>0.8</v>
      </c>
      <c r="J226" s="314">
        <v>0.8</v>
      </c>
      <c r="K226" s="314">
        <v>0.8</v>
      </c>
      <c r="L226" s="323">
        <v>0.65</v>
      </c>
      <c r="M226" s="317">
        <v>0.62</v>
      </c>
      <c r="N226" s="317">
        <v>0.57999999999999996</v>
      </c>
      <c r="O226" s="317">
        <v>0.52</v>
      </c>
      <c r="P226" s="317">
        <v>0.45</v>
      </c>
      <c r="Q226" s="317">
        <v>0.45</v>
      </c>
      <c r="R226" s="317">
        <v>0.45</v>
      </c>
      <c r="S226" s="318">
        <v>0.45</v>
      </c>
      <c r="T226" s="314">
        <v>1.3</v>
      </c>
      <c r="U226" s="313">
        <v>1.22</v>
      </c>
      <c r="V226" s="313">
        <v>1.1299999999999999</v>
      </c>
      <c r="W226" s="313">
        <v>1.04</v>
      </c>
      <c r="X226" s="314">
        <v>1</v>
      </c>
      <c r="Y226" s="314">
        <v>1</v>
      </c>
      <c r="Z226" s="314">
        <v>1</v>
      </c>
      <c r="AA226" s="314">
        <v>1</v>
      </c>
      <c r="AB226" s="317">
        <v>0.81</v>
      </c>
      <c r="AC226" s="321">
        <v>0.76</v>
      </c>
      <c r="AD226" s="321">
        <v>0.69</v>
      </c>
      <c r="AE226" s="321">
        <v>0.62</v>
      </c>
      <c r="AF226" s="321">
        <v>0.55000000000000004</v>
      </c>
      <c r="AG226" s="317">
        <v>0.55000000000000004</v>
      </c>
      <c r="AH226" s="317">
        <v>0.55000000000000004</v>
      </c>
      <c r="AI226" s="317">
        <v>0.55000000000000004</v>
      </c>
    </row>
    <row r="227" spans="1:38">
      <c r="A227" s="32" t="s">
        <v>1490</v>
      </c>
      <c r="B227" s="32" t="s">
        <v>1325</v>
      </c>
      <c r="C227" s="32" t="s">
        <v>1494</v>
      </c>
      <c r="D227" s="313">
        <v>1.1000000000000001</v>
      </c>
      <c r="E227" s="313">
        <v>1.04</v>
      </c>
      <c r="F227" s="313">
        <v>0.97</v>
      </c>
      <c r="G227" s="314">
        <v>0.9</v>
      </c>
      <c r="H227" s="314">
        <v>0.8</v>
      </c>
      <c r="I227" s="314">
        <v>0.8</v>
      </c>
      <c r="J227" s="314">
        <v>0.8</v>
      </c>
      <c r="K227" s="314">
        <v>0.8</v>
      </c>
      <c r="L227" s="323">
        <v>0.65</v>
      </c>
      <c r="M227" s="317">
        <v>0.62</v>
      </c>
      <c r="N227" s="317">
        <v>0.57999999999999996</v>
      </c>
      <c r="O227" s="317">
        <v>0.52</v>
      </c>
      <c r="P227" s="317">
        <v>0.45</v>
      </c>
      <c r="Q227" s="317">
        <v>0.45</v>
      </c>
      <c r="R227" s="317">
        <v>0.45</v>
      </c>
      <c r="S227" s="318">
        <v>0.45</v>
      </c>
      <c r="T227" s="314">
        <v>1.3</v>
      </c>
      <c r="U227" s="313">
        <v>1.22</v>
      </c>
      <c r="V227" s="313">
        <v>1.1299999999999999</v>
      </c>
      <c r="W227" s="313">
        <v>1.04</v>
      </c>
      <c r="X227" s="314">
        <v>1</v>
      </c>
      <c r="Y227" s="314">
        <v>1</v>
      </c>
      <c r="Z227" s="314">
        <v>1</v>
      </c>
      <c r="AA227" s="314">
        <v>1</v>
      </c>
      <c r="AB227" s="317">
        <v>0.81</v>
      </c>
      <c r="AC227" s="321">
        <v>0.76</v>
      </c>
      <c r="AD227" s="321">
        <v>0.69</v>
      </c>
      <c r="AE227" s="321">
        <v>0.62</v>
      </c>
      <c r="AF227" s="321">
        <v>0.55000000000000004</v>
      </c>
      <c r="AG227" s="317">
        <v>0.55000000000000004</v>
      </c>
      <c r="AH227" s="317">
        <v>0.55000000000000004</v>
      </c>
      <c r="AI227" s="317">
        <v>0.55000000000000004</v>
      </c>
    </row>
    <row r="228" spans="1:38">
      <c r="A228" s="32" t="s">
        <v>1490</v>
      </c>
      <c r="B228" s="32" t="s">
        <v>1325</v>
      </c>
      <c r="C228" s="32" t="s">
        <v>1495</v>
      </c>
      <c r="D228" s="313">
        <v>1.1000000000000001</v>
      </c>
      <c r="E228" s="313">
        <v>1.04</v>
      </c>
      <c r="F228" s="313">
        <v>0.97</v>
      </c>
      <c r="G228" s="314">
        <v>0.9</v>
      </c>
      <c r="H228" s="314">
        <v>0.8</v>
      </c>
      <c r="I228" s="314">
        <v>0.8</v>
      </c>
      <c r="J228" s="314">
        <v>0.8</v>
      </c>
      <c r="K228" s="314">
        <v>0.8</v>
      </c>
      <c r="L228" s="323">
        <v>0.65</v>
      </c>
      <c r="M228" s="317">
        <v>0.62</v>
      </c>
      <c r="N228" s="317">
        <v>0.57999999999999996</v>
      </c>
      <c r="O228" s="317">
        <v>0.52</v>
      </c>
      <c r="P228" s="317">
        <v>0.45</v>
      </c>
      <c r="Q228" s="317">
        <v>0.45</v>
      </c>
      <c r="R228" s="317">
        <v>0.45</v>
      </c>
      <c r="S228" s="318">
        <v>0.45</v>
      </c>
      <c r="T228" s="314">
        <v>1.3</v>
      </c>
      <c r="U228" s="313">
        <v>1.22</v>
      </c>
      <c r="V228" s="313">
        <v>1.1299999999999999</v>
      </c>
      <c r="W228" s="313">
        <v>1.04</v>
      </c>
      <c r="X228" s="314">
        <v>1</v>
      </c>
      <c r="Y228" s="314">
        <v>1</v>
      </c>
      <c r="Z228" s="314">
        <v>1</v>
      </c>
      <c r="AA228" s="314">
        <v>1</v>
      </c>
      <c r="AB228" s="317">
        <v>0.81</v>
      </c>
      <c r="AC228" s="321">
        <v>0.76</v>
      </c>
      <c r="AD228" s="321">
        <v>0.69</v>
      </c>
      <c r="AE228" s="321">
        <v>0.62</v>
      </c>
      <c r="AF228" s="321">
        <v>0.55000000000000004</v>
      </c>
      <c r="AG228" s="317">
        <v>0.55000000000000004</v>
      </c>
      <c r="AH228" s="317">
        <v>0.55000000000000004</v>
      </c>
      <c r="AI228" s="317">
        <v>0.55000000000000004</v>
      </c>
    </row>
    <row r="229" spans="1:38">
      <c r="A229" s="32" t="s">
        <v>1490</v>
      </c>
      <c r="B229" s="32" t="s">
        <v>1325</v>
      </c>
      <c r="C229" s="32" t="s">
        <v>1496</v>
      </c>
      <c r="D229" s="313">
        <v>1.1000000000000001</v>
      </c>
      <c r="E229" s="313">
        <v>1.04</v>
      </c>
      <c r="F229" s="313">
        <v>0.97</v>
      </c>
      <c r="G229" s="314">
        <v>0.9</v>
      </c>
      <c r="H229" s="314">
        <v>0.8</v>
      </c>
      <c r="I229" s="314">
        <v>0.8</v>
      </c>
      <c r="J229" s="314">
        <v>0.8</v>
      </c>
      <c r="K229" s="314">
        <v>0.8</v>
      </c>
      <c r="L229" s="323">
        <v>0.65</v>
      </c>
      <c r="M229" s="317">
        <v>0.62</v>
      </c>
      <c r="N229" s="317">
        <v>0.57999999999999996</v>
      </c>
      <c r="O229" s="317">
        <v>0.52</v>
      </c>
      <c r="P229" s="317">
        <v>0.45</v>
      </c>
      <c r="Q229" s="317">
        <v>0.45</v>
      </c>
      <c r="R229" s="317">
        <v>0.45</v>
      </c>
      <c r="S229" s="318">
        <v>0.45</v>
      </c>
      <c r="T229" s="314">
        <v>1.3</v>
      </c>
      <c r="U229" s="313">
        <v>1.22</v>
      </c>
      <c r="V229" s="313">
        <v>1.1299999999999999</v>
      </c>
      <c r="W229" s="313">
        <v>1.04</v>
      </c>
      <c r="X229" s="314">
        <v>1</v>
      </c>
      <c r="Y229" s="314">
        <v>1</v>
      </c>
      <c r="Z229" s="314">
        <v>1</v>
      </c>
      <c r="AA229" s="314">
        <v>1</v>
      </c>
      <c r="AB229" s="317">
        <v>0.81</v>
      </c>
      <c r="AC229" s="321">
        <v>0.76</v>
      </c>
      <c r="AD229" s="321">
        <v>0.69</v>
      </c>
      <c r="AE229" s="321">
        <v>0.62</v>
      </c>
      <c r="AF229" s="321">
        <v>0.55000000000000004</v>
      </c>
      <c r="AG229" s="317">
        <v>0.55000000000000004</v>
      </c>
      <c r="AH229" s="317">
        <v>0.55000000000000004</v>
      </c>
      <c r="AI229" s="317">
        <v>0.55000000000000004</v>
      </c>
    </row>
    <row r="230" spans="1:38">
      <c r="A230" s="32" t="s">
        <v>1490</v>
      </c>
      <c r="B230" s="32" t="s">
        <v>1325</v>
      </c>
      <c r="C230" s="32" t="s">
        <v>1497</v>
      </c>
      <c r="D230" s="313">
        <v>1.1000000000000001</v>
      </c>
      <c r="E230" s="313">
        <v>1.04</v>
      </c>
      <c r="F230" s="313">
        <v>0.97</v>
      </c>
      <c r="G230" s="314">
        <v>0.9</v>
      </c>
      <c r="H230" s="314">
        <v>0.8</v>
      </c>
      <c r="I230" s="314">
        <v>0.8</v>
      </c>
      <c r="J230" s="314">
        <v>0.8</v>
      </c>
      <c r="K230" s="314">
        <v>0.8</v>
      </c>
      <c r="L230" s="323">
        <v>0.65</v>
      </c>
      <c r="M230" s="317">
        <v>0.62</v>
      </c>
      <c r="N230" s="317">
        <v>0.57999999999999996</v>
      </c>
      <c r="O230" s="317">
        <v>0.52</v>
      </c>
      <c r="P230" s="317">
        <v>0.45</v>
      </c>
      <c r="Q230" s="317">
        <v>0.45</v>
      </c>
      <c r="R230" s="317">
        <v>0.45</v>
      </c>
      <c r="S230" s="318">
        <v>0.45</v>
      </c>
      <c r="T230" s="314">
        <v>1.3</v>
      </c>
      <c r="U230" s="313">
        <v>1.22</v>
      </c>
      <c r="V230" s="313">
        <v>1.1299999999999999</v>
      </c>
      <c r="W230" s="313">
        <v>1.04</v>
      </c>
      <c r="X230" s="314">
        <v>1</v>
      </c>
      <c r="Y230" s="314">
        <v>1</v>
      </c>
      <c r="Z230" s="314">
        <v>1</v>
      </c>
      <c r="AA230" s="314">
        <v>1</v>
      </c>
      <c r="AB230" s="317">
        <v>0.81</v>
      </c>
      <c r="AC230" s="321">
        <v>0.76</v>
      </c>
      <c r="AD230" s="321">
        <v>0.69</v>
      </c>
      <c r="AE230" s="321">
        <v>0.62</v>
      </c>
      <c r="AF230" s="321">
        <v>0.55000000000000004</v>
      </c>
      <c r="AG230" s="317">
        <v>0.55000000000000004</v>
      </c>
      <c r="AH230" s="317">
        <v>0.55000000000000004</v>
      </c>
      <c r="AI230" s="317">
        <v>0.55000000000000004</v>
      </c>
    </row>
    <row r="231" spans="1:38">
      <c r="A231" s="32" t="s">
        <v>1490</v>
      </c>
      <c r="B231" s="32" t="s">
        <v>1498</v>
      </c>
      <c r="C231" s="32" t="s">
        <v>1489</v>
      </c>
      <c r="D231" s="313">
        <v>1.1000000000000001</v>
      </c>
      <c r="E231" s="313">
        <v>1.04</v>
      </c>
      <c r="F231" s="313">
        <v>0.97</v>
      </c>
      <c r="G231" s="314">
        <v>0.9</v>
      </c>
      <c r="H231" s="314">
        <v>0.8</v>
      </c>
      <c r="I231" s="314">
        <v>0.8</v>
      </c>
      <c r="J231" s="314">
        <v>0.8</v>
      </c>
      <c r="K231" s="314">
        <v>0.8</v>
      </c>
      <c r="L231" s="323">
        <v>0.65</v>
      </c>
      <c r="M231" s="317">
        <v>0.62</v>
      </c>
      <c r="N231" s="317">
        <v>0.57999999999999996</v>
      </c>
      <c r="O231" s="317">
        <v>0.52</v>
      </c>
      <c r="P231" s="317">
        <v>0.45</v>
      </c>
      <c r="Q231" s="317">
        <v>0.45</v>
      </c>
      <c r="R231" s="317">
        <v>0.45</v>
      </c>
      <c r="S231" s="318">
        <v>0.45</v>
      </c>
      <c r="T231" s="314">
        <v>1.3</v>
      </c>
      <c r="U231" s="313">
        <v>1.22</v>
      </c>
      <c r="V231" s="313">
        <v>1.1299999999999999</v>
      </c>
      <c r="W231" s="313">
        <v>1.04</v>
      </c>
      <c r="X231" s="314">
        <v>1</v>
      </c>
      <c r="Y231" s="314">
        <v>1</v>
      </c>
      <c r="Z231" s="314">
        <v>1</v>
      </c>
      <c r="AA231" s="314">
        <v>1</v>
      </c>
      <c r="AB231" s="317">
        <v>0.81</v>
      </c>
      <c r="AC231" s="321">
        <v>0.76</v>
      </c>
      <c r="AD231" s="321">
        <v>0.69</v>
      </c>
      <c r="AE231" s="321">
        <v>0.62</v>
      </c>
      <c r="AF231" s="321">
        <v>0.55000000000000004</v>
      </c>
      <c r="AG231" s="317">
        <v>0.55000000000000004</v>
      </c>
      <c r="AH231" s="317">
        <v>0.55000000000000004</v>
      </c>
      <c r="AI231" s="317">
        <v>0.55000000000000004</v>
      </c>
    </row>
    <row r="232" spans="1:38">
      <c r="A232" s="32" t="s">
        <v>1490</v>
      </c>
      <c r="B232" s="32" t="s">
        <v>1498</v>
      </c>
      <c r="C232" s="32" t="s">
        <v>1429</v>
      </c>
      <c r="D232" s="313">
        <v>1.1000000000000001</v>
      </c>
      <c r="E232" s="313">
        <v>1.04</v>
      </c>
      <c r="F232" s="313">
        <v>0.97</v>
      </c>
      <c r="G232" s="314">
        <v>0.9</v>
      </c>
      <c r="H232" s="314">
        <v>0.8</v>
      </c>
      <c r="I232" s="314">
        <v>0.8</v>
      </c>
      <c r="J232" s="314">
        <v>0.8</v>
      </c>
      <c r="K232" s="314">
        <v>0.8</v>
      </c>
      <c r="L232" s="323">
        <v>0.65</v>
      </c>
      <c r="M232" s="317">
        <v>0.62</v>
      </c>
      <c r="N232" s="317">
        <v>0.57999999999999996</v>
      </c>
      <c r="O232" s="317">
        <v>0.52</v>
      </c>
      <c r="P232" s="317">
        <v>0.45</v>
      </c>
      <c r="Q232" s="317">
        <v>0.45</v>
      </c>
      <c r="R232" s="317">
        <v>0.45</v>
      </c>
      <c r="S232" s="318">
        <v>0.45</v>
      </c>
      <c r="T232" s="314">
        <v>1.3</v>
      </c>
      <c r="U232" s="313">
        <v>1.22</v>
      </c>
      <c r="V232" s="313">
        <v>1.1299999999999999</v>
      </c>
      <c r="W232" s="313">
        <v>1.04</v>
      </c>
      <c r="X232" s="314">
        <v>1</v>
      </c>
      <c r="Y232" s="314">
        <v>1</v>
      </c>
      <c r="Z232" s="314">
        <v>1</v>
      </c>
      <c r="AA232" s="314">
        <v>1</v>
      </c>
      <c r="AB232" s="317">
        <v>0.81</v>
      </c>
      <c r="AC232" s="321">
        <v>0.76</v>
      </c>
      <c r="AD232" s="321">
        <v>0.69</v>
      </c>
      <c r="AE232" s="321">
        <v>0.62</v>
      </c>
      <c r="AF232" s="321">
        <v>0.55000000000000004</v>
      </c>
      <c r="AG232" s="317">
        <v>0.55000000000000004</v>
      </c>
      <c r="AH232" s="317">
        <v>0.55000000000000004</v>
      </c>
      <c r="AI232" s="317">
        <v>0.55000000000000004</v>
      </c>
    </row>
    <row r="233" spans="1:38">
      <c r="A233" s="32" t="s">
        <v>1490</v>
      </c>
      <c r="B233" s="32" t="s">
        <v>1325</v>
      </c>
      <c r="C233" s="32" t="s">
        <v>1492</v>
      </c>
      <c r="D233" s="313">
        <v>1.1000000000000001</v>
      </c>
      <c r="E233" s="313">
        <v>1.04</v>
      </c>
      <c r="F233" s="313">
        <v>0.97</v>
      </c>
      <c r="G233" s="314">
        <v>0.9</v>
      </c>
      <c r="H233" s="314">
        <v>0.8</v>
      </c>
      <c r="I233" s="315">
        <v>0.7</v>
      </c>
      <c r="J233" s="315">
        <v>0.7</v>
      </c>
      <c r="K233" s="315">
        <v>0.7</v>
      </c>
      <c r="L233" s="323">
        <v>0.65</v>
      </c>
      <c r="M233" s="317">
        <v>0.62</v>
      </c>
      <c r="N233" s="317">
        <v>0.57999999999999996</v>
      </c>
      <c r="O233" s="317">
        <v>0.52</v>
      </c>
      <c r="P233" s="317">
        <v>0.45</v>
      </c>
      <c r="Q233" s="319">
        <v>0.4</v>
      </c>
      <c r="R233" s="319">
        <v>0.4</v>
      </c>
      <c r="S233" s="320">
        <v>0.4</v>
      </c>
      <c r="T233" s="314">
        <v>1.3</v>
      </c>
      <c r="U233" s="313">
        <v>1.22</v>
      </c>
      <c r="V233" s="313">
        <v>1.1299999999999999</v>
      </c>
      <c r="W233" s="313">
        <v>1.04</v>
      </c>
      <c r="X233" s="314">
        <v>1</v>
      </c>
      <c r="Y233" s="315">
        <v>0.9</v>
      </c>
      <c r="Z233" s="315">
        <v>0.9</v>
      </c>
      <c r="AA233" s="315">
        <v>0.9</v>
      </c>
      <c r="AB233" s="317">
        <v>0.81</v>
      </c>
      <c r="AC233" s="321">
        <v>0.76</v>
      </c>
      <c r="AD233" s="321">
        <v>0.69</v>
      </c>
      <c r="AE233" s="321">
        <v>0.62</v>
      </c>
      <c r="AF233" s="321">
        <v>0.55000000000000004</v>
      </c>
      <c r="AG233" s="319">
        <v>0.5</v>
      </c>
      <c r="AH233" s="319">
        <v>0.5</v>
      </c>
      <c r="AI233" s="319">
        <v>0.5</v>
      </c>
    </row>
    <row r="234" spans="1:38">
      <c r="A234" s="32" t="s">
        <v>1490</v>
      </c>
      <c r="B234" s="32" t="s">
        <v>1325</v>
      </c>
      <c r="C234" s="32" t="s">
        <v>1493</v>
      </c>
      <c r="D234" s="313">
        <v>1.1000000000000001</v>
      </c>
      <c r="E234" s="313">
        <v>1.04</v>
      </c>
      <c r="F234" s="313">
        <v>0.97</v>
      </c>
      <c r="G234" s="314">
        <v>0.9</v>
      </c>
      <c r="H234" s="314">
        <v>0.8</v>
      </c>
      <c r="I234" s="315">
        <v>0.7</v>
      </c>
      <c r="J234" s="315">
        <v>0.7</v>
      </c>
      <c r="K234" s="315">
        <v>0.7</v>
      </c>
      <c r="L234" s="323">
        <v>0.65</v>
      </c>
      <c r="M234" s="317">
        <v>0.62</v>
      </c>
      <c r="N234" s="317">
        <v>0.57999999999999996</v>
      </c>
      <c r="O234" s="317">
        <v>0.52</v>
      </c>
      <c r="P234" s="317">
        <v>0.45</v>
      </c>
      <c r="Q234" s="319">
        <v>0.4</v>
      </c>
      <c r="R234" s="319">
        <v>0.4</v>
      </c>
      <c r="S234" s="320">
        <v>0.4</v>
      </c>
      <c r="T234" s="314">
        <v>1.3</v>
      </c>
      <c r="U234" s="313">
        <v>1.22</v>
      </c>
      <c r="V234" s="313">
        <v>1.1299999999999999</v>
      </c>
      <c r="W234" s="313">
        <v>1.04</v>
      </c>
      <c r="X234" s="314">
        <v>1</v>
      </c>
      <c r="Y234" s="315">
        <v>0.9</v>
      </c>
      <c r="Z234" s="315">
        <v>0.9</v>
      </c>
      <c r="AA234" s="315">
        <v>0.9</v>
      </c>
      <c r="AB234" s="317">
        <v>0.81</v>
      </c>
      <c r="AC234" s="321">
        <v>0.76</v>
      </c>
      <c r="AD234" s="321">
        <v>0.69</v>
      </c>
      <c r="AE234" s="321">
        <v>0.62</v>
      </c>
      <c r="AF234" s="321">
        <v>0.55000000000000004</v>
      </c>
      <c r="AG234" s="319">
        <v>0.5</v>
      </c>
      <c r="AH234" s="319">
        <v>0.5</v>
      </c>
      <c r="AI234" s="319">
        <v>0.5</v>
      </c>
    </row>
    <row r="235" spans="1:38" ht="31">
      <c r="A235" s="180" t="s">
        <v>1567</v>
      </c>
      <c r="B235" s="32" t="s">
        <v>1328</v>
      </c>
      <c r="C235" s="32" t="s">
        <v>1329</v>
      </c>
      <c r="D235" s="314">
        <v>0.92</v>
      </c>
      <c r="E235" s="314">
        <v>0.88</v>
      </c>
      <c r="F235" s="314">
        <v>0.83</v>
      </c>
      <c r="G235" s="314">
        <v>0.8</v>
      </c>
      <c r="H235" s="314">
        <v>0.8</v>
      </c>
      <c r="I235" s="314">
        <v>0.8</v>
      </c>
      <c r="J235" s="314">
        <v>0.8</v>
      </c>
      <c r="K235" s="314">
        <v>0.8</v>
      </c>
      <c r="L235" s="321">
        <v>0.52</v>
      </c>
      <c r="M235" s="321">
        <v>0.5</v>
      </c>
      <c r="N235" s="321">
        <v>0.48</v>
      </c>
      <c r="O235" s="321">
        <v>0.46</v>
      </c>
      <c r="P235" s="321">
        <v>0.45</v>
      </c>
      <c r="Q235" s="321">
        <v>0.45</v>
      </c>
      <c r="R235" s="321">
        <v>0.45</v>
      </c>
      <c r="S235" s="322">
        <v>0.45</v>
      </c>
      <c r="T235" s="314">
        <v>1.21</v>
      </c>
      <c r="U235" s="314">
        <v>1.18</v>
      </c>
      <c r="V235" s="314">
        <v>1.1100000000000001</v>
      </c>
      <c r="W235" s="314">
        <v>1.04</v>
      </c>
      <c r="X235" s="314">
        <v>1</v>
      </c>
      <c r="Y235" s="314">
        <v>1</v>
      </c>
      <c r="Z235" s="314">
        <v>1</v>
      </c>
      <c r="AA235" s="314">
        <v>1</v>
      </c>
      <c r="AB235" s="321">
        <v>0.78</v>
      </c>
      <c r="AC235" s="321">
        <v>0.75</v>
      </c>
      <c r="AD235" s="321">
        <v>0.69</v>
      </c>
      <c r="AE235" s="321">
        <v>0.62</v>
      </c>
      <c r="AF235" s="321">
        <v>0.55000000000000004</v>
      </c>
      <c r="AG235" s="321">
        <v>0.55000000000000004</v>
      </c>
      <c r="AH235" s="321">
        <v>0.55000000000000004</v>
      </c>
      <c r="AI235" s="321">
        <v>0.55000000000000004</v>
      </c>
      <c r="AJ235" s="32" t="s">
        <v>1328</v>
      </c>
      <c r="AK235" s="32" t="s">
        <v>1329</v>
      </c>
      <c r="AL235" s="33" t="s">
        <v>1342</v>
      </c>
    </row>
    <row r="236" spans="1:38">
      <c r="A236" s="180" t="s">
        <v>1567</v>
      </c>
      <c r="B236" s="32" t="s">
        <v>1328</v>
      </c>
      <c r="C236" s="463" t="s">
        <v>159</v>
      </c>
      <c r="D236" s="314">
        <v>0.92</v>
      </c>
      <c r="E236" s="314">
        <v>0.88</v>
      </c>
      <c r="F236" s="314">
        <v>0.83</v>
      </c>
      <c r="G236" s="314">
        <v>0.8</v>
      </c>
      <c r="H236" s="314">
        <v>0.8</v>
      </c>
      <c r="I236" s="314">
        <v>0.8</v>
      </c>
      <c r="J236" s="314">
        <v>0.8</v>
      </c>
      <c r="K236" s="314">
        <v>0.8</v>
      </c>
      <c r="L236" s="321">
        <v>0.52</v>
      </c>
      <c r="M236" s="321">
        <v>0.5</v>
      </c>
      <c r="N236" s="321">
        <v>0.48</v>
      </c>
      <c r="O236" s="321">
        <v>0.46</v>
      </c>
      <c r="P236" s="321">
        <v>0.45</v>
      </c>
      <c r="Q236" s="321">
        <v>0.45</v>
      </c>
      <c r="R236" s="321">
        <v>0.45</v>
      </c>
      <c r="S236" s="322">
        <v>0.45</v>
      </c>
      <c r="T236" s="314">
        <v>1.21</v>
      </c>
      <c r="U236" s="314">
        <v>1.18</v>
      </c>
      <c r="V236" s="314">
        <v>1.1100000000000001</v>
      </c>
      <c r="W236" s="314">
        <v>1.04</v>
      </c>
      <c r="X236" s="314">
        <v>1</v>
      </c>
      <c r="Y236" s="314">
        <v>1</v>
      </c>
      <c r="Z236" s="314">
        <v>1</v>
      </c>
      <c r="AA236" s="314">
        <v>1</v>
      </c>
      <c r="AB236" s="321">
        <v>0.78</v>
      </c>
      <c r="AC236" s="321">
        <v>0.75</v>
      </c>
      <c r="AD236" s="321">
        <v>0.69</v>
      </c>
      <c r="AE236" s="321">
        <v>0.62</v>
      </c>
      <c r="AF236" s="321">
        <v>0.55000000000000004</v>
      </c>
      <c r="AG236" s="321">
        <v>0.55000000000000004</v>
      </c>
      <c r="AH236" s="321">
        <v>0.55000000000000004</v>
      </c>
      <c r="AI236" s="321">
        <v>0.55000000000000004</v>
      </c>
      <c r="AJ236" s="32" t="s">
        <v>1328</v>
      </c>
      <c r="AK236" s="32" t="s">
        <v>1330</v>
      </c>
    </row>
    <row r="237" spans="1:38">
      <c r="A237" s="180" t="s">
        <v>1567</v>
      </c>
      <c r="B237" s="464" t="s">
        <v>166</v>
      </c>
      <c r="C237" s="466" t="s">
        <v>1815</v>
      </c>
      <c r="D237" s="314">
        <v>0.92</v>
      </c>
      <c r="E237" s="314">
        <v>0.88</v>
      </c>
      <c r="F237" s="314">
        <v>0.83</v>
      </c>
      <c r="G237" s="314">
        <v>0.8</v>
      </c>
      <c r="H237" s="314">
        <v>0.8</v>
      </c>
      <c r="I237" s="314">
        <v>0.8</v>
      </c>
      <c r="J237" s="314">
        <v>0.8</v>
      </c>
      <c r="K237" s="314">
        <v>0.8</v>
      </c>
      <c r="L237" s="321">
        <v>0.52</v>
      </c>
      <c r="M237" s="321">
        <v>0.5</v>
      </c>
      <c r="N237" s="321">
        <v>0.48</v>
      </c>
      <c r="O237" s="321">
        <v>0.46</v>
      </c>
      <c r="P237" s="321">
        <v>0.45</v>
      </c>
      <c r="Q237" s="321">
        <v>0.45</v>
      </c>
      <c r="R237" s="321">
        <v>0.45</v>
      </c>
      <c r="S237" s="322">
        <v>0.45</v>
      </c>
      <c r="T237" s="314">
        <v>1.21</v>
      </c>
      <c r="U237" s="314">
        <v>1.18</v>
      </c>
      <c r="V237" s="314">
        <v>1.1100000000000001</v>
      </c>
      <c r="W237" s="314">
        <v>1.04</v>
      </c>
      <c r="X237" s="314">
        <v>1</v>
      </c>
      <c r="Y237" s="314">
        <v>1</v>
      </c>
      <c r="Z237" s="314">
        <v>1</v>
      </c>
      <c r="AA237" s="314">
        <v>1</v>
      </c>
      <c r="AB237" s="321">
        <v>0.78</v>
      </c>
      <c r="AC237" s="321">
        <v>0.75</v>
      </c>
      <c r="AD237" s="321">
        <v>0.69</v>
      </c>
      <c r="AE237" s="321">
        <v>0.62</v>
      </c>
      <c r="AF237" s="321">
        <v>0.55000000000000004</v>
      </c>
      <c r="AG237" s="321">
        <v>0.55000000000000004</v>
      </c>
      <c r="AH237" s="321">
        <v>0.55000000000000004</v>
      </c>
      <c r="AI237" s="321">
        <v>0.55000000000000004</v>
      </c>
      <c r="AJ237" s="32" t="s">
        <v>1331</v>
      </c>
      <c r="AK237" s="32" t="s">
        <v>1332</v>
      </c>
    </row>
    <row r="238" spans="1:38">
      <c r="A238" s="180" t="s">
        <v>1567</v>
      </c>
      <c r="B238" s="464" t="s">
        <v>166</v>
      </c>
      <c r="C238" s="466" t="s">
        <v>1816</v>
      </c>
      <c r="D238" s="314">
        <v>0.92</v>
      </c>
      <c r="E238" s="314">
        <v>0.88</v>
      </c>
      <c r="F238" s="314">
        <v>0.83</v>
      </c>
      <c r="G238" s="314">
        <v>0.8</v>
      </c>
      <c r="H238" s="314">
        <v>0.8</v>
      </c>
      <c r="I238" s="314">
        <v>0.8</v>
      </c>
      <c r="J238" s="314">
        <v>0.8</v>
      </c>
      <c r="K238" s="314">
        <v>0.8</v>
      </c>
      <c r="L238" s="321">
        <v>0.52</v>
      </c>
      <c r="M238" s="321">
        <v>0.5</v>
      </c>
      <c r="N238" s="321">
        <v>0.48</v>
      </c>
      <c r="O238" s="321">
        <v>0.46</v>
      </c>
      <c r="P238" s="321">
        <v>0.45</v>
      </c>
      <c r="Q238" s="321">
        <v>0.45</v>
      </c>
      <c r="R238" s="321">
        <v>0.45</v>
      </c>
      <c r="S238" s="322">
        <v>0.45</v>
      </c>
      <c r="T238" s="314">
        <v>1.21</v>
      </c>
      <c r="U238" s="314">
        <v>1.18</v>
      </c>
      <c r="V238" s="314">
        <v>1.1100000000000001</v>
      </c>
      <c r="W238" s="314">
        <v>1.04</v>
      </c>
      <c r="X238" s="314">
        <v>1</v>
      </c>
      <c r="Y238" s="314">
        <v>1</v>
      </c>
      <c r="Z238" s="314">
        <v>1</v>
      </c>
      <c r="AA238" s="314">
        <v>1</v>
      </c>
      <c r="AB238" s="321">
        <v>0.78</v>
      </c>
      <c r="AC238" s="321">
        <v>0.75</v>
      </c>
      <c r="AD238" s="321">
        <v>0.69</v>
      </c>
      <c r="AE238" s="321">
        <v>0.62</v>
      </c>
      <c r="AF238" s="321">
        <v>0.55000000000000004</v>
      </c>
      <c r="AG238" s="321">
        <v>0.55000000000000004</v>
      </c>
      <c r="AH238" s="321">
        <v>0.55000000000000004</v>
      </c>
      <c r="AI238" s="321">
        <v>0.55000000000000004</v>
      </c>
      <c r="AJ238" s="32" t="s">
        <v>1331</v>
      </c>
      <c r="AK238" s="32" t="s">
        <v>1333</v>
      </c>
    </row>
    <row r="239" spans="1:38">
      <c r="A239" s="180" t="s">
        <v>1567</v>
      </c>
      <c r="B239" s="464" t="s">
        <v>166</v>
      </c>
      <c r="C239" s="464" t="s">
        <v>174</v>
      </c>
      <c r="D239" s="314">
        <v>0.92</v>
      </c>
      <c r="E239" s="314">
        <v>0.88</v>
      </c>
      <c r="F239" s="314">
        <v>0.83</v>
      </c>
      <c r="G239" s="314">
        <v>0.8</v>
      </c>
      <c r="H239" s="314">
        <v>0.8</v>
      </c>
      <c r="I239" s="314">
        <v>0.8</v>
      </c>
      <c r="J239" s="314">
        <v>0.8</v>
      </c>
      <c r="K239" s="314">
        <v>0.8</v>
      </c>
      <c r="L239" s="321">
        <v>0.52</v>
      </c>
      <c r="M239" s="321">
        <v>0.5</v>
      </c>
      <c r="N239" s="321">
        <v>0.48</v>
      </c>
      <c r="O239" s="321">
        <v>0.46</v>
      </c>
      <c r="P239" s="321">
        <v>0.45</v>
      </c>
      <c r="Q239" s="321">
        <v>0.45</v>
      </c>
      <c r="R239" s="321">
        <v>0.45</v>
      </c>
      <c r="S239" s="322">
        <v>0.45</v>
      </c>
      <c r="T239" s="314">
        <v>1.21</v>
      </c>
      <c r="U239" s="314">
        <v>1.18</v>
      </c>
      <c r="V239" s="314">
        <v>1.1100000000000001</v>
      </c>
      <c r="W239" s="314">
        <v>1.04</v>
      </c>
      <c r="X239" s="314">
        <v>1</v>
      </c>
      <c r="Y239" s="314">
        <v>1</v>
      </c>
      <c r="Z239" s="314">
        <v>1</v>
      </c>
      <c r="AA239" s="314">
        <v>1</v>
      </c>
      <c r="AB239" s="321">
        <v>0.78</v>
      </c>
      <c r="AC239" s="321">
        <v>0.75</v>
      </c>
      <c r="AD239" s="321">
        <v>0.69</v>
      </c>
      <c r="AE239" s="321">
        <v>0.62</v>
      </c>
      <c r="AF239" s="321">
        <v>0.55000000000000004</v>
      </c>
      <c r="AG239" s="321">
        <v>0.55000000000000004</v>
      </c>
      <c r="AH239" s="321">
        <v>0.55000000000000004</v>
      </c>
      <c r="AI239" s="321">
        <v>0.55000000000000004</v>
      </c>
      <c r="AJ239" s="32" t="s">
        <v>1331</v>
      </c>
      <c r="AK239" s="32" t="s">
        <v>1334</v>
      </c>
    </row>
    <row r="240" spans="1:38">
      <c r="A240" s="180" t="s">
        <v>1567</v>
      </c>
      <c r="B240" s="32" t="s">
        <v>1325</v>
      </c>
      <c r="C240" s="32" t="s">
        <v>1335</v>
      </c>
      <c r="D240" s="314">
        <v>0.92</v>
      </c>
      <c r="E240" s="314">
        <v>0.88</v>
      </c>
      <c r="F240" s="314">
        <v>0.83</v>
      </c>
      <c r="G240" s="314">
        <v>0.8</v>
      </c>
      <c r="H240" s="314">
        <v>0.8</v>
      </c>
      <c r="I240" s="314">
        <v>0.8</v>
      </c>
      <c r="J240" s="314">
        <v>0.8</v>
      </c>
      <c r="K240" s="314">
        <v>0.8</v>
      </c>
      <c r="L240" s="321">
        <v>0.52</v>
      </c>
      <c r="M240" s="321">
        <v>0.5</v>
      </c>
      <c r="N240" s="321">
        <v>0.48</v>
      </c>
      <c r="O240" s="321">
        <v>0.46</v>
      </c>
      <c r="P240" s="321">
        <v>0.45</v>
      </c>
      <c r="Q240" s="321">
        <v>0.45</v>
      </c>
      <c r="R240" s="321">
        <v>0.45</v>
      </c>
      <c r="S240" s="322">
        <v>0.45</v>
      </c>
      <c r="T240" s="314">
        <v>1.21</v>
      </c>
      <c r="U240" s="314">
        <v>1.18</v>
      </c>
      <c r="V240" s="314">
        <v>1.1100000000000001</v>
      </c>
      <c r="W240" s="314">
        <v>1.04</v>
      </c>
      <c r="X240" s="314">
        <v>1</v>
      </c>
      <c r="Y240" s="314">
        <v>1</v>
      </c>
      <c r="Z240" s="314">
        <v>1</v>
      </c>
      <c r="AA240" s="314">
        <v>1</v>
      </c>
      <c r="AB240" s="321">
        <v>0.78</v>
      </c>
      <c r="AC240" s="321">
        <v>0.75</v>
      </c>
      <c r="AD240" s="321">
        <v>0.69</v>
      </c>
      <c r="AE240" s="321">
        <v>0.62</v>
      </c>
      <c r="AF240" s="321">
        <v>0.55000000000000004</v>
      </c>
      <c r="AG240" s="321">
        <v>0.55000000000000004</v>
      </c>
      <c r="AH240" s="321">
        <v>0.55000000000000004</v>
      </c>
      <c r="AI240" s="321">
        <v>0.55000000000000004</v>
      </c>
      <c r="AJ240" s="32" t="s">
        <v>1325</v>
      </c>
      <c r="AK240" s="32" t="s">
        <v>1335</v>
      </c>
    </row>
    <row r="241" spans="1:38">
      <c r="A241" s="180" t="s">
        <v>1567</v>
      </c>
      <c r="B241" s="32" t="s">
        <v>1325</v>
      </c>
      <c r="C241" s="32" t="s">
        <v>1336</v>
      </c>
      <c r="D241" s="314">
        <v>0.92</v>
      </c>
      <c r="E241" s="314">
        <v>0.88</v>
      </c>
      <c r="F241" s="314">
        <v>0.83</v>
      </c>
      <c r="G241" s="314">
        <v>0.8</v>
      </c>
      <c r="H241" s="314">
        <v>0.8</v>
      </c>
      <c r="I241" s="314">
        <v>0.8</v>
      </c>
      <c r="J241" s="314">
        <v>0.8</v>
      </c>
      <c r="K241" s="314">
        <v>0.8</v>
      </c>
      <c r="L241" s="321">
        <v>0.52</v>
      </c>
      <c r="M241" s="321">
        <v>0.5</v>
      </c>
      <c r="N241" s="321">
        <v>0.48</v>
      </c>
      <c r="O241" s="321">
        <v>0.46</v>
      </c>
      <c r="P241" s="321">
        <v>0.45</v>
      </c>
      <c r="Q241" s="321">
        <v>0.45</v>
      </c>
      <c r="R241" s="321">
        <v>0.45</v>
      </c>
      <c r="S241" s="322">
        <v>0.45</v>
      </c>
      <c r="T241" s="314">
        <v>1.21</v>
      </c>
      <c r="U241" s="314">
        <v>1.18</v>
      </c>
      <c r="V241" s="314">
        <v>1.1100000000000001</v>
      </c>
      <c r="W241" s="314">
        <v>1.04</v>
      </c>
      <c r="X241" s="314">
        <v>1</v>
      </c>
      <c r="Y241" s="314">
        <v>1</v>
      </c>
      <c r="Z241" s="314">
        <v>1</v>
      </c>
      <c r="AA241" s="314">
        <v>1</v>
      </c>
      <c r="AB241" s="321">
        <v>0.78</v>
      </c>
      <c r="AC241" s="321">
        <v>0.75</v>
      </c>
      <c r="AD241" s="321">
        <v>0.69</v>
      </c>
      <c r="AE241" s="321">
        <v>0.62</v>
      </c>
      <c r="AF241" s="321">
        <v>0.55000000000000004</v>
      </c>
      <c r="AG241" s="321">
        <v>0.55000000000000004</v>
      </c>
      <c r="AH241" s="321">
        <v>0.55000000000000004</v>
      </c>
      <c r="AI241" s="321">
        <v>0.55000000000000004</v>
      </c>
      <c r="AJ241" s="32" t="s">
        <v>1325</v>
      </c>
      <c r="AK241" s="32" t="s">
        <v>1336</v>
      </c>
    </row>
    <row r="242" spans="1:38">
      <c r="A242" s="180" t="s">
        <v>1567</v>
      </c>
      <c r="B242" s="32" t="s">
        <v>1325</v>
      </c>
      <c r="C242" s="32" t="s">
        <v>1337</v>
      </c>
      <c r="D242" s="314">
        <v>0.92</v>
      </c>
      <c r="E242" s="314">
        <v>0.88</v>
      </c>
      <c r="F242" s="314">
        <v>0.83</v>
      </c>
      <c r="G242" s="314">
        <v>0.8</v>
      </c>
      <c r="H242" s="314">
        <v>0.8</v>
      </c>
      <c r="I242" s="314">
        <v>0.8</v>
      </c>
      <c r="J242" s="314">
        <v>0.8</v>
      </c>
      <c r="K242" s="314">
        <v>0.8</v>
      </c>
      <c r="L242" s="321">
        <v>0.52</v>
      </c>
      <c r="M242" s="321">
        <v>0.5</v>
      </c>
      <c r="N242" s="321">
        <v>0.48</v>
      </c>
      <c r="O242" s="321">
        <v>0.46</v>
      </c>
      <c r="P242" s="321">
        <v>0.45</v>
      </c>
      <c r="Q242" s="321">
        <v>0.45</v>
      </c>
      <c r="R242" s="321">
        <v>0.45</v>
      </c>
      <c r="S242" s="322">
        <v>0.45</v>
      </c>
      <c r="T242" s="314">
        <v>1.21</v>
      </c>
      <c r="U242" s="314">
        <v>1.18</v>
      </c>
      <c r="V242" s="314">
        <v>1.1100000000000001</v>
      </c>
      <c r="W242" s="314">
        <v>1.04</v>
      </c>
      <c r="X242" s="314">
        <v>1</v>
      </c>
      <c r="Y242" s="314">
        <v>1</v>
      </c>
      <c r="Z242" s="314">
        <v>1</v>
      </c>
      <c r="AA242" s="314">
        <v>1</v>
      </c>
      <c r="AB242" s="321">
        <v>0.78</v>
      </c>
      <c r="AC242" s="321">
        <v>0.75</v>
      </c>
      <c r="AD242" s="321">
        <v>0.69</v>
      </c>
      <c r="AE242" s="321">
        <v>0.62</v>
      </c>
      <c r="AF242" s="321">
        <v>0.55000000000000004</v>
      </c>
      <c r="AG242" s="321">
        <v>0.55000000000000004</v>
      </c>
      <c r="AH242" s="321">
        <v>0.55000000000000004</v>
      </c>
      <c r="AI242" s="321">
        <v>0.55000000000000004</v>
      </c>
      <c r="AJ242" s="32" t="s">
        <v>1325</v>
      </c>
      <c r="AK242" s="32" t="s">
        <v>1337</v>
      </c>
    </row>
    <row r="243" spans="1:38">
      <c r="A243" s="180" t="s">
        <v>1567</v>
      </c>
      <c r="B243" s="32" t="s">
        <v>1325</v>
      </c>
      <c r="C243" s="32" t="s">
        <v>1338</v>
      </c>
      <c r="D243" s="314">
        <v>0.92</v>
      </c>
      <c r="E243" s="314">
        <v>0.88</v>
      </c>
      <c r="F243" s="314">
        <v>0.83</v>
      </c>
      <c r="G243" s="314">
        <v>0.8</v>
      </c>
      <c r="H243" s="314">
        <v>0.8</v>
      </c>
      <c r="I243" s="314">
        <v>0.8</v>
      </c>
      <c r="J243" s="314">
        <v>0.8</v>
      </c>
      <c r="K243" s="314">
        <v>0.8</v>
      </c>
      <c r="L243" s="321">
        <v>0.52</v>
      </c>
      <c r="M243" s="321">
        <v>0.5</v>
      </c>
      <c r="N243" s="321">
        <v>0.48</v>
      </c>
      <c r="O243" s="321">
        <v>0.46</v>
      </c>
      <c r="P243" s="321">
        <v>0.45</v>
      </c>
      <c r="Q243" s="321">
        <v>0.45</v>
      </c>
      <c r="R243" s="321">
        <v>0.45</v>
      </c>
      <c r="S243" s="322">
        <v>0.45</v>
      </c>
      <c r="T243" s="314">
        <v>1.21</v>
      </c>
      <c r="U243" s="314">
        <v>1.18</v>
      </c>
      <c r="V243" s="314">
        <v>1.1100000000000001</v>
      </c>
      <c r="W243" s="314">
        <v>1.04</v>
      </c>
      <c r="X243" s="314">
        <v>1</v>
      </c>
      <c r="Y243" s="314">
        <v>1</v>
      </c>
      <c r="Z243" s="314">
        <v>1</v>
      </c>
      <c r="AA243" s="314">
        <v>1</v>
      </c>
      <c r="AB243" s="321">
        <v>0.78</v>
      </c>
      <c r="AC243" s="321">
        <v>0.75</v>
      </c>
      <c r="AD243" s="321">
        <v>0.69</v>
      </c>
      <c r="AE243" s="321">
        <v>0.62</v>
      </c>
      <c r="AF243" s="321">
        <v>0.55000000000000004</v>
      </c>
      <c r="AG243" s="321">
        <v>0.55000000000000004</v>
      </c>
      <c r="AH243" s="321">
        <v>0.55000000000000004</v>
      </c>
      <c r="AI243" s="321">
        <v>0.55000000000000004</v>
      </c>
      <c r="AJ243" s="32" t="s">
        <v>1325</v>
      </c>
      <c r="AK243" s="32" t="s">
        <v>1338</v>
      </c>
    </row>
    <row r="244" spans="1:38">
      <c r="A244" s="180" t="s">
        <v>1567</v>
      </c>
      <c r="B244" s="32" t="s">
        <v>1325</v>
      </c>
      <c r="C244" s="32" t="s">
        <v>1339</v>
      </c>
      <c r="D244" s="314">
        <v>0.92</v>
      </c>
      <c r="E244" s="314">
        <v>0.88</v>
      </c>
      <c r="F244" s="314">
        <v>0.83</v>
      </c>
      <c r="G244" s="314">
        <v>0.8</v>
      </c>
      <c r="H244" s="314">
        <v>0.8</v>
      </c>
      <c r="I244" s="314">
        <v>0.8</v>
      </c>
      <c r="J244" s="314">
        <v>0.8</v>
      </c>
      <c r="K244" s="314">
        <v>0.8</v>
      </c>
      <c r="L244" s="321">
        <v>0.52</v>
      </c>
      <c r="M244" s="321">
        <v>0.5</v>
      </c>
      <c r="N244" s="321">
        <v>0.48</v>
      </c>
      <c r="O244" s="321">
        <v>0.46</v>
      </c>
      <c r="P244" s="321">
        <v>0.45</v>
      </c>
      <c r="Q244" s="321">
        <v>0.45</v>
      </c>
      <c r="R244" s="321">
        <v>0.45</v>
      </c>
      <c r="S244" s="322">
        <v>0.45</v>
      </c>
      <c r="T244" s="314">
        <v>1.21</v>
      </c>
      <c r="U244" s="314">
        <v>1.18</v>
      </c>
      <c r="V244" s="314">
        <v>1.1100000000000001</v>
      </c>
      <c r="W244" s="314">
        <v>1.04</v>
      </c>
      <c r="X244" s="314">
        <v>1</v>
      </c>
      <c r="Y244" s="314">
        <v>1</v>
      </c>
      <c r="Z244" s="314">
        <v>1</v>
      </c>
      <c r="AA244" s="314">
        <v>1</v>
      </c>
      <c r="AB244" s="321">
        <v>0.78</v>
      </c>
      <c r="AC244" s="321">
        <v>0.75</v>
      </c>
      <c r="AD244" s="321">
        <v>0.69</v>
      </c>
      <c r="AE244" s="321">
        <v>0.62</v>
      </c>
      <c r="AF244" s="321">
        <v>0.55000000000000004</v>
      </c>
      <c r="AG244" s="321">
        <v>0.55000000000000004</v>
      </c>
      <c r="AH244" s="321">
        <v>0.55000000000000004</v>
      </c>
      <c r="AI244" s="321">
        <v>0.55000000000000004</v>
      </c>
      <c r="AJ244" s="32" t="s">
        <v>1325</v>
      </c>
      <c r="AK244" s="32" t="s">
        <v>1339</v>
      </c>
    </row>
    <row r="245" spans="1:38">
      <c r="A245" s="180" t="s">
        <v>1567</v>
      </c>
      <c r="B245" s="32" t="s">
        <v>1325</v>
      </c>
      <c r="C245" s="32" t="s">
        <v>1340</v>
      </c>
      <c r="D245" s="314">
        <v>0.92</v>
      </c>
      <c r="E245" s="314">
        <v>0.88</v>
      </c>
      <c r="F245" s="314">
        <v>0.83</v>
      </c>
      <c r="G245" s="314">
        <v>0.8</v>
      </c>
      <c r="H245" s="314">
        <v>0.8</v>
      </c>
      <c r="I245" s="314">
        <v>0.8</v>
      </c>
      <c r="J245" s="314">
        <v>0.8</v>
      </c>
      <c r="K245" s="314">
        <v>0.8</v>
      </c>
      <c r="L245" s="321">
        <v>0.52</v>
      </c>
      <c r="M245" s="321">
        <v>0.5</v>
      </c>
      <c r="N245" s="321">
        <v>0.48</v>
      </c>
      <c r="O245" s="321">
        <v>0.46</v>
      </c>
      <c r="P245" s="321">
        <v>0.45</v>
      </c>
      <c r="Q245" s="321">
        <v>0.45</v>
      </c>
      <c r="R245" s="321">
        <v>0.45</v>
      </c>
      <c r="S245" s="322">
        <v>0.45</v>
      </c>
      <c r="T245" s="314">
        <v>1.21</v>
      </c>
      <c r="U245" s="314">
        <v>1.18</v>
      </c>
      <c r="V245" s="314">
        <v>1.1100000000000001</v>
      </c>
      <c r="W245" s="314">
        <v>1.04</v>
      </c>
      <c r="X245" s="314">
        <v>1</v>
      </c>
      <c r="Y245" s="314">
        <v>1</v>
      </c>
      <c r="Z245" s="314">
        <v>1</v>
      </c>
      <c r="AA245" s="314">
        <v>1</v>
      </c>
      <c r="AB245" s="321">
        <v>0.78</v>
      </c>
      <c r="AC245" s="321">
        <v>0.75</v>
      </c>
      <c r="AD245" s="321">
        <v>0.69</v>
      </c>
      <c r="AE245" s="321">
        <v>0.62</v>
      </c>
      <c r="AF245" s="321">
        <v>0.55000000000000004</v>
      </c>
      <c r="AG245" s="321">
        <v>0.55000000000000004</v>
      </c>
      <c r="AH245" s="321">
        <v>0.55000000000000004</v>
      </c>
      <c r="AI245" s="321">
        <v>0.55000000000000004</v>
      </c>
      <c r="AJ245" s="32" t="s">
        <v>1325</v>
      </c>
      <c r="AK245" s="32" t="s">
        <v>1340</v>
      </c>
    </row>
    <row r="246" spans="1:38">
      <c r="A246" s="180" t="s">
        <v>1567</v>
      </c>
      <c r="B246" s="32" t="s">
        <v>1325</v>
      </c>
      <c r="C246" s="32" t="s">
        <v>1341</v>
      </c>
      <c r="D246" s="314">
        <v>0.92</v>
      </c>
      <c r="E246" s="314">
        <v>0.88</v>
      </c>
      <c r="F246" s="314">
        <v>0.83</v>
      </c>
      <c r="G246" s="314">
        <v>0.8</v>
      </c>
      <c r="H246" s="314">
        <v>0.8</v>
      </c>
      <c r="I246" s="314">
        <v>0.8</v>
      </c>
      <c r="J246" s="314">
        <v>0.8</v>
      </c>
      <c r="K246" s="314">
        <v>0.8</v>
      </c>
      <c r="L246" s="321">
        <v>0.52</v>
      </c>
      <c r="M246" s="321">
        <v>0.5</v>
      </c>
      <c r="N246" s="321">
        <v>0.48</v>
      </c>
      <c r="O246" s="321">
        <v>0.46</v>
      </c>
      <c r="P246" s="321">
        <v>0.45</v>
      </c>
      <c r="Q246" s="321">
        <v>0.45</v>
      </c>
      <c r="R246" s="321">
        <v>0.45</v>
      </c>
      <c r="S246" s="322">
        <v>0.45</v>
      </c>
      <c r="T246" s="314">
        <v>1.21</v>
      </c>
      <c r="U246" s="314">
        <v>1.18</v>
      </c>
      <c r="V246" s="314">
        <v>1.1100000000000001</v>
      </c>
      <c r="W246" s="314">
        <v>1.04</v>
      </c>
      <c r="X246" s="314">
        <v>1</v>
      </c>
      <c r="Y246" s="314">
        <v>1</v>
      </c>
      <c r="Z246" s="314">
        <v>1</v>
      </c>
      <c r="AA246" s="314">
        <v>1</v>
      </c>
      <c r="AB246" s="321">
        <v>0.78</v>
      </c>
      <c r="AC246" s="321">
        <v>0.75</v>
      </c>
      <c r="AD246" s="321">
        <v>0.69</v>
      </c>
      <c r="AE246" s="321">
        <v>0.62</v>
      </c>
      <c r="AF246" s="321">
        <v>0.55000000000000004</v>
      </c>
      <c r="AG246" s="321">
        <v>0.55000000000000004</v>
      </c>
      <c r="AH246" s="321">
        <v>0.55000000000000004</v>
      </c>
      <c r="AI246" s="321">
        <v>0.55000000000000004</v>
      </c>
      <c r="AJ246" s="32" t="s">
        <v>1325</v>
      </c>
      <c r="AK246" s="32" t="s">
        <v>1341</v>
      </c>
    </row>
    <row r="247" spans="1:38">
      <c r="A247" s="180" t="s">
        <v>1567</v>
      </c>
      <c r="B247" s="32" t="s">
        <v>1291</v>
      </c>
      <c r="C247" s="32" t="s">
        <v>1314</v>
      </c>
      <c r="D247" s="314">
        <v>0.92</v>
      </c>
      <c r="E247" s="314">
        <v>0.88</v>
      </c>
      <c r="F247" s="314">
        <v>0.83</v>
      </c>
      <c r="G247" s="314">
        <v>0.8</v>
      </c>
      <c r="H247" s="314">
        <v>0.8</v>
      </c>
      <c r="I247" s="314">
        <v>0.8</v>
      </c>
      <c r="J247" s="314">
        <v>0.8</v>
      </c>
      <c r="K247" s="314">
        <v>0.8</v>
      </c>
      <c r="L247" s="321">
        <v>0.52</v>
      </c>
      <c r="M247" s="321">
        <v>0.5</v>
      </c>
      <c r="N247" s="321">
        <v>0.48</v>
      </c>
      <c r="O247" s="321">
        <v>0.46</v>
      </c>
      <c r="P247" s="321">
        <v>0.45</v>
      </c>
      <c r="Q247" s="321">
        <v>0.45</v>
      </c>
      <c r="R247" s="321">
        <v>0.45</v>
      </c>
      <c r="S247" s="322">
        <v>0.45</v>
      </c>
      <c r="T247" s="314">
        <v>1.21</v>
      </c>
      <c r="U247" s="314">
        <v>1.18</v>
      </c>
      <c r="V247" s="314">
        <v>1.1100000000000001</v>
      </c>
      <c r="W247" s="314">
        <v>1.04</v>
      </c>
      <c r="X247" s="314">
        <v>1</v>
      </c>
      <c r="Y247" s="314">
        <v>1</v>
      </c>
      <c r="Z247" s="314">
        <v>1</v>
      </c>
      <c r="AA247" s="314">
        <v>1</v>
      </c>
      <c r="AB247" s="321">
        <v>0.78</v>
      </c>
      <c r="AC247" s="321">
        <v>0.75</v>
      </c>
      <c r="AD247" s="321">
        <v>0.69</v>
      </c>
      <c r="AE247" s="321">
        <v>0.62</v>
      </c>
      <c r="AF247" s="321">
        <v>0.55000000000000004</v>
      </c>
      <c r="AG247" s="321">
        <v>0.55000000000000004</v>
      </c>
      <c r="AH247" s="321">
        <v>0.55000000000000004</v>
      </c>
      <c r="AI247" s="321">
        <v>0.55000000000000004</v>
      </c>
      <c r="AJ247" s="32" t="s">
        <v>1291</v>
      </c>
      <c r="AK247" s="32" t="s">
        <v>1314</v>
      </c>
    </row>
    <row r="248" spans="1:38">
      <c r="A248" s="180" t="s">
        <v>1567</v>
      </c>
      <c r="B248" s="32" t="s">
        <v>1291</v>
      </c>
      <c r="C248" s="32" t="s">
        <v>1318</v>
      </c>
      <c r="D248" s="314">
        <v>0.92</v>
      </c>
      <c r="E248" s="314">
        <v>0.88</v>
      </c>
      <c r="F248" s="314">
        <v>0.83</v>
      </c>
      <c r="G248" s="314">
        <v>0.8</v>
      </c>
      <c r="H248" s="314">
        <v>0.8</v>
      </c>
      <c r="I248" s="314">
        <v>0.8</v>
      </c>
      <c r="J248" s="314">
        <v>0.8</v>
      </c>
      <c r="K248" s="314">
        <v>0.8</v>
      </c>
      <c r="L248" s="321">
        <v>0.52</v>
      </c>
      <c r="M248" s="321">
        <v>0.5</v>
      </c>
      <c r="N248" s="321">
        <v>0.48</v>
      </c>
      <c r="O248" s="321">
        <v>0.46</v>
      </c>
      <c r="P248" s="321">
        <v>0.45</v>
      </c>
      <c r="Q248" s="321">
        <v>0.45</v>
      </c>
      <c r="R248" s="321">
        <v>0.45</v>
      </c>
      <c r="S248" s="322">
        <v>0.45</v>
      </c>
      <c r="T248" s="314">
        <v>1.21</v>
      </c>
      <c r="U248" s="314">
        <v>1.18</v>
      </c>
      <c r="V248" s="314">
        <v>1.1100000000000001</v>
      </c>
      <c r="W248" s="314">
        <v>1.04</v>
      </c>
      <c r="X248" s="314">
        <v>1</v>
      </c>
      <c r="Y248" s="314">
        <v>1</v>
      </c>
      <c r="Z248" s="314">
        <v>1</v>
      </c>
      <c r="AA248" s="314">
        <v>1</v>
      </c>
      <c r="AB248" s="321">
        <v>0.78</v>
      </c>
      <c r="AC248" s="321">
        <v>0.75</v>
      </c>
      <c r="AD248" s="321">
        <v>0.69</v>
      </c>
      <c r="AE248" s="321">
        <v>0.62</v>
      </c>
      <c r="AF248" s="321">
        <v>0.55000000000000004</v>
      </c>
      <c r="AG248" s="321">
        <v>0.55000000000000004</v>
      </c>
      <c r="AH248" s="321">
        <v>0.55000000000000004</v>
      </c>
      <c r="AI248" s="321">
        <v>0.55000000000000004</v>
      </c>
      <c r="AJ248" s="32" t="s">
        <v>1291</v>
      </c>
      <c r="AK248" s="32" t="s">
        <v>1318</v>
      </c>
    </row>
    <row r="249" spans="1:38">
      <c r="A249" s="180" t="s">
        <v>1567</v>
      </c>
      <c r="B249" s="32" t="s">
        <v>1325</v>
      </c>
      <c r="C249" s="32" t="s">
        <v>1326</v>
      </c>
      <c r="D249" s="314">
        <v>0.92</v>
      </c>
      <c r="E249" s="314">
        <v>0.88</v>
      </c>
      <c r="F249" s="314">
        <v>0.83</v>
      </c>
      <c r="G249" s="314">
        <v>0.8</v>
      </c>
      <c r="H249" s="314">
        <v>0.8</v>
      </c>
      <c r="I249" s="315">
        <v>0.7</v>
      </c>
      <c r="J249" s="315">
        <v>0.7</v>
      </c>
      <c r="K249" s="315">
        <v>0.7</v>
      </c>
      <c r="L249" s="321">
        <v>0.52</v>
      </c>
      <c r="M249" s="321">
        <v>0.5</v>
      </c>
      <c r="N249" s="321">
        <v>0.48</v>
      </c>
      <c r="O249" s="321">
        <v>0.46</v>
      </c>
      <c r="P249" s="321">
        <v>0.45</v>
      </c>
      <c r="Q249" s="319">
        <v>0.4</v>
      </c>
      <c r="R249" s="319">
        <v>0.4</v>
      </c>
      <c r="S249" s="320">
        <v>0.4</v>
      </c>
      <c r="T249" s="314">
        <v>1.21</v>
      </c>
      <c r="U249" s="314">
        <v>1.18</v>
      </c>
      <c r="V249" s="314">
        <v>1.1100000000000001</v>
      </c>
      <c r="W249" s="314">
        <v>1.04</v>
      </c>
      <c r="X249" s="314">
        <v>1</v>
      </c>
      <c r="Y249" s="315">
        <v>0.9</v>
      </c>
      <c r="Z249" s="315">
        <v>0.9</v>
      </c>
      <c r="AA249" s="315">
        <v>0.9</v>
      </c>
      <c r="AB249" s="321">
        <v>0.78</v>
      </c>
      <c r="AC249" s="321">
        <v>0.75</v>
      </c>
      <c r="AD249" s="321">
        <v>0.69</v>
      </c>
      <c r="AE249" s="321">
        <v>0.62</v>
      </c>
      <c r="AF249" s="321">
        <v>0.55000000000000004</v>
      </c>
      <c r="AG249" s="319">
        <v>0.5</v>
      </c>
      <c r="AH249" s="319">
        <v>0.5</v>
      </c>
      <c r="AI249" s="319">
        <v>0.5</v>
      </c>
      <c r="AJ249" s="32" t="s">
        <v>1325</v>
      </c>
      <c r="AK249" s="32" t="s">
        <v>1326</v>
      </c>
      <c r="AL249" s="33" t="s">
        <v>1310</v>
      </c>
    </row>
    <row r="250" spans="1:38">
      <c r="A250" s="180" t="s">
        <v>1567</v>
      </c>
      <c r="B250" s="32" t="s">
        <v>1325</v>
      </c>
      <c r="C250" s="32" t="s">
        <v>1327</v>
      </c>
      <c r="D250" s="314">
        <v>0.92</v>
      </c>
      <c r="E250" s="314">
        <v>0.88</v>
      </c>
      <c r="F250" s="314">
        <v>0.83</v>
      </c>
      <c r="G250" s="314">
        <v>0.8</v>
      </c>
      <c r="H250" s="314">
        <v>0.8</v>
      </c>
      <c r="I250" s="315">
        <v>0.7</v>
      </c>
      <c r="J250" s="315">
        <v>0.7</v>
      </c>
      <c r="K250" s="315">
        <v>0.7</v>
      </c>
      <c r="L250" s="321">
        <v>0.52</v>
      </c>
      <c r="M250" s="321">
        <v>0.5</v>
      </c>
      <c r="N250" s="321">
        <v>0.48</v>
      </c>
      <c r="O250" s="321">
        <v>0.46</v>
      </c>
      <c r="P250" s="321">
        <v>0.45</v>
      </c>
      <c r="Q250" s="319">
        <v>0.4</v>
      </c>
      <c r="R250" s="319">
        <v>0.4</v>
      </c>
      <c r="S250" s="320">
        <v>0.4</v>
      </c>
      <c r="T250" s="314">
        <v>1.21</v>
      </c>
      <c r="U250" s="314">
        <v>1.18</v>
      </c>
      <c r="V250" s="314">
        <v>1.1100000000000001</v>
      </c>
      <c r="W250" s="314">
        <v>1.04</v>
      </c>
      <c r="X250" s="314">
        <v>1</v>
      </c>
      <c r="Y250" s="315">
        <v>0.9</v>
      </c>
      <c r="Z250" s="315">
        <v>0.9</v>
      </c>
      <c r="AA250" s="315">
        <v>0.9</v>
      </c>
      <c r="AB250" s="321">
        <v>0.78</v>
      </c>
      <c r="AC250" s="321">
        <v>0.75</v>
      </c>
      <c r="AD250" s="321">
        <v>0.69</v>
      </c>
      <c r="AE250" s="321">
        <v>0.62</v>
      </c>
      <c r="AF250" s="321">
        <v>0.55000000000000004</v>
      </c>
      <c r="AG250" s="319">
        <v>0.5</v>
      </c>
      <c r="AH250" s="319">
        <v>0.5</v>
      </c>
      <c r="AI250" s="319">
        <v>0.5</v>
      </c>
      <c r="AJ250" s="32" t="s">
        <v>1325</v>
      </c>
      <c r="AK250" s="32" t="s">
        <v>1327</v>
      </c>
    </row>
    <row r="251" spans="1:38">
      <c r="A251" s="472" t="s">
        <v>1302</v>
      </c>
      <c r="B251" s="32" t="s">
        <v>1291</v>
      </c>
      <c r="C251" s="32" t="s">
        <v>1314</v>
      </c>
      <c r="D251" s="314">
        <v>0.88</v>
      </c>
      <c r="E251" s="314">
        <v>0.84</v>
      </c>
      <c r="F251" s="314">
        <v>0.8</v>
      </c>
      <c r="G251" s="314">
        <v>0.8</v>
      </c>
      <c r="H251" s="314">
        <v>0.8</v>
      </c>
      <c r="I251" s="314">
        <v>0.8</v>
      </c>
      <c r="J251" s="314">
        <v>0.8</v>
      </c>
      <c r="K251" s="314">
        <v>0.8</v>
      </c>
      <c r="L251" s="321">
        <v>0.52</v>
      </c>
      <c r="M251" s="321">
        <v>0.5</v>
      </c>
      <c r="N251" s="321">
        <v>0.45</v>
      </c>
      <c r="O251" s="321">
        <v>0.45</v>
      </c>
      <c r="P251" s="321">
        <v>0.45</v>
      </c>
      <c r="Q251" s="321">
        <v>0.45</v>
      </c>
      <c r="R251" s="321">
        <v>0.45</v>
      </c>
      <c r="S251" s="322">
        <v>0.45</v>
      </c>
      <c r="T251" s="314">
        <v>1.1000000000000001</v>
      </c>
      <c r="U251" s="314">
        <v>1.05</v>
      </c>
      <c r="V251" s="314">
        <v>1</v>
      </c>
      <c r="W251" s="314">
        <v>1</v>
      </c>
      <c r="X251" s="314">
        <v>1</v>
      </c>
      <c r="Y251" s="314">
        <v>1</v>
      </c>
      <c r="Z251" s="314">
        <v>1</v>
      </c>
      <c r="AA251" s="314">
        <v>1</v>
      </c>
      <c r="AB251" s="321">
        <v>0.69</v>
      </c>
      <c r="AC251" s="321">
        <v>0.61</v>
      </c>
      <c r="AD251" s="321">
        <v>0.55000000000000004</v>
      </c>
      <c r="AE251" s="321">
        <v>0.55000000000000004</v>
      </c>
      <c r="AF251" s="321">
        <v>0.55000000000000004</v>
      </c>
      <c r="AG251" s="321">
        <v>0.55000000000000004</v>
      </c>
      <c r="AH251" s="321">
        <v>0.55000000000000004</v>
      </c>
      <c r="AI251" s="321">
        <v>0.55000000000000004</v>
      </c>
      <c r="AJ251" s="32" t="s">
        <v>1291</v>
      </c>
      <c r="AK251" s="32" t="s">
        <v>1314</v>
      </c>
      <c r="AL251" s="33" t="s">
        <v>1313</v>
      </c>
    </row>
    <row r="252" spans="1:38">
      <c r="A252" s="472" t="s">
        <v>1302</v>
      </c>
      <c r="B252" s="32" t="s">
        <v>1291</v>
      </c>
      <c r="C252" s="32" t="s">
        <v>1317</v>
      </c>
      <c r="D252" s="314">
        <v>0.88</v>
      </c>
      <c r="E252" s="314">
        <v>0.84</v>
      </c>
      <c r="F252" s="314">
        <v>0.8</v>
      </c>
      <c r="G252" s="314">
        <v>0.8</v>
      </c>
      <c r="H252" s="314">
        <v>0.8</v>
      </c>
      <c r="I252" s="314">
        <v>0.8</v>
      </c>
      <c r="J252" s="314">
        <v>0.8</v>
      </c>
      <c r="K252" s="314">
        <v>0.8</v>
      </c>
      <c r="L252" s="321">
        <v>0.52</v>
      </c>
      <c r="M252" s="321">
        <v>0.5</v>
      </c>
      <c r="N252" s="321">
        <v>0.45</v>
      </c>
      <c r="O252" s="321">
        <v>0.45</v>
      </c>
      <c r="P252" s="321">
        <v>0.45</v>
      </c>
      <c r="Q252" s="321">
        <v>0.45</v>
      </c>
      <c r="R252" s="321">
        <v>0.45</v>
      </c>
      <c r="S252" s="322">
        <v>0.45</v>
      </c>
      <c r="T252" s="314">
        <v>1.1000000000000001</v>
      </c>
      <c r="U252" s="314">
        <v>1.05</v>
      </c>
      <c r="V252" s="314">
        <v>1</v>
      </c>
      <c r="W252" s="314">
        <v>1</v>
      </c>
      <c r="X252" s="314">
        <v>1</v>
      </c>
      <c r="Y252" s="314">
        <v>1</v>
      </c>
      <c r="Z252" s="314">
        <v>1</v>
      </c>
      <c r="AA252" s="314">
        <v>1</v>
      </c>
      <c r="AB252" s="321">
        <v>0.69</v>
      </c>
      <c r="AC252" s="321">
        <v>0.61</v>
      </c>
      <c r="AD252" s="321">
        <v>0.55000000000000004</v>
      </c>
      <c r="AE252" s="321">
        <v>0.55000000000000004</v>
      </c>
      <c r="AF252" s="321">
        <v>0.55000000000000004</v>
      </c>
      <c r="AG252" s="321">
        <v>0.55000000000000004</v>
      </c>
      <c r="AH252" s="321">
        <v>0.55000000000000004</v>
      </c>
      <c r="AI252" s="321">
        <v>0.55000000000000004</v>
      </c>
      <c r="AJ252" s="32" t="s">
        <v>1291</v>
      </c>
      <c r="AK252" s="32" t="s">
        <v>1317</v>
      </c>
    </row>
    <row r="253" spans="1:38">
      <c r="A253" s="472" t="s">
        <v>1302</v>
      </c>
      <c r="B253" s="32" t="s">
        <v>1291</v>
      </c>
      <c r="C253" s="32" t="s">
        <v>1318</v>
      </c>
      <c r="D253" s="314">
        <v>0.88</v>
      </c>
      <c r="E253" s="314">
        <v>0.84</v>
      </c>
      <c r="F253" s="314">
        <v>0.8</v>
      </c>
      <c r="G253" s="314">
        <v>0.8</v>
      </c>
      <c r="H253" s="314">
        <v>0.8</v>
      </c>
      <c r="I253" s="314">
        <v>0.8</v>
      </c>
      <c r="J253" s="314">
        <v>0.8</v>
      </c>
      <c r="K253" s="314">
        <v>0.8</v>
      </c>
      <c r="L253" s="321">
        <v>0.52</v>
      </c>
      <c r="M253" s="321">
        <v>0.5</v>
      </c>
      <c r="N253" s="321">
        <v>0.45</v>
      </c>
      <c r="O253" s="321">
        <v>0.45</v>
      </c>
      <c r="P253" s="321">
        <v>0.45</v>
      </c>
      <c r="Q253" s="321">
        <v>0.45</v>
      </c>
      <c r="R253" s="321">
        <v>0.45</v>
      </c>
      <c r="S253" s="322">
        <v>0.45</v>
      </c>
      <c r="T253" s="314">
        <v>1.1000000000000001</v>
      </c>
      <c r="U253" s="314">
        <v>1.05</v>
      </c>
      <c r="V253" s="314">
        <v>1</v>
      </c>
      <c r="W253" s="314">
        <v>1</v>
      </c>
      <c r="X253" s="314">
        <v>1</v>
      </c>
      <c r="Y253" s="314">
        <v>1</v>
      </c>
      <c r="Z253" s="314">
        <v>1</v>
      </c>
      <c r="AA253" s="314">
        <v>1</v>
      </c>
      <c r="AB253" s="321">
        <v>0.69</v>
      </c>
      <c r="AC253" s="321">
        <v>0.61</v>
      </c>
      <c r="AD253" s="321">
        <v>0.55000000000000004</v>
      </c>
      <c r="AE253" s="321">
        <v>0.55000000000000004</v>
      </c>
      <c r="AF253" s="321">
        <v>0.55000000000000004</v>
      </c>
      <c r="AG253" s="321">
        <v>0.55000000000000004</v>
      </c>
      <c r="AH253" s="321">
        <v>0.55000000000000004</v>
      </c>
      <c r="AI253" s="321">
        <v>0.55000000000000004</v>
      </c>
      <c r="AJ253" s="32" t="s">
        <v>1291</v>
      </c>
      <c r="AK253" s="32" t="s">
        <v>1318</v>
      </c>
    </row>
    <row r="254" spans="1:38">
      <c r="A254" s="472" t="s">
        <v>1302</v>
      </c>
      <c r="B254" s="32" t="s">
        <v>1291</v>
      </c>
      <c r="C254" s="472" t="s">
        <v>1817</v>
      </c>
      <c r="D254" s="314">
        <v>0.88</v>
      </c>
      <c r="E254" s="314">
        <v>0.84</v>
      </c>
      <c r="F254" s="314">
        <v>0.8</v>
      </c>
      <c r="G254" s="314">
        <v>0.8</v>
      </c>
      <c r="H254" s="314">
        <v>0.8</v>
      </c>
      <c r="I254" s="314">
        <v>0.8</v>
      </c>
      <c r="J254" s="314">
        <v>0.8</v>
      </c>
      <c r="K254" s="314">
        <v>0.8</v>
      </c>
      <c r="L254" s="321">
        <v>0.52</v>
      </c>
      <c r="M254" s="321">
        <v>0.5</v>
      </c>
      <c r="N254" s="321">
        <v>0.45</v>
      </c>
      <c r="O254" s="321">
        <v>0.45</v>
      </c>
      <c r="P254" s="321">
        <v>0.45</v>
      </c>
      <c r="Q254" s="321">
        <v>0.45</v>
      </c>
      <c r="R254" s="321">
        <v>0.45</v>
      </c>
      <c r="S254" s="322">
        <v>0.45</v>
      </c>
      <c r="T254" s="314">
        <v>1.1000000000000001</v>
      </c>
      <c r="U254" s="314">
        <v>1.05</v>
      </c>
      <c r="V254" s="314">
        <v>1</v>
      </c>
      <c r="W254" s="314">
        <v>1</v>
      </c>
      <c r="X254" s="314">
        <v>1</v>
      </c>
      <c r="Y254" s="314">
        <v>1</v>
      </c>
      <c r="Z254" s="314">
        <v>1</v>
      </c>
      <c r="AA254" s="314">
        <v>1</v>
      </c>
      <c r="AB254" s="321">
        <v>0.69</v>
      </c>
      <c r="AC254" s="321">
        <v>0.61</v>
      </c>
      <c r="AD254" s="321">
        <v>0.55000000000000004</v>
      </c>
      <c r="AE254" s="321">
        <v>0.55000000000000004</v>
      </c>
      <c r="AF254" s="321">
        <v>0.55000000000000004</v>
      </c>
      <c r="AG254" s="321">
        <v>0.55000000000000004</v>
      </c>
      <c r="AH254" s="321">
        <v>0.55000000000000004</v>
      </c>
      <c r="AI254" s="321">
        <v>0.55000000000000004</v>
      </c>
      <c r="AJ254" s="32" t="s">
        <v>1291</v>
      </c>
      <c r="AK254" s="32" t="s">
        <v>1319</v>
      </c>
    </row>
    <row r="255" spans="1:38">
      <c r="A255" s="472" t="s">
        <v>1302</v>
      </c>
      <c r="B255" s="32" t="s">
        <v>1291</v>
      </c>
      <c r="C255" s="32" t="s">
        <v>1320</v>
      </c>
      <c r="D255" s="314">
        <v>0.88</v>
      </c>
      <c r="E255" s="314">
        <v>0.84</v>
      </c>
      <c r="F255" s="314">
        <v>0.8</v>
      </c>
      <c r="G255" s="314">
        <v>0.8</v>
      </c>
      <c r="H255" s="314">
        <v>0.8</v>
      </c>
      <c r="I255" s="314">
        <v>0.8</v>
      </c>
      <c r="J255" s="314">
        <v>0.8</v>
      </c>
      <c r="K255" s="314">
        <v>0.8</v>
      </c>
      <c r="L255" s="321">
        <v>0.52</v>
      </c>
      <c r="M255" s="321">
        <v>0.5</v>
      </c>
      <c r="N255" s="321">
        <v>0.45</v>
      </c>
      <c r="O255" s="321">
        <v>0.45</v>
      </c>
      <c r="P255" s="321">
        <v>0.45</v>
      </c>
      <c r="Q255" s="321">
        <v>0.45</v>
      </c>
      <c r="R255" s="321">
        <v>0.45</v>
      </c>
      <c r="S255" s="322">
        <v>0.45</v>
      </c>
      <c r="T255" s="314">
        <v>1.1000000000000001</v>
      </c>
      <c r="U255" s="314">
        <v>1.05</v>
      </c>
      <c r="V255" s="314">
        <v>1</v>
      </c>
      <c r="W255" s="314">
        <v>1</v>
      </c>
      <c r="X255" s="314">
        <v>1</v>
      </c>
      <c r="Y255" s="314">
        <v>1</v>
      </c>
      <c r="Z255" s="314">
        <v>1</v>
      </c>
      <c r="AA255" s="314">
        <v>1</v>
      </c>
      <c r="AB255" s="321">
        <v>0.69</v>
      </c>
      <c r="AC255" s="321">
        <v>0.61</v>
      </c>
      <c r="AD255" s="321">
        <v>0.55000000000000004</v>
      </c>
      <c r="AE255" s="321">
        <v>0.55000000000000004</v>
      </c>
      <c r="AF255" s="321">
        <v>0.55000000000000004</v>
      </c>
      <c r="AG255" s="321">
        <v>0.55000000000000004</v>
      </c>
      <c r="AH255" s="321">
        <v>0.55000000000000004</v>
      </c>
      <c r="AI255" s="321">
        <v>0.55000000000000004</v>
      </c>
      <c r="AJ255" s="32" t="s">
        <v>1291</v>
      </c>
      <c r="AK255" s="32" t="s">
        <v>1320</v>
      </c>
    </row>
    <row r="256" spans="1:38">
      <c r="A256" s="32" t="s">
        <v>1292</v>
      </c>
      <c r="B256" s="32" t="s">
        <v>1291</v>
      </c>
      <c r="C256" s="32" t="s">
        <v>1315</v>
      </c>
      <c r="D256" s="314">
        <v>0.98</v>
      </c>
      <c r="E256" s="314">
        <v>0.88</v>
      </c>
      <c r="F256" s="314">
        <v>0.82</v>
      </c>
      <c r="G256" s="314">
        <v>0.8</v>
      </c>
      <c r="H256" s="314">
        <v>0.8</v>
      </c>
      <c r="I256" s="314">
        <v>0.8</v>
      </c>
      <c r="J256" s="314">
        <v>0.8</v>
      </c>
      <c r="K256" s="314">
        <v>0.8</v>
      </c>
      <c r="L256" s="321">
        <v>0.52</v>
      </c>
      <c r="M256" s="321">
        <v>0.48</v>
      </c>
      <c r="N256" s="321">
        <v>0.46</v>
      </c>
      <c r="O256" s="321">
        <v>0.45</v>
      </c>
      <c r="P256" s="321">
        <v>0.45</v>
      </c>
      <c r="Q256" s="321">
        <v>0.45</v>
      </c>
      <c r="R256" s="321">
        <v>0.45</v>
      </c>
      <c r="S256" s="322">
        <v>0.45</v>
      </c>
      <c r="T256" s="314">
        <v>1.29</v>
      </c>
      <c r="U256" s="314">
        <v>1.1399999999999999</v>
      </c>
      <c r="V256" s="314">
        <v>1.05</v>
      </c>
      <c r="W256" s="314">
        <v>1</v>
      </c>
      <c r="X256" s="314">
        <v>1</v>
      </c>
      <c r="Y256" s="314">
        <v>1</v>
      </c>
      <c r="Z256" s="314">
        <v>1</v>
      </c>
      <c r="AA256" s="314">
        <v>1</v>
      </c>
      <c r="AB256" s="321">
        <v>0.72</v>
      </c>
      <c r="AC256" s="321">
        <v>0.65</v>
      </c>
      <c r="AD256" s="321">
        <v>0.59</v>
      </c>
      <c r="AE256" s="321">
        <v>0.55000000000000004</v>
      </c>
      <c r="AF256" s="321">
        <v>0.55000000000000004</v>
      </c>
      <c r="AG256" s="321">
        <v>0.55000000000000004</v>
      </c>
      <c r="AH256" s="321">
        <v>0.55000000000000004</v>
      </c>
      <c r="AI256" s="321">
        <v>0.55000000000000004</v>
      </c>
      <c r="AJ256" s="32" t="s">
        <v>1291</v>
      </c>
      <c r="AK256" s="32" t="s">
        <v>1315</v>
      </c>
      <c r="AL256" s="33" t="s">
        <v>1311</v>
      </c>
    </row>
    <row r="257" spans="1:38">
      <c r="A257" s="32" t="s">
        <v>1292</v>
      </c>
      <c r="B257" s="32" t="s">
        <v>1291</v>
      </c>
      <c r="C257" s="32" t="s">
        <v>1321</v>
      </c>
      <c r="D257" s="314">
        <v>0.98</v>
      </c>
      <c r="E257" s="314">
        <v>0.88</v>
      </c>
      <c r="F257" s="314">
        <v>0.82</v>
      </c>
      <c r="G257" s="314">
        <v>0.8</v>
      </c>
      <c r="H257" s="314">
        <v>0.8</v>
      </c>
      <c r="I257" s="314">
        <v>0.8</v>
      </c>
      <c r="J257" s="314">
        <v>0.8</v>
      </c>
      <c r="K257" s="314">
        <v>0.8</v>
      </c>
      <c r="L257" s="321">
        <v>0.52</v>
      </c>
      <c r="M257" s="321">
        <v>0.48</v>
      </c>
      <c r="N257" s="321">
        <v>0.46</v>
      </c>
      <c r="O257" s="321">
        <v>0.45</v>
      </c>
      <c r="P257" s="321">
        <v>0.45</v>
      </c>
      <c r="Q257" s="321">
        <v>0.45</v>
      </c>
      <c r="R257" s="321">
        <v>0.45</v>
      </c>
      <c r="S257" s="322">
        <v>0.45</v>
      </c>
      <c r="T257" s="314">
        <v>1.29</v>
      </c>
      <c r="U257" s="314">
        <v>1.1399999999999999</v>
      </c>
      <c r="V257" s="314">
        <v>1.05</v>
      </c>
      <c r="W257" s="314">
        <v>1</v>
      </c>
      <c r="X257" s="314">
        <v>1</v>
      </c>
      <c r="Y257" s="314">
        <v>1</v>
      </c>
      <c r="Z257" s="314">
        <v>1</v>
      </c>
      <c r="AA257" s="314">
        <v>1</v>
      </c>
      <c r="AB257" s="321">
        <v>0.72</v>
      </c>
      <c r="AC257" s="321">
        <v>0.65</v>
      </c>
      <c r="AD257" s="321">
        <v>0.59</v>
      </c>
      <c r="AE257" s="321">
        <v>0.55000000000000004</v>
      </c>
      <c r="AF257" s="321">
        <v>0.55000000000000004</v>
      </c>
      <c r="AG257" s="321">
        <v>0.55000000000000004</v>
      </c>
      <c r="AH257" s="321">
        <v>0.55000000000000004</v>
      </c>
      <c r="AI257" s="321">
        <v>0.55000000000000004</v>
      </c>
      <c r="AJ257" s="32" t="s">
        <v>1291</v>
      </c>
      <c r="AK257" s="32" t="s">
        <v>1321</v>
      </c>
    </row>
    <row r="258" spans="1:38">
      <c r="A258" s="32" t="s">
        <v>1292</v>
      </c>
      <c r="B258" s="32" t="s">
        <v>1291</v>
      </c>
      <c r="C258" s="32" t="s">
        <v>1322</v>
      </c>
      <c r="D258" s="314">
        <v>0.98</v>
      </c>
      <c r="E258" s="314">
        <v>0.88</v>
      </c>
      <c r="F258" s="314">
        <v>0.82</v>
      </c>
      <c r="G258" s="314">
        <v>0.8</v>
      </c>
      <c r="H258" s="314">
        <v>0.8</v>
      </c>
      <c r="I258" s="314">
        <v>0.8</v>
      </c>
      <c r="J258" s="314">
        <v>0.8</v>
      </c>
      <c r="K258" s="314">
        <v>0.8</v>
      </c>
      <c r="L258" s="321">
        <v>0.52</v>
      </c>
      <c r="M258" s="321">
        <v>0.48</v>
      </c>
      <c r="N258" s="321">
        <v>0.46</v>
      </c>
      <c r="O258" s="321">
        <v>0.45</v>
      </c>
      <c r="P258" s="321">
        <v>0.45</v>
      </c>
      <c r="Q258" s="321">
        <v>0.45</v>
      </c>
      <c r="R258" s="321">
        <v>0.45</v>
      </c>
      <c r="S258" s="322">
        <v>0.45</v>
      </c>
      <c r="T258" s="314">
        <v>1.29</v>
      </c>
      <c r="U258" s="314">
        <v>1.1399999999999999</v>
      </c>
      <c r="V258" s="314">
        <v>1.05</v>
      </c>
      <c r="W258" s="314">
        <v>1</v>
      </c>
      <c r="X258" s="314">
        <v>1</v>
      </c>
      <c r="Y258" s="314">
        <v>1</v>
      </c>
      <c r="Z258" s="314">
        <v>1</v>
      </c>
      <c r="AA258" s="314">
        <v>1</v>
      </c>
      <c r="AB258" s="321">
        <v>0.72</v>
      </c>
      <c r="AC258" s="321">
        <v>0.65</v>
      </c>
      <c r="AD258" s="321">
        <v>0.59</v>
      </c>
      <c r="AE258" s="321">
        <v>0.55000000000000004</v>
      </c>
      <c r="AF258" s="321">
        <v>0.55000000000000004</v>
      </c>
      <c r="AG258" s="321">
        <v>0.55000000000000004</v>
      </c>
      <c r="AH258" s="321">
        <v>0.55000000000000004</v>
      </c>
      <c r="AI258" s="321">
        <v>0.55000000000000004</v>
      </c>
      <c r="AJ258" s="32" t="s">
        <v>1291</v>
      </c>
      <c r="AK258" s="32" t="s">
        <v>1322</v>
      </c>
    </row>
    <row r="259" spans="1:38">
      <c r="A259" s="32" t="s">
        <v>1292</v>
      </c>
      <c r="B259" s="32" t="s">
        <v>1291</v>
      </c>
      <c r="C259" s="32" t="s">
        <v>1323</v>
      </c>
      <c r="D259" s="314">
        <v>0.98</v>
      </c>
      <c r="E259" s="314">
        <v>0.88</v>
      </c>
      <c r="F259" s="314">
        <v>0.82</v>
      </c>
      <c r="G259" s="314">
        <v>0.8</v>
      </c>
      <c r="H259" s="314">
        <v>0.8</v>
      </c>
      <c r="I259" s="314">
        <v>0.8</v>
      </c>
      <c r="J259" s="314">
        <v>0.8</v>
      </c>
      <c r="K259" s="314">
        <v>0.8</v>
      </c>
      <c r="L259" s="321">
        <v>0.52</v>
      </c>
      <c r="M259" s="321">
        <v>0.48</v>
      </c>
      <c r="N259" s="321">
        <v>0.46</v>
      </c>
      <c r="O259" s="321">
        <v>0.45</v>
      </c>
      <c r="P259" s="321">
        <v>0.45</v>
      </c>
      <c r="Q259" s="321">
        <v>0.45</v>
      </c>
      <c r="R259" s="321">
        <v>0.45</v>
      </c>
      <c r="S259" s="322">
        <v>0.45</v>
      </c>
      <c r="T259" s="314">
        <v>1.29</v>
      </c>
      <c r="U259" s="314">
        <v>1.1399999999999999</v>
      </c>
      <c r="V259" s="314">
        <v>1.05</v>
      </c>
      <c r="W259" s="314">
        <v>1</v>
      </c>
      <c r="X259" s="314">
        <v>1</v>
      </c>
      <c r="Y259" s="314">
        <v>1</v>
      </c>
      <c r="Z259" s="314">
        <v>1</v>
      </c>
      <c r="AA259" s="314">
        <v>1</v>
      </c>
      <c r="AB259" s="321">
        <v>0.72</v>
      </c>
      <c r="AC259" s="321">
        <v>0.65</v>
      </c>
      <c r="AD259" s="321">
        <v>0.59</v>
      </c>
      <c r="AE259" s="321">
        <v>0.55000000000000004</v>
      </c>
      <c r="AF259" s="321">
        <v>0.55000000000000004</v>
      </c>
      <c r="AG259" s="321">
        <v>0.55000000000000004</v>
      </c>
      <c r="AH259" s="321">
        <v>0.55000000000000004</v>
      </c>
      <c r="AI259" s="321">
        <v>0.55000000000000004</v>
      </c>
      <c r="AJ259" s="32" t="s">
        <v>1291</v>
      </c>
      <c r="AK259" s="32" t="s">
        <v>1323</v>
      </c>
    </row>
    <row r="260" spans="1:38">
      <c r="A260" s="32" t="s">
        <v>1292</v>
      </c>
      <c r="B260" s="32" t="s">
        <v>1291</v>
      </c>
      <c r="C260" s="32" t="s">
        <v>1324</v>
      </c>
      <c r="D260" s="314">
        <v>0.98</v>
      </c>
      <c r="E260" s="314">
        <v>0.88</v>
      </c>
      <c r="F260" s="314">
        <v>0.82</v>
      </c>
      <c r="G260" s="314">
        <v>0.8</v>
      </c>
      <c r="H260" s="314">
        <v>0.8</v>
      </c>
      <c r="I260" s="314">
        <v>0.8</v>
      </c>
      <c r="J260" s="314">
        <v>0.8</v>
      </c>
      <c r="K260" s="314">
        <v>0.8</v>
      </c>
      <c r="L260" s="321">
        <v>0.52</v>
      </c>
      <c r="M260" s="321">
        <v>0.48</v>
      </c>
      <c r="N260" s="321">
        <v>0.46</v>
      </c>
      <c r="O260" s="321">
        <v>0.45</v>
      </c>
      <c r="P260" s="321">
        <v>0.45</v>
      </c>
      <c r="Q260" s="321">
        <v>0.45</v>
      </c>
      <c r="R260" s="321">
        <v>0.45</v>
      </c>
      <c r="S260" s="322">
        <v>0.45</v>
      </c>
      <c r="T260" s="314">
        <v>1.29</v>
      </c>
      <c r="U260" s="314">
        <v>1.1399999999999999</v>
      </c>
      <c r="V260" s="314">
        <v>1.05</v>
      </c>
      <c r="W260" s="314">
        <v>1</v>
      </c>
      <c r="X260" s="314">
        <v>1</v>
      </c>
      <c r="Y260" s="314">
        <v>1</v>
      </c>
      <c r="Z260" s="314">
        <v>1</v>
      </c>
      <c r="AA260" s="314">
        <v>1</v>
      </c>
      <c r="AB260" s="321">
        <v>0.72</v>
      </c>
      <c r="AC260" s="321">
        <v>0.65</v>
      </c>
      <c r="AD260" s="321">
        <v>0.59</v>
      </c>
      <c r="AE260" s="321">
        <v>0.55000000000000004</v>
      </c>
      <c r="AF260" s="321">
        <v>0.55000000000000004</v>
      </c>
      <c r="AG260" s="321">
        <v>0.55000000000000004</v>
      </c>
      <c r="AH260" s="321">
        <v>0.55000000000000004</v>
      </c>
      <c r="AI260" s="321">
        <v>0.55000000000000004</v>
      </c>
      <c r="AJ260" s="32" t="s">
        <v>1291</v>
      </c>
      <c r="AK260" s="32" t="s">
        <v>1324</v>
      </c>
    </row>
    <row r="261" spans="1:38">
      <c r="A261" s="32" t="s">
        <v>1292</v>
      </c>
      <c r="B261" s="32" t="s">
        <v>1291</v>
      </c>
      <c r="C261" s="32" t="s">
        <v>1316</v>
      </c>
      <c r="D261" s="314">
        <v>0.98</v>
      </c>
      <c r="E261" s="314">
        <v>0.88</v>
      </c>
      <c r="F261" s="314">
        <v>0.82</v>
      </c>
      <c r="G261" s="314">
        <v>0.8</v>
      </c>
      <c r="H261" s="315">
        <v>0.7</v>
      </c>
      <c r="I261" s="315">
        <v>0.7</v>
      </c>
      <c r="J261" s="315">
        <v>0.7</v>
      </c>
      <c r="K261" s="315">
        <v>0.7</v>
      </c>
      <c r="L261" s="321">
        <v>0.52</v>
      </c>
      <c r="M261" s="321">
        <v>0.48</v>
      </c>
      <c r="N261" s="321">
        <v>0.46</v>
      </c>
      <c r="O261" s="321">
        <v>0.45</v>
      </c>
      <c r="P261" s="319">
        <v>0.4</v>
      </c>
      <c r="Q261" s="319">
        <v>0.4</v>
      </c>
      <c r="R261" s="319">
        <v>0.4</v>
      </c>
      <c r="S261" s="320">
        <v>0.4</v>
      </c>
      <c r="T261" s="314">
        <v>1.29</v>
      </c>
      <c r="U261" s="314">
        <v>1.1399999999999999</v>
      </c>
      <c r="V261" s="314">
        <v>1.05</v>
      </c>
      <c r="W261" s="314">
        <v>1</v>
      </c>
      <c r="X261" s="315">
        <v>0.9</v>
      </c>
      <c r="Y261" s="315">
        <v>0.9</v>
      </c>
      <c r="Z261" s="315">
        <v>0.9</v>
      </c>
      <c r="AA261" s="315">
        <v>0.9</v>
      </c>
      <c r="AB261" s="321">
        <v>0.72</v>
      </c>
      <c r="AC261" s="321">
        <v>0.65</v>
      </c>
      <c r="AD261" s="321">
        <v>0.59</v>
      </c>
      <c r="AE261" s="321">
        <v>0.55000000000000004</v>
      </c>
      <c r="AF261" s="319">
        <v>0.5</v>
      </c>
      <c r="AG261" s="319">
        <v>0.5</v>
      </c>
      <c r="AH261" s="319">
        <v>0.5</v>
      </c>
      <c r="AI261" s="319">
        <v>0.5</v>
      </c>
      <c r="AJ261" s="32" t="s">
        <v>1291</v>
      </c>
      <c r="AK261" s="32" t="s">
        <v>1316</v>
      </c>
      <c r="AL261" s="33" t="s">
        <v>1312</v>
      </c>
    </row>
    <row r="262" spans="1:38">
      <c r="A262" s="32" t="s">
        <v>1292</v>
      </c>
      <c r="B262" s="32" t="s">
        <v>1291</v>
      </c>
      <c r="C262" s="32" t="s">
        <v>1343</v>
      </c>
      <c r="D262" s="314">
        <v>0.98</v>
      </c>
      <c r="E262" s="314">
        <v>0.88</v>
      </c>
      <c r="F262" s="314">
        <v>0.82</v>
      </c>
      <c r="G262" s="314">
        <v>0.8</v>
      </c>
      <c r="H262" s="315">
        <v>0.7</v>
      </c>
      <c r="I262" s="315">
        <v>0.7</v>
      </c>
      <c r="J262" s="315">
        <v>0.7</v>
      </c>
      <c r="K262" s="315">
        <v>0.7</v>
      </c>
      <c r="L262" s="321">
        <v>0.52</v>
      </c>
      <c r="M262" s="321">
        <v>0.48</v>
      </c>
      <c r="N262" s="321">
        <v>0.46</v>
      </c>
      <c r="O262" s="321">
        <v>0.45</v>
      </c>
      <c r="P262" s="319">
        <v>0.4</v>
      </c>
      <c r="Q262" s="319">
        <v>0.4</v>
      </c>
      <c r="R262" s="319">
        <v>0.4</v>
      </c>
      <c r="S262" s="320">
        <v>0.4</v>
      </c>
      <c r="T262" s="314">
        <v>1.29</v>
      </c>
      <c r="U262" s="314">
        <v>1.1399999999999999</v>
      </c>
      <c r="V262" s="314">
        <v>1.05</v>
      </c>
      <c r="W262" s="314">
        <v>1</v>
      </c>
      <c r="X262" s="315">
        <v>0.9</v>
      </c>
      <c r="Y262" s="315">
        <v>0.9</v>
      </c>
      <c r="Z262" s="315">
        <v>0.9</v>
      </c>
      <c r="AA262" s="315">
        <v>0.9</v>
      </c>
      <c r="AB262" s="321">
        <v>0.72</v>
      </c>
      <c r="AC262" s="321">
        <v>0.65</v>
      </c>
      <c r="AD262" s="321">
        <v>0.59</v>
      </c>
      <c r="AE262" s="321">
        <v>0.55000000000000004</v>
      </c>
      <c r="AF262" s="319">
        <v>0.5</v>
      </c>
      <c r="AG262" s="319">
        <v>0.5</v>
      </c>
      <c r="AH262" s="319">
        <v>0.5</v>
      </c>
      <c r="AI262" s="319">
        <v>0.5</v>
      </c>
      <c r="AJ262" s="32" t="s">
        <v>1291</v>
      </c>
      <c r="AK262" s="32" t="s">
        <v>1343</v>
      </c>
    </row>
    <row r="263" spans="1:38">
      <c r="A263" s="32" t="s">
        <v>1292</v>
      </c>
      <c r="B263" s="32" t="s">
        <v>1291</v>
      </c>
      <c r="C263" s="32" t="s">
        <v>1344</v>
      </c>
      <c r="D263" s="314">
        <v>0.98</v>
      </c>
      <c r="E263" s="314">
        <v>0.88</v>
      </c>
      <c r="F263" s="314">
        <v>0.82</v>
      </c>
      <c r="G263" s="314">
        <v>0.8</v>
      </c>
      <c r="H263" s="315">
        <v>0.7</v>
      </c>
      <c r="I263" s="315">
        <v>0.7</v>
      </c>
      <c r="J263" s="315">
        <v>0.7</v>
      </c>
      <c r="K263" s="315">
        <v>0.7</v>
      </c>
      <c r="L263" s="321">
        <v>0.52</v>
      </c>
      <c r="M263" s="321">
        <v>0.48</v>
      </c>
      <c r="N263" s="321">
        <v>0.46</v>
      </c>
      <c r="O263" s="321">
        <v>0.45</v>
      </c>
      <c r="P263" s="319">
        <v>0.4</v>
      </c>
      <c r="Q263" s="319">
        <v>0.4</v>
      </c>
      <c r="R263" s="319">
        <v>0.4</v>
      </c>
      <c r="S263" s="320">
        <v>0.4</v>
      </c>
      <c r="T263" s="314">
        <v>1.29</v>
      </c>
      <c r="U263" s="314">
        <v>1.1399999999999999</v>
      </c>
      <c r="V263" s="314">
        <v>1.05</v>
      </c>
      <c r="W263" s="314">
        <v>1</v>
      </c>
      <c r="X263" s="315">
        <v>0.9</v>
      </c>
      <c r="Y263" s="315">
        <v>0.9</v>
      </c>
      <c r="Z263" s="315">
        <v>0.9</v>
      </c>
      <c r="AA263" s="315">
        <v>0.9</v>
      </c>
      <c r="AB263" s="321">
        <v>0.72</v>
      </c>
      <c r="AC263" s="321">
        <v>0.65</v>
      </c>
      <c r="AD263" s="321">
        <v>0.59</v>
      </c>
      <c r="AE263" s="321">
        <v>0.55000000000000004</v>
      </c>
      <c r="AF263" s="319">
        <v>0.5</v>
      </c>
      <c r="AG263" s="319">
        <v>0.5</v>
      </c>
      <c r="AH263" s="319">
        <v>0.5</v>
      </c>
      <c r="AI263" s="319">
        <v>0.5</v>
      </c>
      <c r="AJ263" s="32" t="s">
        <v>1291</v>
      </c>
      <c r="AK263" s="32" t="s">
        <v>1344</v>
      </c>
    </row>
    <row r="264" spans="1:38">
      <c r="A264" s="32" t="s">
        <v>1292</v>
      </c>
      <c r="B264" s="32" t="s">
        <v>1291</v>
      </c>
      <c r="C264" s="32" t="s">
        <v>1345</v>
      </c>
      <c r="D264" s="314">
        <v>0.98</v>
      </c>
      <c r="E264" s="314">
        <v>0.88</v>
      </c>
      <c r="F264" s="314">
        <v>0.82</v>
      </c>
      <c r="G264" s="314">
        <v>0.8</v>
      </c>
      <c r="H264" s="315">
        <v>0.7</v>
      </c>
      <c r="I264" s="315">
        <v>0.7</v>
      </c>
      <c r="J264" s="315">
        <v>0.7</v>
      </c>
      <c r="K264" s="315">
        <v>0.7</v>
      </c>
      <c r="L264" s="321">
        <v>0.52</v>
      </c>
      <c r="M264" s="321">
        <v>0.48</v>
      </c>
      <c r="N264" s="321">
        <v>0.46</v>
      </c>
      <c r="O264" s="321">
        <v>0.45</v>
      </c>
      <c r="P264" s="319">
        <v>0.4</v>
      </c>
      <c r="Q264" s="319">
        <v>0.4</v>
      </c>
      <c r="R264" s="319">
        <v>0.4</v>
      </c>
      <c r="S264" s="320">
        <v>0.4</v>
      </c>
      <c r="T264" s="314">
        <v>1.29</v>
      </c>
      <c r="U264" s="314">
        <v>1.1399999999999999</v>
      </c>
      <c r="V264" s="314">
        <v>1.05</v>
      </c>
      <c r="W264" s="314">
        <v>1</v>
      </c>
      <c r="X264" s="315">
        <v>0.9</v>
      </c>
      <c r="Y264" s="315">
        <v>0.9</v>
      </c>
      <c r="Z264" s="315">
        <v>0.9</v>
      </c>
      <c r="AA264" s="315">
        <v>0.9</v>
      </c>
      <c r="AB264" s="321">
        <v>0.72</v>
      </c>
      <c r="AC264" s="321">
        <v>0.65</v>
      </c>
      <c r="AD264" s="321">
        <v>0.59</v>
      </c>
      <c r="AE264" s="321">
        <v>0.55000000000000004</v>
      </c>
      <c r="AF264" s="319">
        <v>0.5</v>
      </c>
      <c r="AG264" s="319">
        <v>0.5</v>
      </c>
      <c r="AH264" s="319">
        <v>0.5</v>
      </c>
      <c r="AI264" s="319">
        <v>0.5</v>
      </c>
      <c r="AJ264" s="32" t="s">
        <v>1291</v>
      </c>
      <c r="AK264" s="32" t="s">
        <v>1345</v>
      </c>
    </row>
    <row r="265" spans="1:38">
      <c r="A265" s="32" t="s">
        <v>1351</v>
      </c>
      <c r="B265" s="32" t="s">
        <v>1517</v>
      </c>
      <c r="C265" s="32" t="s">
        <v>1516</v>
      </c>
      <c r="D265" s="313">
        <v>0.92</v>
      </c>
      <c r="E265" s="313">
        <v>0.88</v>
      </c>
      <c r="F265" s="313">
        <v>0.84</v>
      </c>
      <c r="G265" s="313">
        <v>0.8</v>
      </c>
      <c r="H265" s="313">
        <v>0.8</v>
      </c>
      <c r="I265" s="313">
        <v>0.8</v>
      </c>
      <c r="J265" s="313">
        <v>0.8</v>
      </c>
      <c r="K265" s="313">
        <v>0.8</v>
      </c>
      <c r="L265" s="317">
        <v>0.54</v>
      </c>
      <c r="M265" s="317">
        <v>0.5</v>
      </c>
      <c r="N265" s="317">
        <v>0.47</v>
      </c>
      <c r="O265" s="317">
        <v>0.45</v>
      </c>
      <c r="P265" s="317">
        <v>0.45</v>
      </c>
      <c r="Q265" s="317">
        <v>0.45</v>
      </c>
      <c r="R265" s="317">
        <v>0.45</v>
      </c>
      <c r="S265" s="318">
        <v>0.45</v>
      </c>
      <c r="T265" s="314">
        <v>1.2</v>
      </c>
      <c r="U265" s="314">
        <v>1.1000000000000001</v>
      </c>
      <c r="V265" s="314">
        <v>1.05</v>
      </c>
      <c r="W265" s="314">
        <v>1</v>
      </c>
      <c r="X265" s="314">
        <v>1</v>
      </c>
      <c r="Y265" s="314">
        <v>1</v>
      </c>
      <c r="Z265" s="314">
        <v>1</v>
      </c>
      <c r="AA265" s="314">
        <v>1</v>
      </c>
      <c r="AB265" s="317">
        <v>0.74</v>
      </c>
      <c r="AC265" s="321">
        <v>0.66</v>
      </c>
      <c r="AD265" s="321">
        <v>0.61</v>
      </c>
      <c r="AE265" s="321">
        <v>0.55000000000000004</v>
      </c>
      <c r="AF265" s="321">
        <v>0.55000000000000004</v>
      </c>
      <c r="AG265" s="317">
        <v>0.55000000000000004</v>
      </c>
      <c r="AH265" s="317">
        <v>0.55000000000000004</v>
      </c>
      <c r="AI265" s="317">
        <v>0.55000000000000004</v>
      </c>
    </row>
    <row r="266" spans="1:38">
      <c r="A266" s="32" t="s">
        <v>1351</v>
      </c>
      <c r="B266" s="32" t="s">
        <v>1517</v>
      </c>
      <c r="C266" s="32" t="s">
        <v>1518</v>
      </c>
      <c r="D266" s="313">
        <v>0.92</v>
      </c>
      <c r="E266" s="313">
        <v>0.88</v>
      </c>
      <c r="F266" s="313">
        <v>0.84</v>
      </c>
      <c r="G266" s="313">
        <v>0.8</v>
      </c>
      <c r="H266" s="313">
        <v>0.8</v>
      </c>
      <c r="I266" s="313">
        <v>0.8</v>
      </c>
      <c r="J266" s="313">
        <v>0.8</v>
      </c>
      <c r="K266" s="313">
        <v>0.8</v>
      </c>
      <c r="L266" s="317">
        <v>0.54</v>
      </c>
      <c r="M266" s="317">
        <v>0.5</v>
      </c>
      <c r="N266" s="317">
        <v>0.47</v>
      </c>
      <c r="O266" s="317">
        <v>0.45</v>
      </c>
      <c r="P266" s="317">
        <v>0.45</v>
      </c>
      <c r="Q266" s="317">
        <v>0.45</v>
      </c>
      <c r="R266" s="317">
        <v>0.45</v>
      </c>
      <c r="S266" s="318">
        <v>0.45</v>
      </c>
      <c r="T266" s="314">
        <v>1.2</v>
      </c>
      <c r="U266" s="314">
        <v>1.1000000000000001</v>
      </c>
      <c r="V266" s="314">
        <v>1.05</v>
      </c>
      <c r="W266" s="314">
        <v>1</v>
      </c>
      <c r="X266" s="314">
        <v>1</v>
      </c>
      <c r="Y266" s="314">
        <v>1</v>
      </c>
      <c r="Z266" s="314">
        <v>1</v>
      </c>
      <c r="AA266" s="314">
        <v>1</v>
      </c>
      <c r="AB266" s="317">
        <v>0.74</v>
      </c>
      <c r="AC266" s="321">
        <v>0.66</v>
      </c>
      <c r="AD266" s="321">
        <v>0.61</v>
      </c>
      <c r="AE266" s="321">
        <v>0.55000000000000004</v>
      </c>
      <c r="AF266" s="321">
        <v>0.55000000000000004</v>
      </c>
      <c r="AG266" s="317">
        <v>0.55000000000000004</v>
      </c>
      <c r="AH266" s="317">
        <v>0.55000000000000004</v>
      </c>
      <c r="AI266" s="317">
        <v>0.55000000000000004</v>
      </c>
    </row>
    <row r="267" spans="1:38">
      <c r="A267" s="32" t="s">
        <v>1351</v>
      </c>
      <c r="B267" s="32" t="s">
        <v>1517</v>
      </c>
      <c r="C267" s="32" t="s">
        <v>1522</v>
      </c>
      <c r="D267" s="313">
        <v>0.92</v>
      </c>
      <c r="E267" s="313">
        <v>0.88</v>
      </c>
      <c r="F267" s="313">
        <v>0.84</v>
      </c>
      <c r="G267" s="313">
        <v>0.8</v>
      </c>
      <c r="H267" s="313">
        <v>0.8</v>
      </c>
      <c r="I267" s="313">
        <v>0.8</v>
      </c>
      <c r="J267" s="313">
        <v>0.8</v>
      </c>
      <c r="K267" s="313">
        <v>0.8</v>
      </c>
      <c r="L267" s="317">
        <v>0.54</v>
      </c>
      <c r="M267" s="317">
        <v>0.5</v>
      </c>
      <c r="N267" s="317">
        <v>0.47</v>
      </c>
      <c r="O267" s="317">
        <v>0.45</v>
      </c>
      <c r="P267" s="317">
        <v>0.45</v>
      </c>
      <c r="Q267" s="317">
        <v>0.45</v>
      </c>
      <c r="R267" s="317">
        <v>0.45</v>
      </c>
      <c r="S267" s="318">
        <v>0.45</v>
      </c>
      <c r="T267" s="314">
        <v>1.2</v>
      </c>
      <c r="U267" s="314">
        <v>1.1000000000000001</v>
      </c>
      <c r="V267" s="314">
        <v>1.05</v>
      </c>
      <c r="W267" s="314">
        <v>1</v>
      </c>
      <c r="X267" s="314">
        <v>1</v>
      </c>
      <c r="Y267" s="314">
        <v>1</v>
      </c>
      <c r="Z267" s="314">
        <v>1</v>
      </c>
      <c r="AA267" s="314">
        <v>1</v>
      </c>
      <c r="AB267" s="317">
        <v>0.74</v>
      </c>
      <c r="AC267" s="321">
        <v>0.66</v>
      </c>
      <c r="AD267" s="321">
        <v>0.61</v>
      </c>
      <c r="AE267" s="321">
        <v>0.55000000000000004</v>
      </c>
      <c r="AF267" s="321">
        <v>0.55000000000000004</v>
      </c>
      <c r="AG267" s="317">
        <v>0.55000000000000004</v>
      </c>
      <c r="AH267" s="317">
        <v>0.55000000000000004</v>
      </c>
      <c r="AI267" s="317">
        <v>0.55000000000000004</v>
      </c>
    </row>
    <row r="268" spans="1:38">
      <c r="A268" s="32" t="s">
        <v>1351</v>
      </c>
      <c r="B268" s="32" t="s">
        <v>1517</v>
      </c>
      <c r="C268" s="32" t="s">
        <v>1519</v>
      </c>
      <c r="D268" s="313">
        <v>0.92</v>
      </c>
      <c r="E268" s="313">
        <v>0.88</v>
      </c>
      <c r="F268" s="313">
        <v>0.84</v>
      </c>
      <c r="G268" s="313">
        <v>0.8</v>
      </c>
      <c r="H268" s="313">
        <v>0.8</v>
      </c>
      <c r="I268" s="313">
        <v>0.8</v>
      </c>
      <c r="J268" s="313">
        <v>0.8</v>
      </c>
      <c r="K268" s="313">
        <v>0.8</v>
      </c>
      <c r="L268" s="317">
        <v>0.54</v>
      </c>
      <c r="M268" s="317">
        <v>0.5</v>
      </c>
      <c r="N268" s="317">
        <v>0.47</v>
      </c>
      <c r="O268" s="317">
        <v>0.45</v>
      </c>
      <c r="P268" s="317">
        <v>0.45</v>
      </c>
      <c r="Q268" s="317">
        <v>0.45</v>
      </c>
      <c r="R268" s="317">
        <v>0.45</v>
      </c>
      <c r="S268" s="318">
        <v>0.45</v>
      </c>
      <c r="T268" s="314">
        <v>1.2</v>
      </c>
      <c r="U268" s="314">
        <v>1.1000000000000001</v>
      </c>
      <c r="V268" s="314">
        <v>1.05</v>
      </c>
      <c r="W268" s="314">
        <v>1</v>
      </c>
      <c r="X268" s="314">
        <v>1</v>
      </c>
      <c r="Y268" s="314">
        <v>1</v>
      </c>
      <c r="Z268" s="314">
        <v>1</v>
      </c>
      <c r="AA268" s="314">
        <v>1</v>
      </c>
      <c r="AB268" s="317">
        <v>0.74</v>
      </c>
      <c r="AC268" s="321">
        <v>0.66</v>
      </c>
      <c r="AD268" s="321">
        <v>0.61</v>
      </c>
      <c r="AE268" s="321">
        <v>0.55000000000000004</v>
      </c>
      <c r="AF268" s="321">
        <v>0.55000000000000004</v>
      </c>
      <c r="AG268" s="317">
        <v>0.55000000000000004</v>
      </c>
      <c r="AH268" s="317">
        <v>0.55000000000000004</v>
      </c>
      <c r="AI268" s="317">
        <v>0.55000000000000004</v>
      </c>
    </row>
    <row r="269" spans="1:38">
      <c r="A269" s="32" t="s">
        <v>1351</v>
      </c>
      <c r="B269" s="32" t="s">
        <v>1517</v>
      </c>
      <c r="C269" s="32" t="s">
        <v>1521</v>
      </c>
      <c r="D269" s="313">
        <v>0.92</v>
      </c>
      <c r="E269" s="313">
        <v>0.88</v>
      </c>
      <c r="F269" s="313">
        <v>0.84</v>
      </c>
      <c r="G269" s="313">
        <v>0.8</v>
      </c>
      <c r="H269" s="313">
        <v>0.8</v>
      </c>
      <c r="I269" s="313">
        <v>0.8</v>
      </c>
      <c r="J269" s="313">
        <v>0.8</v>
      </c>
      <c r="K269" s="313">
        <v>0.8</v>
      </c>
      <c r="L269" s="317">
        <v>0.54</v>
      </c>
      <c r="M269" s="317">
        <v>0.5</v>
      </c>
      <c r="N269" s="317">
        <v>0.47</v>
      </c>
      <c r="O269" s="317">
        <v>0.45</v>
      </c>
      <c r="P269" s="317">
        <v>0.45</v>
      </c>
      <c r="Q269" s="317">
        <v>0.45</v>
      </c>
      <c r="R269" s="317">
        <v>0.45</v>
      </c>
      <c r="S269" s="318">
        <v>0.45</v>
      </c>
      <c r="T269" s="314">
        <v>1.2</v>
      </c>
      <c r="U269" s="314">
        <v>1.1000000000000001</v>
      </c>
      <c r="V269" s="314">
        <v>1.05</v>
      </c>
      <c r="W269" s="314">
        <v>1</v>
      </c>
      <c r="X269" s="314">
        <v>1</v>
      </c>
      <c r="Y269" s="314">
        <v>1</v>
      </c>
      <c r="Z269" s="314">
        <v>1</v>
      </c>
      <c r="AA269" s="314">
        <v>1</v>
      </c>
      <c r="AB269" s="317">
        <v>0.74</v>
      </c>
      <c r="AC269" s="321">
        <v>0.66</v>
      </c>
      <c r="AD269" s="321">
        <v>0.61</v>
      </c>
      <c r="AE269" s="321">
        <v>0.55000000000000004</v>
      </c>
      <c r="AF269" s="321">
        <v>0.55000000000000004</v>
      </c>
      <c r="AG269" s="317">
        <v>0.55000000000000004</v>
      </c>
      <c r="AH269" s="317">
        <v>0.55000000000000004</v>
      </c>
      <c r="AI269" s="317">
        <v>0.55000000000000004</v>
      </c>
    </row>
    <row r="270" spans="1:38">
      <c r="A270" s="32" t="s">
        <v>1351</v>
      </c>
      <c r="B270" s="32" t="s">
        <v>1517</v>
      </c>
      <c r="C270" s="466" t="s">
        <v>1818</v>
      </c>
      <c r="D270" s="313">
        <v>0.92</v>
      </c>
      <c r="E270" s="313">
        <v>0.88</v>
      </c>
      <c r="F270" s="313">
        <v>0.84</v>
      </c>
      <c r="G270" s="313">
        <v>0.8</v>
      </c>
      <c r="H270" s="313">
        <v>0.8</v>
      </c>
      <c r="I270" s="313">
        <v>0.8</v>
      </c>
      <c r="J270" s="313">
        <v>0.8</v>
      </c>
      <c r="K270" s="313">
        <v>0.8</v>
      </c>
      <c r="L270" s="317">
        <v>0.54</v>
      </c>
      <c r="M270" s="317">
        <v>0.5</v>
      </c>
      <c r="N270" s="317">
        <v>0.47</v>
      </c>
      <c r="O270" s="317">
        <v>0.45</v>
      </c>
      <c r="P270" s="317">
        <v>0.45</v>
      </c>
      <c r="Q270" s="317">
        <v>0.45</v>
      </c>
      <c r="R270" s="317">
        <v>0.45</v>
      </c>
      <c r="S270" s="318">
        <v>0.45</v>
      </c>
      <c r="T270" s="314">
        <v>1.2</v>
      </c>
      <c r="U270" s="314">
        <v>1.1000000000000001</v>
      </c>
      <c r="V270" s="314">
        <v>1.05</v>
      </c>
      <c r="W270" s="314">
        <v>1</v>
      </c>
      <c r="X270" s="314">
        <v>1</v>
      </c>
      <c r="Y270" s="314">
        <v>1</v>
      </c>
      <c r="Z270" s="314">
        <v>1</v>
      </c>
      <c r="AA270" s="314">
        <v>1</v>
      </c>
      <c r="AB270" s="317">
        <v>0.74</v>
      </c>
      <c r="AC270" s="321">
        <v>0.66</v>
      </c>
      <c r="AD270" s="321">
        <v>0.61</v>
      </c>
      <c r="AE270" s="321">
        <v>0.55000000000000004</v>
      </c>
      <c r="AF270" s="321">
        <v>0.55000000000000004</v>
      </c>
      <c r="AG270" s="317">
        <v>0.55000000000000004</v>
      </c>
      <c r="AH270" s="317">
        <v>0.55000000000000004</v>
      </c>
      <c r="AI270" s="317">
        <v>0.55000000000000004</v>
      </c>
    </row>
    <row r="271" spans="1:38">
      <c r="A271" s="32" t="s">
        <v>1351</v>
      </c>
      <c r="B271" s="32" t="s">
        <v>1517</v>
      </c>
      <c r="C271" s="32" t="s">
        <v>1520</v>
      </c>
      <c r="D271" s="313">
        <v>0.92</v>
      </c>
      <c r="E271" s="313">
        <v>0.88</v>
      </c>
      <c r="F271" s="313">
        <v>0.84</v>
      </c>
      <c r="G271" s="313">
        <v>0.8</v>
      </c>
      <c r="H271" s="313">
        <v>0.8</v>
      </c>
      <c r="I271" s="313">
        <v>0.8</v>
      </c>
      <c r="J271" s="313">
        <v>0.8</v>
      </c>
      <c r="K271" s="313">
        <v>0.8</v>
      </c>
      <c r="L271" s="317">
        <v>0.54</v>
      </c>
      <c r="M271" s="317">
        <v>0.5</v>
      </c>
      <c r="N271" s="317">
        <v>0.47</v>
      </c>
      <c r="O271" s="317">
        <v>0.45</v>
      </c>
      <c r="P271" s="317">
        <v>0.45</v>
      </c>
      <c r="Q271" s="317">
        <v>0.45</v>
      </c>
      <c r="R271" s="317">
        <v>0.45</v>
      </c>
      <c r="S271" s="318">
        <v>0.45</v>
      </c>
      <c r="T271" s="314">
        <v>1.2</v>
      </c>
      <c r="U271" s="314">
        <v>1.1000000000000001</v>
      </c>
      <c r="V271" s="314">
        <v>1.05</v>
      </c>
      <c r="W271" s="314">
        <v>1</v>
      </c>
      <c r="X271" s="314">
        <v>1</v>
      </c>
      <c r="Y271" s="314">
        <v>1</v>
      </c>
      <c r="Z271" s="314">
        <v>1</v>
      </c>
      <c r="AA271" s="314">
        <v>1</v>
      </c>
      <c r="AB271" s="317">
        <v>0.74</v>
      </c>
      <c r="AC271" s="321">
        <v>0.66</v>
      </c>
      <c r="AD271" s="321">
        <v>0.61</v>
      </c>
      <c r="AE271" s="321">
        <v>0.55000000000000004</v>
      </c>
      <c r="AF271" s="321">
        <v>0.55000000000000004</v>
      </c>
      <c r="AG271" s="317">
        <v>0.55000000000000004</v>
      </c>
      <c r="AH271" s="317">
        <v>0.55000000000000004</v>
      </c>
      <c r="AI271" s="317">
        <v>0.55000000000000004</v>
      </c>
    </row>
    <row r="272" spans="1:38">
      <c r="A272" s="32" t="s">
        <v>1351</v>
      </c>
      <c r="B272" s="32" t="s">
        <v>1517</v>
      </c>
      <c r="C272" s="32" t="s">
        <v>1523</v>
      </c>
      <c r="D272" s="313">
        <v>0.92</v>
      </c>
      <c r="E272" s="313">
        <v>0.88</v>
      </c>
      <c r="F272" s="313">
        <v>0.84</v>
      </c>
      <c r="G272" s="313">
        <v>0.8</v>
      </c>
      <c r="H272" s="316">
        <v>0.7</v>
      </c>
      <c r="I272" s="316">
        <v>0.7</v>
      </c>
      <c r="J272" s="316">
        <v>0.7</v>
      </c>
      <c r="K272" s="316">
        <v>0.7</v>
      </c>
      <c r="L272" s="317">
        <v>0.54</v>
      </c>
      <c r="M272" s="317">
        <v>0.5</v>
      </c>
      <c r="N272" s="317">
        <v>0.47</v>
      </c>
      <c r="O272" s="317">
        <v>0.45</v>
      </c>
      <c r="P272" s="319">
        <v>0.4</v>
      </c>
      <c r="Q272" s="319">
        <v>0.4</v>
      </c>
      <c r="R272" s="319">
        <v>0.4</v>
      </c>
      <c r="S272" s="320">
        <v>0.4</v>
      </c>
      <c r="T272" s="314">
        <v>1.2</v>
      </c>
      <c r="U272" s="314">
        <v>1.1000000000000001</v>
      </c>
      <c r="V272" s="314">
        <v>1.05</v>
      </c>
      <c r="W272" s="314">
        <v>1</v>
      </c>
      <c r="X272" s="315">
        <v>0.9</v>
      </c>
      <c r="Y272" s="315">
        <v>0.9</v>
      </c>
      <c r="Z272" s="315">
        <v>0.9</v>
      </c>
      <c r="AA272" s="315">
        <v>0.9</v>
      </c>
      <c r="AB272" s="317">
        <v>0.74</v>
      </c>
      <c r="AC272" s="321">
        <v>0.66</v>
      </c>
      <c r="AD272" s="321">
        <v>0.61</v>
      </c>
      <c r="AE272" s="321">
        <v>0.55000000000000004</v>
      </c>
      <c r="AF272" s="319">
        <v>0.5</v>
      </c>
      <c r="AG272" s="319">
        <v>0.5</v>
      </c>
      <c r="AH272" s="319">
        <v>0.5</v>
      </c>
      <c r="AI272" s="319">
        <v>0.5</v>
      </c>
    </row>
    <row r="273" spans="1:35">
      <c r="A273" s="32" t="s">
        <v>1351</v>
      </c>
      <c r="B273" s="32" t="s">
        <v>1517</v>
      </c>
      <c r="C273" s="32" t="s">
        <v>1524</v>
      </c>
      <c r="D273" s="313">
        <v>0.92</v>
      </c>
      <c r="E273" s="313">
        <v>0.88</v>
      </c>
      <c r="F273" s="313">
        <v>0.84</v>
      </c>
      <c r="G273" s="313">
        <v>0.8</v>
      </c>
      <c r="H273" s="316">
        <v>0.7</v>
      </c>
      <c r="I273" s="316">
        <v>0.7</v>
      </c>
      <c r="J273" s="316">
        <v>0.7</v>
      </c>
      <c r="K273" s="316">
        <v>0.7</v>
      </c>
      <c r="L273" s="317">
        <v>0.54</v>
      </c>
      <c r="M273" s="317">
        <v>0.5</v>
      </c>
      <c r="N273" s="317">
        <v>0.47</v>
      </c>
      <c r="O273" s="317">
        <v>0.45</v>
      </c>
      <c r="P273" s="319">
        <v>0.4</v>
      </c>
      <c r="Q273" s="319">
        <v>0.4</v>
      </c>
      <c r="R273" s="319">
        <v>0.4</v>
      </c>
      <c r="S273" s="320">
        <v>0.4</v>
      </c>
      <c r="T273" s="314">
        <v>1.2</v>
      </c>
      <c r="U273" s="314">
        <v>1.1000000000000001</v>
      </c>
      <c r="V273" s="314">
        <v>1.05</v>
      </c>
      <c r="W273" s="314">
        <v>1</v>
      </c>
      <c r="X273" s="315">
        <v>0.9</v>
      </c>
      <c r="Y273" s="315">
        <v>0.9</v>
      </c>
      <c r="Z273" s="315">
        <v>0.9</v>
      </c>
      <c r="AA273" s="315">
        <v>0.9</v>
      </c>
      <c r="AB273" s="317">
        <v>0.74</v>
      </c>
      <c r="AC273" s="321">
        <v>0.66</v>
      </c>
      <c r="AD273" s="321">
        <v>0.61</v>
      </c>
      <c r="AE273" s="321">
        <v>0.55000000000000004</v>
      </c>
      <c r="AF273" s="319">
        <v>0.5</v>
      </c>
      <c r="AG273" s="319">
        <v>0.5</v>
      </c>
      <c r="AH273" s="319">
        <v>0.5</v>
      </c>
      <c r="AI273" s="319">
        <v>0.5</v>
      </c>
    </row>
    <row r="274" spans="1:35">
      <c r="A274" s="32" t="s">
        <v>1351</v>
      </c>
      <c r="B274" s="32" t="s">
        <v>1517</v>
      </c>
      <c r="C274" s="32" t="s">
        <v>1525</v>
      </c>
      <c r="D274" s="313">
        <v>0.92</v>
      </c>
      <c r="E274" s="313">
        <v>0.88</v>
      </c>
      <c r="F274" s="313">
        <v>0.84</v>
      </c>
      <c r="G274" s="313">
        <v>0.8</v>
      </c>
      <c r="H274" s="316">
        <v>0.7</v>
      </c>
      <c r="I274" s="316">
        <v>0.7</v>
      </c>
      <c r="J274" s="316">
        <v>0.7</v>
      </c>
      <c r="K274" s="316">
        <v>0.7</v>
      </c>
      <c r="L274" s="317">
        <v>0.54</v>
      </c>
      <c r="M274" s="317">
        <v>0.5</v>
      </c>
      <c r="N274" s="317">
        <v>0.47</v>
      </c>
      <c r="O274" s="317">
        <v>0.45</v>
      </c>
      <c r="P274" s="319">
        <v>0.4</v>
      </c>
      <c r="Q274" s="319">
        <v>0.4</v>
      </c>
      <c r="R274" s="319">
        <v>0.4</v>
      </c>
      <c r="S274" s="320">
        <v>0.4</v>
      </c>
      <c r="T274" s="314">
        <v>1.2</v>
      </c>
      <c r="U274" s="314">
        <v>1.1000000000000001</v>
      </c>
      <c r="V274" s="314">
        <v>1.05</v>
      </c>
      <c r="W274" s="314">
        <v>1</v>
      </c>
      <c r="X274" s="315">
        <v>0.9</v>
      </c>
      <c r="Y274" s="315">
        <v>0.9</v>
      </c>
      <c r="Z274" s="315">
        <v>0.9</v>
      </c>
      <c r="AA274" s="315">
        <v>0.9</v>
      </c>
      <c r="AB274" s="317">
        <v>0.74</v>
      </c>
      <c r="AC274" s="321">
        <v>0.66</v>
      </c>
      <c r="AD274" s="321">
        <v>0.61</v>
      </c>
      <c r="AE274" s="321">
        <v>0.55000000000000004</v>
      </c>
      <c r="AF274" s="319">
        <v>0.5</v>
      </c>
      <c r="AG274" s="319">
        <v>0.5</v>
      </c>
      <c r="AH274" s="319">
        <v>0.5</v>
      </c>
      <c r="AI274" s="319">
        <v>0.5</v>
      </c>
    </row>
    <row r="275" spans="1:35">
      <c r="A275" s="32" t="s">
        <v>1351</v>
      </c>
      <c r="B275" s="32" t="s">
        <v>1517</v>
      </c>
      <c r="C275" s="32" t="s">
        <v>1527</v>
      </c>
      <c r="D275" s="313">
        <v>0.92</v>
      </c>
      <c r="E275" s="313">
        <v>0.88</v>
      </c>
      <c r="F275" s="313">
        <v>0.84</v>
      </c>
      <c r="G275" s="313">
        <v>0.8</v>
      </c>
      <c r="H275" s="316">
        <v>0.7</v>
      </c>
      <c r="I275" s="316">
        <v>0.7</v>
      </c>
      <c r="J275" s="316">
        <v>0.7</v>
      </c>
      <c r="K275" s="316">
        <v>0.7</v>
      </c>
      <c r="L275" s="317">
        <v>0.54</v>
      </c>
      <c r="M275" s="317">
        <v>0.5</v>
      </c>
      <c r="N275" s="317">
        <v>0.47</v>
      </c>
      <c r="O275" s="317">
        <v>0.45</v>
      </c>
      <c r="P275" s="319">
        <v>0.4</v>
      </c>
      <c r="Q275" s="319">
        <v>0.4</v>
      </c>
      <c r="R275" s="319">
        <v>0.4</v>
      </c>
      <c r="S275" s="320">
        <v>0.4</v>
      </c>
      <c r="T275" s="314">
        <v>1.2</v>
      </c>
      <c r="U275" s="314">
        <v>1.1000000000000001</v>
      </c>
      <c r="V275" s="314">
        <v>1.05</v>
      </c>
      <c r="W275" s="314">
        <v>1</v>
      </c>
      <c r="X275" s="315">
        <v>0.9</v>
      </c>
      <c r="Y275" s="315">
        <v>0.9</v>
      </c>
      <c r="Z275" s="315">
        <v>0.9</v>
      </c>
      <c r="AA275" s="315">
        <v>0.9</v>
      </c>
      <c r="AB275" s="317">
        <v>0.74</v>
      </c>
      <c r="AC275" s="321">
        <v>0.66</v>
      </c>
      <c r="AD275" s="321">
        <v>0.61</v>
      </c>
      <c r="AE275" s="321">
        <v>0.55000000000000004</v>
      </c>
      <c r="AF275" s="319">
        <v>0.5</v>
      </c>
      <c r="AG275" s="319">
        <v>0.5</v>
      </c>
      <c r="AH275" s="319">
        <v>0.5</v>
      </c>
      <c r="AI275" s="319">
        <v>0.5</v>
      </c>
    </row>
    <row r="276" spans="1:35">
      <c r="A276" s="32" t="s">
        <v>1351</v>
      </c>
      <c r="B276" s="32" t="s">
        <v>1517</v>
      </c>
      <c r="C276" s="32" t="s">
        <v>1526</v>
      </c>
      <c r="D276" s="313">
        <v>0.92</v>
      </c>
      <c r="E276" s="313">
        <v>0.88</v>
      </c>
      <c r="F276" s="313">
        <v>0.84</v>
      </c>
      <c r="G276" s="313">
        <v>0.8</v>
      </c>
      <c r="H276" s="316">
        <v>0.7</v>
      </c>
      <c r="I276" s="316">
        <v>0.7</v>
      </c>
      <c r="J276" s="316">
        <v>0.7</v>
      </c>
      <c r="K276" s="316">
        <v>0.7</v>
      </c>
      <c r="L276" s="317">
        <v>0.54</v>
      </c>
      <c r="M276" s="317">
        <v>0.5</v>
      </c>
      <c r="N276" s="317">
        <v>0.47</v>
      </c>
      <c r="O276" s="317">
        <v>0.45</v>
      </c>
      <c r="P276" s="319">
        <v>0.4</v>
      </c>
      <c r="Q276" s="319">
        <v>0.4</v>
      </c>
      <c r="R276" s="319">
        <v>0.4</v>
      </c>
      <c r="S276" s="320">
        <v>0.4</v>
      </c>
      <c r="T276" s="314">
        <v>1.2</v>
      </c>
      <c r="U276" s="314">
        <v>1.1000000000000001</v>
      </c>
      <c r="V276" s="314">
        <v>1.05</v>
      </c>
      <c r="W276" s="314">
        <v>1</v>
      </c>
      <c r="X276" s="315">
        <v>0.9</v>
      </c>
      <c r="Y276" s="315">
        <v>0.9</v>
      </c>
      <c r="Z276" s="315">
        <v>0.9</v>
      </c>
      <c r="AA276" s="315">
        <v>0.9</v>
      </c>
      <c r="AB276" s="317">
        <v>0.74</v>
      </c>
      <c r="AC276" s="321">
        <v>0.66</v>
      </c>
      <c r="AD276" s="321">
        <v>0.61</v>
      </c>
      <c r="AE276" s="321">
        <v>0.55000000000000004</v>
      </c>
      <c r="AF276" s="319">
        <v>0.5</v>
      </c>
      <c r="AG276" s="319">
        <v>0.5</v>
      </c>
      <c r="AH276" s="319">
        <v>0.5</v>
      </c>
      <c r="AI276" s="319">
        <v>0.5</v>
      </c>
    </row>
    <row r="277" spans="1:35">
      <c r="A277" s="32" t="s">
        <v>1351</v>
      </c>
      <c r="B277" s="32" t="s">
        <v>1517</v>
      </c>
      <c r="C277" s="32" t="s">
        <v>1528</v>
      </c>
      <c r="D277" s="313">
        <v>0.92</v>
      </c>
      <c r="E277" s="313">
        <v>0.88</v>
      </c>
      <c r="F277" s="313">
        <v>0.84</v>
      </c>
      <c r="G277" s="313">
        <v>0.8</v>
      </c>
      <c r="H277" s="316">
        <v>0.7</v>
      </c>
      <c r="I277" s="316">
        <v>0.7</v>
      </c>
      <c r="J277" s="316">
        <v>0.7</v>
      </c>
      <c r="K277" s="316">
        <v>0.7</v>
      </c>
      <c r="L277" s="317">
        <v>0.54</v>
      </c>
      <c r="M277" s="317">
        <v>0.5</v>
      </c>
      <c r="N277" s="317">
        <v>0.47</v>
      </c>
      <c r="O277" s="317">
        <v>0.45</v>
      </c>
      <c r="P277" s="319">
        <v>0.4</v>
      </c>
      <c r="Q277" s="319">
        <v>0.4</v>
      </c>
      <c r="R277" s="319">
        <v>0.4</v>
      </c>
      <c r="S277" s="320">
        <v>0.4</v>
      </c>
      <c r="T277" s="314">
        <v>1.2</v>
      </c>
      <c r="U277" s="314">
        <v>1.1000000000000001</v>
      </c>
      <c r="V277" s="314">
        <v>1.05</v>
      </c>
      <c r="W277" s="314">
        <v>1</v>
      </c>
      <c r="X277" s="315">
        <v>0.9</v>
      </c>
      <c r="Y277" s="315">
        <v>0.9</v>
      </c>
      <c r="Z277" s="315">
        <v>0.9</v>
      </c>
      <c r="AA277" s="315">
        <v>0.9</v>
      </c>
      <c r="AB277" s="317">
        <v>0.74</v>
      </c>
      <c r="AC277" s="321">
        <v>0.66</v>
      </c>
      <c r="AD277" s="321">
        <v>0.61</v>
      </c>
      <c r="AE277" s="321">
        <v>0.55000000000000004</v>
      </c>
      <c r="AF277" s="319">
        <v>0.5</v>
      </c>
      <c r="AG277" s="319">
        <v>0.5</v>
      </c>
      <c r="AH277" s="319">
        <v>0.5</v>
      </c>
      <c r="AI277" s="319">
        <v>0.5</v>
      </c>
    </row>
    <row r="278" spans="1:35">
      <c r="A278" s="32" t="s">
        <v>1351</v>
      </c>
      <c r="B278" s="32" t="s">
        <v>1517</v>
      </c>
      <c r="C278" s="32" t="s">
        <v>1529</v>
      </c>
      <c r="D278" s="313">
        <v>0.92</v>
      </c>
      <c r="E278" s="313">
        <v>0.88</v>
      </c>
      <c r="F278" s="313">
        <v>0.84</v>
      </c>
      <c r="G278" s="313">
        <v>0.8</v>
      </c>
      <c r="H278" s="316">
        <v>0.7</v>
      </c>
      <c r="I278" s="316">
        <v>0.7</v>
      </c>
      <c r="J278" s="316">
        <v>0.7</v>
      </c>
      <c r="K278" s="316">
        <v>0.7</v>
      </c>
      <c r="L278" s="317">
        <v>0.54</v>
      </c>
      <c r="M278" s="317">
        <v>0.5</v>
      </c>
      <c r="N278" s="317">
        <v>0.47</v>
      </c>
      <c r="O278" s="317">
        <v>0.45</v>
      </c>
      <c r="P278" s="319">
        <v>0.4</v>
      </c>
      <c r="Q278" s="319">
        <v>0.4</v>
      </c>
      <c r="R278" s="319">
        <v>0.4</v>
      </c>
      <c r="S278" s="320">
        <v>0.4</v>
      </c>
      <c r="T278" s="314">
        <v>1.2</v>
      </c>
      <c r="U278" s="314">
        <v>1.1000000000000001</v>
      </c>
      <c r="V278" s="314">
        <v>1.05</v>
      </c>
      <c r="W278" s="314">
        <v>1</v>
      </c>
      <c r="X278" s="315">
        <v>0.9</v>
      </c>
      <c r="Y278" s="315">
        <v>0.9</v>
      </c>
      <c r="Z278" s="315">
        <v>0.9</v>
      </c>
      <c r="AA278" s="315">
        <v>0.9</v>
      </c>
      <c r="AB278" s="317">
        <v>0.74</v>
      </c>
      <c r="AC278" s="321">
        <v>0.66</v>
      </c>
      <c r="AD278" s="321">
        <v>0.61</v>
      </c>
      <c r="AE278" s="321">
        <v>0.55000000000000004</v>
      </c>
      <c r="AF278" s="319">
        <v>0.5</v>
      </c>
      <c r="AG278" s="319">
        <v>0.5</v>
      </c>
      <c r="AH278" s="319">
        <v>0.5</v>
      </c>
      <c r="AI278" s="319">
        <v>0.5</v>
      </c>
    </row>
    <row r="279" spans="1:35">
      <c r="A279" s="32" t="s">
        <v>1351</v>
      </c>
      <c r="B279" s="32" t="s">
        <v>1517</v>
      </c>
      <c r="C279" s="32" t="s">
        <v>1530</v>
      </c>
      <c r="D279" s="313">
        <v>0.92</v>
      </c>
      <c r="E279" s="313">
        <v>0.88</v>
      </c>
      <c r="F279" s="313">
        <v>0.84</v>
      </c>
      <c r="G279" s="313">
        <v>0.8</v>
      </c>
      <c r="H279" s="316">
        <v>0.7</v>
      </c>
      <c r="I279" s="316">
        <v>0.7</v>
      </c>
      <c r="J279" s="316">
        <v>0.7</v>
      </c>
      <c r="K279" s="316">
        <v>0.7</v>
      </c>
      <c r="L279" s="317">
        <v>0.54</v>
      </c>
      <c r="M279" s="317">
        <v>0.5</v>
      </c>
      <c r="N279" s="317">
        <v>0.47</v>
      </c>
      <c r="O279" s="317">
        <v>0.45</v>
      </c>
      <c r="P279" s="319">
        <v>0.4</v>
      </c>
      <c r="Q279" s="319">
        <v>0.4</v>
      </c>
      <c r="R279" s="319">
        <v>0.4</v>
      </c>
      <c r="S279" s="320">
        <v>0.4</v>
      </c>
      <c r="T279" s="314">
        <v>1.2</v>
      </c>
      <c r="U279" s="314">
        <v>1.1000000000000001</v>
      </c>
      <c r="V279" s="314">
        <v>1.05</v>
      </c>
      <c r="W279" s="314">
        <v>1</v>
      </c>
      <c r="X279" s="315">
        <v>0.9</v>
      </c>
      <c r="Y279" s="315">
        <v>0.9</v>
      </c>
      <c r="Z279" s="315">
        <v>0.9</v>
      </c>
      <c r="AA279" s="315">
        <v>0.9</v>
      </c>
      <c r="AB279" s="317">
        <v>0.74</v>
      </c>
      <c r="AC279" s="321">
        <v>0.66</v>
      </c>
      <c r="AD279" s="321">
        <v>0.61</v>
      </c>
      <c r="AE279" s="321">
        <v>0.55000000000000004</v>
      </c>
      <c r="AF279" s="319">
        <v>0.5</v>
      </c>
      <c r="AG279" s="319">
        <v>0.5</v>
      </c>
      <c r="AH279" s="319">
        <v>0.5</v>
      </c>
      <c r="AI279" s="319">
        <v>0.5</v>
      </c>
    </row>
    <row r="280" spans="1:35">
      <c r="A280" s="32" t="s">
        <v>1351</v>
      </c>
      <c r="B280" s="32" t="s">
        <v>1532</v>
      </c>
      <c r="C280" s="32" t="s">
        <v>1531</v>
      </c>
      <c r="D280" s="313">
        <v>0.92</v>
      </c>
      <c r="E280" s="313">
        <v>0.88</v>
      </c>
      <c r="F280" s="313">
        <v>0.84</v>
      </c>
      <c r="G280" s="313">
        <v>0.8</v>
      </c>
      <c r="H280" s="316">
        <v>0.7</v>
      </c>
      <c r="I280" s="316">
        <v>0.7</v>
      </c>
      <c r="J280" s="316">
        <v>0.7</v>
      </c>
      <c r="K280" s="316">
        <v>0.7</v>
      </c>
      <c r="L280" s="317">
        <v>0.54</v>
      </c>
      <c r="M280" s="317">
        <v>0.5</v>
      </c>
      <c r="N280" s="317">
        <v>0.47</v>
      </c>
      <c r="O280" s="317">
        <v>0.45</v>
      </c>
      <c r="P280" s="319">
        <v>0.4</v>
      </c>
      <c r="Q280" s="319">
        <v>0.4</v>
      </c>
      <c r="R280" s="319">
        <v>0.4</v>
      </c>
      <c r="S280" s="320">
        <v>0.4</v>
      </c>
      <c r="T280" s="314">
        <v>1.2</v>
      </c>
      <c r="U280" s="314">
        <v>1.1000000000000001</v>
      </c>
      <c r="V280" s="314">
        <v>1.05</v>
      </c>
      <c r="W280" s="314">
        <v>1</v>
      </c>
      <c r="X280" s="315">
        <v>0.9</v>
      </c>
      <c r="Y280" s="315">
        <v>0.9</v>
      </c>
      <c r="Z280" s="315">
        <v>0.9</v>
      </c>
      <c r="AA280" s="315">
        <v>0.9</v>
      </c>
      <c r="AB280" s="317">
        <v>0.74</v>
      </c>
      <c r="AC280" s="321">
        <v>0.66</v>
      </c>
      <c r="AD280" s="321">
        <v>0.61</v>
      </c>
      <c r="AE280" s="321">
        <v>0.55000000000000004</v>
      </c>
      <c r="AF280" s="319">
        <v>0.5</v>
      </c>
      <c r="AG280" s="319">
        <v>0.5</v>
      </c>
      <c r="AH280" s="319">
        <v>0.5</v>
      </c>
      <c r="AI280" s="319">
        <v>0.5</v>
      </c>
    </row>
    <row r="281" spans="1:35" ht="62">
      <c r="A281" s="475" t="s">
        <v>1819</v>
      </c>
      <c r="B281" s="111" t="s">
        <v>1544</v>
      </c>
      <c r="C281" s="111" t="s">
        <v>1545</v>
      </c>
      <c r="D281" s="313">
        <v>1.1399999999999999</v>
      </c>
      <c r="E281" s="313">
        <v>1.1000000000000001</v>
      </c>
      <c r="F281" s="313">
        <v>1.06</v>
      </c>
      <c r="G281" s="313">
        <v>1.01</v>
      </c>
      <c r="H281" s="313">
        <v>0.94</v>
      </c>
      <c r="I281" s="313">
        <v>0.87</v>
      </c>
      <c r="J281" s="313">
        <v>0.8</v>
      </c>
      <c r="K281" s="313">
        <v>0.8</v>
      </c>
      <c r="L281" s="317">
        <v>0.71</v>
      </c>
      <c r="M281" s="317">
        <v>0.69</v>
      </c>
      <c r="N281" s="317">
        <v>0.65</v>
      </c>
      <c r="O281" s="317">
        <v>0.61</v>
      </c>
      <c r="P281" s="317">
        <v>0.56000000000000005</v>
      </c>
      <c r="Q281" s="317">
        <v>0.51</v>
      </c>
      <c r="R281" s="317">
        <v>0.45</v>
      </c>
      <c r="S281" s="318">
        <v>0.45</v>
      </c>
      <c r="T281" s="313">
        <v>1.32</v>
      </c>
      <c r="U281" s="313">
        <v>1.27</v>
      </c>
      <c r="V281" s="313">
        <v>1.18</v>
      </c>
      <c r="W281" s="313">
        <v>1.0900000000000001</v>
      </c>
      <c r="X281" s="313">
        <v>1.04</v>
      </c>
      <c r="Y281" s="313">
        <v>1.01</v>
      </c>
      <c r="Z281" s="314">
        <v>1</v>
      </c>
      <c r="AA281" s="314">
        <v>1</v>
      </c>
      <c r="AB281" s="317">
        <v>0.87</v>
      </c>
      <c r="AC281" s="321">
        <v>0.83</v>
      </c>
      <c r="AD281" s="321">
        <v>0.76</v>
      </c>
      <c r="AE281" s="321">
        <v>0.7</v>
      </c>
      <c r="AF281" s="321">
        <v>0.66</v>
      </c>
      <c r="AG281" s="317">
        <v>0.61</v>
      </c>
      <c r="AH281" s="317">
        <v>0.55000000000000004</v>
      </c>
      <c r="AI281" s="317">
        <v>0.55000000000000004</v>
      </c>
    </row>
    <row r="282" spans="1:35" ht="62">
      <c r="A282" s="475" t="s">
        <v>1819</v>
      </c>
      <c r="B282" s="111" t="s">
        <v>1544</v>
      </c>
      <c r="C282" s="480" t="s">
        <v>345</v>
      </c>
      <c r="D282" s="313">
        <v>1.1399999999999999</v>
      </c>
      <c r="E282" s="313">
        <v>1.1000000000000001</v>
      </c>
      <c r="F282" s="313">
        <v>1.06</v>
      </c>
      <c r="G282" s="313">
        <v>1.01</v>
      </c>
      <c r="H282" s="313">
        <v>0.94</v>
      </c>
      <c r="I282" s="313">
        <v>0.87</v>
      </c>
      <c r="J282" s="313">
        <v>0.8</v>
      </c>
      <c r="K282" s="313">
        <v>0.8</v>
      </c>
      <c r="L282" s="317">
        <v>0.71</v>
      </c>
      <c r="M282" s="317">
        <v>0.69</v>
      </c>
      <c r="N282" s="317">
        <v>0.65</v>
      </c>
      <c r="O282" s="317">
        <v>0.61</v>
      </c>
      <c r="P282" s="317">
        <v>0.56000000000000005</v>
      </c>
      <c r="Q282" s="317">
        <v>0.51</v>
      </c>
      <c r="R282" s="317">
        <v>0.45</v>
      </c>
      <c r="S282" s="318">
        <v>0.45</v>
      </c>
      <c r="T282" s="313">
        <v>1.32</v>
      </c>
      <c r="U282" s="313">
        <v>1.27</v>
      </c>
      <c r="V282" s="313">
        <v>1.18</v>
      </c>
      <c r="W282" s="313">
        <v>1.0900000000000001</v>
      </c>
      <c r="X282" s="313">
        <v>1.04</v>
      </c>
      <c r="Y282" s="313">
        <v>1.01</v>
      </c>
      <c r="Z282" s="314">
        <v>1</v>
      </c>
      <c r="AA282" s="314">
        <v>1</v>
      </c>
      <c r="AB282" s="317">
        <v>0.87</v>
      </c>
      <c r="AC282" s="321">
        <v>0.83</v>
      </c>
      <c r="AD282" s="321">
        <v>0.76</v>
      </c>
      <c r="AE282" s="321">
        <v>0.7</v>
      </c>
      <c r="AF282" s="321">
        <v>0.66</v>
      </c>
      <c r="AG282" s="317">
        <v>0.61</v>
      </c>
      <c r="AH282" s="317">
        <v>0.55000000000000004</v>
      </c>
      <c r="AI282" s="317">
        <v>0.55000000000000004</v>
      </c>
    </row>
    <row r="283" spans="1:35" ht="62">
      <c r="A283" s="475" t="s">
        <v>1819</v>
      </c>
      <c r="B283" s="111" t="s">
        <v>1544</v>
      </c>
      <c r="C283" s="111" t="s">
        <v>1546</v>
      </c>
      <c r="D283" s="313">
        <v>1.1399999999999999</v>
      </c>
      <c r="E283" s="313">
        <v>1.1000000000000001</v>
      </c>
      <c r="F283" s="313">
        <v>1.06</v>
      </c>
      <c r="G283" s="313">
        <v>1.01</v>
      </c>
      <c r="H283" s="313">
        <v>0.94</v>
      </c>
      <c r="I283" s="313">
        <v>0.87</v>
      </c>
      <c r="J283" s="313">
        <v>0.8</v>
      </c>
      <c r="K283" s="313">
        <v>0.8</v>
      </c>
      <c r="L283" s="317">
        <v>0.71</v>
      </c>
      <c r="M283" s="317">
        <v>0.69</v>
      </c>
      <c r="N283" s="317">
        <v>0.65</v>
      </c>
      <c r="O283" s="317">
        <v>0.61</v>
      </c>
      <c r="P283" s="317">
        <v>0.56000000000000005</v>
      </c>
      <c r="Q283" s="317">
        <v>0.51</v>
      </c>
      <c r="R283" s="317">
        <v>0.45</v>
      </c>
      <c r="S283" s="318">
        <v>0.45</v>
      </c>
      <c r="T283" s="313">
        <v>1.32</v>
      </c>
      <c r="U283" s="313">
        <v>1.27</v>
      </c>
      <c r="V283" s="313">
        <v>1.18</v>
      </c>
      <c r="W283" s="313">
        <v>1.0900000000000001</v>
      </c>
      <c r="X283" s="313">
        <v>1.04</v>
      </c>
      <c r="Y283" s="313">
        <v>1.01</v>
      </c>
      <c r="Z283" s="314">
        <v>1</v>
      </c>
      <c r="AA283" s="314">
        <v>1</v>
      </c>
      <c r="AB283" s="317">
        <v>0.87</v>
      </c>
      <c r="AC283" s="321">
        <v>0.83</v>
      </c>
      <c r="AD283" s="321">
        <v>0.76</v>
      </c>
      <c r="AE283" s="321">
        <v>0.7</v>
      </c>
      <c r="AF283" s="321">
        <v>0.66</v>
      </c>
      <c r="AG283" s="317">
        <v>0.61</v>
      </c>
      <c r="AH283" s="317">
        <v>0.55000000000000004</v>
      </c>
      <c r="AI283" s="317">
        <v>0.55000000000000004</v>
      </c>
    </row>
    <row r="284" spans="1:35" ht="62">
      <c r="A284" s="475" t="s">
        <v>1819</v>
      </c>
      <c r="B284" s="111" t="s">
        <v>1544</v>
      </c>
      <c r="C284" s="111" t="s">
        <v>1547</v>
      </c>
      <c r="D284" s="313">
        <v>1.1399999999999999</v>
      </c>
      <c r="E284" s="313">
        <v>1.1000000000000001</v>
      </c>
      <c r="F284" s="313">
        <v>1.06</v>
      </c>
      <c r="G284" s="313">
        <v>1.01</v>
      </c>
      <c r="H284" s="313">
        <v>0.94</v>
      </c>
      <c r="I284" s="313">
        <v>0.87</v>
      </c>
      <c r="J284" s="313">
        <v>0.8</v>
      </c>
      <c r="K284" s="313">
        <v>0.8</v>
      </c>
      <c r="L284" s="317">
        <v>0.71</v>
      </c>
      <c r="M284" s="317">
        <v>0.69</v>
      </c>
      <c r="N284" s="317">
        <v>0.65</v>
      </c>
      <c r="O284" s="317">
        <v>0.61</v>
      </c>
      <c r="P284" s="317">
        <v>0.56000000000000005</v>
      </c>
      <c r="Q284" s="317">
        <v>0.51</v>
      </c>
      <c r="R284" s="317">
        <v>0.45</v>
      </c>
      <c r="S284" s="318">
        <v>0.45</v>
      </c>
      <c r="T284" s="313">
        <v>1.32</v>
      </c>
      <c r="U284" s="313">
        <v>1.27</v>
      </c>
      <c r="V284" s="313">
        <v>1.18</v>
      </c>
      <c r="W284" s="313">
        <v>1.0900000000000001</v>
      </c>
      <c r="X284" s="313">
        <v>1.04</v>
      </c>
      <c r="Y284" s="313">
        <v>1.01</v>
      </c>
      <c r="Z284" s="314">
        <v>1</v>
      </c>
      <c r="AA284" s="314">
        <v>1</v>
      </c>
      <c r="AB284" s="317">
        <v>0.87</v>
      </c>
      <c r="AC284" s="321">
        <v>0.83</v>
      </c>
      <c r="AD284" s="321">
        <v>0.76</v>
      </c>
      <c r="AE284" s="321">
        <v>0.7</v>
      </c>
      <c r="AF284" s="321">
        <v>0.66</v>
      </c>
      <c r="AG284" s="317">
        <v>0.61</v>
      </c>
      <c r="AH284" s="317">
        <v>0.55000000000000004</v>
      </c>
      <c r="AI284" s="317">
        <v>0.55000000000000004</v>
      </c>
    </row>
    <row r="285" spans="1:35" ht="62">
      <c r="A285" s="475" t="s">
        <v>1819</v>
      </c>
      <c r="B285" s="111" t="s">
        <v>1544</v>
      </c>
      <c r="C285" s="111" t="s">
        <v>1548</v>
      </c>
      <c r="D285" s="313">
        <v>1.1399999999999999</v>
      </c>
      <c r="E285" s="313">
        <v>1.1000000000000001</v>
      </c>
      <c r="F285" s="313">
        <v>1.06</v>
      </c>
      <c r="G285" s="313">
        <v>1.01</v>
      </c>
      <c r="H285" s="313">
        <v>0.94</v>
      </c>
      <c r="I285" s="313">
        <v>0.87</v>
      </c>
      <c r="J285" s="313">
        <v>0.8</v>
      </c>
      <c r="K285" s="313">
        <v>0.8</v>
      </c>
      <c r="L285" s="317">
        <v>0.71</v>
      </c>
      <c r="M285" s="317">
        <v>0.69</v>
      </c>
      <c r="N285" s="317">
        <v>0.65</v>
      </c>
      <c r="O285" s="317">
        <v>0.61</v>
      </c>
      <c r="P285" s="317">
        <v>0.56000000000000005</v>
      </c>
      <c r="Q285" s="317">
        <v>0.51</v>
      </c>
      <c r="R285" s="317">
        <v>0.45</v>
      </c>
      <c r="S285" s="318">
        <v>0.45</v>
      </c>
      <c r="T285" s="313">
        <v>1.32</v>
      </c>
      <c r="U285" s="313">
        <v>1.27</v>
      </c>
      <c r="V285" s="313">
        <v>1.18</v>
      </c>
      <c r="W285" s="313">
        <v>1.0900000000000001</v>
      </c>
      <c r="X285" s="313">
        <v>1.04</v>
      </c>
      <c r="Y285" s="313">
        <v>1.01</v>
      </c>
      <c r="Z285" s="314">
        <v>1</v>
      </c>
      <c r="AA285" s="314">
        <v>1</v>
      </c>
      <c r="AB285" s="317">
        <v>0.87</v>
      </c>
      <c r="AC285" s="321">
        <v>0.83</v>
      </c>
      <c r="AD285" s="321">
        <v>0.76</v>
      </c>
      <c r="AE285" s="321">
        <v>0.7</v>
      </c>
      <c r="AF285" s="321">
        <v>0.66</v>
      </c>
      <c r="AG285" s="317">
        <v>0.61</v>
      </c>
      <c r="AH285" s="317">
        <v>0.55000000000000004</v>
      </c>
      <c r="AI285" s="317">
        <v>0.55000000000000004</v>
      </c>
    </row>
    <row r="286" spans="1:35" ht="62">
      <c r="A286" s="475" t="s">
        <v>1819</v>
      </c>
      <c r="B286" s="111" t="s">
        <v>1544</v>
      </c>
      <c r="C286" s="111" t="s">
        <v>1549</v>
      </c>
      <c r="D286" s="313">
        <v>1.1399999999999999</v>
      </c>
      <c r="E286" s="313">
        <v>1.1000000000000001</v>
      </c>
      <c r="F286" s="313">
        <v>1.06</v>
      </c>
      <c r="G286" s="313">
        <v>1.01</v>
      </c>
      <c r="H286" s="313">
        <v>0.94</v>
      </c>
      <c r="I286" s="313">
        <v>0.87</v>
      </c>
      <c r="J286" s="313">
        <v>0.8</v>
      </c>
      <c r="K286" s="313">
        <v>0.8</v>
      </c>
      <c r="L286" s="317">
        <v>0.71</v>
      </c>
      <c r="M286" s="317">
        <v>0.69</v>
      </c>
      <c r="N286" s="317">
        <v>0.65</v>
      </c>
      <c r="O286" s="317">
        <v>0.61</v>
      </c>
      <c r="P286" s="317">
        <v>0.56000000000000005</v>
      </c>
      <c r="Q286" s="317">
        <v>0.51</v>
      </c>
      <c r="R286" s="317">
        <v>0.45</v>
      </c>
      <c r="S286" s="318">
        <v>0.45</v>
      </c>
      <c r="T286" s="313">
        <v>1.32</v>
      </c>
      <c r="U286" s="313">
        <v>1.27</v>
      </c>
      <c r="V286" s="313">
        <v>1.18</v>
      </c>
      <c r="W286" s="313">
        <v>1.0900000000000001</v>
      </c>
      <c r="X286" s="313">
        <v>1.04</v>
      </c>
      <c r="Y286" s="313">
        <v>1.01</v>
      </c>
      <c r="Z286" s="314">
        <v>1</v>
      </c>
      <c r="AA286" s="314">
        <v>1</v>
      </c>
      <c r="AB286" s="317">
        <v>0.87</v>
      </c>
      <c r="AC286" s="321">
        <v>0.83</v>
      </c>
      <c r="AD286" s="321">
        <v>0.76</v>
      </c>
      <c r="AE286" s="321">
        <v>0.7</v>
      </c>
      <c r="AF286" s="321">
        <v>0.66</v>
      </c>
      <c r="AG286" s="317">
        <v>0.61</v>
      </c>
      <c r="AH286" s="317">
        <v>0.55000000000000004</v>
      </c>
      <c r="AI286" s="317">
        <v>0.55000000000000004</v>
      </c>
    </row>
    <row r="287" spans="1:35" ht="62">
      <c r="A287" s="475" t="s">
        <v>1819</v>
      </c>
      <c r="B287" s="111" t="s">
        <v>1544</v>
      </c>
      <c r="C287" s="111" t="s">
        <v>1550</v>
      </c>
      <c r="D287" s="313">
        <v>1.1399999999999999</v>
      </c>
      <c r="E287" s="313">
        <v>1.1000000000000001</v>
      </c>
      <c r="F287" s="313">
        <v>1.06</v>
      </c>
      <c r="G287" s="313">
        <v>1.01</v>
      </c>
      <c r="H287" s="313">
        <v>0.94</v>
      </c>
      <c r="I287" s="313">
        <v>0.87</v>
      </c>
      <c r="J287" s="313">
        <v>0.8</v>
      </c>
      <c r="K287" s="313">
        <v>0.8</v>
      </c>
      <c r="L287" s="317">
        <v>0.71</v>
      </c>
      <c r="M287" s="317">
        <v>0.69</v>
      </c>
      <c r="N287" s="317">
        <v>0.65</v>
      </c>
      <c r="O287" s="317">
        <v>0.61</v>
      </c>
      <c r="P287" s="317">
        <v>0.56000000000000005</v>
      </c>
      <c r="Q287" s="317">
        <v>0.51</v>
      </c>
      <c r="R287" s="317">
        <v>0.45</v>
      </c>
      <c r="S287" s="318">
        <v>0.45</v>
      </c>
      <c r="T287" s="313">
        <v>1.32</v>
      </c>
      <c r="U287" s="313">
        <v>1.27</v>
      </c>
      <c r="V287" s="313">
        <v>1.18</v>
      </c>
      <c r="W287" s="313">
        <v>1.0900000000000001</v>
      </c>
      <c r="X287" s="313">
        <v>1.04</v>
      </c>
      <c r="Y287" s="313">
        <v>1.01</v>
      </c>
      <c r="Z287" s="314">
        <v>1</v>
      </c>
      <c r="AA287" s="314">
        <v>1</v>
      </c>
      <c r="AB287" s="317">
        <v>0.87</v>
      </c>
      <c r="AC287" s="321">
        <v>0.83</v>
      </c>
      <c r="AD287" s="321">
        <v>0.76</v>
      </c>
      <c r="AE287" s="321">
        <v>0.7</v>
      </c>
      <c r="AF287" s="321">
        <v>0.66</v>
      </c>
      <c r="AG287" s="317">
        <v>0.61</v>
      </c>
      <c r="AH287" s="317">
        <v>0.55000000000000004</v>
      </c>
      <c r="AI287" s="317">
        <v>0.55000000000000004</v>
      </c>
    </row>
    <row r="288" spans="1:35" ht="62">
      <c r="A288" s="475" t="s">
        <v>1819</v>
      </c>
      <c r="B288" s="111" t="s">
        <v>1544</v>
      </c>
      <c r="C288" s="111" t="s">
        <v>1551</v>
      </c>
      <c r="D288" s="313">
        <v>1.1399999999999999</v>
      </c>
      <c r="E288" s="313">
        <v>1.1000000000000001</v>
      </c>
      <c r="F288" s="313">
        <v>1.06</v>
      </c>
      <c r="G288" s="313">
        <v>1.01</v>
      </c>
      <c r="H288" s="313">
        <v>0.94</v>
      </c>
      <c r="I288" s="313">
        <v>0.87</v>
      </c>
      <c r="J288" s="313">
        <v>0.8</v>
      </c>
      <c r="K288" s="313">
        <v>0.8</v>
      </c>
      <c r="L288" s="317">
        <v>0.71</v>
      </c>
      <c r="M288" s="317">
        <v>0.69</v>
      </c>
      <c r="N288" s="317">
        <v>0.65</v>
      </c>
      <c r="O288" s="317">
        <v>0.61</v>
      </c>
      <c r="P288" s="317">
        <v>0.56000000000000005</v>
      </c>
      <c r="Q288" s="317">
        <v>0.51</v>
      </c>
      <c r="R288" s="317">
        <v>0.45</v>
      </c>
      <c r="S288" s="318">
        <v>0.45</v>
      </c>
      <c r="T288" s="313">
        <v>1.32</v>
      </c>
      <c r="U288" s="313">
        <v>1.27</v>
      </c>
      <c r="V288" s="313">
        <v>1.18</v>
      </c>
      <c r="W288" s="313">
        <v>1.0900000000000001</v>
      </c>
      <c r="X288" s="313">
        <v>1.04</v>
      </c>
      <c r="Y288" s="313">
        <v>1.01</v>
      </c>
      <c r="Z288" s="314">
        <v>1</v>
      </c>
      <c r="AA288" s="314">
        <v>1</v>
      </c>
      <c r="AB288" s="317">
        <v>0.87</v>
      </c>
      <c r="AC288" s="321">
        <v>0.83</v>
      </c>
      <c r="AD288" s="321">
        <v>0.76</v>
      </c>
      <c r="AE288" s="321">
        <v>0.7</v>
      </c>
      <c r="AF288" s="321">
        <v>0.66</v>
      </c>
      <c r="AG288" s="317">
        <v>0.61</v>
      </c>
      <c r="AH288" s="317">
        <v>0.55000000000000004</v>
      </c>
      <c r="AI288" s="317">
        <v>0.55000000000000004</v>
      </c>
    </row>
    <row r="289" spans="1:35" ht="62">
      <c r="A289" s="475" t="s">
        <v>1819</v>
      </c>
      <c r="B289" s="111" t="s">
        <v>1544</v>
      </c>
      <c r="C289" s="111" t="s">
        <v>1552</v>
      </c>
      <c r="D289" s="313">
        <v>1.1399999999999999</v>
      </c>
      <c r="E289" s="313">
        <v>1.1000000000000001</v>
      </c>
      <c r="F289" s="313">
        <v>1.06</v>
      </c>
      <c r="G289" s="313">
        <v>1.01</v>
      </c>
      <c r="H289" s="313">
        <v>0.94</v>
      </c>
      <c r="I289" s="313">
        <v>0.87</v>
      </c>
      <c r="J289" s="313">
        <v>0.8</v>
      </c>
      <c r="K289" s="313">
        <v>0.8</v>
      </c>
      <c r="L289" s="317">
        <v>0.71</v>
      </c>
      <c r="M289" s="317">
        <v>0.69</v>
      </c>
      <c r="N289" s="317">
        <v>0.65</v>
      </c>
      <c r="O289" s="317">
        <v>0.61</v>
      </c>
      <c r="P289" s="317">
        <v>0.56000000000000005</v>
      </c>
      <c r="Q289" s="317">
        <v>0.51</v>
      </c>
      <c r="R289" s="317">
        <v>0.45</v>
      </c>
      <c r="S289" s="318">
        <v>0.45</v>
      </c>
      <c r="T289" s="313">
        <v>1.32</v>
      </c>
      <c r="U289" s="313">
        <v>1.27</v>
      </c>
      <c r="V289" s="313">
        <v>1.18</v>
      </c>
      <c r="W289" s="313">
        <v>1.0900000000000001</v>
      </c>
      <c r="X289" s="313">
        <v>1.04</v>
      </c>
      <c r="Y289" s="313">
        <v>1.01</v>
      </c>
      <c r="Z289" s="314">
        <v>1</v>
      </c>
      <c r="AA289" s="314">
        <v>1</v>
      </c>
      <c r="AB289" s="317">
        <v>0.87</v>
      </c>
      <c r="AC289" s="321">
        <v>0.83</v>
      </c>
      <c r="AD289" s="321">
        <v>0.76</v>
      </c>
      <c r="AE289" s="321">
        <v>0.7</v>
      </c>
      <c r="AF289" s="321">
        <v>0.66</v>
      </c>
      <c r="AG289" s="317">
        <v>0.61</v>
      </c>
      <c r="AH289" s="317">
        <v>0.55000000000000004</v>
      </c>
      <c r="AI289" s="317">
        <v>0.55000000000000004</v>
      </c>
    </row>
    <row r="290" spans="1:35" ht="62">
      <c r="A290" s="475" t="s">
        <v>1819</v>
      </c>
      <c r="B290" s="111" t="s">
        <v>1544</v>
      </c>
      <c r="C290" s="111" t="s">
        <v>1553</v>
      </c>
      <c r="D290" s="313">
        <v>1.1399999999999999</v>
      </c>
      <c r="E290" s="313">
        <v>1.1000000000000001</v>
      </c>
      <c r="F290" s="313">
        <v>1.06</v>
      </c>
      <c r="G290" s="313">
        <v>1.01</v>
      </c>
      <c r="H290" s="313">
        <v>0.94</v>
      </c>
      <c r="I290" s="313">
        <v>0.87</v>
      </c>
      <c r="J290" s="313">
        <v>0.8</v>
      </c>
      <c r="K290" s="313">
        <v>0.8</v>
      </c>
      <c r="L290" s="317">
        <v>0.71</v>
      </c>
      <c r="M290" s="317">
        <v>0.69</v>
      </c>
      <c r="N290" s="317">
        <v>0.65</v>
      </c>
      <c r="O290" s="317">
        <v>0.61</v>
      </c>
      <c r="P290" s="317">
        <v>0.56000000000000005</v>
      </c>
      <c r="Q290" s="317">
        <v>0.51</v>
      </c>
      <c r="R290" s="317">
        <v>0.45</v>
      </c>
      <c r="S290" s="318">
        <v>0.45</v>
      </c>
      <c r="T290" s="313">
        <v>1.32</v>
      </c>
      <c r="U290" s="313">
        <v>1.27</v>
      </c>
      <c r="V290" s="313">
        <v>1.18</v>
      </c>
      <c r="W290" s="313">
        <v>1.0900000000000001</v>
      </c>
      <c r="X290" s="313">
        <v>1.04</v>
      </c>
      <c r="Y290" s="313">
        <v>1.01</v>
      </c>
      <c r="Z290" s="314">
        <v>1</v>
      </c>
      <c r="AA290" s="314">
        <v>1</v>
      </c>
      <c r="AB290" s="317">
        <v>0.87</v>
      </c>
      <c r="AC290" s="321">
        <v>0.83</v>
      </c>
      <c r="AD290" s="321">
        <v>0.76</v>
      </c>
      <c r="AE290" s="321">
        <v>0.7</v>
      </c>
      <c r="AF290" s="321">
        <v>0.66</v>
      </c>
      <c r="AG290" s="317">
        <v>0.61</v>
      </c>
      <c r="AH290" s="317">
        <v>0.55000000000000004</v>
      </c>
      <c r="AI290" s="317">
        <v>0.55000000000000004</v>
      </c>
    </row>
    <row r="291" spans="1:35" ht="62">
      <c r="A291" s="475" t="s">
        <v>1819</v>
      </c>
      <c r="B291" s="111" t="s">
        <v>1544</v>
      </c>
      <c r="C291" s="111" t="s">
        <v>1554</v>
      </c>
      <c r="D291" s="313">
        <v>1.1399999999999999</v>
      </c>
      <c r="E291" s="313">
        <v>1.1000000000000001</v>
      </c>
      <c r="F291" s="313">
        <v>1.06</v>
      </c>
      <c r="G291" s="313">
        <v>1.01</v>
      </c>
      <c r="H291" s="313">
        <v>0.94</v>
      </c>
      <c r="I291" s="313">
        <v>0.87</v>
      </c>
      <c r="J291" s="313">
        <v>0.8</v>
      </c>
      <c r="K291" s="313">
        <v>0.8</v>
      </c>
      <c r="L291" s="317">
        <v>0.71</v>
      </c>
      <c r="M291" s="317">
        <v>0.69</v>
      </c>
      <c r="N291" s="317">
        <v>0.65</v>
      </c>
      <c r="O291" s="317">
        <v>0.61</v>
      </c>
      <c r="P291" s="317">
        <v>0.56000000000000005</v>
      </c>
      <c r="Q291" s="317">
        <v>0.51</v>
      </c>
      <c r="R291" s="317">
        <v>0.45</v>
      </c>
      <c r="S291" s="318">
        <v>0.45</v>
      </c>
      <c r="T291" s="313">
        <v>1.32</v>
      </c>
      <c r="U291" s="313">
        <v>1.27</v>
      </c>
      <c r="V291" s="313">
        <v>1.18</v>
      </c>
      <c r="W291" s="313">
        <v>1.0900000000000001</v>
      </c>
      <c r="X291" s="313">
        <v>1.04</v>
      </c>
      <c r="Y291" s="313">
        <v>1.01</v>
      </c>
      <c r="Z291" s="314">
        <v>1</v>
      </c>
      <c r="AA291" s="314">
        <v>1</v>
      </c>
      <c r="AB291" s="317">
        <v>0.87</v>
      </c>
      <c r="AC291" s="321">
        <v>0.83</v>
      </c>
      <c r="AD291" s="321">
        <v>0.76</v>
      </c>
      <c r="AE291" s="321">
        <v>0.7</v>
      </c>
      <c r="AF291" s="321">
        <v>0.66</v>
      </c>
      <c r="AG291" s="317">
        <v>0.61</v>
      </c>
      <c r="AH291" s="317">
        <v>0.55000000000000004</v>
      </c>
      <c r="AI291" s="317">
        <v>0.55000000000000004</v>
      </c>
    </row>
    <row r="292" spans="1:35" ht="62">
      <c r="A292" s="475" t="s">
        <v>1819</v>
      </c>
      <c r="B292" s="111" t="s">
        <v>1544</v>
      </c>
      <c r="C292" s="111" t="s">
        <v>1555</v>
      </c>
      <c r="D292" s="313">
        <v>1.1399999999999999</v>
      </c>
      <c r="E292" s="313">
        <v>1.1000000000000001</v>
      </c>
      <c r="F292" s="313">
        <v>1.06</v>
      </c>
      <c r="G292" s="313">
        <v>1.01</v>
      </c>
      <c r="H292" s="313">
        <v>0.94</v>
      </c>
      <c r="I292" s="313">
        <v>0.87</v>
      </c>
      <c r="J292" s="313">
        <v>0.8</v>
      </c>
      <c r="K292" s="313">
        <v>0.8</v>
      </c>
      <c r="L292" s="317">
        <v>0.71</v>
      </c>
      <c r="M292" s="317">
        <v>0.69</v>
      </c>
      <c r="N292" s="317">
        <v>0.65</v>
      </c>
      <c r="O292" s="317">
        <v>0.61</v>
      </c>
      <c r="P292" s="317">
        <v>0.56000000000000005</v>
      </c>
      <c r="Q292" s="317">
        <v>0.51</v>
      </c>
      <c r="R292" s="317">
        <v>0.45</v>
      </c>
      <c r="S292" s="318">
        <v>0.45</v>
      </c>
      <c r="T292" s="313">
        <v>1.32</v>
      </c>
      <c r="U292" s="313">
        <v>1.27</v>
      </c>
      <c r="V292" s="313">
        <v>1.18</v>
      </c>
      <c r="W292" s="313">
        <v>1.0900000000000001</v>
      </c>
      <c r="X292" s="313">
        <v>1.04</v>
      </c>
      <c r="Y292" s="313">
        <v>1.01</v>
      </c>
      <c r="Z292" s="314">
        <v>1</v>
      </c>
      <c r="AA292" s="314">
        <v>1</v>
      </c>
      <c r="AB292" s="317">
        <v>0.87</v>
      </c>
      <c r="AC292" s="321">
        <v>0.83</v>
      </c>
      <c r="AD292" s="321">
        <v>0.76</v>
      </c>
      <c r="AE292" s="321">
        <v>0.7</v>
      </c>
      <c r="AF292" s="321">
        <v>0.66</v>
      </c>
      <c r="AG292" s="317">
        <v>0.61</v>
      </c>
      <c r="AH292" s="317">
        <v>0.55000000000000004</v>
      </c>
      <c r="AI292" s="317">
        <v>0.55000000000000004</v>
      </c>
    </row>
    <row r="293" spans="1:35" ht="62">
      <c r="A293" s="475" t="s">
        <v>1819</v>
      </c>
      <c r="B293" s="111" t="s">
        <v>1544</v>
      </c>
      <c r="C293" s="111" t="s">
        <v>1556</v>
      </c>
      <c r="D293" s="313">
        <v>1.1399999999999999</v>
      </c>
      <c r="E293" s="313">
        <v>1.1000000000000001</v>
      </c>
      <c r="F293" s="313">
        <v>1.06</v>
      </c>
      <c r="G293" s="313">
        <v>1.01</v>
      </c>
      <c r="H293" s="313">
        <v>0.94</v>
      </c>
      <c r="I293" s="313">
        <v>0.87</v>
      </c>
      <c r="J293" s="313">
        <v>0.8</v>
      </c>
      <c r="K293" s="313">
        <v>0.8</v>
      </c>
      <c r="L293" s="317">
        <v>0.71</v>
      </c>
      <c r="M293" s="317">
        <v>0.69</v>
      </c>
      <c r="N293" s="317">
        <v>0.65</v>
      </c>
      <c r="O293" s="317">
        <v>0.61</v>
      </c>
      <c r="P293" s="317">
        <v>0.56000000000000005</v>
      </c>
      <c r="Q293" s="317">
        <v>0.51</v>
      </c>
      <c r="R293" s="317">
        <v>0.45</v>
      </c>
      <c r="S293" s="318">
        <v>0.45</v>
      </c>
      <c r="T293" s="313">
        <v>1.32</v>
      </c>
      <c r="U293" s="313">
        <v>1.27</v>
      </c>
      <c r="V293" s="313">
        <v>1.18</v>
      </c>
      <c r="W293" s="313">
        <v>1.0900000000000001</v>
      </c>
      <c r="X293" s="313">
        <v>1.04</v>
      </c>
      <c r="Y293" s="313">
        <v>1.01</v>
      </c>
      <c r="Z293" s="314">
        <v>1</v>
      </c>
      <c r="AA293" s="314">
        <v>1</v>
      </c>
      <c r="AB293" s="317">
        <v>0.87</v>
      </c>
      <c r="AC293" s="321">
        <v>0.83</v>
      </c>
      <c r="AD293" s="321">
        <v>0.76</v>
      </c>
      <c r="AE293" s="321">
        <v>0.7</v>
      </c>
      <c r="AF293" s="321">
        <v>0.66</v>
      </c>
      <c r="AG293" s="317">
        <v>0.61</v>
      </c>
      <c r="AH293" s="317">
        <v>0.55000000000000004</v>
      </c>
      <c r="AI293" s="317">
        <v>0.55000000000000004</v>
      </c>
    </row>
    <row r="294" spans="1:35" ht="62">
      <c r="A294" s="475" t="s">
        <v>1819</v>
      </c>
      <c r="B294" s="32" t="s">
        <v>1533</v>
      </c>
      <c r="C294" s="32" t="s">
        <v>1534</v>
      </c>
      <c r="D294" s="313">
        <v>1.1399999999999999</v>
      </c>
      <c r="E294" s="313">
        <v>1.1000000000000001</v>
      </c>
      <c r="F294" s="313">
        <v>1.06</v>
      </c>
      <c r="G294" s="313">
        <v>1.01</v>
      </c>
      <c r="H294" s="313">
        <v>0.94</v>
      </c>
      <c r="I294" s="313">
        <v>0.87</v>
      </c>
      <c r="J294" s="313">
        <v>0.8</v>
      </c>
      <c r="K294" s="313">
        <v>0.8</v>
      </c>
      <c r="L294" s="317">
        <v>0.71</v>
      </c>
      <c r="M294" s="317">
        <v>0.69</v>
      </c>
      <c r="N294" s="317">
        <v>0.65</v>
      </c>
      <c r="O294" s="317">
        <v>0.61</v>
      </c>
      <c r="P294" s="317">
        <v>0.56000000000000005</v>
      </c>
      <c r="Q294" s="317">
        <v>0.51</v>
      </c>
      <c r="R294" s="317">
        <v>0.45</v>
      </c>
      <c r="S294" s="318">
        <v>0.45</v>
      </c>
      <c r="T294" s="313">
        <v>1.32</v>
      </c>
      <c r="U294" s="313">
        <v>1.27</v>
      </c>
      <c r="V294" s="313">
        <v>1.18</v>
      </c>
      <c r="W294" s="313">
        <v>1.0900000000000001</v>
      </c>
      <c r="X294" s="313">
        <v>1.04</v>
      </c>
      <c r="Y294" s="313">
        <v>1.01</v>
      </c>
      <c r="Z294" s="314">
        <v>1</v>
      </c>
      <c r="AA294" s="314">
        <v>1</v>
      </c>
      <c r="AB294" s="317">
        <v>0.87</v>
      </c>
      <c r="AC294" s="321">
        <v>0.83</v>
      </c>
      <c r="AD294" s="321">
        <v>0.76</v>
      </c>
      <c r="AE294" s="321">
        <v>0.7</v>
      </c>
      <c r="AF294" s="321">
        <v>0.66</v>
      </c>
      <c r="AG294" s="317">
        <v>0.61</v>
      </c>
      <c r="AH294" s="317">
        <v>0.55000000000000004</v>
      </c>
      <c r="AI294" s="317">
        <v>0.55000000000000004</v>
      </c>
    </row>
    <row r="295" spans="1:35" ht="62">
      <c r="A295" s="475" t="s">
        <v>1819</v>
      </c>
      <c r="B295" s="32" t="s">
        <v>1533</v>
      </c>
      <c r="C295" s="32" t="s">
        <v>1535</v>
      </c>
      <c r="D295" s="313">
        <v>1.1399999999999999</v>
      </c>
      <c r="E295" s="313">
        <v>1.1000000000000001</v>
      </c>
      <c r="F295" s="313">
        <v>1.06</v>
      </c>
      <c r="G295" s="313">
        <v>1.01</v>
      </c>
      <c r="H295" s="313">
        <v>0.94</v>
      </c>
      <c r="I295" s="313">
        <v>0.87</v>
      </c>
      <c r="J295" s="313">
        <v>0.8</v>
      </c>
      <c r="K295" s="313">
        <v>0.8</v>
      </c>
      <c r="L295" s="317">
        <v>0.71</v>
      </c>
      <c r="M295" s="317">
        <v>0.69</v>
      </c>
      <c r="N295" s="317">
        <v>0.65</v>
      </c>
      <c r="O295" s="317">
        <v>0.61</v>
      </c>
      <c r="P295" s="317">
        <v>0.56000000000000005</v>
      </c>
      <c r="Q295" s="317">
        <v>0.51</v>
      </c>
      <c r="R295" s="317">
        <v>0.45</v>
      </c>
      <c r="S295" s="318">
        <v>0.45</v>
      </c>
      <c r="T295" s="313">
        <v>1.32</v>
      </c>
      <c r="U295" s="313">
        <v>1.27</v>
      </c>
      <c r="V295" s="313">
        <v>1.18</v>
      </c>
      <c r="W295" s="313">
        <v>1.0900000000000001</v>
      </c>
      <c r="X295" s="313">
        <v>1.04</v>
      </c>
      <c r="Y295" s="313">
        <v>1.01</v>
      </c>
      <c r="Z295" s="314">
        <v>1</v>
      </c>
      <c r="AA295" s="314">
        <v>1</v>
      </c>
      <c r="AB295" s="317">
        <v>0.87</v>
      </c>
      <c r="AC295" s="321">
        <v>0.83</v>
      </c>
      <c r="AD295" s="321">
        <v>0.76</v>
      </c>
      <c r="AE295" s="321">
        <v>0.7</v>
      </c>
      <c r="AF295" s="321">
        <v>0.66</v>
      </c>
      <c r="AG295" s="317">
        <v>0.61</v>
      </c>
      <c r="AH295" s="317">
        <v>0.55000000000000004</v>
      </c>
      <c r="AI295" s="317">
        <v>0.55000000000000004</v>
      </c>
    </row>
    <row r="296" spans="1:35" ht="62">
      <c r="A296" s="475" t="s">
        <v>1819</v>
      </c>
      <c r="B296" s="32" t="s">
        <v>1533</v>
      </c>
      <c r="C296" s="32" t="s">
        <v>1536</v>
      </c>
      <c r="D296" s="313">
        <v>1.1399999999999999</v>
      </c>
      <c r="E296" s="313">
        <v>1.1000000000000001</v>
      </c>
      <c r="F296" s="313">
        <v>1.06</v>
      </c>
      <c r="G296" s="313">
        <v>1.01</v>
      </c>
      <c r="H296" s="313">
        <v>0.94</v>
      </c>
      <c r="I296" s="313">
        <v>0.87</v>
      </c>
      <c r="J296" s="313">
        <v>0.8</v>
      </c>
      <c r="K296" s="313">
        <v>0.8</v>
      </c>
      <c r="L296" s="317">
        <v>0.71</v>
      </c>
      <c r="M296" s="317">
        <v>0.69</v>
      </c>
      <c r="N296" s="317">
        <v>0.65</v>
      </c>
      <c r="O296" s="317">
        <v>0.61</v>
      </c>
      <c r="P296" s="317">
        <v>0.56000000000000005</v>
      </c>
      <c r="Q296" s="317">
        <v>0.51</v>
      </c>
      <c r="R296" s="317">
        <v>0.45</v>
      </c>
      <c r="S296" s="318">
        <v>0.45</v>
      </c>
      <c r="T296" s="313">
        <v>1.32</v>
      </c>
      <c r="U296" s="313">
        <v>1.27</v>
      </c>
      <c r="V296" s="313">
        <v>1.18</v>
      </c>
      <c r="W296" s="313">
        <v>1.0900000000000001</v>
      </c>
      <c r="X296" s="313">
        <v>1.04</v>
      </c>
      <c r="Y296" s="313">
        <v>1.01</v>
      </c>
      <c r="Z296" s="314">
        <v>1</v>
      </c>
      <c r="AA296" s="314">
        <v>1</v>
      </c>
      <c r="AB296" s="317">
        <v>0.87</v>
      </c>
      <c r="AC296" s="321">
        <v>0.83</v>
      </c>
      <c r="AD296" s="321">
        <v>0.76</v>
      </c>
      <c r="AE296" s="321">
        <v>0.7</v>
      </c>
      <c r="AF296" s="321">
        <v>0.66</v>
      </c>
      <c r="AG296" s="317">
        <v>0.61</v>
      </c>
      <c r="AH296" s="317">
        <v>0.55000000000000004</v>
      </c>
      <c r="AI296" s="317">
        <v>0.55000000000000004</v>
      </c>
    </row>
    <row r="297" spans="1:35" ht="62">
      <c r="A297" s="475" t="s">
        <v>1819</v>
      </c>
      <c r="B297" s="32" t="s">
        <v>1533</v>
      </c>
      <c r="C297" s="32" t="s">
        <v>1537</v>
      </c>
      <c r="D297" s="313">
        <v>1.1399999999999999</v>
      </c>
      <c r="E297" s="313">
        <v>1.1000000000000001</v>
      </c>
      <c r="F297" s="313">
        <v>1.06</v>
      </c>
      <c r="G297" s="313">
        <v>1.01</v>
      </c>
      <c r="H297" s="313">
        <v>0.94</v>
      </c>
      <c r="I297" s="313">
        <v>0.87</v>
      </c>
      <c r="J297" s="313">
        <v>0.8</v>
      </c>
      <c r="K297" s="313">
        <v>0.8</v>
      </c>
      <c r="L297" s="317">
        <v>0.71</v>
      </c>
      <c r="M297" s="317">
        <v>0.69</v>
      </c>
      <c r="N297" s="317">
        <v>0.65</v>
      </c>
      <c r="O297" s="317">
        <v>0.61</v>
      </c>
      <c r="P297" s="317">
        <v>0.56000000000000005</v>
      </c>
      <c r="Q297" s="317">
        <v>0.51</v>
      </c>
      <c r="R297" s="317">
        <v>0.45</v>
      </c>
      <c r="S297" s="318">
        <v>0.45</v>
      </c>
      <c r="T297" s="313">
        <v>1.32</v>
      </c>
      <c r="U297" s="313">
        <v>1.27</v>
      </c>
      <c r="V297" s="313">
        <v>1.18</v>
      </c>
      <c r="W297" s="313">
        <v>1.0900000000000001</v>
      </c>
      <c r="X297" s="313">
        <v>1.04</v>
      </c>
      <c r="Y297" s="313">
        <v>1.01</v>
      </c>
      <c r="Z297" s="314">
        <v>1</v>
      </c>
      <c r="AA297" s="314">
        <v>1</v>
      </c>
      <c r="AB297" s="317">
        <v>0.87</v>
      </c>
      <c r="AC297" s="321">
        <v>0.83</v>
      </c>
      <c r="AD297" s="321">
        <v>0.76</v>
      </c>
      <c r="AE297" s="321">
        <v>0.7</v>
      </c>
      <c r="AF297" s="321">
        <v>0.66</v>
      </c>
      <c r="AG297" s="317">
        <v>0.61</v>
      </c>
      <c r="AH297" s="317">
        <v>0.55000000000000004</v>
      </c>
      <c r="AI297" s="317">
        <v>0.55000000000000004</v>
      </c>
    </row>
    <row r="298" spans="1:35" ht="62">
      <c r="A298" s="475" t="s">
        <v>1819</v>
      </c>
      <c r="B298" s="32" t="s">
        <v>1533</v>
      </c>
      <c r="C298" s="32" t="s">
        <v>1538</v>
      </c>
      <c r="D298" s="313">
        <v>1.1399999999999999</v>
      </c>
      <c r="E298" s="313">
        <v>1.1000000000000001</v>
      </c>
      <c r="F298" s="313">
        <v>1.06</v>
      </c>
      <c r="G298" s="313">
        <v>1.01</v>
      </c>
      <c r="H298" s="313">
        <v>0.94</v>
      </c>
      <c r="I298" s="313">
        <v>0.87</v>
      </c>
      <c r="J298" s="313">
        <v>0.8</v>
      </c>
      <c r="K298" s="313">
        <v>0.8</v>
      </c>
      <c r="L298" s="317">
        <v>0.71</v>
      </c>
      <c r="M298" s="317">
        <v>0.69</v>
      </c>
      <c r="N298" s="317">
        <v>0.65</v>
      </c>
      <c r="O298" s="317">
        <v>0.61</v>
      </c>
      <c r="P298" s="317">
        <v>0.56000000000000005</v>
      </c>
      <c r="Q298" s="317">
        <v>0.51</v>
      </c>
      <c r="R298" s="317">
        <v>0.45</v>
      </c>
      <c r="S298" s="318">
        <v>0.45</v>
      </c>
      <c r="T298" s="313">
        <v>1.32</v>
      </c>
      <c r="U298" s="313">
        <v>1.27</v>
      </c>
      <c r="V298" s="313">
        <v>1.18</v>
      </c>
      <c r="W298" s="313">
        <v>1.0900000000000001</v>
      </c>
      <c r="X298" s="313">
        <v>1.04</v>
      </c>
      <c r="Y298" s="313">
        <v>1.01</v>
      </c>
      <c r="Z298" s="314">
        <v>1</v>
      </c>
      <c r="AA298" s="314">
        <v>1</v>
      </c>
      <c r="AB298" s="317">
        <v>0.87</v>
      </c>
      <c r="AC298" s="321">
        <v>0.83</v>
      </c>
      <c r="AD298" s="321">
        <v>0.76</v>
      </c>
      <c r="AE298" s="321">
        <v>0.7</v>
      </c>
      <c r="AF298" s="321">
        <v>0.66</v>
      </c>
      <c r="AG298" s="317">
        <v>0.61</v>
      </c>
      <c r="AH298" s="317">
        <v>0.55000000000000004</v>
      </c>
      <c r="AI298" s="317">
        <v>0.55000000000000004</v>
      </c>
    </row>
    <row r="299" spans="1:35" ht="62">
      <c r="A299" s="475" t="s">
        <v>1819</v>
      </c>
      <c r="B299" s="32" t="s">
        <v>1533</v>
      </c>
      <c r="C299" s="32" t="s">
        <v>1539</v>
      </c>
      <c r="D299" s="313">
        <v>1.1399999999999999</v>
      </c>
      <c r="E299" s="313">
        <v>1.1000000000000001</v>
      </c>
      <c r="F299" s="313">
        <v>1.06</v>
      </c>
      <c r="G299" s="313">
        <v>1.01</v>
      </c>
      <c r="H299" s="313">
        <v>0.94</v>
      </c>
      <c r="I299" s="313">
        <v>0.87</v>
      </c>
      <c r="J299" s="313">
        <v>0.8</v>
      </c>
      <c r="K299" s="313">
        <v>0.8</v>
      </c>
      <c r="L299" s="317">
        <v>0.71</v>
      </c>
      <c r="M299" s="317">
        <v>0.69</v>
      </c>
      <c r="N299" s="317">
        <v>0.65</v>
      </c>
      <c r="O299" s="317">
        <v>0.61</v>
      </c>
      <c r="P299" s="317">
        <v>0.56000000000000005</v>
      </c>
      <c r="Q299" s="317">
        <v>0.51</v>
      </c>
      <c r="R299" s="317">
        <v>0.45</v>
      </c>
      <c r="S299" s="318">
        <v>0.45</v>
      </c>
      <c r="T299" s="313">
        <v>1.32</v>
      </c>
      <c r="U299" s="313">
        <v>1.27</v>
      </c>
      <c r="V299" s="313">
        <v>1.18</v>
      </c>
      <c r="W299" s="313">
        <v>1.0900000000000001</v>
      </c>
      <c r="X299" s="313">
        <v>1.04</v>
      </c>
      <c r="Y299" s="313">
        <v>1.01</v>
      </c>
      <c r="Z299" s="314">
        <v>1</v>
      </c>
      <c r="AA299" s="314">
        <v>1</v>
      </c>
      <c r="AB299" s="317">
        <v>0.87</v>
      </c>
      <c r="AC299" s="321">
        <v>0.83</v>
      </c>
      <c r="AD299" s="321">
        <v>0.76</v>
      </c>
      <c r="AE299" s="321">
        <v>0.7</v>
      </c>
      <c r="AF299" s="321">
        <v>0.66</v>
      </c>
      <c r="AG299" s="317">
        <v>0.61</v>
      </c>
      <c r="AH299" s="317">
        <v>0.55000000000000004</v>
      </c>
      <c r="AI299" s="317">
        <v>0.55000000000000004</v>
      </c>
    </row>
    <row r="300" spans="1:35" ht="62">
      <c r="A300" s="475" t="s">
        <v>1819</v>
      </c>
      <c r="B300" s="32" t="s">
        <v>1533</v>
      </c>
      <c r="C300" s="32" t="s">
        <v>1540</v>
      </c>
      <c r="D300" s="313">
        <v>1.1399999999999999</v>
      </c>
      <c r="E300" s="313">
        <v>1.1000000000000001</v>
      </c>
      <c r="F300" s="313">
        <v>1.06</v>
      </c>
      <c r="G300" s="313">
        <v>1.01</v>
      </c>
      <c r="H300" s="313">
        <v>0.94</v>
      </c>
      <c r="I300" s="313">
        <v>0.87</v>
      </c>
      <c r="J300" s="313">
        <v>0.8</v>
      </c>
      <c r="K300" s="313">
        <v>0.8</v>
      </c>
      <c r="L300" s="317">
        <v>0.71</v>
      </c>
      <c r="M300" s="317">
        <v>0.69</v>
      </c>
      <c r="N300" s="317">
        <v>0.65</v>
      </c>
      <c r="O300" s="317">
        <v>0.61</v>
      </c>
      <c r="P300" s="317">
        <v>0.56000000000000005</v>
      </c>
      <c r="Q300" s="317">
        <v>0.51</v>
      </c>
      <c r="R300" s="317">
        <v>0.45</v>
      </c>
      <c r="S300" s="318">
        <v>0.45</v>
      </c>
      <c r="T300" s="313">
        <v>1.32</v>
      </c>
      <c r="U300" s="313">
        <v>1.27</v>
      </c>
      <c r="V300" s="313">
        <v>1.18</v>
      </c>
      <c r="W300" s="313">
        <v>1.0900000000000001</v>
      </c>
      <c r="X300" s="313">
        <v>1.04</v>
      </c>
      <c r="Y300" s="313">
        <v>1.01</v>
      </c>
      <c r="Z300" s="314">
        <v>1</v>
      </c>
      <c r="AA300" s="314">
        <v>1</v>
      </c>
      <c r="AB300" s="317">
        <v>0.87</v>
      </c>
      <c r="AC300" s="321">
        <v>0.83</v>
      </c>
      <c r="AD300" s="321">
        <v>0.76</v>
      </c>
      <c r="AE300" s="321">
        <v>0.7</v>
      </c>
      <c r="AF300" s="321">
        <v>0.66</v>
      </c>
      <c r="AG300" s="317">
        <v>0.61</v>
      </c>
      <c r="AH300" s="317">
        <v>0.55000000000000004</v>
      </c>
      <c r="AI300" s="317">
        <v>0.55000000000000004</v>
      </c>
    </row>
    <row r="301" spans="1:35" ht="62">
      <c r="A301" s="475" t="s">
        <v>1819</v>
      </c>
      <c r="B301" s="32" t="s">
        <v>1533</v>
      </c>
      <c r="C301" s="32" t="s">
        <v>1541</v>
      </c>
      <c r="D301" s="313">
        <v>1.1399999999999999</v>
      </c>
      <c r="E301" s="313">
        <v>1.1000000000000001</v>
      </c>
      <c r="F301" s="313">
        <v>1.06</v>
      </c>
      <c r="G301" s="313">
        <v>1.01</v>
      </c>
      <c r="H301" s="313">
        <v>0.94</v>
      </c>
      <c r="I301" s="313">
        <v>0.87</v>
      </c>
      <c r="J301" s="313">
        <v>0.8</v>
      </c>
      <c r="K301" s="313">
        <v>0.8</v>
      </c>
      <c r="L301" s="317">
        <v>0.71</v>
      </c>
      <c r="M301" s="317">
        <v>0.69</v>
      </c>
      <c r="N301" s="317">
        <v>0.65</v>
      </c>
      <c r="O301" s="317">
        <v>0.61</v>
      </c>
      <c r="P301" s="317">
        <v>0.56000000000000005</v>
      </c>
      <c r="Q301" s="317">
        <v>0.51</v>
      </c>
      <c r="R301" s="317">
        <v>0.45</v>
      </c>
      <c r="S301" s="318">
        <v>0.45</v>
      </c>
      <c r="T301" s="313">
        <v>1.32</v>
      </c>
      <c r="U301" s="313">
        <v>1.27</v>
      </c>
      <c r="V301" s="313">
        <v>1.18</v>
      </c>
      <c r="W301" s="313">
        <v>1.0900000000000001</v>
      </c>
      <c r="X301" s="313">
        <v>1.04</v>
      </c>
      <c r="Y301" s="313">
        <v>1.01</v>
      </c>
      <c r="Z301" s="314">
        <v>1</v>
      </c>
      <c r="AA301" s="314">
        <v>1</v>
      </c>
      <c r="AB301" s="317">
        <v>0.87</v>
      </c>
      <c r="AC301" s="321">
        <v>0.83</v>
      </c>
      <c r="AD301" s="321">
        <v>0.76</v>
      </c>
      <c r="AE301" s="321">
        <v>0.7</v>
      </c>
      <c r="AF301" s="321">
        <v>0.66</v>
      </c>
      <c r="AG301" s="317">
        <v>0.61</v>
      </c>
      <c r="AH301" s="317">
        <v>0.55000000000000004</v>
      </c>
      <c r="AI301" s="317">
        <v>0.55000000000000004</v>
      </c>
    </row>
    <row r="302" spans="1:35" ht="62">
      <c r="A302" s="475" t="s">
        <v>1819</v>
      </c>
      <c r="B302" s="32" t="s">
        <v>1533</v>
      </c>
      <c r="C302" s="32" t="s">
        <v>1542</v>
      </c>
      <c r="D302" s="313">
        <v>1.1399999999999999</v>
      </c>
      <c r="E302" s="313">
        <v>1.1000000000000001</v>
      </c>
      <c r="F302" s="313">
        <v>1.06</v>
      </c>
      <c r="G302" s="313">
        <v>1.01</v>
      </c>
      <c r="H302" s="313">
        <v>0.94</v>
      </c>
      <c r="I302" s="313">
        <v>0.87</v>
      </c>
      <c r="J302" s="313">
        <v>0.8</v>
      </c>
      <c r="K302" s="313">
        <v>0.8</v>
      </c>
      <c r="L302" s="317">
        <v>0.71</v>
      </c>
      <c r="M302" s="317">
        <v>0.69</v>
      </c>
      <c r="N302" s="317">
        <v>0.65</v>
      </c>
      <c r="O302" s="317">
        <v>0.61</v>
      </c>
      <c r="P302" s="317">
        <v>0.56000000000000005</v>
      </c>
      <c r="Q302" s="317">
        <v>0.51</v>
      </c>
      <c r="R302" s="317">
        <v>0.45</v>
      </c>
      <c r="S302" s="318">
        <v>0.45</v>
      </c>
      <c r="T302" s="313">
        <v>1.32</v>
      </c>
      <c r="U302" s="313">
        <v>1.27</v>
      </c>
      <c r="V302" s="313">
        <v>1.18</v>
      </c>
      <c r="W302" s="313">
        <v>1.0900000000000001</v>
      </c>
      <c r="X302" s="313">
        <v>1.04</v>
      </c>
      <c r="Y302" s="313">
        <v>1.01</v>
      </c>
      <c r="Z302" s="314">
        <v>1</v>
      </c>
      <c r="AA302" s="314">
        <v>1</v>
      </c>
      <c r="AB302" s="317">
        <v>0.87</v>
      </c>
      <c r="AC302" s="321">
        <v>0.83</v>
      </c>
      <c r="AD302" s="321">
        <v>0.76</v>
      </c>
      <c r="AE302" s="321">
        <v>0.7</v>
      </c>
      <c r="AF302" s="321">
        <v>0.66</v>
      </c>
      <c r="AG302" s="317">
        <v>0.61</v>
      </c>
      <c r="AH302" s="317">
        <v>0.55000000000000004</v>
      </c>
      <c r="AI302" s="317">
        <v>0.55000000000000004</v>
      </c>
    </row>
    <row r="303" spans="1:35" ht="62">
      <c r="A303" s="475" t="s">
        <v>1819</v>
      </c>
      <c r="B303" s="32" t="s">
        <v>1533</v>
      </c>
      <c r="C303" s="32" t="s">
        <v>1543</v>
      </c>
      <c r="D303" s="313">
        <v>1.1399999999999999</v>
      </c>
      <c r="E303" s="313">
        <v>1.1000000000000001</v>
      </c>
      <c r="F303" s="313">
        <v>1.06</v>
      </c>
      <c r="G303" s="313">
        <v>1.01</v>
      </c>
      <c r="H303" s="313">
        <v>0.94</v>
      </c>
      <c r="I303" s="313">
        <v>0.87</v>
      </c>
      <c r="J303" s="313">
        <v>0.8</v>
      </c>
      <c r="K303" s="313">
        <v>0.8</v>
      </c>
      <c r="L303" s="317">
        <v>0.71</v>
      </c>
      <c r="M303" s="317">
        <v>0.69</v>
      </c>
      <c r="N303" s="317">
        <v>0.65</v>
      </c>
      <c r="O303" s="317">
        <v>0.61</v>
      </c>
      <c r="P303" s="317">
        <v>0.56000000000000005</v>
      </c>
      <c r="Q303" s="317">
        <v>0.51</v>
      </c>
      <c r="R303" s="317">
        <v>0.45</v>
      </c>
      <c r="S303" s="318">
        <v>0.45</v>
      </c>
      <c r="T303" s="313">
        <v>1.32</v>
      </c>
      <c r="U303" s="313">
        <v>1.27</v>
      </c>
      <c r="V303" s="313">
        <v>1.18</v>
      </c>
      <c r="W303" s="313">
        <v>1.0900000000000001</v>
      </c>
      <c r="X303" s="313">
        <v>1.04</v>
      </c>
      <c r="Y303" s="313">
        <v>1.01</v>
      </c>
      <c r="Z303" s="314">
        <v>1</v>
      </c>
      <c r="AA303" s="314">
        <v>1</v>
      </c>
      <c r="AB303" s="317">
        <v>0.87</v>
      </c>
      <c r="AC303" s="321">
        <v>0.83</v>
      </c>
      <c r="AD303" s="321">
        <v>0.76</v>
      </c>
      <c r="AE303" s="321">
        <v>0.7</v>
      </c>
      <c r="AF303" s="321">
        <v>0.66</v>
      </c>
      <c r="AG303" s="317">
        <v>0.61</v>
      </c>
      <c r="AH303" s="317">
        <v>0.55000000000000004</v>
      </c>
      <c r="AI303" s="317">
        <v>0.55000000000000004</v>
      </c>
    </row>
  </sheetData>
  <mergeCells count="4">
    <mergeCell ref="D1:K1"/>
    <mergeCell ref="L1:S1"/>
    <mergeCell ref="T1:AA1"/>
    <mergeCell ref="AB1:AI1"/>
  </mergeCells>
  <phoneticPr fontId="13"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工作表9"/>
  <dimension ref="A1:O35"/>
  <sheetViews>
    <sheetView workbookViewId="0">
      <selection activeCell="B8" sqref="B8"/>
    </sheetView>
  </sheetViews>
  <sheetFormatPr defaultRowHeight="15.5"/>
  <cols>
    <col min="1" max="1" width="4" style="522" bestFit="1" customWidth="1"/>
    <col min="2" max="2" width="29.26953125" style="517" customWidth="1"/>
    <col min="3" max="3" width="36.36328125" style="517" bestFit="1" customWidth="1"/>
    <col min="4" max="4" width="4" style="517" bestFit="1" customWidth="1"/>
    <col min="5" max="5" width="29.36328125" style="517" bestFit="1" customWidth="1"/>
    <col min="6" max="6" width="12.36328125" style="517" bestFit="1" customWidth="1"/>
    <col min="7" max="7" width="11.6328125" style="517" bestFit="1" customWidth="1"/>
    <col min="8" max="8" width="11.81640625" style="517" bestFit="1" customWidth="1"/>
    <col min="9" max="9" width="8.7265625" style="517"/>
    <col min="10" max="10" width="6.453125" style="517" bestFit="1" customWidth="1"/>
    <col min="11" max="11" width="7.453125" style="517" bestFit="1" customWidth="1"/>
    <col min="12" max="12" width="6.26953125" style="517" bestFit="1" customWidth="1"/>
    <col min="13" max="13" width="5.7265625" style="517" bestFit="1" customWidth="1"/>
    <col min="14" max="14" width="18.6328125" style="517" bestFit="1" customWidth="1"/>
    <col min="15" max="18" width="6.26953125" style="517" bestFit="1" customWidth="1"/>
    <col min="19" max="16384" width="8.7265625" style="517"/>
  </cols>
  <sheetData>
    <row r="1" spans="1:15">
      <c r="B1" s="518" t="s">
        <v>1303</v>
      </c>
      <c r="C1" s="519" t="s">
        <v>1661</v>
      </c>
      <c r="D1" s="520">
        <v>0</v>
      </c>
      <c r="E1" s="519" t="s">
        <v>1661</v>
      </c>
      <c r="F1" s="521"/>
    </row>
    <row r="2" spans="1:15">
      <c r="A2" s="522">
        <v>1</v>
      </c>
      <c r="B2" s="517" t="s">
        <v>1304</v>
      </c>
      <c r="C2" s="519" t="s">
        <v>74</v>
      </c>
      <c r="D2" s="520">
        <v>1</v>
      </c>
      <c r="E2" s="519" t="s">
        <v>74</v>
      </c>
      <c r="F2" s="522"/>
      <c r="G2" s="522"/>
      <c r="H2" s="522"/>
      <c r="I2" s="522"/>
      <c r="J2" s="522"/>
      <c r="K2" s="522"/>
      <c r="L2" s="522"/>
      <c r="M2" s="522"/>
      <c r="N2" s="522"/>
      <c r="O2" s="522"/>
    </row>
    <row r="3" spans="1:15">
      <c r="A3" s="522">
        <v>2</v>
      </c>
      <c r="B3" s="517" t="s">
        <v>1305</v>
      </c>
      <c r="C3" s="519" t="s">
        <v>362</v>
      </c>
      <c r="D3" s="520">
        <v>2</v>
      </c>
      <c r="E3" s="519" t="s">
        <v>372</v>
      </c>
      <c r="F3" s="521" t="s">
        <v>1657</v>
      </c>
    </row>
    <row r="4" spans="1:15">
      <c r="A4" s="522">
        <v>3</v>
      </c>
      <c r="B4" s="517" t="s">
        <v>1306</v>
      </c>
      <c r="C4" s="519" t="s">
        <v>1660</v>
      </c>
      <c r="D4" s="520">
        <v>3</v>
      </c>
      <c r="E4" s="521" t="s">
        <v>1307</v>
      </c>
      <c r="F4" s="522"/>
      <c r="G4" s="522"/>
      <c r="H4" s="522"/>
      <c r="I4" s="522"/>
      <c r="J4" s="522"/>
      <c r="K4" s="522"/>
      <c r="L4" s="522"/>
      <c r="M4" s="522"/>
      <c r="N4" s="523"/>
      <c r="O4" s="522"/>
    </row>
    <row r="5" spans="1:15" ht="31">
      <c r="A5" s="522">
        <v>4</v>
      </c>
      <c r="B5" s="524" t="s">
        <v>1565</v>
      </c>
      <c r="C5" s="519" t="s">
        <v>361</v>
      </c>
      <c r="D5" s="520">
        <v>4</v>
      </c>
      <c r="E5" s="519" t="s">
        <v>74</v>
      </c>
      <c r="F5" s="521" t="s">
        <v>1307</v>
      </c>
      <c r="G5" s="521" t="s">
        <v>1657</v>
      </c>
      <c r="H5" s="522"/>
      <c r="I5" s="522"/>
      <c r="J5" s="522"/>
      <c r="K5" s="522"/>
      <c r="L5" s="522"/>
      <c r="M5" s="522"/>
      <c r="N5" s="523"/>
      <c r="O5" s="522"/>
    </row>
    <row r="6" spans="1:15">
      <c r="A6" s="522">
        <v>5</v>
      </c>
      <c r="B6" s="517" t="s">
        <v>360</v>
      </c>
      <c r="C6" s="519" t="s">
        <v>363</v>
      </c>
      <c r="D6" s="520">
        <v>5</v>
      </c>
      <c r="E6" s="519" t="s">
        <v>74</v>
      </c>
      <c r="F6" s="521" t="s">
        <v>1657</v>
      </c>
      <c r="G6" s="522"/>
      <c r="H6" s="522"/>
      <c r="I6" s="522"/>
      <c r="J6" s="522"/>
      <c r="K6" s="522"/>
      <c r="L6" s="522"/>
      <c r="M6" s="522"/>
      <c r="N6" s="523"/>
      <c r="O6" s="522"/>
    </row>
    <row r="7" spans="1:15">
      <c r="A7" s="522">
        <v>6</v>
      </c>
      <c r="B7" s="525" t="s">
        <v>1809</v>
      </c>
      <c r="C7" s="519" t="s">
        <v>82</v>
      </c>
      <c r="D7" s="520">
        <v>6</v>
      </c>
      <c r="E7" s="521" t="s">
        <v>1657</v>
      </c>
      <c r="F7" s="522"/>
      <c r="G7" s="522"/>
      <c r="H7" s="526"/>
      <c r="I7" s="522"/>
    </row>
    <row r="8" spans="1:15">
      <c r="A8" s="522">
        <v>7</v>
      </c>
      <c r="B8" s="527" t="s">
        <v>1826</v>
      </c>
      <c r="C8" s="519" t="s">
        <v>367</v>
      </c>
      <c r="D8" s="520">
        <v>7</v>
      </c>
      <c r="E8" s="519" t="s">
        <v>156</v>
      </c>
      <c r="F8" s="521" t="s">
        <v>1657</v>
      </c>
      <c r="G8" s="522"/>
      <c r="H8" s="522"/>
      <c r="I8" s="522"/>
    </row>
    <row r="9" spans="1:15">
      <c r="A9" s="522">
        <v>8</v>
      </c>
      <c r="B9" s="517" t="s">
        <v>1562</v>
      </c>
      <c r="C9" s="519" t="s">
        <v>156</v>
      </c>
      <c r="D9" s="520">
        <v>8</v>
      </c>
      <c r="E9" s="519" t="s">
        <v>156</v>
      </c>
      <c r="F9" s="522"/>
      <c r="G9" s="522"/>
      <c r="H9" s="522"/>
      <c r="I9" s="522"/>
    </row>
    <row r="10" spans="1:15">
      <c r="A10" s="522">
        <v>9</v>
      </c>
      <c r="B10" s="524" t="s">
        <v>1567</v>
      </c>
      <c r="C10" s="519" t="s">
        <v>169</v>
      </c>
      <c r="D10" s="520">
        <v>9</v>
      </c>
      <c r="E10" s="521" t="s">
        <v>1562</v>
      </c>
      <c r="F10" s="521"/>
      <c r="G10" s="522"/>
      <c r="H10" s="522"/>
      <c r="I10" s="522"/>
    </row>
    <row r="11" spans="1:15">
      <c r="A11" s="522">
        <v>10</v>
      </c>
      <c r="B11" s="517" t="s">
        <v>1309</v>
      </c>
      <c r="C11" s="519" t="s">
        <v>368</v>
      </c>
      <c r="D11" s="520">
        <v>10</v>
      </c>
      <c r="E11" s="521" t="s">
        <v>1562</v>
      </c>
      <c r="F11" s="521" t="s">
        <v>1657</v>
      </c>
    </row>
    <row r="12" spans="1:15">
      <c r="A12" s="522">
        <v>11</v>
      </c>
      <c r="B12" s="517" t="s">
        <v>1292</v>
      </c>
      <c r="C12" s="519" t="s">
        <v>365</v>
      </c>
      <c r="D12" s="520">
        <v>11</v>
      </c>
      <c r="E12" s="519" t="s">
        <v>156</v>
      </c>
      <c r="F12" s="521" t="s">
        <v>1562</v>
      </c>
      <c r="G12" s="522"/>
      <c r="H12" s="522"/>
      <c r="I12" s="522"/>
    </row>
    <row r="13" spans="1:15">
      <c r="A13" s="522">
        <v>12</v>
      </c>
      <c r="B13" s="517" t="s">
        <v>1351</v>
      </c>
      <c r="C13" s="519" t="s">
        <v>220</v>
      </c>
      <c r="D13" s="520">
        <v>12</v>
      </c>
      <c r="E13" s="519" t="s">
        <v>220</v>
      </c>
      <c r="F13" s="521"/>
      <c r="G13" s="522"/>
      <c r="H13" s="522"/>
      <c r="I13" s="522"/>
    </row>
    <row r="14" spans="1:15" ht="46.5">
      <c r="A14" s="522">
        <v>13</v>
      </c>
      <c r="B14" s="528" t="s">
        <v>1819</v>
      </c>
      <c r="C14" s="519" t="s">
        <v>326</v>
      </c>
      <c r="D14" s="520">
        <v>13</v>
      </c>
      <c r="E14" s="519" t="s">
        <v>326</v>
      </c>
      <c r="F14" s="521"/>
      <c r="G14" s="522"/>
      <c r="H14" s="522"/>
      <c r="I14" s="522"/>
    </row>
    <row r="15" spans="1:15">
      <c r="C15" s="529"/>
    </row>
    <row r="16" spans="1:15">
      <c r="C16" s="529"/>
    </row>
    <row r="17" spans="3:14">
      <c r="C17" s="529"/>
      <c r="D17" s="530"/>
    </row>
    <row r="18" spans="3:14">
      <c r="C18" s="529"/>
      <c r="D18" s="530"/>
    </row>
    <row r="19" spans="3:14">
      <c r="C19" s="529"/>
      <c r="D19" s="530"/>
    </row>
    <row r="20" spans="3:14">
      <c r="C20" s="529"/>
      <c r="H20" s="531"/>
    </row>
    <row r="21" spans="3:14">
      <c r="C21" s="529"/>
      <c r="D21" s="532"/>
      <c r="E21" s="532"/>
      <c r="F21" s="533"/>
      <c r="H21" s="534"/>
      <c r="N21" s="534"/>
    </row>
    <row r="22" spans="3:14">
      <c r="C22" s="529"/>
      <c r="D22" s="535"/>
      <c r="E22" s="521"/>
      <c r="F22" s="535"/>
      <c r="H22" s="536"/>
      <c r="N22" s="536"/>
    </row>
    <row r="23" spans="3:14">
      <c r="C23" s="537"/>
      <c r="D23" s="535"/>
      <c r="E23" s="522"/>
      <c r="F23" s="535"/>
      <c r="H23" s="538"/>
    </row>
    <row r="24" spans="3:14">
      <c r="D24" s="535"/>
      <c r="E24" s="522"/>
      <c r="F24" s="535"/>
      <c r="H24" s="538"/>
    </row>
    <row r="25" spans="3:14">
      <c r="H25" s="538"/>
    </row>
    <row r="26" spans="3:14">
      <c r="H26" s="538"/>
      <c r="N26" s="539"/>
    </row>
    <row r="27" spans="3:14">
      <c r="H27" s="538"/>
    </row>
    <row r="28" spans="3:14">
      <c r="H28" s="538"/>
    </row>
    <row r="29" spans="3:14">
      <c r="H29" s="538"/>
    </row>
    <row r="30" spans="3:14">
      <c r="H30" s="538"/>
    </row>
    <row r="31" spans="3:14">
      <c r="H31" s="538"/>
      <c r="N31" s="539"/>
    </row>
    <row r="32" spans="3:14">
      <c r="H32" s="538"/>
    </row>
    <row r="33" spans="8:14">
      <c r="H33" s="538"/>
    </row>
    <row r="34" spans="8:14">
      <c r="H34" s="538"/>
    </row>
    <row r="35" spans="8:14">
      <c r="N35" s="539"/>
    </row>
  </sheetData>
  <phoneticPr fontId="13" type="noConversion"/>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工作表10"/>
  <dimension ref="A1:L41"/>
  <sheetViews>
    <sheetView tabSelected="1" topLeftCell="A10" workbookViewId="0">
      <selection activeCell="A43" sqref="A43"/>
    </sheetView>
  </sheetViews>
  <sheetFormatPr defaultRowHeight="17"/>
  <cols>
    <col min="1" max="1" width="111.26953125" bestFit="1" customWidth="1"/>
    <col min="2" max="2" width="31.1796875" bestFit="1" customWidth="1"/>
    <col min="3" max="3" width="16.26953125" bestFit="1" customWidth="1"/>
    <col min="4" max="4" width="8" bestFit="1" customWidth="1"/>
    <col min="5" max="5" width="11.81640625" bestFit="1" customWidth="1"/>
    <col min="7" max="7" width="6.453125" bestFit="1" customWidth="1"/>
    <col min="8" max="8" width="7.453125" bestFit="1" customWidth="1"/>
    <col min="9" max="9" width="6.26953125" bestFit="1" customWidth="1"/>
    <col min="10" max="10" width="5.7265625" bestFit="1" customWidth="1"/>
    <col min="11" max="11" width="4.36328125" bestFit="1" customWidth="1"/>
    <col min="12" max="15" width="6.26953125" bestFit="1" customWidth="1"/>
  </cols>
  <sheetData>
    <row r="1" spans="1:12">
      <c r="A1" s="2" t="s">
        <v>2</v>
      </c>
      <c r="B1" t="s">
        <v>3</v>
      </c>
      <c r="C1" t="s">
        <v>4</v>
      </c>
    </row>
    <row r="2" spans="1:12">
      <c r="A2" s="2" t="s">
        <v>5</v>
      </c>
      <c r="B2" s="2" t="s">
        <v>6</v>
      </c>
      <c r="C2" s="2" t="s">
        <v>7</v>
      </c>
      <c r="D2" s="2" t="s">
        <v>8</v>
      </c>
      <c r="E2" s="2" t="s">
        <v>9</v>
      </c>
      <c r="F2" s="2" t="s">
        <v>10</v>
      </c>
    </row>
    <row r="3" spans="1:12">
      <c r="A3" s="2" t="s">
        <v>11</v>
      </c>
      <c r="B3" s="2">
        <v>1</v>
      </c>
      <c r="C3" s="2">
        <v>1</v>
      </c>
      <c r="D3" s="2">
        <v>1</v>
      </c>
      <c r="E3" s="2">
        <v>1</v>
      </c>
      <c r="F3" s="2">
        <v>1</v>
      </c>
    </row>
    <row r="4" spans="1:12">
      <c r="A4" s="2" t="s">
        <v>12</v>
      </c>
      <c r="B4" s="2">
        <v>1.1000000000000001</v>
      </c>
      <c r="C4" s="2">
        <v>1.1000000000000001</v>
      </c>
      <c r="D4" s="2">
        <v>1</v>
      </c>
      <c r="E4" s="30">
        <v>1</v>
      </c>
      <c r="F4" s="2">
        <v>1</v>
      </c>
    </row>
    <row r="5" spans="1:12">
      <c r="A5" s="2" t="s">
        <v>13</v>
      </c>
      <c r="B5" s="2">
        <v>1.2</v>
      </c>
      <c r="C5" s="2">
        <v>1.2</v>
      </c>
      <c r="D5" s="2">
        <v>1.1000000000000001</v>
      </c>
      <c r="E5" s="2">
        <v>1</v>
      </c>
      <c r="F5" s="2">
        <v>1</v>
      </c>
    </row>
    <row r="6" spans="1:12">
      <c r="A6" s="2" t="s">
        <v>14</v>
      </c>
      <c r="B6" t="s">
        <v>15</v>
      </c>
      <c r="C6" t="s">
        <v>4</v>
      </c>
    </row>
    <row r="7" spans="1:12">
      <c r="A7" s="2" t="s">
        <v>5</v>
      </c>
      <c r="B7" s="2" t="s">
        <v>16</v>
      </c>
      <c r="C7" s="2" t="s">
        <v>17</v>
      </c>
      <c r="D7" s="2" t="s">
        <v>18</v>
      </c>
      <c r="E7" s="2" t="s">
        <v>19</v>
      </c>
      <c r="F7" s="2" t="s">
        <v>20</v>
      </c>
    </row>
    <row r="8" spans="1:12">
      <c r="A8" s="2" t="s">
        <v>11</v>
      </c>
      <c r="B8" s="2">
        <v>1</v>
      </c>
      <c r="C8" s="2">
        <v>1</v>
      </c>
      <c r="D8" s="2">
        <v>1</v>
      </c>
      <c r="E8" s="2">
        <v>1</v>
      </c>
      <c r="F8" s="2">
        <v>1</v>
      </c>
    </row>
    <row r="9" spans="1:12">
      <c r="A9" s="2" t="s">
        <v>12</v>
      </c>
      <c r="B9" s="2">
        <v>1.5</v>
      </c>
      <c r="C9" s="2">
        <v>1.4</v>
      </c>
      <c r="D9" s="2">
        <v>1.3</v>
      </c>
      <c r="E9" s="29">
        <v>1.2</v>
      </c>
      <c r="F9" s="2">
        <v>1.1000000000000001</v>
      </c>
    </row>
    <row r="10" spans="1:12">
      <c r="A10" s="2" t="s">
        <v>13</v>
      </c>
      <c r="B10" s="2">
        <v>1.8</v>
      </c>
      <c r="C10" s="2">
        <v>1.7</v>
      </c>
      <c r="D10" s="2">
        <v>1.6</v>
      </c>
      <c r="E10" s="2">
        <v>1.5</v>
      </c>
      <c r="F10" s="2">
        <v>1.4</v>
      </c>
    </row>
    <row r="11" spans="1:12">
      <c r="A11" s="2">
        <v>86</v>
      </c>
    </row>
    <row r="12" spans="1:12">
      <c r="A12" s="2" t="s">
        <v>1298</v>
      </c>
      <c r="B12" s="2">
        <v>0.03</v>
      </c>
      <c r="C12" s="2">
        <v>0.15</v>
      </c>
      <c r="D12" s="2">
        <v>0.33300000000000002</v>
      </c>
      <c r="E12" s="2">
        <v>1.3149999999999999</v>
      </c>
      <c r="F12" s="2">
        <v>1</v>
      </c>
      <c r="G12" s="2">
        <v>12.5</v>
      </c>
      <c r="H12" s="2">
        <v>0.625</v>
      </c>
      <c r="I12" s="2">
        <v>2.5</v>
      </c>
      <c r="J12" s="2">
        <v>1.2</v>
      </c>
      <c r="K12" s="31">
        <f>2/3</f>
        <v>0.66666666666666663</v>
      </c>
      <c r="L12" s="2">
        <v>1</v>
      </c>
    </row>
    <row r="13" spans="1:12">
      <c r="A13" s="2" t="s">
        <v>1299</v>
      </c>
      <c r="B13" s="2">
        <v>0.03</v>
      </c>
      <c r="C13" s="2">
        <v>0.15</v>
      </c>
      <c r="D13" s="2">
        <v>0.46500000000000002</v>
      </c>
      <c r="E13" s="2">
        <v>1.837</v>
      </c>
      <c r="F13" s="2">
        <v>1</v>
      </c>
      <c r="G13" s="2">
        <v>12.5</v>
      </c>
      <c r="H13" s="2">
        <v>0.625</v>
      </c>
      <c r="I13" s="2">
        <v>2.5</v>
      </c>
      <c r="J13" s="2">
        <v>1.5</v>
      </c>
      <c r="K13" s="31">
        <f>2/3</f>
        <v>0.66666666666666663</v>
      </c>
      <c r="L13" s="2">
        <v>1</v>
      </c>
    </row>
    <row r="14" spans="1:12">
      <c r="A14" s="2" t="s">
        <v>1300</v>
      </c>
      <c r="B14" s="2">
        <v>0.03</v>
      </c>
      <c r="C14" s="2">
        <v>0.2</v>
      </c>
      <c r="D14" s="2">
        <v>0.61099999999999999</v>
      </c>
      <c r="E14" s="2">
        <v>2.415</v>
      </c>
      <c r="F14" s="2">
        <v>1</v>
      </c>
      <c r="G14" s="2">
        <v>8.8239999999999998</v>
      </c>
      <c r="H14" s="2">
        <v>0.73519999999999996</v>
      </c>
      <c r="I14" s="2">
        <v>2.5</v>
      </c>
      <c r="J14" s="2">
        <v>1.8</v>
      </c>
      <c r="K14" s="31">
        <f>2/3</f>
        <v>0.66666666666666663</v>
      </c>
      <c r="L14" s="2">
        <v>1</v>
      </c>
    </row>
    <row r="15" spans="1:12">
      <c r="A15" s="2" t="s">
        <v>1297</v>
      </c>
      <c r="B15" s="2">
        <v>0.03</v>
      </c>
      <c r="C15" s="2">
        <v>0.2</v>
      </c>
      <c r="D15" s="2">
        <v>1.65</v>
      </c>
      <c r="E15" s="2">
        <v>3.3</v>
      </c>
      <c r="F15" s="2">
        <v>1</v>
      </c>
      <c r="G15" s="2">
        <v>5.8819999999999997</v>
      </c>
      <c r="H15" s="2">
        <v>0.82399999999999995</v>
      </c>
      <c r="I15" s="2">
        <v>2</v>
      </c>
      <c r="J15" s="2">
        <v>3.3</v>
      </c>
      <c r="K15" s="2">
        <v>1</v>
      </c>
      <c r="L15" s="2">
        <v>1</v>
      </c>
    </row>
    <row r="18" spans="1:3">
      <c r="A18" s="110" t="s">
        <v>1422</v>
      </c>
    </row>
    <row r="19" spans="1:3">
      <c r="A19" s="110" t="s">
        <v>1423</v>
      </c>
    </row>
    <row r="20" spans="1:3">
      <c r="A20" s="110" t="s">
        <v>1424</v>
      </c>
    </row>
    <row r="22" spans="1:3">
      <c r="A22" s="39" t="s">
        <v>382</v>
      </c>
      <c r="B22" s="39"/>
      <c r="C22" s="40" t="s">
        <v>378</v>
      </c>
    </row>
    <row r="23" spans="1:3">
      <c r="A23" s="42" t="s">
        <v>376</v>
      </c>
      <c r="B23" s="35" t="s">
        <v>373</v>
      </c>
      <c r="C23" s="42" t="s">
        <v>379</v>
      </c>
    </row>
    <row r="24" spans="1:3">
      <c r="A24" s="42" t="s">
        <v>369</v>
      </c>
      <c r="B24" s="35" t="s">
        <v>374</v>
      </c>
      <c r="C24" s="42" t="s">
        <v>380</v>
      </c>
    </row>
    <row r="25" spans="1:3">
      <c r="A25" s="42" t="s">
        <v>370</v>
      </c>
      <c r="B25" s="35" t="s">
        <v>375</v>
      </c>
      <c r="C25" s="42" t="s">
        <v>381</v>
      </c>
    </row>
    <row r="27" spans="1:3">
      <c r="A27" s="150">
        <v>44835</v>
      </c>
    </row>
    <row r="28" spans="1:3">
      <c r="A28" s="36" t="s">
        <v>357</v>
      </c>
    </row>
    <row r="29" spans="1:3">
      <c r="A29" s="32" t="s">
        <v>1304</v>
      </c>
    </row>
    <row r="30" spans="1:3">
      <c r="A30" s="32" t="s">
        <v>1305</v>
      </c>
    </row>
    <row r="31" spans="1:3">
      <c r="A31" s="32" t="s">
        <v>1306</v>
      </c>
    </row>
    <row r="32" spans="1:3">
      <c r="A32" s="33" t="s">
        <v>1565</v>
      </c>
    </row>
    <row r="33" spans="1:1">
      <c r="A33" s="32" t="s">
        <v>1307</v>
      </c>
    </row>
    <row r="34" spans="1:1">
      <c r="A34" s="32" t="s">
        <v>1308</v>
      </c>
    </row>
    <row r="35" spans="1:1">
      <c r="A35" s="527" t="s">
        <v>1826</v>
      </c>
    </row>
    <row r="36" spans="1:1">
      <c r="A36" s="32" t="s">
        <v>1490</v>
      </c>
    </row>
    <row r="37" spans="1:1">
      <c r="A37" s="33" t="s">
        <v>1564</v>
      </c>
    </row>
    <row r="38" spans="1:1">
      <c r="A38" s="32" t="s">
        <v>1309</v>
      </c>
    </row>
    <row r="39" spans="1:1">
      <c r="A39" s="32" t="s">
        <v>1292</v>
      </c>
    </row>
    <row r="40" spans="1:1">
      <c r="A40" s="32" t="s">
        <v>1351</v>
      </c>
    </row>
    <row r="41" spans="1:1">
      <c r="A41" s="33" t="s">
        <v>1563</v>
      </c>
    </row>
  </sheetData>
  <phoneticPr fontId="1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具名範圍</vt:lpstr>
      </vt:variant>
      <vt:variant>
        <vt:i4>448</vt:i4>
      </vt:variant>
    </vt:vector>
  </HeadingPairs>
  <TitlesOfParts>
    <vt:vector size="456" baseType="lpstr">
      <vt:lpstr>一般工址Cs</vt:lpstr>
      <vt:lpstr>設計反應譜</vt:lpstr>
      <vt:lpstr>台北盆地Cs</vt:lpstr>
      <vt:lpstr>一般工址Kz</vt:lpstr>
      <vt:lpstr>台北盆地設計反應譜</vt:lpstr>
      <vt:lpstr>斷層距離</vt:lpstr>
      <vt:lpstr>斷層 (100年版)</vt:lpstr>
      <vt:lpstr>工址放大係數</vt:lpstr>
      <vt:lpstr>一般工址Cs!Print_Area</vt:lpstr>
      <vt:lpstr>一般工址Kz!Print_Area</vt:lpstr>
      <vt:lpstr>台北盆地Cs!Print_Area</vt:lpstr>
      <vt:lpstr>八里區</vt:lpstr>
      <vt:lpstr>三重區</vt:lpstr>
      <vt:lpstr>三義斷層</vt:lpstr>
      <vt:lpstr>土城區</vt:lpstr>
      <vt:lpstr>士林區</vt:lpstr>
      <vt:lpstr>大甲斷層全段、鐵砧山斷層、彰化斷層</vt:lpstr>
      <vt:lpstr>大同區</vt:lpstr>
      <vt:lpstr>大安區</vt:lpstr>
      <vt:lpstr>大尖山斷層、觸口斷層</vt:lpstr>
      <vt:lpstr>大茅埔一雙冬斷層</vt:lpstr>
      <vt:lpstr>中山區</vt:lpstr>
      <vt:lpstr>中正區</vt:lpstr>
      <vt:lpstr>中和區</vt:lpstr>
      <vt:lpstr>五股區</vt:lpstr>
      <vt:lpstr>內湖區</vt:lpstr>
      <vt:lpstr>六甲斷層</vt:lpstr>
      <vt:lpstr>屯子腳斷層</vt:lpstr>
      <vt:lpstr>文山區</vt:lpstr>
      <vt:lpstr>北投區</vt:lpstr>
      <vt:lpstr>台北市區里</vt:lpstr>
      <vt:lpstr>永和區</vt:lpstr>
      <vt:lpstr>一般工址Cs!地盤種類</vt:lpstr>
      <vt:lpstr>一般工址Kz!地盤種類</vt:lpstr>
      <vt:lpstr>汐止區</vt:lpstr>
      <vt:lpstr>米崙斷層、嶺頂斷層、瑞穗斷層、玉里斷層、池上斷層、鹿野斷層、利吉斷層</vt:lpstr>
      <vt:lpstr>行政區</vt:lpstr>
      <vt:lpstr>車籠埔斷層全段</vt:lpstr>
      <vt:lpstr>宜蘭縣</vt:lpstr>
      <vt:lpstr>宜蘭縣三星鄉</vt:lpstr>
      <vt:lpstr>宜蘭縣大同鄉</vt:lpstr>
      <vt:lpstr>宜蘭縣五結鄉</vt:lpstr>
      <vt:lpstr>宜蘭縣冬山鄉</vt:lpstr>
      <vt:lpstr>宜蘭縣壯圍鄉</vt:lpstr>
      <vt:lpstr>宜蘭縣宜蘭市</vt:lpstr>
      <vt:lpstr>宜蘭縣南澳鄉</vt:lpstr>
      <vt:lpstr>宜蘭縣員山鄉</vt:lpstr>
      <vt:lpstr>宜蘭縣頭城鎮</vt:lpstr>
      <vt:lpstr>宜蘭縣礁溪鎮</vt:lpstr>
      <vt:lpstr>宜蘭縣羅東鎮</vt:lpstr>
      <vt:lpstr>宜蘭縣蘇澳鎮</vt:lpstr>
      <vt:lpstr>松山區</vt:lpstr>
      <vt:lpstr>板橋區</vt:lpstr>
      <vt:lpstr>花蓮縣</vt:lpstr>
      <vt:lpstr>花蓮縣玉里鎮</vt:lpstr>
      <vt:lpstr>花蓮縣光復鄉</vt:lpstr>
      <vt:lpstr>花蓮縣吉安鄉</vt:lpstr>
      <vt:lpstr>花蓮縣秀林鄉</vt:lpstr>
      <vt:lpstr>花蓮縣卓溪鄉</vt:lpstr>
      <vt:lpstr>花蓮縣花蓮市</vt:lpstr>
      <vt:lpstr>花蓮縣富里鄉</vt:lpstr>
      <vt:lpstr>花蓮縣新城鄉</vt:lpstr>
      <vt:lpstr>花蓮縣瑞穗鄉</vt:lpstr>
      <vt:lpstr>花蓮縣萬榮鄉</vt:lpstr>
      <vt:lpstr>花蓮縣壽豐鄉</vt:lpstr>
      <vt:lpstr>花蓮縣鳳山鎮</vt:lpstr>
      <vt:lpstr>花蓮縣豐濱鄉</vt:lpstr>
      <vt:lpstr>金門縣</vt:lpstr>
      <vt:lpstr>金門縣金沙鎮</vt:lpstr>
      <vt:lpstr>金門縣金城鎮</vt:lpstr>
      <vt:lpstr>金門縣金湖鎮</vt:lpstr>
      <vt:lpstr>金門縣金寧鄉</vt:lpstr>
      <vt:lpstr>金門縣烈嶼鄉</vt:lpstr>
      <vt:lpstr>金門縣烏坵鄉</vt:lpstr>
      <vt:lpstr>信義區</vt:lpstr>
      <vt:lpstr>南投縣</vt:lpstr>
      <vt:lpstr>南投縣中寮鄉</vt:lpstr>
      <vt:lpstr>南投縣仁愛鄉</vt:lpstr>
      <vt:lpstr>南投縣水里鄉</vt:lpstr>
      <vt:lpstr>南投縣名間鄉</vt:lpstr>
      <vt:lpstr>南投縣竹山鎮</vt:lpstr>
      <vt:lpstr>南投縣信義鄉</vt:lpstr>
      <vt:lpstr>南投縣南投市</vt:lpstr>
      <vt:lpstr>南投縣埔里鎮</vt:lpstr>
      <vt:lpstr>南投縣草屯鎮</vt:lpstr>
      <vt:lpstr>南投縣國姓鄉</vt:lpstr>
      <vt:lpstr>南投縣魚池鄉</vt:lpstr>
      <vt:lpstr>南投縣鹿谷鄉</vt:lpstr>
      <vt:lpstr>南投縣集集鎮</vt:lpstr>
      <vt:lpstr>南海諸島</vt:lpstr>
      <vt:lpstr>南港區</vt:lpstr>
      <vt:lpstr>屏東縣</vt:lpstr>
      <vt:lpstr>屏東縣九如鄉</vt:lpstr>
      <vt:lpstr>屏東縣三地門鄉</vt:lpstr>
      <vt:lpstr>屏東縣內埔鄉</vt:lpstr>
      <vt:lpstr>屏東縣竹田鄉</vt:lpstr>
      <vt:lpstr>屏東縣牡丹鄉</vt:lpstr>
      <vt:lpstr>屏東縣車城鄉</vt:lpstr>
      <vt:lpstr>屏東縣里港鄉</vt:lpstr>
      <vt:lpstr>屏東縣佳冬鄉</vt:lpstr>
      <vt:lpstr>屏東縣來義鄉</vt:lpstr>
      <vt:lpstr>屏東縣東港鎮</vt:lpstr>
      <vt:lpstr>屏東縣枋山鄉</vt:lpstr>
      <vt:lpstr>屏東縣枋寮鄉</vt:lpstr>
      <vt:lpstr>屏東縣林邊鄉</vt:lpstr>
      <vt:lpstr>屏東縣長治鄉</vt:lpstr>
      <vt:lpstr>屏東縣南州鄉</vt:lpstr>
      <vt:lpstr>屏東縣屏東市</vt:lpstr>
      <vt:lpstr>屏東縣恆春鎮</vt:lpstr>
      <vt:lpstr>屏東縣春日鄉</vt:lpstr>
      <vt:lpstr>屏東縣崁頂鄉</vt:lpstr>
      <vt:lpstr>屏東縣泰武鄉</vt:lpstr>
      <vt:lpstr>屏東縣琉球鄉</vt:lpstr>
      <vt:lpstr>屏東縣高樹鄉</vt:lpstr>
      <vt:lpstr>屏東縣新埤鄉</vt:lpstr>
      <vt:lpstr>屏東縣新園鄉</vt:lpstr>
      <vt:lpstr>屏東縣獅子鄉</vt:lpstr>
      <vt:lpstr>屏東縣萬丹鄉</vt:lpstr>
      <vt:lpstr>屏東縣萬巒鄉</vt:lpstr>
      <vt:lpstr>屏東縣滿洲鄉</vt:lpstr>
      <vt:lpstr>屏東縣瑪家鄉</vt:lpstr>
      <vt:lpstr>屏東縣潮州鎮</vt:lpstr>
      <vt:lpstr>屏東縣霧台鄉</vt:lpstr>
      <vt:lpstr>屏東縣麟洛鄉</vt:lpstr>
      <vt:lpstr>屏東縣鹽埔鄉</vt:lpstr>
      <vt:lpstr>建技71</vt:lpstr>
      <vt:lpstr>建技78</vt:lpstr>
      <vt:lpstr>建技86</vt:lpstr>
      <vt:lpstr>建技89</vt:lpstr>
      <vt:lpstr>苗栗縣</vt:lpstr>
      <vt:lpstr>苗栗縣三義鄉</vt:lpstr>
      <vt:lpstr>苗栗縣三灣鄉</vt:lpstr>
      <vt:lpstr>苗栗縣大湖鄉</vt:lpstr>
      <vt:lpstr>苗栗縣公館鄉</vt:lpstr>
      <vt:lpstr>苗栗縣竹南鎮</vt:lpstr>
      <vt:lpstr>苗栗縣西湖鄉</vt:lpstr>
      <vt:lpstr>苗栗縣卓蘭鎮</vt:lpstr>
      <vt:lpstr>苗栗縣南庄鄉</vt:lpstr>
      <vt:lpstr>苗栗縣後龍鎮</vt:lpstr>
      <vt:lpstr>苗栗縣苑裡鎮</vt:lpstr>
      <vt:lpstr>苗栗縣苗栗市</vt:lpstr>
      <vt:lpstr>苗栗縣泰安鄉</vt:lpstr>
      <vt:lpstr>苗栗縣通霄鎮</vt:lpstr>
      <vt:lpstr>苗栗縣造橋鄉</vt:lpstr>
      <vt:lpstr>苗栗縣獅潭鄉</vt:lpstr>
      <vt:lpstr>苗栗縣銅鑼鄉</vt:lpstr>
      <vt:lpstr>苗栗縣頭份鎮</vt:lpstr>
      <vt:lpstr>苗栗縣頭屋鄉</vt:lpstr>
      <vt:lpstr>桃園市</vt:lpstr>
      <vt:lpstr>桃園市八德區</vt:lpstr>
      <vt:lpstr>桃園市大園區</vt:lpstr>
      <vt:lpstr>桃園市大溪區</vt:lpstr>
      <vt:lpstr>桃園市中壢區</vt:lpstr>
      <vt:lpstr>桃園市平鎮區</vt:lpstr>
      <vt:lpstr>桃園市桃園區</vt:lpstr>
      <vt:lpstr>桃園市復興區</vt:lpstr>
      <vt:lpstr>桃園市新屋區</vt:lpstr>
      <vt:lpstr>桃園市楊梅區</vt:lpstr>
      <vt:lpstr>桃園市龍潭區</vt:lpstr>
      <vt:lpstr>桃園市龜山區</vt:lpstr>
      <vt:lpstr>桃園市蘆竹區</vt:lpstr>
      <vt:lpstr>桃園市觀音區</vt:lpstr>
      <vt:lpstr>泰山區</vt:lpstr>
      <vt:lpstr>高雄市</vt:lpstr>
      <vt:lpstr>高雄市三民區</vt:lpstr>
      <vt:lpstr>高雄市大社區</vt:lpstr>
      <vt:lpstr>高雄市大寮區</vt:lpstr>
      <vt:lpstr>高雄市大樹區</vt:lpstr>
      <vt:lpstr>高雄市小港區</vt:lpstr>
      <vt:lpstr>高雄市仁武區</vt:lpstr>
      <vt:lpstr>高雄市內門區</vt:lpstr>
      <vt:lpstr>高雄市六龜區</vt:lpstr>
      <vt:lpstr>高雄市左營區</vt:lpstr>
      <vt:lpstr>高雄市永安區</vt:lpstr>
      <vt:lpstr>高雄市田寮區</vt:lpstr>
      <vt:lpstr>高雄市甲仙區</vt:lpstr>
      <vt:lpstr>高雄市杉林區</vt:lpstr>
      <vt:lpstr>高雄市那瑪夏區</vt:lpstr>
      <vt:lpstr>高雄市岡山區</vt:lpstr>
      <vt:lpstr>高雄市林園區</vt:lpstr>
      <vt:lpstr>高雄市阿蓮區</vt:lpstr>
      <vt:lpstr>高雄市前金區</vt:lpstr>
      <vt:lpstr>高雄市前鎮區</vt:lpstr>
      <vt:lpstr>高雄市美濃區</vt:lpstr>
      <vt:lpstr>高雄市苓雅區</vt:lpstr>
      <vt:lpstr>高雄市茂林區</vt:lpstr>
      <vt:lpstr>高雄市茄萣區</vt:lpstr>
      <vt:lpstr>高雄市桃源區</vt:lpstr>
      <vt:lpstr>高雄市梓官區</vt:lpstr>
      <vt:lpstr>高雄市鳥松區</vt:lpstr>
      <vt:lpstr>高雄市湖內區</vt:lpstr>
      <vt:lpstr>高雄市新興區</vt:lpstr>
      <vt:lpstr>高雄市楠梓區</vt:lpstr>
      <vt:lpstr>高雄市路竹區</vt:lpstr>
      <vt:lpstr>高雄市鼓山區</vt:lpstr>
      <vt:lpstr>高雄市旗山區</vt:lpstr>
      <vt:lpstr>高雄市旗津區</vt:lpstr>
      <vt:lpstr>高雄市鳳山區</vt:lpstr>
      <vt:lpstr>高雄市橋頭區</vt:lpstr>
      <vt:lpstr>高雄市燕巢區</vt:lpstr>
      <vt:lpstr>高雄市彌陀區</vt:lpstr>
      <vt:lpstr>高雄市鹽埕區</vt:lpstr>
      <vt:lpstr>基隆市</vt:lpstr>
      <vt:lpstr>基隆市七堵區</vt:lpstr>
      <vt:lpstr>基隆市中山區</vt:lpstr>
      <vt:lpstr>基隆市中正區</vt:lpstr>
      <vt:lpstr>基隆市仁愛區</vt:lpstr>
      <vt:lpstr>基隆市安樂區</vt:lpstr>
      <vt:lpstr>基隆市信義區</vt:lpstr>
      <vt:lpstr>基隆市暖暖區</vt:lpstr>
      <vt:lpstr>梅山斷層</vt:lpstr>
      <vt:lpstr>淡水區</vt:lpstr>
      <vt:lpstr>連江縣</vt:lpstr>
      <vt:lpstr>連江縣北竿鄉</vt:lpstr>
      <vt:lpstr>連江縣東引鄉</vt:lpstr>
      <vt:lpstr>連江縣南竿鄉</vt:lpstr>
      <vt:lpstr>連江縣莒光鄉</vt:lpstr>
      <vt:lpstr>雲林縣</vt:lpstr>
      <vt:lpstr>雲林縣二崙鄉</vt:lpstr>
      <vt:lpstr>雲林縣口湖鄉</vt:lpstr>
      <vt:lpstr>雲林縣土庫鎮</vt:lpstr>
      <vt:lpstr>雲林縣大埤鄉</vt:lpstr>
      <vt:lpstr>雲林縣元長鄉</vt:lpstr>
      <vt:lpstr>雲林縣斗六市</vt:lpstr>
      <vt:lpstr>雲林縣斗南鎮</vt:lpstr>
      <vt:lpstr>雲林縣水林鄉</vt:lpstr>
      <vt:lpstr>雲林縣北港鎮</vt:lpstr>
      <vt:lpstr>雲林縣古坑鄉</vt:lpstr>
      <vt:lpstr>雲林縣四湖鄉</vt:lpstr>
      <vt:lpstr>雲林縣西螺鎮</vt:lpstr>
      <vt:lpstr>雲林縣東勢鄉</vt:lpstr>
      <vt:lpstr>雲林縣林內鄉</vt:lpstr>
      <vt:lpstr>雲林縣虎尾鎮</vt:lpstr>
      <vt:lpstr>雲林縣崙背鄉</vt:lpstr>
      <vt:lpstr>雲林縣麥寮鄉</vt:lpstr>
      <vt:lpstr>雲林縣莿桐鄉</vt:lpstr>
      <vt:lpstr>雲林縣臺西鄉</vt:lpstr>
      <vt:lpstr>雲林縣褒忠鄉</vt:lpstr>
      <vt:lpstr>新化斷層</vt:lpstr>
      <vt:lpstr>新北市</vt:lpstr>
      <vt:lpstr>新北市八里區</vt:lpstr>
      <vt:lpstr>新北市三芝區</vt:lpstr>
      <vt:lpstr>新北市三峽區</vt:lpstr>
      <vt:lpstr>新北市土城區</vt:lpstr>
      <vt:lpstr>新北市中和區</vt:lpstr>
      <vt:lpstr>新北市五股區</vt:lpstr>
      <vt:lpstr>新北市平溪區</vt:lpstr>
      <vt:lpstr>新北市石門區</vt:lpstr>
      <vt:lpstr>新北市石碇區</vt:lpstr>
      <vt:lpstr>新北市汐止區</vt:lpstr>
      <vt:lpstr>新北市坪林區</vt:lpstr>
      <vt:lpstr>新北市林口區</vt:lpstr>
      <vt:lpstr>新北市金山區</vt:lpstr>
      <vt:lpstr>新北市泰山區</vt:lpstr>
      <vt:lpstr>新北市烏來區</vt:lpstr>
      <vt:lpstr>新北市貢寮區</vt:lpstr>
      <vt:lpstr>新北市淡水區</vt:lpstr>
      <vt:lpstr>新北市深坑區</vt:lpstr>
      <vt:lpstr>新北市微分區</vt:lpstr>
      <vt:lpstr>新北市新店區</vt:lpstr>
      <vt:lpstr>新北市瑞芳區</vt:lpstr>
      <vt:lpstr>新北市萬里區</vt:lpstr>
      <vt:lpstr>新北市樹林區</vt:lpstr>
      <vt:lpstr>新北市雙溪區</vt:lpstr>
      <vt:lpstr>新北市鶯歌區</vt:lpstr>
      <vt:lpstr>新竹市</vt:lpstr>
      <vt:lpstr>新竹市北區</vt:lpstr>
      <vt:lpstr>新竹市東區</vt:lpstr>
      <vt:lpstr>新竹市香山區</vt:lpstr>
      <vt:lpstr>新竹縣</vt:lpstr>
      <vt:lpstr>新竹縣五峰鄉</vt:lpstr>
      <vt:lpstr>新竹縣北埔鄉</vt:lpstr>
      <vt:lpstr>新竹縣尖石鄉</vt:lpstr>
      <vt:lpstr>新竹縣竹北市</vt:lpstr>
      <vt:lpstr>新竹縣竹東鎮</vt:lpstr>
      <vt:lpstr>新竹縣芎林鄉</vt:lpstr>
      <vt:lpstr>新竹縣峨嵋鄉</vt:lpstr>
      <vt:lpstr>新竹縣湖口鄉</vt:lpstr>
      <vt:lpstr>新竹縣新埔鎮</vt:lpstr>
      <vt:lpstr>新竹縣新豐鄉</vt:lpstr>
      <vt:lpstr>新竹縣橫山鄉</vt:lpstr>
      <vt:lpstr>新竹縣關西鎮</vt:lpstr>
      <vt:lpstr>新竹縣寶山鄉</vt:lpstr>
      <vt:lpstr>新店區</vt:lpstr>
      <vt:lpstr>新城斷層</vt:lpstr>
      <vt:lpstr>新莊區</vt:lpstr>
      <vt:lpstr>獅潭斷層</vt:lpstr>
      <vt:lpstr>萬華區</vt:lpstr>
      <vt:lpstr>嘉義市</vt:lpstr>
      <vt:lpstr>嘉義市西區</vt:lpstr>
      <vt:lpstr>嘉義市東區</vt:lpstr>
      <vt:lpstr>嘉義縣</vt:lpstr>
      <vt:lpstr>嘉義縣大林鎮</vt:lpstr>
      <vt:lpstr>嘉義縣大埔鄉</vt:lpstr>
      <vt:lpstr>嘉義縣中埔鄉</vt:lpstr>
      <vt:lpstr>嘉義縣六腳鄉</vt:lpstr>
      <vt:lpstr>嘉義縣太保市</vt:lpstr>
      <vt:lpstr>嘉義縣水上鄉</vt:lpstr>
      <vt:lpstr>嘉義縣布袋鎮</vt:lpstr>
      <vt:lpstr>嘉義縣民雄鄉</vt:lpstr>
      <vt:lpstr>嘉義縣朴子市</vt:lpstr>
      <vt:lpstr>嘉義縣竹崎鄉</vt:lpstr>
      <vt:lpstr>嘉義縣東石鄉</vt:lpstr>
      <vt:lpstr>嘉義縣阿里山鄉</vt:lpstr>
      <vt:lpstr>嘉義縣梅山鄉</vt:lpstr>
      <vt:lpstr>嘉義縣鹿草鄉</vt:lpstr>
      <vt:lpstr>嘉義縣番路鄉</vt:lpstr>
      <vt:lpstr>嘉義縣新港鄉</vt:lpstr>
      <vt:lpstr>嘉義縣溪口鄉</vt:lpstr>
      <vt:lpstr>嘉義縣義竹鄉</vt:lpstr>
      <vt:lpstr>彰化縣</vt:lpstr>
      <vt:lpstr>彰化縣二水鄉</vt:lpstr>
      <vt:lpstr>彰化縣二林鎮</vt:lpstr>
      <vt:lpstr>彰化縣大村鄉</vt:lpstr>
      <vt:lpstr>彰化縣大城鄉</vt:lpstr>
      <vt:lpstr>彰化縣北斗鎮</vt:lpstr>
      <vt:lpstr>彰化縣永靖鄉</vt:lpstr>
      <vt:lpstr>彰化縣田中鎮</vt:lpstr>
      <vt:lpstr>彰化縣田尾鄉</vt:lpstr>
      <vt:lpstr>彰化縣竹塘鄉</vt:lpstr>
      <vt:lpstr>彰化縣伸港鄉</vt:lpstr>
      <vt:lpstr>彰化縣秀水鄉</vt:lpstr>
      <vt:lpstr>彰化縣和美鎮</vt:lpstr>
      <vt:lpstr>彰化縣社頭鄉</vt:lpstr>
      <vt:lpstr>彰化縣芬園鄉</vt:lpstr>
      <vt:lpstr>彰化縣花壇鄉</vt:lpstr>
      <vt:lpstr>彰化縣芳苑鄉</vt:lpstr>
      <vt:lpstr>彰化縣員林市</vt:lpstr>
      <vt:lpstr>彰化縣埔心鄉</vt:lpstr>
      <vt:lpstr>彰化縣埔鹽鄉</vt:lpstr>
      <vt:lpstr>彰化縣埤頭鄉</vt:lpstr>
      <vt:lpstr>彰化縣鹿港鎮</vt:lpstr>
      <vt:lpstr>彰化縣溪州鄉</vt:lpstr>
      <vt:lpstr>彰化縣溪湖鎮</vt:lpstr>
      <vt:lpstr>彰化縣彰化市</vt:lpstr>
      <vt:lpstr>彰化縣福興鄉</vt:lpstr>
      <vt:lpstr>彰化縣線西鄉</vt:lpstr>
      <vt:lpstr>旗山斷層</vt:lpstr>
      <vt:lpstr>構造</vt:lpstr>
      <vt:lpstr>臺中市</vt:lpstr>
      <vt:lpstr>臺中市大甲區</vt:lpstr>
      <vt:lpstr>臺中市大安區</vt:lpstr>
      <vt:lpstr>臺中市大肚區</vt:lpstr>
      <vt:lpstr>臺中市大里區</vt:lpstr>
      <vt:lpstr>臺中市大雅區</vt:lpstr>
      <vt:lpstr>臺中市中區</vt:lpstr>
      <vt:lpstr>臺中市太平區</vt:lpstr>
      <vt:lpstr>臺中市北屯區</vt:lpstr>
      <vt:lpstr>臺中市北區</vt:lpstr>
      <vt:lpstr>臺中市外埔區</vt:lpstr>
      <vt:lpstr>臺中市石岡區</vt:lpstr>
      <vt:lpstr>臺中市后里區</vt:lpstr>
      <vt:lpstr>臺中市西屯區</vt:lpstr>
      <vt:lpstr>臺中市西區</vt:lpstr>
      <vt:lpstr>臺中市沙鹿區</vt:lpstr>
      <vt:lpstr>臺中市和平區</vt:lpstr>
      <vt:lpstr>臺中市東區</vt:lpstr>
      <vt:lpstr>臺中市東勢區</vt:lpstr>
      <vt:lpstr>臺中市南屯區</vt:lpstr>
      <vt:lpstr>臺中市南區</vt:lpstr>
      <vt:lpstr>臺中市烏日區</vt:lpstr>
      <vt:lpstr>臺中市神岡區</vt:lpstr>
      <vt:lpstr>臺中市梧棲區</vt:lpstr>
      <vt:lpstr>臺中市清水區</vt:lpstr>
      <vt:lpstr>臺中市新社區</vt:lpstr>
      <vt:lpstr>臺中市潭子區</vt:lpstr>
      <vt:lpstr>臺中市龍井區</vt:lpstr>
      <vt:lpstr>臺中市豐原區</vt:lpstr>
      <vt:lpstr>臺中市霧峰區</vt:lpstr>
      <vt:lpstr>臺北市</vt:lpstr>
      <vt:lpstr>臺北市士林區</vt:lpstr>
      <vt:lpstr>臺北市內湖區</vt:lpstr>
      <vt:lpstr>臺北市文山區</vt:lpstr>
      <vt:lpstr>臺北市北投區</vt:lpstr>
      <vt:lpstr>臺北市南港區</vt:lpstr>
      <vt:lpstr>臺北盆地</vt:lpstr>
      <vt:lpstr>臺東縣</vt:lpstr>
      <vt:lpstr>臺東縣大武鄉</vt:lpstr>
      <vt:lpstr>臺東縣太麻里鄉</vt:lpstr>
      <vt:lpstr>臺東縣成功鎮</vt:lpstr>
      <vt:lpstr>臺東縣池上鄉</vt:lpstr>
      <vt:lpstr>臺東縣卑南鄉</vt:lpstr>
      <vt:lpstr>臺東縣延平鄉</vt:lpstr>
      <vt:lpstr>臺東縣東河鄉</vt:lpstr>
      <vt:lpstr>臺東縣金峰鄉</vt:lpstr>
      <vt:lpstr>臺東縣長濱鄉</vt:lpstr>
      <vt:lpstr>臺東縣海端鄉</vt:lpstr>
      <vt:lpstr>臺東縣鹿野鄉</vt:lpstr>
      <vt:lpstr>臺東縣達仁鄉</vt:lpstr>
      <vt:lpstr>臺東縣綠島鄉</vt:lpstr>
      <vt:lpstr>臺東縣臺東市</vt:lpstr>
      <vt:lpstr>臺東縣關山鎮</vt:lpstr>
      <vt:lpstr>臺東縣蘭嶼鄉</vt:lpstr>
      <vt:lpstr>臺南市</vt:lpstr>
      <vt:lpstr>臺南市七股區</vt:lpstr>
      <vt:lpstr>臺南市下營區</vt:lpstr>
      <vt:lpstr>臺南市大內區</vt:lpstr>
      <vt:lpstr>臺南市山上區</vt:lpstr>
      <vt:lpstr>臺南市中西區</vt:lpstr>
      <vt:lpstr>臺南市仁德區</vt:lpstr>
      <vt:lpstr>臺南市六甲區</vt:lpstr>
      <vt:lpstr>臺南市北門區</vt:lpstr>
      <vt:lpstr>臺南市北區</vt:lpstr>
      <vt:lpstr>臺南市左鎮區</vt:lpstr>
      <vt:lpstr>臺南市永康區</vt:lpstr>
      <vt:lpstr>臺南市玉井區</vt:lpstr>
      <vt:lpstr>臺南市白河區</vt:lpstr>
      <vt:lpstr>臺南市安平區</vt:lpstr>
      <vt:lpstr>臺南市安定區</vt:lpstr>
      <vt:lpstr>臺南市安南區</vt:lpstr>
      <vt:lpstr>臺南市西港區</vt:lpstr>
      <vt:lpstr>臺南市佳里區</vt:lpstr>
      <vt:lpstr>臺南市官田區</vt:lpstr>
      <vt:lpstr>臺南市東山區</vt:lpstr>
      <vt:lpstr>臺南市東區</vt:lpstr>
      <vt:lpstr>臺南市南化區</vt:lpstr>
      <vt:lpstr>臺南市南區</vt:lpstr>
      <vt:lpstr>臺南市後壁區</vt:lpstr>
      <vt:lpstr>臺南市柳營區</vt:lpstr>
      <vt:lpstr>臺南市將軍區</vt:lpstr>
      <vt:lpstr>臺南市麻豆區</vt:lpstr>
      <vt:lpstr>臺南市善化區</vt:lpstr>
      <vt:lpstr>臺南市新化區</vt:lpstr>
      <vt:lpstr>臺南市新市區</vt:lpstr>
      <vt:lpstr>臺南市新營區</vt:lpstr>
      <vt:lpstr>臺南市楠西區</vt:lpstr>
      <vt:lpstr>臺南市學甲區</vt:lpstr>
      <vt:lpstr>臺南市龍崎區</vt:lpstr>
      <vt:lpstr>臺南市歸仁區</vt:lpstr>
      <vt:lpstr>臺南市關廟區</vt:lpstr>
      <vt:lpstr>臺南市鹽水區</vt:lpstr>
      <vt:lpstr>澎湖縣</vt:lpstr>
      <vt:lpstr>澎湖縣七美鄉</vt:lpstr>
      <vt:lpstr>澎湖縣白沙鄉</vt:lpstr>
      <vt:lpstr>澎湖縣西嶼鄉</vt:lpstr>
      <vt:lpstr>澎湖縣馬公市</vt:lpstr>
      <vt:lpstr>澎湖縣望安鄉</vt:lpstr>
      <vt:lpstr>澎湖縣湖西鄉</vt:lpstr>
      <vt:lpstr>樹林區</vt:lpstr>
      <vt:lpstr>縣市</vt:lpstr>
      <vt:lpstr>斷層0</vt:lpstr>
      <vt:lpstr>斷層1</vt:lpstr>
      <vt:lpstr>斷層10</vt:lpstr>
      <vt:lpstr>斷層11</vt:lpstr>
      <vt:lpstr>一般工址Cs!斷層111</vt:lpstr>
      <vt:lpstr>斷層12</vt:lpstr>
      <vt:lpstr>斷層13</vt:lpstr>
      <vt:lpstr>斷層2</vt:lpstr>
      <vt:lpstr>斷層3</vt:lpstr>
      <vt:lpstr>斷層4</vt:lpstr>
      <vt:lpstr>斷層5</vt:lpstr>
      <vt:lpstr>斷層6</vt:lpstr>
      <vt:lpstr>斷層7</vt:lpstr>
      <vt:lpstr>斷層8</vt:lpstr>
      <vt:lpstr>斷層9</vt:lpstr>
      <vt:lpstr>蘆洲區</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Justin Shih</dc:creator>
  <cp:lastModifiedBy>忠賢 施</cp:lastModifiedBy>
  <cp:lastPrinted>2024-01-10T04:00:35Z</cp:lastPrinted>
  <dcterms:created xsi:type="dcterms:W3CDTF">2011-06-27T07:12:15Z</dcterms:created>
  <dcterms:modified xsi:type="dcterms:W3CDTF">2025-05-04T08:28:01Z</dcterms:modified>
</cp:coreProperties>
</file>