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d.docs.live.net/36c7499685233e8a/Desktop/"/>
    </mc:Choice>
  </mc:AlternateContent>
  <xr:revisionPtr revIDLastSave="0" documentId="8_{00EACF92-D107-42CA-9CD8-6D14645CC082}" xr6:coauthVersionLast="47" xr6:coauthVersionMax="47" xr10:uidLastSave="{00000000-0000-0000-0000-000000000000}"/>
  <bookViews>
    <workbookView xWindow="1335" yWindow="1155" windowWidth="22425" windowHeight="13710" xr2:uid="{00000000-000D-0000-FFFF-FFFF00000000}"/>
  </bookViews>
  <sheets>
    <sheet name="一般工址Cs" sheetId="31" r:id="rId1"/>
    <sheet name="一般工址Cs (II)" sheetId="36" r:id="rId2"/>
    <sheet name="包絡線Cs (II)" sheetId="37" r:id="rId3"/>
    <sheet name="台北盆地Cs" sheetId="12" r:id="rId4"/>
    <sheet name="台北盆地設計反應譜" sheetId="14" r:id="rId5"/>
    <sheet name="設計反應譜" sheetId="9" r:id="rId6"/>
    <sheet name="工址放大係數" sheetId="8" r:id="rId7"/>
    <sheet name="斷層" sheetId="23" r:id="rId8"/>
    <sheet name="斷層 (100年版)" sheetId="28" r:id="rId9"/>
  </sheets>
  <definedNames>
    <definedName name="_xlnm._FilterDatabase" localSheetId="3" hidden="1">台北盆地Cs!$B$2:$D$6</definedName>
    <definedName name="_xlnm.Print_Area" localSheetId="0">一般工址Cs!$A$2:$F$37</definedName>
    <definedName name="_xlnm.Print_Area" localSheetId="1">'一般工址Cs (II)'!$A$2:$F$37</definedName>
    <definedName name="_xlnm.Print_Area" localSheetId="2">'包絡線Cs (II)'!$A$2:$F$37</definedName>
    <definedName name="_xlnm.Print_Area" localSheetId="3">台北盆地Cs!$B$2:$H$27</definedName>
    <definedName name="八里區">台北盆地設計反應譜!$G$788:$H$796</definedName>
    <definedName name="三重區">台北盆地設計反應譜!$G$361:$H$361</definedName>
    <definedName name="三義斷層">斷層!$C$34:$AI$58</definedName>
    <definedName name="土城區">台北盆地設計反應譜!$G$389:$H$426</definedName>
    <definedName name="士林區">台北盆地設計反應譜!$G$204:$H$245</definedName>
    <definedName name="大甲斷層全段、鐵砧山斷層、彰化斷層">斷層!$C$59:$AI$115</definedName>
    <definedName name="大同區">台北盆地設計反應譜!$G$33:$H$33</definedName>
    <definedName name="大安區">台北盆地設計反應譜!$G$109:$H$161</definedName>
    <definedName name="大尖山斷層、觸口斷層">斷層!$C$235:$AI$250</definedName>
    <definedName name="大茅埔−雙冬斷層">斷層!$C$192:$AI$221</definedName>
    <definedName name="中山區">台北盆地設計反應譜!$G$34:$H$75</definedName>
    <definedName name="中正區">台北盆地設計反應譜!$G$2:$H$32</definedName>
    <definedName name="中和區">台北盆地設計反應譜!$G$653:$H$743</definedName>
    <definedName name="五股區">台北盆地設計反應譜!$G$363:$H$374</definedName>
    <definedName name="內湖區">台北盆地設計反應譜!$G$279:$H$309</definedName>
    <definedName name="六甲斷層">斷層!$C$251:$AI$255</definedName>
    <definedName name="屯子腳斷層">斷層!$C$116:$AI$138</definedName>
    <definedName name="文山區">台北盆地設計反應譜!$G$327:$H$360</definedName>
    <definedName name="北投區">台北盆地設計反應譜!$G$246:$H$278</definedName>
    <definedName name="台北市區里">台北盆地設計反應譜!$F$2:$H$360</definedName>
    <definedName name="永和區">台北盆地設計反應譜!$G$388:$H$388</definedName>
    <definedName name="地盤種類" localSheetId="0">工址放大係數!$B$23:$B$25</definedName>
    <definedName name="地盤種類" localSheetId="1">工址放大係數!$B$23:$B$25</definedName>
    <definedName name="地盤種類" localSheetId="2">工址放大係數!$B$23:$B$25</definedName>
    <definedName name="汐止區">台北盆地設計反應譜!$G$797:$H$819</definedName>
    <definedName name="米崙斷層、嶺頂斷層、瑞穗斷層、玉里斷層、池上斷層、鹿野斷層、利吉斷層">斷層!$C$281:$AI$303</definedName>
    <definedName name="行政區">台北盆地設計反應譜!$A$14:$A$14</definedName>
    <definedName name="車籠埔斷層全段">斷層!$C$139:$AI$191</definedName>
    <definedName name="宜蘭縣">設計反應譜!$C$40:$U$52</definedName>
    <definedName name="宜蘭縣三星鄉">設計反應譜!$J$49</definedName>
    <definedName name="宜蘭縣大同鄉">設計反應譜!$J$50</definedName>
    <definedName name="宜蘭縣五結鄉">設計反應譜!$J$46</definedName>
    <definedName name="宜蘭縣冬山鄉">設計反應譜!$J$47</definedName>
    <definedName name="宜蘭縣壯圍鄉">設計反應譜!$J$43</definedName>
    <definedName name="宜蘭縣宜蘭市">設計反應譜!$J$40</definedName>
    <definedName name="宜蘭縣南澳鄉">設計反應譜!$J$51</definedName>
    <definedName name="宜蘭縣員山鄉">設計反應譜!$J$44</definedName>
    <definedName name="宜蘭縣頭城鎮">設計反應譜!$J$41</definedName>
    <definedName name="宜蘭縣礁溪鎮">設計反應譜!$J$42</definedName>
    <definedName name="宜蘭縣羅東鎮">設計反應譜!$J$45</definedName>
    <definedName name="宜蘭縣蘇澳鎮">設計反應譜!$J$48</definedName>
    <definedName name="松山區">台北盆地設計反應譜!$G$76:$H$108</definedName>
    <definedName name="板橋區">台北盆地設計反應譜!$G$527:$H$652</definedName>
    <definedName name="花蓮縣">設計反應譜!$C$332:$U$344</definedName>
    <definedName name="花蓮縣玉里鎮">設計反應譜!$J$334</definedName>
    <definedName name="花蓮縣光復鄉">設計反應譜!$J$338</definedName>
    <definedName name="花蓮縣吉安鄉">設計反應譜!$J$336</definedName>
    <definedName name="花蓮縣秀林鄉">設計反應譜!$J$342</definedName>
    <definedName name="花蓮縣卓溪鄉">設計反應譜!$J$344</definedName>
    <definedName name="花蓮縣花蓮市">設計反應譜!$J$332</definedName>
    <definedName name="花蓮縣富里鄉">設計反應譜!$J$341</definedName>
    <definedName name="花蓮縣新城鄉">設計反應譜!$J$335</definedName>
    <definedName name="花蓮縣瑞穗鄉">設計反應譜!$J$340</definedName>
    <definedName name="花蓮縣萬榮鄉">設計反應譜!$J$343</definedName>
    <definedName name="花蓮縣壽豐鄉">設計反應譜!$J$337</definedName>
    <definedName name="花蓮縣鳳山鎮">設計反應譜!$J$333</definedName>
    <definedName name="花蓮縣豐濱鄉">設計反應譜!$J$339</definedName>
    <definedName name="金門縣">設計反應譜!$C$352:$U$357</definedName>
    <definedName name="金門縣金沙鎮">設計反應譜!$J$353</definedName>
    <definedName name="金門縣金城鎮">設計反應譜!$J$354</definedName>
    <definedName name="金門縣金湖鎮">設計反應譜!$J$352</definedName>
    <definedName name="金門縣金寧鄉">設計反應譜!$J$355</definedName>
    <definedName name="金門縣烈嶼鄉">設計反應譜!$J$356</definedName>
    <definedName name="金門縣烏坵鄉">設計反應譜!$J$357</definedName>
    <definedName name="信義區">台北盆地設計反應譜!$G$163:$H$203</definedName>
    <definedName name="南投縣">設計反應譜!$C$155:$U$167</definedName>
    <definedName name="南投縣中寮鄉">設計反應譜!$J$162:$L$162</definedName>
    <definedName name="南投縣仁愛鄉">設計反應譜!$J$167</definedName>
    <definedName name="南投縣水里鄉">設計反應譜!$J$165:$K$165</definedName>
    <definedName name="南投縣名間鄉">設計反應譜!$J$160:$L$160</definedName>
    <definedName name="南投縣竹山鎮">設計反應譜!$J$158:$M$158</definedName>
    <definedName name="南投縣信義鄉">設計反應譜!$J$166</definedName>
    <definedName name="南投縣南投市">設計反應譜!$J$155:$L$155</definedName>
    <definedName name="南投縣埔里鎮">設計反應譜!$J$156</definedName>
    <definedName name="南投縣草屯鎮">設計反應譜!$J$157:$L$157</definedName>
    <definedName name="南投縣國姓鄉">設計反應譜!$J$164:$K$164</definedName>
    <definedName name="南投縣魚池鄉">設計反應譜!$J$163</definedName>
    <definedName name="南投縣鹿谷鄉">設計反應譜!$J$161:$L$161</definedName>
    <definedName name="南投縣集集鎮">設計反應譜!$J$159:$K$159</definedName>
    <definedName name="南海諸島">設計反應譜!$C$362:$U$363</definedName>
    <definedName name="南港區">台北盆地設計反應譜!$G$310:$H$326</definedName>
    <definedName name="屏東縣">設計反應譜!$C$283:$U$315</definedName>
    <definedName name="屏東縣九如鄉">設計反應譜!$J$290</definedName>
    <definedName name="屏東縣三地門鄉">設計反應譜!$J$308</definedName>
    <definedName name="屏東縣內埔鄉">設計反應譜!$J$295</definedName>
    <definedName name="屏東縣竹田鄉">設計反應譜!$J$296</definedName>
    <definedName name="屏東縣牡丹鄉">設計反應譜!$J$315</definedName>
    <definedName name="屏東縣車城鄉">設計反應譜!$J$305</definedName>
    <definedName name="屏東縣里港鄉">設計反應譜!$J$291</definedName>
    <definedName name="屏東縣佳冬鄉">設計反應譜!$J$303</definedName>
    <definedName name="屏東縣來義鄉">設計反應譜!$J$312</definedName>
    <definedName name="屏東縣東港鎮">設計反應譜!$J$285</definedName>
    <definedName name="屏東縣枋山鄉">設計反應譜!$J$307</definedName>
    <definedName name="屏東縣枋寮鄉">設計反應譜!$J$298</definedName>
    <definedName name="屏東縣林邊鄉">設計反應譜!$J$301</definedName>
    <definedName name="屏東縣長治鄉">設計反應譜!$J$288</definedName>
    <definedName name="屏東縣南州鄉">設計反應譜!$J$302</definedName>
    <definedName name="屏東縣屏東市">設計反應譜!$J$283</definedName>
    <definedName name="屏東縣恆春鎮">設計反應譜!$J$286</definedName>
    <definedName name="屏東縣春日鄉">設計反應譜!$J$313</definedName>
    <definedName name="屏東縣崁頂鄉">設計反應譜!$J$300</definedName>
    <definedName name="屏東縣泰武鄉">設計反應譜!$J$311</definedName>
    <definedName name="屏東縣琉球鄉">設計反應譜!$J$304</definedName>
    <definedName name="屏東縣高樹鄉">設計反應譜!$J$293</definedName>
    <definedName name="屏東縣新埤鄉">設計反應譜!$J$297</definedName>
    <definedName name="屏東縣新園鄉">設計反應譜!$J$299</definedName>
    <definedName name="屏東縣獅子鄉">設計反應譜!$J$314</definedName>
    <definedName name="屏東縣萬丹鄉">設計反應譜!$J$287</definedName>
    <definedName name="屏東縣萬巒鄉">設計反應譜!$J$294</definedName>
    <definedName name="屏東縣滿洲鄉">設計反應譜!$J$306</definedName>
    <definedName name="屏東縣瑪家鄉">設計反應譜!$J$310</definedName>
    <definedName name="屏東縣潮州鎮">設計反應譜!$J$284</definedName>
    <definedName name="屏東縣霧台鄉">設計反應譜!$J$309</definedName>
    <definedName name="屏東縣麟洛鄉">設計反應譜!$J$289</definedName>
    <definedName name="屏東縣鹽埔鄉">設計反應譜!$J$292</definedName>
    <definedName name="苗栗縣">設計反應譜!$C$82:$U$99</definedName>
    <definedName name="苗栗縣三義鄉">設計反應譜!$J$94:$M$94</definedName>
    <definedName name="苗栗縣三灣鄉">設計反應譜!$J$97:$K$97</definedName>
    <definedName name="苗栗縣大湖鄉">設計反應譜!$J$89:$N$89</definedName>
    <definedName name="苗栗縣公館鄉">設計反應譜!$J$90:$K$90</definedName>
    <definedName name="苗栗縣竹南鎮">設計反應譜!$J$85</definedName>
    <definedName name="苗栗縣西湖鄉">設計反應譜!$J$95</definedName>
    <definedName name="苗栗縣卓蘭鎮">設計反應譜!$J$88:$M$88</definedName>
    <definedName name="苗栗縣南庄鄉">設計反應譜!$J$92</definedName>
    <definedName name="苗栗縣後龍鎮">設計反應譜!$J$87</definedName>
    <definedName name="苗栗縣苑裡鎮">設計反應譜!$J$83:$M$83</definedName>
    <definedName name="苗栗縣苗栗市">設計反應譜!$J$82</definedName>
    <definedName name="苗栗縣泰安鄉">設計反應譜!$J$99:$L$99</definedName>
    <definedName name="苗栗縣通霄鎮">設計反應譜!$J$84:$L$84</definedName>
    <definedName name="苗栗縣造橋鄉">設計反應譜!$J$96</definedName>
    <definedName name="苗栗縣獅潭鄉">設計反應譜!$J$98</definedName>
    <definedName name="苗栗縣銅鑼鄉">設計反應譜!$J$91:$M$91</definedName>
    <definedName name="苗栗縣頭份市">設計反應譜!$J$86:$K$86</definedName>
    <definedName name="苗栗縣頭屋鄉">設計反應譜!$J$93</definedName>
    <definedName name="桃園市">設計反應譜!$C$69:$U$81</definedName>
    <definedName name="桃園市八德區">設計反應譜!$J$76</definedName>
    <definedName name="桃園市大園區">設計反應譜!$J$74</definedName>
    <definedName name="桃園市大溪區">設計反應譜!$J$71</definedName>
    <definedName name="桃園市中壢區">設計反應譜!$J$70</definedName>
    <definedName name="桃園市平鎮區">設計反應譜!$J$78</definedName>
    <definedName name="桃園市桃園區">設計反應譜!$J$69</definedName>
    <definedName name="桃園市復興區">設計反應譜!$J$81</definedName>
    <definedName name="桃園市新屋區">設計反應譜!$J$79</definedName>
    <definedName name="桃園市楊梅區">設計反應譜!$J$72</definedName>
    <definedName name="桃園市龍潭區">設計反應譜!$J$77</definedName>
    <definedName name="桃園市龜山區">設計反應譜!$J$75</definedName>
    <definedName name="桃園市蘆竹區">設計反應譜!$J$73</definedName>
    <definedName name="桃園市觀音區">設計反應譜!$J$80</definedName>
    <definedName name="泰山區">台北盆地設計反應譜!$G$375:$H$387</definedName>
    <definedName name="高雄市">設計反應譜!$C$245:$U$282</definedName>
    <definedName name="高雄市三民區">設計反應譜!$J$276</definedName>
    <definedName name="高雄市大社區">設計反應譜!$J$249</definedName>
    <definedName name="高雄市大寮區">設計反應譜!$J$247</definedName>
    <definedName name="高雄市大樹區">設計反應譜!$J$248</definedName>
    <definedName name="高雄市小港區">設計反應譜!$J$282</definedName>
    <definedName name="高雄市仁武區">設計反應譜!$J$250</definedName>
    <definedName name="高雄市內門區">設計反應譜!$J$268</definedName>
    <definedName name="高雄市六龜區">設計反應譜!$J$265</definedName>
    <definedName name="高雄市左營區">設計反應譜!$J$274</definedName>
    <definedName name="高雄市永安區">設計反應譜!$J$260</definedName>
    <definedName name="高雄市田寮區">設計反應譜!$J$255</definedName>
    <definedName name="高雄市甲仙區">設計反應譜!$J$266</definedName>
    <definedName name="高雄市杉林區">設計反應譜!$J$267</definedName>
    <definedName name="高雄市那瑪夏區">設計反應譜!$J$271</definedName>
    <definedName name="高雄市岡山區">設計反應譜!$J$252</definedName>
    <definedName name="高雄市林園區">設計反應譜!$J$246</definedName>
    <definedName name="高雄市阿蓮區">設計反應譜!$J$256</definedName>
    <definedName name="高雄市前金區">設計反應譜!$J$278</definedName>
    <definedName name="高雄市前鎮區">設計反應譜!$J$280</definedName>
    <definedName name="高雄市美濃區">設計反應譜!$J$264</definedName>
    <definedName name="高雄市苓雅區">設計反應譜!$J$279</definedName>
    <definedName name="高雄市茂林區">設計反應譜!$J$269</definedName>
    <definedName name="高雄市茄萣區">設計反應譜!$J$259</definedName>
    <definedName name="高雄市桃源區">設計反應譜!$J$270</definedName>
    <definedName name="高雄市梓官區">設計反應譜!$J$262</definedName>
    <definedName name="高雄市鳥松區">設計反應譜!$J$251</definedName>
    <definedName name="高雄市湖內區">設計反應譜!$J$258</definedName>
    <definedName name="高雄市新興區">設計反應譜!$J$277</definedName>
    <definedName name="高雄市楠梓區">設計反應譜!$J$275</definedName>
    <definedName name="高雄市路竹區">設計反應譜!$J$257</definedName>
    <definedName name="高雄市鼓山區">設計反應譜!$J$273</definedName>
    <definedName name="高雄市旗山區">設計反應譜!$J$263</definedName>
    <definedName name="高雄市旗津區">設計反應譜!$J$281</definedName>
    <definedName name="高雄市鳳山區">設計反應譜!$J$245</definedName>
    <definedName name="高雄市橋頭區">設計反應譜!$J$253</definedName>
    <definedName name="高雄市燕巢區">設計反應譜!$J$254</definedName>
    <definedName name="高雄市彌陀區">設計反應譜!$J$261</definedName>
    <definedName name="高雄市鹽埕區">設計反應譜!$J$272</definedName>
    <definedName name="基隆市">設計反應譜!$C$11:$U$15</definedName>
    <definedName name="基隆市七堵區">設計反應譜!$J$9</definedName>
    <definedName name="基隆市中山區">設計反應譜!$J$12</definedName>
    <definedName name="基隆市中正區">設計反應譜!$J$8</definedName>
    <definedName name="基隆市仁愛區">設計反應譜!$J$11</definedName>
    <definedName name="基隆市安樂區">設計反應譜!$J$13</definedName>
    <definedName name="基隆市信義區">設計反應譜!$J$14</definedName>
    <definedName name="基隆市暖暖區">設計反應譜!$J$10</definedName>
    <definedName name="梅山斷層">斷層!$C$222:$AI$234</definedName>
    <definedName name="淡水區">台北盆地設計反應譜!$G$773:$H$787</definedName>
    <definedName name="連江縣">設計反應譜!$C$358:$U$361</definedName>
    <definedName name="連江縣北竿鄉">設計反應譜!$J$359</definedName>
    <definedName name="連江縣東引鄉">設計反應譜!$J$361</definedName>
    <definedName name="連江縣南竿鄉">設計反應譜!$J$358</definedName>
    <definedName name="連江縣莒光鄉">設計反應譜!$J$360</definedName>
    <definedName name="雲林縣">設計反應譜!$C$168:$U$187</definedName>
    <definedName name="雲林縣二崙鄉">設計反應譜!$J$178</definedName>
    <definedName name="雲林縣口湖鄉">設計反應譜!$J$186</definedName>
    <definedName name="雲林縣土庫鎮">設計反應譜!$J$172</definedName>
    <definedName name="雲林縣大埤鄉">設計反應譜!$J$175</definedName>
    <definedName name="雲林縣元長鄉">設計反應譜!$J$184</definedName>
    <definedName name="雲林縣斗六市">設計反應譜!$J$168:$M$168</definedName>
    <definedName name="雲林縣斗南鎮">設計反應譜!$J$169</definedName>
    <definedName name="雲林縣水林鄉">設計反應譜!$J$187</definedName>
    <definedName name="雲林縣北港鎮">設計反應譜!$J$173</definedName>
    <definedName name="雲林縣古坑鄉">設計反應譜!$J$174:$L$174</definedName>
    <definedName name="雲林縣四湖鄉">設計反應譜!$J$185</definedName>
    <definedName name="雲林縣西螺鎮">設計反應譜!$J$171</definedName>
    <definedName name="雲林縣東勢鄉">設計反應譜!$J$181</definedName>
    <definedName name="雲林縣林內鄉">設計反應譜!$J$177:$L$177</definedName>
    <definedName name="雲林縣虎尾鎮">設計反應譜!$J$170</definedName>
    <definedName name="雲林縣崙背鄉">設計反應譜!$J$179</definedName>
    <definedName name="雲林縣麥寮鄉">設計反應譜!$J$180</definedName>
    <definedName name="雲林縣莿桐鄉">設計反應譜!$J$176</definedName>
    <definedName name="雲林縣臺西鄉">設計反應譜!$J$183</definedName>
    <definedName name="雲林縣褒忠鄉">設計反應譜!$J$182</definedName>
    <definedName name="新化斷層">斷層!$C$256:$AI$264</definedName>
    <definedName name="新北市">設計反應譜!$C$16:$U$39</definedName>
    <definedName name="新北市八里區">設計反應譜!$J$24</definedName>
    <definedName name="新北市三芝區">設計反應譜!$J$32</definedName>
    <definedName name="新北市三峽區">設計反應譜!$J$26</definedName>
    <definedName name="新北市土城區">設計反應譜!$J$19</definedName>
    <definedName name="新北市中和區">設計反應譜!$J$16</definedName>
    <definedName name="新北市五股區">設計反應譜!$J$20</definedName>
    <definedName name="新北市平溪區">設計反應譜!$J$34</definedName>
    <definedName name="新北市石門區">設計反應譜!$J$33</definedName>
    <definedName name="新北市石碇區">設計反應譜!$J$30</definedName>
    <definedName name="新北市汐止區">設計反應譜!$J$23</definedName>
    <definedName name="新北市坪林區">設計反應譜!$J$31</definedName>
    <definedName name="新北市林口區">設計反應譜!$J$28</definedName>
    <definedName name="新北市金山區">設計反應譜!$J$37</definedName>
    <definedName name="新北市泰山區">設計反應譜!$J$21</definedName>
    <definedName name="新北市烏來區">設計反應譜!$J$39</definedName>
    <definedName name="新北市貢寮區">設計反應譜!$J$36</definedName>
    <definedName name="新北市淡水區">設計反應譜!$J$22</definedName>
    <definedName name="新北市深坑區">設計反應譜!$J$29</definedName>
    <definedName name="新北市微分區">台北盆地設計反應譜!$B$14:$B$27</definedName>
    <definedName name="新北市新店區">設計反應譜!$J$17</definedName>
    <definedName name="新北市瑞芳區">設計反應譜!$J$27</definedName>
    <definedName name="新北市萬里區">設計反應譜!$J$38</definedName>
    <definedName name="新北市樹林區">設計反應譜!$J$18</definedName>
    <definedName name="新北市雙溪區">設計反應譜!$J$35</definedName>
    <definedName name="新北市鶯歌區">設計反應譜!$J$25</definedName>
    <definedName name="新竹市">設計反應譜!$C$66:$U$68</definedName>
    <definedName name="新竹市北區">設計反應譜!$J$67</definedName>
    <definedName name="新竹市東區">設計反應譜!$J$66</definedName>
    <definedName name="新竹市香山區">設計反應譜!$J$68</definedName>
    <definedName name="新竹縣">設計反應譜!$C$53:$U$65</definedName>
    <definedName name="新竹縣五峰鄉">設計反應譜!$J$65</definedName>
    <definedName name="新竹縣北埔鄉">設計反應譜!$J$61:$K$61</definedName>
    <definedName name="新竹縣尖石鄉">設計反應譜!$J$64</definedName>
    <definedName name="新竹縣竹北市">設計反應譜!$J$53</definedName>
    <definedName name="新竹縣竹東鎮">設計反應譜!$J$54</definedName>
    <definedName name="新竹縣芎林鄉">設計反應譜!$J$59</definedName>
    <definedName name="新竹縣峨嵋鄉">設計反應譜!$J$63:$K$63</definedName>
    <definedName name="新竹縣湖口鄉">設計反應譜!$J$57</definedName>
    <definedName name="新竹縣新埔鎮">設計反應譜!$J$55</definedName>
    <definedName name="新竹縣新豐鄉">設計反應譜!$J$58</definedName>
    <definedName name="新竹縣橫山鄉">設計反應譜!$J$60</definedName>
    <definedName name="新竹縣關西鎮">設計反應譜!$J$56</definedName>
    <definedName name="新竹縣寶山鄉">設計反應譜!$J$62:$K$62</definedName>
    <definedName name="新店區">台北盆地設計反應譜!$G$744:$H$772</definedName>
    <definedName name="新城斷層">斷層!$C$3:$AI$18</definedName>
    <definedName name="新莊區">台北盆地設計反應譜!$G$427:$H$497</definedName>
    <definedName name="獅潭斷層">斷層!$C$19:$AI$33</definedName>
    <definedName name="萬華區">台北盆地設計反應譜!$G$162:$H$162</definedName>
    <definedName name="嘉義市">設計反應譜!$C$188:$U$189</definedName>
    <definedName name="嘉義市西區">設計反應譜!$J$189</definedName>
    <definedName name="嘉義市東區">設計反應譜!$J$188</definedName>
    <definedName name="嘉義縣">設計反應譜!$C$190:$U$207</definedName>
    <definedName name="嘉義縣大林鎮">設計反應譜!$J$193:$L$193</definedName>
    <definedName name="嘉義縣大埔鄉">設計反應譜!$J$206</definedName>
    <definedName name="嘉義縣中埔鄉">設計反應譜!$J$202</definedName>
    <definedName name="嘉義縣六腳鄉">設計反應譜!$J$197</definedName>
    <definedName name="嘉義縣太保市">設計反應譜!$J$190</definedName>
    <definedName name="嘉義縣水上鄉">設計反應譜!$J$201</definedName>
    <definedName name="嘉義縣布袋鎮">設計反應譜!$J$192</definedName>
    <definedName name="嘉義縣民雄鄉">設計反應譜!$J$194:$K$194</definedName>
    <definedName name="嘉義縣朴子市">設計反應譜!$J$191</definedName>
    <definedName name="嘉義縣竹崎鄉">設計反應譜!$J$203:$L$203</definedName>
    <definedName name="嘉義縣東石鄉">設計反應譜!$J$198</definedName>
    <definedName name="嘉義縣阿里山鄉">設計反應譜!$J$207</definedName>
    <definedName name="嘉義縣梅山鄉">設計反應譜!$J$204:$L$204</definedName>
    <definedName name="嘉義縣鹿草鄉">設計反應譜!$J$200</definedName>
    <definedName name="嘉義縣番路鄉">設計反應譜!$J$205</definedName>
    <definedName name="嘉義縣新港鄉">設計反應譜!$J$196</definedName>
    <definedName name="嘉義縣溪口鄉">設計反應譜!$J$195</definedName>
    <definedName name="嘉義縣義竹鄉">設計反應譜!$J$199</definedName>
    <definedName name="彰化縣">設計反應譜!$C$129:$U$154</definedName>
    <definedName name="彰化縣二水鄉">設計反應譜!$J$146:$K$146</definedName>
    <definedName name="彰化縣二林鎮">設計反應譜!$J$148</definedName>
    <definedName name="彰化縣大村鄉">設計反應譜!$J$141:$K$141</definedName>
    <definedName name="彰化縣大城鄉">設計反應譜!$J$152</definedName>
    <definedName name="彰化縣北斗鎮">設計反應譜!$J$147</definedName>
    <definedName name="彰化縣永靖鄉">設計反應譜!$J$144</definedName>
    <definedName name="彰化縣田中鎮">設計反應譜!$J$140:$K$140</definedName>
    <definedName name="彰化縣田尾鄉">設計反應譜!$J$149</definedName>
    <definedName name="彰化縣竹塘鄉">設計反應譜!$J$153</definedName>
    <definedName name="彰化縣伸港鄉">設計反應譜!$J$133</definedName>
    <definedName name="彰化縣秀水鄉">設計反應譜!$J$135</definedName>
    <definedName name="彰化縣和美鎮">設計反應譜!$J$131</definedName>
    <definedName name="彰化縣社頭鄉">設計反應譜!$J$145:$K$145</definedName>
    <definedName name="彰化縣芬園鄉">設計反應譜!$J$137:$K$137</definedName>
    <definedName name="彰化縣花壇鄉">設計反應譜!$J$136:$K$136</definedName>
    <definedName name="彰化縣芳苑鄉">設計反應譜!$J$151</definedName>
    <definedName name="彰化縣員林市">設計反應譜!$J$138:$K$138</definedName>
    <definedName name="彰化縣埔心鄉">設計反應譜!$J$143</definedName>
    <definedName name="彰化縣埔鹽鄉">設計反應譜!$J$142</definedName>
    <definedName name="彰化縣埤頭鄉">設計反應譜!$J$150</definedName>
    <definedName name="彰化縣鹿港鎮">設計反應譜!$J$130</definedName>
    <definedName name="彰化縣溪州鄉">設計反應譜!$J$154</definedName>
    <definedName name="彰化縣溪湖鎮">設計反應譜!$J$139</definedName>
    <definedName name="彰化縣彰化市">設計反應譜!$J$129:$K$129</definedName>
    <definedName name="彰化縣福興鄉">設計反應譜!$J$134</definedName>
    <definedName name="彰化縣線西鄉">設計反應譜!$J$132</definedName>
    <definedName name="旗山斷層">斷層!$C$265:$AI$280</definedName>
    <definedName name="構造" localSheetId="0">工址放大係數!$D$23:$D$25</definedName>
    <definedName name="構造" localSheetId="1">工址放大係數!$D$23:$D$25</definedName>
    <definedName name="構造" localSheetId="2">工址放大係數!$D$23:$D$25</definedName>
    <definedName name="構造">工址放大係數!$D$23:$D$25</definedName>
    <definedName name="臺中市">設計反應譜!$C$100:$U$128</definedName>
    <definedName name="臺中市大甲區">設計反應譜!$J$102:$L$102</definedName>
    <definedName name="臺中市大安區">設計反應譜!$J$113:$K$113</definedName>
    <definedName name="臺中市大肚區">設計反應譜!$J$115</definedName>
    <definedName name="臺中市大里區">設計反應譜!$J$119:$L$119</definedName>
    <definedName name="臺中市大雅區">設計反應譜!$J$109:$M$109</definedName>
    <definedName name="臺中市中區">設計反應譜!$J$121:$M$121</definedName>
    <definedName name="臺中市太平區">設計反應譜!$J$118:$L$118</definedName>
    <definedName name="臺中市北屯區">設計反應譜!$J$128:$N$128</definedName>
    <definedName name="臺中市北區">設計反應譜!$J$125:$M$125</definedName>
    <definedName name="臺中市外埔區">設計反應譜!$J$112:$M$112</definedName>
    <definedName name="臺中市石岡區">設計反應譜!$J$111:$M$111</definedName>
    <definedName name="臺中市后里區">設計反應譜!$J$106:$M$106</definedName>
    <definedName name="臺中市西屯區">設計反應譜!$J$126:$M$126</definedName>
    <definedName name="臺中市西區">設計反應譜!$J$124:$M$124</definedName>
    <definedName name="臺中市沙鹿區">設計反應譜!$J$104:$L$104</definedName>
    <definedName name="臺中市和平區">設計反應譜!$J$120:$K$120</definedName>
    <definedName name="臺中市東區">設計反應譜!$J$122:$L$122</definedName>
    <definedName name="臺中市東勢區">設計反應譜!$J$101:$M$101</definedName>
    <definedName name="臺中市南屯區">設計反應譜!$J$127:$K$127</definedName>
    <definedName name="臺中市南區">設計反應譜!$J$123:$L$123</definedName>
    <definedName name="臺中市烏日區">設計反應譜!$J$114:$K$114</definedName>
    <definedName name="臺中市神岡區">設計反應譜!$J$107:$M$107</definedName>
    <definedName name="臺中市梧棲區">設計反應譜!$J$105:$K$105</definedName>
    <definedName name="臺中市清水區">設計反應譜!$J$103:$L$103</definedName>
    <definedName name="臺中市新社區">設計反應譜!$J$110:$M$110</definedName>
    <definedName name="臺中市潭子區">設計反應譜!$J$108:$N$108</definedName>
    <definedName name="臺中市龍井區">設計反應譜!$J$116:$K$116</definedName>
    <definedName name="臺中市豐原區">設計反應譜!$J$100:$N$100</definedName>
    <definedName name="臺中市霧峰區">設計反應譜!$J$117:$L$117</definedName>
    <definedName name="臺北市">台北盆地設計反應譜!$B$2:$B$13</definedName>
    <definedName name="臺北市士林區">設計反應譜!$J$6</definedName>
    <definedName name="臺北市內湖區">設計反應譜!$J$5</definedName>
    <definedName name="臺北市文山區">設計反應譜!$J$3</definedName>
    <definedName name="臺北市北投區">設計反應譜!$J$7</definedName>
    <definedName name="臺北市南港區">設計反應譜!$J$4</definedName>
    <definedName name="臺北盆地">台北盆地設計反應譜!$A$2:$A$3</definedName>
    <definedName name="臺東縣">設計反應譜!$C$316:$U$331</definedName>
    <definedName name="臺東縣大武鄉">設計反應譜!$J$325</definedName>
    <definedName name="臺東縣太麻里鄉">設計反應譜!$J$324</definedName>
    <definedName name="臺東縣成功鎮">設計反應譜!$J$317</definedName>
    <definedName name="臺東縣池上鄉">設計反應譜!$J$321</definedName>
    <definedName name="臺東縣卑南鄉">設計反應譜!$J$319</definedName>
    <definedName name="臺東縣延平鄉">設計反應譜!$J$328</definedName>
    <definedName name="臺東縣東河鄉">設計反應譜!$J$322</definedName>
    <definedName name="臺東縣金峰鄉">設計反應譜!$J$329</definedName>
    <definedName name="臺東縣長濱鄉">設計反應譜!$J$323</definedName>
    <definedName name="臺東縣海端鄉">設計反應譜!$J$327</definedName>
    <definedName name="臺東縣鹿野鄉">設計反應譜!$J$320</definedName>
    <definedName name="臺東縣達仁鄉">設計反應譜!$J$330</definedName>
    <definedName name="臺東縣綠島鄉">設計反應譜!$J$326</definedName>
    <definedName name="臺東縣臺東市">設計反應譜!$J$316</definedName>
    <definedName name="臺東縣關山鎮">設計反應譜!$J$318</definedName>
    <definedName name="臺東縣蘭嶼鄉">設計反應譜!$J$331</definedName>
    <definedName name="臺南市">設計反應譜!$C$208:$U$244</definedName>
    <definedName name="臺南市七股區">設計反應譜!$J$222</definedName>
    <definedName name="臺南市下營區">設計反應譜!$J$215</definedName>
    <definedName name="臺南市大內區">設計反應譜!$J$218</definedName>
    <definedName name="臺南市山上區">設計反應譜!$J$229</definedName>
    <definedName name="臺南市中西區">設計反應譜!$J$241</definedName>
    <definedName name="臺南市仁德區">設計反應譜!$J$234</definedName>
    <definedName name="臺南市六甲區">設計反應譜!$J$216</definedName>
    <definedName name="臺南市北門區">設計反應譜!$J$224</definedName>
    <definedName name="臺南市北區">設計反應譜!$J$242</definedName>
    <definedName name="臺南市左鎮區">設計反應譜!$J$233</definedName>
    <definedName name="臺南市永康區">設計反應譜!$J$238</definedName>
    <definedName name="臺南市玉井區">設計反應譜!$J$230</definedName>
    <definedName name="臺南市白河區">設計反應譜!$J$210:$K$210</definedName>
    <definedName name="臺南市安平區">設計反應譜!$J$244</definedName>
    <definedName name="臺南市安定區">設計反應譜!$J$228</definedName>
    <definedName name="臺南市安南區">設計反應譜!$J$243</definedName>
    <definedName name="臺南市西港區">設計反應譜!$J$221</definedName>
    <definedName name="臺南市佳里區">設計反應譜!$J$219</definedName>
    <definedName name="臺南市官田區">設計反應譜!$J$217</definedName>
    <definedName name="臺南市東山區">設計反應譜!$J$213:$K$213</definedName>
    <definedName name="臺南市東區">設計反應譜!$J$239</definedName>
    <definedName name="臺南市南化區">設計反應譜!$J$232</definedName>
    <definedName name="臺南市南區">設計反應譜!$J$240</definedName>
    <definedName name="臺南市後壁區">設計反應譜!$J$212</definedName>
    <definedName name="臺南市柳營區">設計反應譜!$J$211</definedName>
    <definedName name="臺南市將軍區">設計反應譜!$J$223</definedName>
    <definedName name="臺南市麻豆區">設計反應譜!$J$214</definedName>
    <definedName name="臺南市善化區">設計反應譜!$J$226</definedName>
    <definedName name="臺南市新化區">設計反應譜!$J$225</definedName>
    <definedName name="臺南市新市區">設計反應譜!$J$227</definedName>
    <definedName name="臺南市新營區">設計反應譜!$J$208</definedName>
    <definedName name="臺南市楠西區">設計反應譜!$J$231</definedName>
    <definedName name="臺南市學甲區">設計反應譜!$J$220</definedName>
    <definedName name="臺南市龍崎區">設計反應譜!$J$237</definedName>
    <definedName name="臺南市歸仁區">設計反應譜!$J$235</definedName>
    <definedName name="臺南市關廟區">設計反應譜!$J$236</definedName>
    <definedName name="臺南市鹽水區">設計反應譜!$J$209</definedName>
    <definedName name="澎湖縣">設計反應譜!$C$345:$U$351</definedName>
    <definedName name="澎湖縣七美鄉">設計反應譜!$J$350</definedName>
    <definedName name="澎湖縣白沙鄉">設計反應譜!$J$347</definedName>
    <definedName name="澎湖縣西嶼鄉">設計反應譜!$J$348</definedName>
    <definedName name="澎湖縣馬公市">設計反應譜!$J$345</definedName>
    <definedName name="澎湖縣望安鄉">設計反應譜!$J$349</definedName>
    <definedName name="澎湖縣湖西鄉">設計反應譜!$J$346</definedName>
    <definedName name="樹林區">台北盆地設計反應譜!$G$498:$H$526</definedName>
    <definedName name="縣市" localSheetId="8">'斷層 (100年版)'!$A$13:$A$23</definedName>
    <definedName name="縣市">工址放大係數!$A$3:$A$24</definedName>
    <definedName name="斷層0">'斷層 (100年版)'!$C$1</definedName>
    <definedName name="斷層1">'斷層 (100年版)'!$C$2</definedName>
    <definedName name="斷層10">'斷層 (100年版)'!$C$11:$D$11</definedName>
    <definedName name="斷層11">'斷層 (100年版)'!$C$12:$D$12</definedName>
    <definedName name="斷層111" localSheetId="0">工址放大係數!$L$23:$L$36</definedName>
    <definedName name="斷層111" localSheetId="1">工址放大係數!$L$23:$L$36</definedName>
    <definedName name="斷層111" localSheetId="2">工址放大係數!$L$23:$L$36</definedName>
    <definedName name="斷層12">'斷層 (100年版)'!$C$13</definedName>
    <definedName name="斷層13">'斷層 (100年版)'!$C$14</definedName>
    <definedName name="斷層2">'斷層 (100年版)'!$C$3:$D$3</definedName>
    <definedName name="斷層3">'斷層 (100年版)'!$C$4</definedName>
    <definedName name="斷層4">'斷層 (100年版)'!$C$5:$E$5</definedName>
    <definedName name="斷層5">'斷層 (100年版)'!$C$6:$D$6</definedName>
    <definedName name="斷層6">'斷層 (100年版)'!$C$7</definedName>
    <definedName name="斷層7">'斷層 (100年版)'!$C$8:$D$8</definedName>
    <definedName name="斷層8">'斷層 (100年版)'!$C$9</definedName>
    <definedName name="斷層9">'斷層 (100年版)'!$C$10</definedName>
    <definedName name="蘆洲區">台北盆地設計反應譜!$G$362:$H$362</definedName>
  </definedNames>
  <calcPr calcId="191029"/>
</workbook>
</file>

<file path=xl/calcChain.xml><?xml version="1.0" encoding="utf-8"?>
<calcChain xmlns="http://schemas.openxmlformats.org/spreadsheetml/2006/main">
  <c r="A363" i="9" l="1"/>
  <c r="A362" i="9"/>
  <c r="I95" i="37"/>
  <c r="I94" i="37"/>
  <c r="I93" i="37"/>
  <c r="I92" i="37"/>
  <c r="I91" i="37"/>
  <c r="I44" i="37"/>
  <c r="I43" i="37"/>
  <c r="I91" i="36" l="1"/>
  <c r="I92" i="36"/>
  <c r="AC92" i="36" s="1"/>
  <c r="AD92" i="36" s="1"/>
  <c r="I93" i="36"/>
  <c r="AA93" i="36" s="1"/>
  <c r="I94" i="36"/>
  <c r="AC94" i="36" s="1"/>
  <c r="AD94" i="36" s="1"/>
  <c r="AE94" i="36" s="1"/>
  <c r="I95" i="36"/>
  <c r="I43" i="36"/>
  <c r="D12" i="31"/>
  <c r="D12" i="36" s="1"/>
  <c r="H11" i="31"/>
  <c r="D11" i="37"/>
  <c r="J11" i="37" s="1"/>
  <c r="B11" i="37"/>
  <c r="D11" i="36"/>
  <c r="J11" i="36" s="1"/>
  <c r="B11" i="36"/>
  <c r="B12" i="36"/>
  <c r="B13" i="36"/>
  <c r="B14" i="36"/>
  <c r="B14" i="37"/>
  <c r="B13" i="37"/>
  <c r="B12" i="37"/>
  <c r="U12" i="37" s="1"/>
  <c r="B10" i="37"/>
  <c r="B10" i="36"/>
  <c r="B2" i="36"/>
  <c r="B2" i="37" s="1"/>
  <c r="B3" i="36"/>
  <c r="B3" i="37" s="1"/>
  <c r="B5" i="36"/>
  <c r="AC95" i="37"/>
  <c r="AD95" i="37" s="1"/>
  <c r="AF95" i="37" s="1"/>
  <c r="AA95" i="37"/>
  <c r="AC94" i="37"/>
  <c r="AD94" i="37" s="1"/>
  <c r="AE94" i="37" s="1"/>
  <c r="AA94" i="37"/>
  <c r="AC93" i="37"/>
  <c r="AD93" i="37" s="1"/>
  <c r="AG93" i="37" s="1"/>
  <c r="AA93" i="37"/>
  <c r="AC92" i="37"/>
  <c r="AD92" i="37" s="1"/>
  <c r="AA92" i="37"/>
  <c r="AC91" i="37"/>
  <c r="AD91" i="37" s="1"/>
  <c r="AA91" i="37"/>
  <c r="AH43" i="37"/>
  <c r="AC43" i="37"/>
  <c r="AD43" i="37" s="1"/>
  <c r="AF43" i="37" s="1"/>
  <c r="AA43" i="37"/>
  <c r="E41" i="37"/>
  <c r="C41" i="37"/>
  <c r="E40" i="37"/>
  <c r="Y39" i="37"/>
  <c r="T26" i="37"/>
  <c r="V24" i="37"/>
  <c r="T23" i="37"/>
  <c r="N23" i="37"/>
  <c r="T22" i="37"/>
  <c r="I5" i="37" s="1"/>
  <c r="S19" i="37"/>
  <c r="T27" i="37" s="1"/>
  <c r="R15" i="37"/>
  <c r="H14" i="37"/>
  <c r="L13" i="37"/>
  <c r="K13" i="37"/>
  <c r="J13" i="37"/>
  <c r="I13" i="37"/>
  <c r="H13" i="37"/>
  <c r="W11" i="37"/>
  <c r="H11" i="37"/>
  <c r="H10" i="37"/>
  <c r="L9" i="37"/>
  <c r="K9" i="37"/>
  <c r="J9" i="37"/>
  <c r="I9" i="37"/>
  <c r="U7" i="37"/>
  <c r="W7" i="37" s="1"/>
  <c r="R7" i="37"/>
  <c r="R13" i="37" s="1"/>
  <c r="R8" i="37" s="1"/>
  <c r="R12" i="37" s="1"/>
  <c r="W6" i="37"/>
  <c r="AD95" i="36"/>
  <c r="AC95" i="36"/>
  <c r="AA95" i="36"/>
  <c r="AA94" i="36"/>
  <c r="AC91" i="36"/>
  <c r="AD91" i="36" s="1"/>
  <c r="AA91" i="36"/>
  <c r="B52" i="36"/>
  <c r="F52" i="36" s="1"/>
  <c r="AH43" i="36"/>
  <c r="AC43" i="36"/>
  <c r="AD43" i="36" s="1"/>
  <c r="AA43" i="36"/>
  <c r="C41" i="36"/>
  <c r="E41" i="36" s="1"/>
  <c r="E40" i="36"/>
  <c r="Y39" i="36"/>
  <c r="V26" i="36"/>
  <c r="V23" i="36"/>
  <c r="U23" i="36"/>
  <c r="T23" i="36"/>
  <c r="N23" i="36"/>
  <c r="S19" i="36"/>
  <c r="U28" i="36" s="1"/>
  <c r="R15" i="36"/>
  <c r="H14" i="36"/>
  <c r="L13" i="36"/>
  <c r="K13" i="36"/>
  <c r="J13" i="36"/>
  <c r="I13" i="36"/>
  <c r="H13" i="36"/>
  <c r="W11" i="36"/>
  <c r="H11" i="36"/>
  <c r="H10" i="36"/>
  <c r="L9" i="36"/>
  <c r="K9" i="36"/>
  <c r="J9" i="36"/>
  <c r="I9" i="36"/>
  <c r="U7" i="36"/>
  <c r="R7" i="36"/>
  <c r="R13" i="36" s="1"/>
  <c r="R8" i="36" s="1"/>
  <c r="R12" i="36" s="1"/>
  <c r="W6" i="36"/>
  <c r="AC43" i="31"/>
  <c r="E40" i="31"/>
  <c r="N1" i="37"/>
  <c r="J3" i="37"/>
  <c r="J3" i="36"/>
  <c r="F3" i="37"/>
  <c r="I3" i="37"/>
  <c r="I3" i="36"/>
  <c r="L3" i="36"/>
  <c r="N1" i="36"/>
  <c r="M1" i="36"/>
  <c r="M1" i="37"/>
  <c r="K3" i="36"/>
  <c r="L3" i="37"/>
  <c r="K3" i="37"/>
  <c r="D14" i="37" l="1"/>
  <c r="K14" i="37" s="1"/>
  <c r="D12" i="37"/>
  <c r="U24" i="36"/>
  <c r="U25" i="36"/>
  <c r="V26" i="37"/>
  <c r="T26" i="36"/>
  <c r="W27" i="37"/>
  <c r="U26" i="36"/>
  <c r="T28" i="36"/>
  <c r="V28" i="36"/>
  <c r="V22" i="36"/>
  <c r="K5" i="36" s="1"/>
  <c r="AG92" i="37"/>
  <c r="AF92" i="37"/>
  <c r="AG43" i="37"/>
  <c r="AF93" i="37"/>
  <c r="AC93" i="36"/>
  <c r="AD93" i="36" s="1"/>
  <c r="AA92" i="36"/>
  <c r="AD5" i="37"/>
  <c r="U13" i="37" s="1"/>
  <c r="W13" i="37" s="1"/>
  <c r="W12" i="37"/>
  <c r="H12" i="37"/>
  <c r="U12" i="36"/>
  <c r="H12" i="36"/>
  <c r="I19" i="37"/>
  <c r="I7" i="37"/>
  <c r="I17" i="37"/>
  <c r="J19" i="37"/>
  <c r="V23" i="37"/>
  <c r="W26" i="37"/>
  <c r="AE43" i="37"/>
  <c r="U28" i="37"/>
  <c r="U25" i="37"/>
  <c r="U24" i="37"/>
  <c r="V22" i="37"/>
  <c r="K5" i="37" s="1"/>
  <c r="I21" i="37" s="1"/>
  <c r="T28" i="37"/>
  <c r="T25" i="37"/>
  <c r="T24" i="37"/>
  <c r="U22" i="37"/>
  <c r="J5" i="37" s="1"/>
  <c r="J7" i="37" s="1"/>
  <c r="U27" i="37"/>
  <c r="U26" i="37"/>
  <c r="U23" i="37"/>
  <c r="W23" i="37"/>
  <c r="V27" i="37"/>
  <c r="W24" i="37"/>
  <c r="V28" i="37"/>
  <c r="V25" i="37"/>
  <c r="W28" i="37"/>
  <c r="AH91" i="37"/>
  <c r="AH92" i="37"/>
  <c r="AH93" i="37"/>
  <c r="AH95" i="37"/>
  <c r="AH94" i="37"/>
  <c r="W22" i="37"/>
  <c r="L5" i="37" s="1"/>
  <c r="J21" i="37" s="1"/>
  <c r="W25" i="37"/>
  <c r="AG91" i="37"/>
  <c r="AF91" i="37"/>
  <c r="AE91" i="37"/>
  <c r="AE92" i="37"/>
  <c r="AE93" i="37"/>
  <c r="AF94" i="37"/>
  <c r="AE95" i="37"/>
  <c r="AG94" i="37"/>
  <c r="AG95" i="37"/>
  <c r="K7" i="36"/>
  <c r="I21" i="36"/>
  <c r="J19" i="36"/>
  <c r="I19" i="36"/>
  <c r="AE43" i="36"/>
  <c r="AF43" i="36"/>
  <c r="AG43" i="36"/>
  <c r="W7" i="36"/>
  <c r="W27" i="36"/>
  <c r="V27" i="36"/>
  <c r="T22" i="36"/>
  <c r="I5" i="36" s="1"/>
  <c r="I7" i="36" s="1"/>
  <c r="W23" i="36"/>
  <c r="W26" i="36"/>
  <c r="W28" i="36"/>
  <c r="C52" i="36"/>
  <c r="AH92" i="36"/>
  <c r="AH93" i="36"/>
  <c r="AH91" i="36"/>
  <c r="AH95" i="36"/>
  <c r="AH94" i="36"/>
  <c r="M13" i="36"/>
  <c r="U22" i="36"/>
  <c r="J5" i="36" s="1"/>
  <c r="J7" i="36" s="1"/>
  <c r="T24" i="36"/>
  <c r="T25" i="36"/>
  <c r="E52" i="36"/>
  <c r="W22" i="36"/>
  <c r="L5" i="36" s="1"/>
  <c r="L7" i="36" s="1"/>
  <c r="V24" i="36"/>
  <c r="V25" i="36"/>
  <c r="T27" i="36"/>
  <c r="AG91" i="36"/>
  <c r="AF91" i="36"/>
  <c r="AE91" i="36"/>
  <c r="W24" i="36"/>
  <c r="W25" i="36"/>
  <c r="U27" i="36"/>
  <c r="AG92" i="36"/>
  <c r="AF92" i="36"/>
  <c r="AE92" i="36"/>
  <c r="AF94" i="36"/>
  <c r="AF95" i="36"/>
  <c r="AE95" i="36"/>
  <c r="AG94" i="36"/>
  <c r="AG95" i="36"/>
  <c r="C41" i="31"/>
  <c r="E41" i="31" s="1"/>
  <c r="E3" i="37"/>
  <c r="C3" i="37"/>
  <c r="D3" i="36"/>
  <c r="C3" i="36"/>
  <c r="E3" i="36"/>
  <c r="E54" i="36"/>
  <c r="D3" i="37"/>
  <c r="D54" i="36"/>
  <c r="C54" i="36"/>
  <c r="F3" i="36"/>
  <c r="F54" i="36"/>
  <c r="M13" i="37" l="1"/>
  <c r="D13" i="37"/>
  <c r="I14" i="37" s="1"/>
  <c r="J21" i="36"/>
  <c r="K21" i="36" s="1"/>
  <c r="N21" i="36" s="1"/>
  <c r="AE93" i="36"/>
  <c r="AG93" i="36"/>
  <c r="AF93" i="36"/>
  <c r="AD5" i="36"/>
  <c r="U13" i="36" s="1"/>
  <c r="W13" i="36" s="1"/>
  <c r="W12" i="36"/>
  <c r="K19" i="37"/>
  <c r="M19" i="37" s="1"/>
  <c r="K21" i="37"/>
  <c r="L7" i="37"/>
  <c r="K7" i="37"/>
  <c r="J17" i="37"/>
  <c r="K17" i="37" s="1"/>
  <c r="I22" i="37"/>
  <c r="J22" i="37"/>
  <c r="J17" i="36"/>
  <c r="I17" i="36"/>
  <c r="B53" i="36"/>
  <c r="D52" i="36"/>
  <c r="B54" i="36"/>
  <c r="K19" i="36"/>
  <c r="AF10" i="12"/>
  <c r="AG10" i="12" s="1"/>
  <c r="N1" i="12"/>
  <c r="U31" i="12" s="1"/>
  <c r="R1" i="12"/>
  <c r="T1" i="12"/>
  <c r="M7" i="12"/>
  <c r="O7" i="12"/>
  <c r="R7" i="12"/>
  <c r="T7" i="12"/>
  <c r="N10" i="12"/>
  <c r="O10" i="12" s="1"/>
  <c r="S10" i="12"/>
  <c r="T10" i="12" s="1"/>
  <c r="U10" i="12"/>
  <c r="N11" i="12"/>
  <c r="O11" i="12"/>
  <c r="S11" i="12"/>
  <c r="T11" i="12"/>
  <c r="AF11" i="12"/>
  <c r="AG11" i="12" s="1"/>
  <c r="N12" i="12"/>
  <c r="O12" i="12" s="1"/>
  <c r="S12" i="12"/>
  <c r="T12" i="12"/>
  <c r="AF12" i="12"/>
  <c r="AG12" i="12" s="1"/>
  <c r="N13" i="12"/>
  <c r="O13" i="12" s="1"/>
  <c r="S13" i="12"/>
  <c r="T13" i="12" s="1"/>
  <c r="U13" i="12"/>
  <c r="AF13" i="12"/>
  <c r="AG13" i="12" s="1"/>
  <c r="N14" i="12"/>
  <c r="O14" i="12" s="1"/>
  <c r="S14" i="12"/>
  <c r="U14" i="12"/>
  <c r="AF14" i="12"/>
  <c r="AG14" i="12" s="1"/>
  <c r="N15" i="12"/>
  <c r="O15" i="12" s="1"/>
  <c r="S15" i="12"/>
  <c r="T15" i="12" s="1"/>
  <c r="U15" i="12"/>
  <c r="AF15" i="12"/>
  <c r="AG15" i="12"/>
  <c r="N16" i="12"/>
  <c r="S16" i="12"/>
  <c r="T16" i="12" s="1"/>
  <c r="AF16" i="12"/>
  <c r="AG16" i="12" s="1"/>
  <c r="N17" i="12"/>
  <c r="S17" i="12"/>
  <c r="T17" i="12" s="1"/>
  <c r="AF17" i="12"/>
  <c r="AG17" i="12" s="1"/>
  <c r="N18" i="12"/>
  <c r="O18" i="12" s="1"/>
  <c r="S18" i="12"/>
  <c r="AF18" i="12"/>
  <c r="AG18" i="12" s="1"/>
  <c r="N19" i="12"/>
  <c r="O19" i="12" s="1"/>
  <c r="S19" i="12"/>
  <c r="AF19" i="12"/>
  <c r="AG19" i="12" s="1"/>
  <c r="N20" i="12"/>
  <c r="S20" i="12"/>
  <c r="T20" i="12" s="1"/>
  <c r="AF20" i="12"/>
  <c r="AG20" i="12" s="1"/>
  <c r="N21" i="12"/>
  <c r="S21" i="12"/>
  <c r="T21" i="12" s="1"/>
  <c r="AF21" i="12"/>
  <c r="AG21" i="12" s="1"/>
  <c r="N22" i="12"/>
  <c r="O22" i="12" s="1"/>
  <c r="S22" i="12"/>
  <c r="T22" i="12" s="1"/>
  <c r="U22" i="12"/>
  <c r="AF22" i="12"/>
  <c r="AG22" i="12"/>
  <c r="N23" i="12"/>
  <c r="O23" i="12" s="1"/>
  <c r="S23" i="12"/>
  <c r="T23" i="12" s="1"/>
  <c r="U23" i="12"/>
  <c r="AF23" i="12"/>
  <c r="AG23" i="12"/>
  <c r="N24" i="12"/>
  <c r="O24" i="12" s="1"/>
  <c r="S24" i="12"/>
  <c r="T24" i="12" s="1"/>
  <c r="U24" i="12"/>
  <c r="AF24" i="12"/>
  <c r="AG24" i="12" s="1"/>
  <c r="N25" i="12"/>
  <c r="O25" i="12" s="1"/>
  <c r="S25" i="12"/>
  <c r="T25" i="12" s="1"/>
  <c r="U25" i="12"/>
  <c r="AF25" i="12"/>
  <c r="AG25" i="12"/>
  <c r="N26" i="12"/>
  <c r="O26" i="12" s="1"/>
  <c r="S26" i="12"/>
  <c r="T26" i="12" s="1"/>
  <c r="U26" i="12"/>
  <c r="AF26" i="12"/>
  <c r="AG26" i="12" s="1"/>
  <c r="N27" i="12"/>
  <c r="O27" i="12" s="1"/>
  <c r="S27" i="12"/>
  <c r="T27" i="12" s="1"/>
  <c r="AF27" i="12"/>
  <c r="AG27" i="12"/>
  <c r="N28" i="12"/>
  <c r="O28" i="12" s="1"/>
  <c r="S28" i="12"/>
  <c r="T28" i="12" s="1"/>
  <c r="AF28" i="12"/>
  <c r="AG28" i="12"/>
  <c r="N29" i="12"/>
  <c r="O29" i="12"/>
  <c r="S29" i="12"/>
  <c r="T29" i="12" s="1"/>
  <c r="U29" i="12"/>
  <c r="AF29" i="12"/>
  <c r="AG29" i="12" s="1"/>
  <c r="N30" i="12"/>
  <c r="O30" i="12" s="1"/>
  <c r="S30" i="12"/>
  <c r="T30" i="12" s="1"/>
  <c r="U30" i="12"/>
  <c r="AF30" i="12"/>
  <c r="AG30" i="12" s="1"/>
  <c r="N31" i="12"/>
  <c r="O31" i="12" s="1"/>
  <c r="S31" i="12"/>
  <c r="T31" i="12" s="1"/>
  <c r="AF31" i="12"/>
  <c r="AG31" i="12"/>
  <c r="N32" i="12"/>
  <c r="O32" i="12" s="1"/>
  <c r="S32" i="12"/>
  <c r="T32" i="12"/>
  <c r="AF32" i="12"/>
  <c r="AG32" i="12" s="1"/>
  <c r="N33" i="12"/>
  <c r="O33" i="12" s="1"/>
  <c r="S33" i="12"/>
  <c r="T33" i="12" s="1"/>
  <c r="U33" i="12"/>
  <c r="AF33" i="12"/>
  <c r="AG33" i="12" s="1"/>
  <c r="N34" i="12"/>
  <c r="O34" i="12" s="1"/>
  <c r="S34" i="12"/>
  <c r="T34" i="12" s="1"/>
  <c r="U34" i="12"/>
  <c r="AF34" i="12"/>
  <c r="AG34" i="12" s="1"/>
  <c r="N35" i="12"/>
  <c r="O35" i="12" s="1"/>
  <c r="S35" i="12"/>
  <c r="T35" i="12" s="1"/>
  <c r="U35" i="12"/>
  <c r="AF35" i="12"/>
  <c r="AG35" i="12" s="1"/>
  <c r="N36" i="12"/>
  <c r="O36" i="12" s="1"/>
  <c r="S36" i="12"/>
  <c r="T36" i="12"/>
  <c r="AF36" i="12"/>
  <c r="AG36" i="12"/>
  <c r="N37" i="12"/>
  <c r="O37" i="12" s="1"/>
  <c r="S37" i="12"/>
  <c r="T37" i="12" s="1"/>
  <c r="AF37" i="12"/>
  <c r="AG37" i="12" s="1"/>
  <c r="N38" i="12"/>
  <c r="O38" i="12" s="1"/>
  <c r="S38" i="12"/>
  <c r="T38" i="12" s="1"/>
  <c r="U38" i="12"/>
  <c r="AF38" i="12"/>
  <c r="AG38" i="12" s="1"/>
  <c r="N39" i="12"/>
  <c r="O39" i="12" s="1"/>
  <c r="S39" i="12"/>
  <c r="T39" i="12" s="1"/>
  <c r="U39" i="12"/>
  <c r="AF39" i="12"/>
  <c r="AG39" i="12" s="1"/>
  <c r="N40" i="12"/>
  <c r="O40" i="12" s="1"/>
  <c r="S40" i="12"/>
  <c r="T40" i="12"/>
  <c r="AF40" i="12"/>
  <c r="AG40" i="12" s="1"/>
  <c r="N41" i="12"/>
  <c r="O41" i="12" s="1"/>
  <c r="S41" i="12"/>
  <c r="T41" i="12" s="1"/>
  <c r="U41" i="12"/>
  <c r="AF41" i="12"/>
  <c r="AG41" i="12" s="1"/>
  <c r="N42" i="12"/>
  <c r="O42" i="12" s="1"/>
  <c r="S42" i="12"/>
  <c r="T42" i="12" s="1"/>
  <c r="U42" i="12"/>
  <c r="AF42" i="12"/>
  <c r="AG42" i="12" s="1"/>
  <c r="N43" i="12"/>
  <c r="O43" i="12" s="1"/>
  <c r="S43" i="12"/>
  <c r="T43" i="12" s="1"/>
  <c r="U43" i="12"/>
  <c r="AF43" i="12"/>
  <c r="AG43" i="12" s="1"/>
  <c r="N44" i="12"/>
  <c r="O44" i="12" s="1"/>
  <c r="S44" i="12"/>
  <c r="T44" i="12"/>
  <c r="AF44" i="12"/>
  <c r="AG44" i="12"/>
  <c r="N45" i="12"/>
  <c r="O45" i="12" s="1"/>
  <c r="S45" i="12"/>
  <c r="T45" i="12" s="1"/>
  <c r="AF45" i="12"/>
  <c r="AG45" i="12" s="1"/>
  <c r="N46" i="12"/>
  <c r="O46" i="12" s="1"/>
  <c r="S46" i="12"/>
  <c r="U46" i="12"/>
  <c r="AF46" i="12"/>
  <c r="AG46" i="12" s="1"/>
  <c r="N47" i="12"/>
  <c r="O47" i="12" s="1"/>
  <c r="S47" i="12"/>
  <c r="T47" i="12" s="1"/>
  <c r="U47" i="12"/>
  <c r="AF47" i="12"/>
  <c r="AG47" i="12" s="1"/>
  <c r="N48" i="12"/>
  <c r="S48" i="12"/>
  <c r="U48" i="12"/>
  <c r="AF48" i="12"/>
  <c r="AG48" i="12" s="1"/>
  <c r="N49" i="12"/>
  <c r="O49" i="12" s="1"/>
  <c r="S49" i="12"/>
  <c r="T49" i="12" s="1"/>
  <c r="AF49" i="12"/>
  <c r="AG49" i="12" s="1"/>
  <c r="N50" i="12"/>
  <c r="O50" i="12" s="1"/>
  <c r="S50" i="12"/>
  <c r="AF50" i="12"/>
  <c r="AG50" i="12" s="1"/>
  <c r="N51" i="12"/>
  <c r="O51" i="12" s="1"/>
  <c r="S51" i="12"/>
  <c r="T51" i="12" s="1"/>
  <c r="AF51" i="12"/>
  <c r="AG51" i="12"/>
  <c r="N52" i="12"/>
  <c r="S52" i="12"/>
  <c r="T52" i="12" s="1"/>
  <c r="U52" i="12"/>
  <c r="AF52" i="12"/>
  <c r="AG52" i="12" s="1"/>
  <c r="N53" i="12"/>
  <c r="O53" i="12" s="1"/>
  <c r="S53" i="12"/>
  <c r="T53" i="12" s="1"/>
  <c r="AF53" i="12"/>
  <c r="AG53" i="12" s="1"/>
  <c r="N54" i="12"/>
  <c r="O54" i="12" s="1"/>
  <c r="S54" i="12"/>
  <c r="U54" i="12"/>
  <c r="AF54" i="12"/>
  <c r="AG54" i="12" s="1"/>
  <c r="N55" i="12"/>
  <c r="O55" i="12" s="1"/>
  <c r="S55" i="12"/>
  <c r="T55" i="12" s="1"/>
  <c r="AF55" i="12"/>
  <c r="AG55" i="12" s="1"/>
  <c r="N56" i="12"/>
  <c r="S56" i="12"/>
  <c r="T56" i="12" s="1"/>
  <c r="U56" i="12"/>
  <c r="V56" i="12" s="1"/>
  <c r="Y56" i="12" s="1"/>
  <c r="AF56" i="12"/>
  <c r="AG56" i="12" s="1"/>
  <c r="N57" i="12"/>
  <c r="O57" i="12" s="1"/>
  <c r="S57" i="12"/>
  <c r="AF57" i="12"/>
  <c r="AG57" i="12" s="1"/>
  <c r="N58" i="12"/>
  <c r="O58" i="12" s="1"/>
  <c r="S58" i="12"/>
  <c r="U58" i="12"/>
  <c r="AF58" i="12"/>
  <c r="AG58" i="12" s="1"/>
  <c r="N59" i="12"/>
  <c r="O59" i="12" s="1"/>
  <c r="S59" i="12"/>
  <c r="T59" i="12" s="1"/>
  <c r="AF59" i="12"/>
  <c r="AG59" i="12" s="1"/>
  <c r="N60" i="12"/>
  <c r="O60" i="12" s="1"/>
  <c r="S60" i="12"/>
  <c r="AF60" i="12"/>
  <c r="AG60" i="12" s="1"/>
  <c r="N61" i="12"/>
  <c r="O61" i="12" s="1"/>
  <c r="S61" i="12"/>
  <c r="T61" i="12" s="1"/>
  <c r="AF61" i="12"/>
  <c r="AG61" i="12" s="1"/>
  <c r="N62" i="12"/>
  <c r="O62" i="12" s="1"/>
  <c r="S62" i="12"/>
  <c r="T62" i="12" s="1"/>
  <c r="AF62" i="12"/>
  <c r="AG62" i="12" s="1"/>
  <c r="N63" i="12"/>
  <c r="O63" i="12" s="1"/>
  <c r="S63" i="12"/>
  <c r="AF63" i="12"/>
  <c r="AG63" i="12"/>
  <c r="N64" i="12"/>
  <c r="O64" i="12" s="1"/>
  <c r="S64" i="12"/>
  <c r="T64" i="12" s="1"/>
  <c r="AF64" i="12"/>
  <c r="AG64" i="12" s="1"/>
  <c r="N65" i="12"/>
  <c r="O65" i="12" s="1"/>
  <c r="S65" i="12"/>
  <c r="T65" i="12" s="1"/>
  <c r="AF65" i="12"/>
  <c r="AG65" i="12" s="1"/>
  <c r="N66" i="12"/>
  <c r="O66" i="12" s="1"/>
  <c r="S66" i="12"/>
  <c r="T66" i="12" s="1"/>
  <c r="AF66" i="12"/>
  <c r="AG66" i="12" s="1"/>
  <c r="N67" i="12"/>
  <c r="O67" i="12" s="1"/>
  <c r="S67" i="12"/>
  <c r="T67" i="12" s="1"/>
  <c r="AF67" i="12"/>
  <c r="AG67" i="12" s="1"/>
  <c r="N68" i="12"/>
  <c r="O68" i="12" s="1"/>
  <c r="S68" i="12"/>
  <c r="T68" i="12" s="1"/>
  <c r="AF68" i="12"/>
  <c r="AG68" i="12" s="1"/>
  <c r="N69" i="12"/>
  <c r="O69" i="12" s="1"/>
  <c r="S69" i="12"/>
  <c r="AF69" i="12"/>
  <c r="AG69" i="12" s="1"/>
  <c r="N70" i="12"/>
  <c r="O70" i="12" s="1"/>
  <c r="S70" i="12"/>
  <c r="T70" i="12" s="1"/>
  <c r="U70" i="12"/>
  <c r="AF70" i="12"/>
  <c r="AG70" i="12" s="1"/>
  <c r="N71" i="12"/>
  <c r="O71" i="12" s="1"/>
  <c r="S71" i="12"/>
  <c r="T71" i="12" s="1"/>
  <c r="AF71" i="12"/>
  <c r="AG71" i="12" s="1"/>
  <c r="N72" i="12"/>
  <c r="S72" i="12"/>
  <c r="T72" i="12"/>
  <c r="AF72" i="12"/>
  <c r="AG72" i="12" s="1"/>
  <c r="N73" i="12"/>
  <c r="O73" i="12" s="1"/>
  <c r="S73" i="12"/>
  <c r="T73" i="12" s="1"/>
  <c r="AF73" i="12"/>
  <c r="AG73" i="12" s="1"/>
  <c r="N74" i="12"/>
  <c r="O74" i="12" s="1"/>
  <c r="S74" i="12"/>
  <c r="T74" i="12" s="1"/>
  <c r="AF74" i="12"/>
  <c r="AG74" i="12" s="1"/>
  <c r="N75" i="12"/>
  <c r="O75" i="12" s="1"/>
  <c r="S75" i="12"/>
  <c r="T75" i="12" s="1"/>
  <c r="AF75" i="12"/>
  <c r="AG75" i="12" s="1"/>
  <c r="N76" i="12"/>
  <c r="O76" i="12" s="1"/>
  <c r="S76" i="12"/>
  <c r="AF76" i="12"/>
  <c r="AG76" i="12" s="1"/>
  <c r="N77" i="12"/>
  <c r="O77" i="12" s="1"/>
  <c r="S77" i="12"/>
  <c r="T77" i="12" s="1"/>
  <c r="AF77" i="12"/>
  <c r="AG77" i="12" s="1"/>
  <c r="N78" i="12"/>
  <c r="O78" i="12"/>
  <c r="S78" i="12"/>
  <c r="T78" i="12" s="1"/>
  <c r="U78" i="12"/>
  <c r="AF78" i="12"/>
  <c r="AG78" i="12" s="1"/>
  <c r="N79" i="12"/>
  <c r="O79" i="12" s="1"/>
  <c r="S79" i="12"/>
  <c r="T79" i="12" s="1"/>
  <c r="AF79" i="12"/>
  <c r="AG79" i="12" s="1"/>
  <c r="N80" i="12"/>
  <c r="O80" i="12" s="1"/>
  <c r="S80" i="12"/>
  <c r="AF80" i="12"/>
  <c r="AG80" i="12" s="1"/>
  <c r="N81" i="12"/>
  <c r="O81" i="12" s="1"/>
  <c r="S81" i="12"/>
  <c r="T81" i="12" s="1"/>
  <c r="AF81" i="12"/>
  <c r="AG81" i="12" s="1"/>
  <c r="N82" i="12"/>
  <c r="O82" i="12" s="1"/>
  <c r="S82" i="12"/>
  <c r="T82" i="12" s="1"/>
  <c r="AF82" i="12"/>
  <c r="AG82" i="12" s="1"/>
  <c r="N83" i="12"/>
  <c r="O83" i="12" s="1"/>
  <c r="S83" i="12"/>
  <c r="T83" i="12" s="1"/>
  <c r="AF83" i="12"/>
  <c r="AG83" i="12" s="1"/>
  <c r="N84" i="12"/>
  <c r="O84" i="12" s="1"/>
  <c r="S84" i="12"/>
  <c r="U84" i="12"/>
  <c r="AF84" i="12"/>
  <c r="AG84" i="12"/>
  <c r="N85" i="12"/>
  <c r="O85" i="12" s="1"/>
  <c r="S85" i="12"/>
  <c r="T85" i="12" s="1"/>
  <c r="U85" i="12"/>
  <c r="AF85" i="12"/>
  <c r="AG85" i="12" s="1"/>
  <c r="N86" i="12"/>
  <c r="O86" i="12" s="1"/>
  <c r="S86" i="12"/>
  <c r="T86" i="12" s="1"/>
  <c r="AF86" i="12"/>
  <c r="AG86" i="12" s="1"/>
  <c r="N87" i="12"/>
  <c r="O87" i="12" s="1"/>
  <c r="S87" i="12"/>
  <c r="T87" i="12" s="1"/>
  <c r="U87" i="12"/>
  <c r="AF87" i="12"/>
  <c r="AG87" i="12" s="1"/>
  <c r="N88" i="12"/>
  <c r="O88" i="12" s="1"/>
  <c r="S88" i="12"/>
  <c r="U88" i="12"/>
  <c r="AF88" i="12"/>
  <c r="AG88" i="12" s="1"/>
  <c r="N89" i="12"/>
  <c r="O89" i="12" s="1"/>
  <c r="S89" i="12"/>
  <c r="T89" i="12" s="1"/>
  <c r="U89" i="12"/>
  <c r="AF89" i="12"/>
  <c r="AG89" i="12" s="1"/>
  <c r="N90" i="12"/>
  <c r="O90" i="12" s="1"/>
  <c r="S90" i="12"/>
  <c r="T90" i="12" s="1"/>
  <c r="U90" i="12"/>
  <c r="AF90" i="12"/>
  <c r="AG90" i="12" s="1"/>
  <c r="N91" i="12"/>
  <c r="O91" i="12" s="1"/>
  <c r="S91" i="12"/>
  <c r="T91" i="12" s="1"/>
  <c r="U91" i="12"/>
  <c r="V91" i="12" s="1"/>
  <c r="Y91" i="12" s="1"/>
  <c r="AF91" i="12"/>
  <c r="AG91" i="12" s="1"/>
  <c r="N92" i="12"/>
  <c r="O92" i="12" s="1"/>
  <c r="S92" i="12"/>
  <c r="T92" i="12" s="1"/>
  <c r="AF92" i="12"/>
  <c r="AG92" i="12" s="1"/>
  <c r="N93" i="12"/>
  <c r="O93" i="12" s="1"/>
  <c r="S93" i="12"/>
  <c r="T93" i="12" s="1"/>
  <c r="U93" i="12"/>
  <c r="AF93" i="12"/>
  <c r="AG93" i="12" s="1"/>
  <c r="N94" i="12"/>
  <c r="O94" i="12" s="1"/>
  <c r="S94" i="12"/>
  <c r="T94" i="12" s="1"/>
  <c r="U94" i="12"/>
  <c r="AF94" i="12"/>
  <c r="AG94" i="12" s="1"/>
  <c r="N95" i="12"/>
  <c r="O95" i="12" s="1"/>
  <c r="S95" i="12"/>
  <c r="T95" i="12" s="1"/>
  <c r="U95" i="12"/>
  <c r="AF95" i="12"/>
  <c r="AG95" i="12" s="1"/>
  <c r="N96" i="12"/>
  <c r="O96" i="12"/>
  <c r="S96" i="12"/>
  <c r="T96" i="12" s="1"/>
  <c r="U96" i="12"/>
  <c r="AF96" i="12"/>
  <c r="AG96" i="12" s="1"/>
  <c r="N97" i="12"/>
  <c r="S97" i="12"/>
  <c r="T97" i="12"/>
  <c r="AF97" i="12"/>
  <c r="AG97" i="12" s="1"/>
  <c r="N98" i="12"/>
  <c r="O98" i="12" s="1"/>
  <c r="S98" i="12"/>
  <c r="T98" i="12" s="1"/>
  <c r="AF98" i="12"/>
  <c r="AG98" i="12" s="1"/>
  <c r="N99" i="12"/>
  <c r="S99" i="12"/>
  <c r="T99" i="12" s="1"/>
  <c r="U99" i="12"/>
  <c r="AF99" i="12"/>
  <c r="AG99" i="12" s="1"/>
  <c r="N100" i="12"/>
  <c r="O100" i="12" s="1"/>
  <c r="S100" i="12"/>
  <c r="U100" i="12"/>
  <c r="AF100" i="12"/>
  <c r="AG100" i="12" s="1"/>
  <c r="N101" i="12"/>
  <c r="O101" i="12"/>
  <c r="S101" i="12"/>
  <c r="T101" i="12" s="1"/>
  <c r="AF101" i="12"/>
  <c r="AG101" i="12" s="1"/>
  <c r="N102" i="12"/>
  <c r="S102" i="12"/>
  <c r="V102" i="12" s="1"/>
  <c r="Y102" i="12" s="1"/>
  <c r="T102" i="12"/>
  <c r="U102" i="12"/>
  <c r="AF102" i="12"/>
  <c r="AG102" i="12"/>
  <c r="N103" i="12"/>
  <c r="O103" i="12"/>
  <c r="S103" i="12"/>
  <c r="T103" i="12" s="1"/>
  <c r="U103" i="12"/>
  <c r="AF103" i="12"/>
  <c r="AG103" i="12" s="1"/>
  <c r="N104" i="12"/>
  <c r="O104" i="12" s="1"/>
  <c r="S104" i="12"/>
  <c r="U104" i="12"/>
  <c r="AF104" i="12"/>
  <c r="AG104" i="12" s="1"/>
  <c r="N105" i="12"/>
  <c r="O105" i="12"/>
  <c r="S105" i="12"/>
  <c r="U105" i="12"/>
  <c r="AF105" i="12"/>
  <c r="AG105" i="12" s="1"/>
  <c r="N106" i="12"/>
  <c r="S106" i="12"/>
  <c r="T106" i="12" s="1"/>
  <c r="U106" i="12"/>
  <c r="AF106" i="12"/>
  <c r="AG106" i="12"/>
  <c r="N107" i="12"/>
  <c r="O107" i="12"/>
  <c r="S107" i="12"/>
  <c r="T107" i="12" s="1"/>
  <c r="U107" i="12"/>
  <c r="AF107" i="12"/>
  <c r="AG107" i="12" s="1"/>
  <c r="N108" i="12"/>
  <c r="O108" i="12" s="1"/>
  <c r="S108" i="12"/>
  <c r="U108" i="12"/>
  <c r="AF108" i="12"/>
  <c r="AG108" i="12" s="1"/>
  <c r="N109" i="12"/>
  <c r="O109" i="12" s="1"/>
  <c r="S109" i="12"/>
  <c r="U109" i="12"/>
  <c r="AF109" i="12"/>
  <c r="AG109" i="12"/>
  <c r="N110" i="12"/>
  <c r="S110" i="12"/>
  <c r="T110" i="12" s="1"/>
  <c r="U110" i="12"/>
  <c r="AF110" i="12"/>
  <c r="AG110" i="12" s="1"/>
  <c r="N111" i="12"/>
  <c r="O111" i="12"/>
  <c r="S111" i="12"/>
  <c r="T111" i="12" s="1"/>
  <c r="U111" i="12"/>
  <c r="V111" i="12" s="1"/>
  <c r="Y111" i="12" s="1"/>
  <c r="AF111" i="12"/>
  <c r="AG111" i="12" s="1"/>
  <c r="N112" i="12"/>
  <c r="O112" i="12" s="1"/>
  <c r="S112" i="12"/>
  <c r="U112" i="12"/>
  <c r="AF112" i="12"/>
  <c r="AG112" i="12" s="1"/>
  <c r="N113" i="12"/>
  <c r="O113" i="12" s="1"/>
  <c r="S113" i="12"/>
  <c r="T113" i="12" s="1"/>
  <c r="U113" i="12"/>
  <c r="AF113" i="12"/>
  <c r="AG113" i="12" s="1"/>
  <c r="N114" i="12"/>
  <c r="S114" i="12"/>
  <c r="T114" i="12" s="1"/>
  <c r="U114" i="12"/>
  <c r="AF114" i="12"/>
  <c r="AG114" i="12" s="1"/>
  <c r="N115" i="12"/>
  <c r="O115" i="12" s="1"/>
  <c r="S115" i="12"/>
  <c r="T115" i="12" s="1"/>
  <c r="U115" i="12"/>
  <c r="AF115" i="12"/>
  <c r="AG115" i="12" s="1"/>
  <c r="N116" i="12"/>
  <c r="O116" i="12" s="1"/>
  <c r="S116" i="12"/>
  <c r="U116" i="12"/>
  <c r="AF116" i="12"/>
  <c r="AG116" i="12" s="1"/>
  <c r="N117" i="12"/>
  <c r="O117" i="12" s="1"/>
  <c r="S117" i="12"/>
  <c r="T117" i="12"/>
  <c r="U117" i="12"/>
  <c r="AF117" i="12"/>
  <c r="AG117" i="12" s="1"/>
  <c r="N118" i="12"/>
  <c r="S118" i="12"/>
  <c r="T118" i="12" s="1"/>
  <c r="U118" i="12"/>
  <c r="AF118" i="12"/>
  <c r="AG118" i="12" s="1"/>
  <c r="N119" i="12"/>
  <c r="O119" i="12" s="1"/>
  <c r="S119" i="12"/>
  <c r="T119" i="12" s="1"/>
  <c r="U119" i="12"/>
  <c r="AF119" i="12"/>
  <c r="AG119" i="12" s="1"/>
  <c r="N120" i="12"/>
  <c r="S120" i="12"/>
  <c r="U120" i="12"/>
  <c r="AF120" i="12"/>
  <c r="AG120" i="12" s="1"/>
  <c r="N121" i="12"/>
  <c r="O121" i="12" s="1"/>
  <c r="S121" i="12"/>
  <c r="T121" i="12" s="1"/>
  <c r="U121" i="12"/>
  <c r="AF121" i="12"/>
  <c r="AG121" i="12" s="1"/>
  <c r="N122" i="12"/>
  <c r="S122" i="12"/>
  <c r="U122" i="12"/>
  <c r="AF122" i="12"/>
  <c r="AG122" i="12" s="1"/>
  <c r="N123" i="12"/>
  <c r="O123" i="12" s="1"/>
  <c r="S123" i="12"/>
  <c r="T123" i="12" s="1"/>
  <c r="U123" i="12"/>
  <c r="AF123" i="12"/>
  <c r="AG123" i="12" s="1"/>
  <c r="N124" i="12"/>
  <c r="O124" i="12" s="1"/>
  <c r="S124" i="12"/>
  <c r="U124" i="12"/>
  <c r="AF124" i="12"/>
  <c r="AG124" i="12" s="1"/>
  <c r="N125" i="12"/>
  <c r="O125" i="12" s="1"/>
  <c r="S125" i="12"/>
  <c r="U125" i="12"/>
  <c r="AF125" i="12"/>
  <c r="AG125" i="12" s="1"/>
  <c r="N126" i="12"/>
  <c r="O126" i="12" s="1"/>
  <c r="S126" i="12"/>
  <c r="T126" i="12" s="1"/>
  <c r="U126" i="12"/>
  <c r="V126" i="12" s="1"/>
  <c r="Y126" i="12" s="1"/>
  <c r="AF126" i="12"/>
  <c r="AG126" i="12" s="1"/>
  <c r="N127" i="12"/>
  <c r="O127" i="12" s="1"/>
  <c r="S127" i="12"/>
  <c r="V127" i="12" s="1"/>
  <c r="Y127" i="12" s="1"/>
  <c r="U127" i="12"/>
  <c r="AF127" i="12"/>
  <c r="AG127" i="12" s="1"/>
  <c r="N128" i="12"/>
  <c r="S128" i="12"/>
  <c r="T128" i="12" s="1"/>
  <c r="U128" i="12"/>
  <c r="AF128" i="12"/>
  <c r="AG128" i="12" s="1"/>
  <c r="N129" i="12"/>
  <c r="O129" i="12"/>
  <c r="S129" i="12"/>
  <c r="U129" i="12"/>
  <c r="AF129" i="12"/>
  <c r="AG129" i="12"/>
  <c r="N130" i="12"/>
  <c r="O130" i="12" s="1"/>
  <c r="S130" i="12"/>
  <c r="T130" i="12" s="1"/>
  <c r="U130" i="12"/>
  <c r="AF130" i="12"/>
  <c r="AG130" i="12" s="1"/>
  <c r="N131" i="12"/>
  <c r="O131" i="12" s="1"/>
  <c r="S131" i="12"/>
  <c r="T131" i="12" s="1"/>
  <c r="U131" i="12"/>
  <c r="AF131" i="12"/>
  <c r="AG131" i="12" s="1"/>
  <c r="N132" i="12"/>
  <c r="O132" i="12" s="1"/>
  <c r="S132" i="12"/>
  <c r="T132" i="12" s="1"/>
  <c r="U132" i="12"/>
  <c r="AF132" i="12"/>
  <c r="AG132" i="12" s="1"/>
  <c r="N133" i="12"/>
  <c r="O133" i="12" s="1"/>
  <c r="S133" i="12"/>
  <c r="T133" i="12" s="1"/>
  <c r="U133" i="12"/>
  <c r="AF133" i="12"/>
  <c r="AG133" i="12" s="1"/>
  <c r="N134" i="12"/>
  <c r="O134" i="12" s="1"/>
  <c r="S134" i="12"/>
  <c r="V134" i="12" s="1"/>
  <c r="Y134" i="12" s="1"/>
  <c r="U134" i="12"/>
  <c r="AF134" i="12"/>
  <c r="AG134" i="12" s="1"/>
  <c r="N135" i="12"/>
  <c r="O135" i="12" s="1"/>
  <c r="S135" i="12"/>
  <c r="T135" i="12" s="1"/>
  <c r="U135" i="12"/>
  <c r="AF135" i="12"/>
  <c r="AG135" i="12" s="1"/>
  <c r="N136" i="12"/>
  <c r="O136" i="12" s="1"/>
  <c r="S136" i="12"/>
  <c r="T136" i="12" s="1"/>
  <c r="U136" i="12"/>
  <c r="AF136" i="12"/>
  <c r="AG136" i="12" s="1"/>
  <c r="N137" i="12"/>
  <c r="O137" i="12" s="1"/>
  <c r="S137" i="12"/>
  <c r="T137" i="12" s="1"/>
  <c r="U137" i="12"/>
  <c r="AF137" i="12"/>
  <c r="AG137" i="12" s="1"/>
  <c r="N138" i="12"/>
  <c r="O138" i="12" s="1"/>
  <c r="S138" i="12"/>
  <c r="V138" i="12" s="1"/>
  <c r="Y138" i="12" s="1"/>
  <c r="U138" i="12"/>
  <c r="AF138" i="12"/>
  <c r="AG138" i="12" s="1"/>
  <c r="N139" i="12"/>
  <c r="O139" i="12" s="1"/>
  <c r="S139" i="12"/>
  <c r="T139" i="12" s="1"/>
  <c r="U139" i="12"/>
  <c r="AF139" i="12"/>
  <c r="AG139" i="12" s="1"/>
  <c r="N140" i="12"/>
  <c r="O140" i="12" s="1"/>
  <c r="S140" i="12"/>
  <c r="T140" i="12" s="1"/>
  <c r="U140" i="12"/>
  <c r="AF140" i="12"/>
  <c r="AG140" i="12" s="1"/>
  <c r="N141" i="12"/>
  <c r="O141" i="12" s="1"/>
  <c r="S141" i="12"/>
  <c r="T141" i="12" s="1"/>
  <c r="U141" i="12"/>
  <c r="AF141" i="12"/>
  <c r="AG141" i="12" s="1"/>
  <c r="N142" i="12"/>
  <c r="O142" i="12" s="1"/>
  <c r="S142" i="12"/>
  <c r="V142" i="12" s="1"/>
  <c r="Y142" i="12" s="1"/>
  <c r="T142" i="12"/>
  <c r="U142" i="12"/>
  <c r="AF142" i="12"/>
  <c r="AG142" i="12" s="1"/>
  <c r="N143" i="12"/>
  <c r="O143" i="12" s="1"/>
  <c r="S143" i="12"/>
  <c r="T143" i="12" s="1"/>
  <c r="U143" i="12"/>
  <c r="AF143" i="12"/>
  <c r="AG143" i="12" s="1"/>
  <c r="N144" i="12"/>
  <c r="O144" i="12" s="1"/>
  <c r="S144" i="12"/>
  <c r="T144" i="12" s="1"/>
  <c r="U144" i="12"/>
  <c r="AF144" i="12"/>
  <c r="AG144" i="12" s="1"/>
  <c r="N145" i="12"/>
  <c r="O145" i="12" s="1"/>
  <c r="S145" i="12"/>
  <c r="U145" i="12"/>
  <c r="AF145" i="12"/>
  <c r="AG145" i="12" s="1"/>
  <c r="N146" i="12"/>
  <c r="O146" i="12" s="1"/>
  <c r="S146" i="12"/>
  <c r="T146" i="12" s="1"/>
  <c r="U146" i="12"/>
  <c r="AF146" i="12"/>
  <c r="AG146" i="12" s="1"/>
  <c r="N147" i="12"/>
  <c r="O147" i="12" s="1"/>
  <c r="S147" i="12"/>
  <c r="T147" i="12" s="1"/>
  <c r="U147" i="12"/>
  <c r="AF147" i="12"/>
  <c r="AG147" i="12" s="1"/>
  <c r="N148" i="12"/>
  <c r="O148" i="12" s="1"/>
  <c r="S148" i="12"/>
  <c r="U148" i="12"/>
  <c r="AF148" i="12"/>
  <c r="AG148" i="12" s="1"/>
  <c r="N149" i="12"/>
  <c r="O149" i="12" s="1"/>
  <c r="S149" i="12"/>
  <c r="T149" i="12" s="1"/>
  <c r="U149" i="12"/>
  <c r="AF149" i="12"/>
  <c r="AG149" i="12" s="1"/>
  <c r="N150" i="12"/>
  <c r="S150" i="12"/>
  <c r="T150" i="12" s="1"/>
  <c r="U150" i="12"/>
  <c r="AF150" i="12"/>
  <c r="AG150" i="12" s="1"/>
  <c r="N151" i="12"/>
  <c r="O151" i="12" s="1"/>
  <c r="S151" i="12"/>
  <c r="T151" i="12" s="1"/>
  <c r="U151" i="12"/>
  <c r="AF151" i="12"/>
  <c r="AG151" i="12" s="1"/>
  <c r="N152" i="12"/>
  <c r="O152" i="12" s="1"/>
  <c r="S152" i="12"/>
  <c r="U152" i="12"/>
  <c r="AF152" i="12"/>
  <c r="AG152" i="12" s="1"/>
  <c r="N153" i="12"/>
  <c r="O153" i="12" s="1"/>
  <c r="S153" i="12"/>
  <c r="T153" i="12" s="1"/>
  <c r="U153" i="12"/>
  <c r="AF153" i="12"/>
  <c r="AG153" i="12" s="1"/>
  <c r="N154" i="12"/>
  <c r="S154" i="12"/>
  <c r="T154" i="12" s="1"/>
  <c r="U154" i="12"/>
  <c r="AF154" i="12"/>
  <c r="AG154" i="12" s="1"/>
  <c r="N155" i="12"/>
  <c r="S155" i="12"/>
  <c r="T155" i="12" s="1"/>
  <c r="U155" i="12"/>
  <c r="AF155" i="12"/>
  <c r="AG155" i="12" s="1"/>
  <c r="N156" i="12"/>
  <c r="O156" i="12" s="1"/>
  <c r="S156" i="12"/>
  <c r="U156" i="12"/>
  <c r="AF156" i="12"/>
  <c r="AG156" i="12" s="1"/>
  <c r="N157" i="12"/>
  <c r="O157" i="12" s="1"/>
  <c r="S157" i="12"/>
  <c r="U157" i="12"/>
  <c r="AF157" i="12"/>
  <c r="AG157" i="12" s="1"/>
  <c r="N158" i="12"/>
  <c r="S158" i="12"/>
  <c r="T158" i="12" s="1"/>
  <c r="U158" i="12"/>
  <c r="AF158" i="12"/>
  <c r="AG158" i="12" s="1"/>
  <c r="N159" i="12"/>
  <c r="O159" i="12" s="1"/>
  <c r="S159" i="12"/>
  <c r="T159" i="12" s="1"/>
  <c r="U159" i="12"/>
  <c r="AF159" i="12"/>
  <c r="AG159" i="12" s="1"/>
  <c r="N160" i="12"/>
  <c r="O160" i="12" s="1"/>
  <c r="S160" i="12"/>
  <c r="U160" i="12"/>
  <c r="AF160" i="12"/>
  <c r="AG160" i="12" s="1"/>
  <c r="N161" i="12"/>
  <c r="O161" i="12" s="1"/>
  <c r="S161" i="12"/>
  <c r="T161" i="12" s="1"/>
  <c r="U161" i="12"/>
  <c r="AF161" i="12"/>
  <c r="AG161" i="12" s="1"/>
  <c r="N162" i="12"/>
  <c r="S162" i="12"/>
  <c r="T162" i="12"/>
  <c r="U162" i="12"/>
  <c r="AF162" i="12"/>
  <c r="AG162" i="12" s="1"/>
  <c r="N163" i="12"/>
  <c r="O163" i="12" s="1"/>
  <c r="S163" i="12"/>
  <c r="T163" i="12" s="1"/>
  <c r="U163" i="12"/>
  <c r="AF163" i="12"/>
  <c r="AG163" i="12" s="1"/>
  <c r="N164" i="12"/>
  <c r="S164" i="12"/>
  <c r="U164" i="12"/>
  <c r="AF164" i="12"/>
  <c r="AG164" i="12" s="1"/>
  <c r="N165" i="12"/>
  <c r="O165" i="12" s="1"/>
  <c r="S165" i="12"/>
  <c r="T165" i="12" s="1"/>
  <c r="U165" i="12"/>
  <c r="AF165" i="12"/>
  <c r="AG165" i="12" s="1"/>
  <c r="N166" i="12"/>
  <c r="O166" i="12" s="1"/>
  <c r="S166" i="12"/>
  <c r="T166" i="12" s="1"/>
  <c r="U166" i="12"/>
  <c r="AF166" i="12"/>
  <c r="AG166" i="12" s="1"/>
  <c r="N167" i="12"/>
  <c r="O167" i="12"/>
  <c r="S167" i="12"/>
  <c r="T167" i="12" s="1"/>
  <c r="U167" i="12"/>
  <c r="AF167" i="12"/>
  <c r="AG167" i="12" s="1"/>
  <c r="N168" i="12"/>
  <c r="O168" i="12" s="1"/>
  <c r="S168" i="12"/>
  <c r="T168" i="12" s="1"/>
  <c r="U168" i="12"/>
  <c r="AF168" i="12"/>
  <c r="AG168" i="12" s="1"/>
  <c r="N169" i="12"/>
  <c r="O169" i="12" s="1"/>
  <c r="S169" i="12"/>
  <c r="U169" i="12"/>
  <c r="AF169" i="12"/>
  <c r="AG169" i="12" s="1"/>
  <c r="N170" i="12"/>
  <c r="O170" i="12" s="1"/>
  <c r="S170" i="12"/>
  <c r="T170" i="12" s="1"/>
  <c r="U170" i="12"/>
  <c r="AF170" i="12"/>
  <c r="AG170" i="12" s="1"/>
  <c r="N171" i="12"/>
  <c r="O171" i="12" s="1"/>
  <c r="S171" i="12"/>
  <c r="T171" i="12" s="1"/>
  <c r="U171" i="12"/>
  <c r="AF171" i="12"/>
  <c r="AG171" i="12" s="1"/>
  <c r="N172" i="12"/>
  <c r="S172" i="12"/>
  <c r="T172" i="12" s="1"/>
  <c r="U172" i="12"/>
  <c r="AF172" i="12"/>
  <c r="AG172" i="12" s="1"/>
  <c r="N173" i="12"/>
  <c r="O173" i="12" s="1"/>
  <c r="S173" i="12"/>
  <c r="U173" i="12"/>
  <c r="AF173" i="12"/>
  <c r="AG173" i="12" s="1"/>
  <c r="N174" i="12"/>
  <c r="O174" i="12" s="1"/>
  <c r="S174" i="12"/>
  <c r="T174" i="12" s="1"/>
  <c r="U174" i="12"/>
  <c r="AF174" i="12"/>
  <c r="AG174" i="12" s="1"/>
  <c r="N175" i="12"/>
  <c r="O175" i="12" s="1"/>
  <c r="S175" i="12"/>
  <c r="V175" i="12" s="1"/>
  <c r="Y175" i="12" s="1"/>
  <c r="U175" i="12"/>
  <c r="AF175" i="12"/>
  <c r="AG175" i="12" s="1"/>
  <c r="N176" i="12"/>
  <c r="S176" i="12"/>
  <c r="T176" i="12" s="1"/>
  <c r="U176" i="12"/>
  <c r="AF176" i="12"/>
  <c r="AG176" i="12" s="1"/>
  <c r="N177" i="12"/>
  <c r="O177" i="12" s="1"/>
  <c r="S177" i="12"/>
  <c r="U177" i="12"/>
  <c r="AF177" i="12"/>
  <c r="AG177" i="12" s="1"/>
  <c r="N178" i="12"/>
  <c r="O178" i="12" s="1"/>
  <c r="S178" i="12"/>
  <c r="T178" i="12" s="1"/>
  <c r="U178" i="12"/>
  <c r="AF178" i="12"/>
  <c r="AG178" i="12" s="1"/>
  <c r="N179" i="12"/>
  <c r="O179" i="12" s="1"/>
  <c r="S179" i="12"/>
  <c r="U179" i="12"/>
  <c r="AF179" i="12"/>
  <c r="AG179" i="12" s="1"/>
  <c r="N180" i="12"/>
  <c r="O180" i="12" s="1"/>
  <c r="S180" i="12"/>
  <c r="T180" i="12" s="1"/>
  <c r="U180" i="12"/>
  <c r="AF180" i="12"/>
  <c r="AG180" i="12" s="1"/>
  <c r="N181" i="12"/>
  <c r="O181" i="12"/>
  <c r="S181" i="12"/>
  <c r="U181" i="12"/>
  <c r="AF181" i="12"/>
  <c r="AG181" i="12" s="1"/>
  <c r="N182" i="12"/>
  <c r="O182" i="12" s="1"/>
  <c r="S182" i="12"/>
  <c r="V182" i="12" s="1"/>
  <c r="Y182" i="12" s="1"/>
  <c r="T182" i="12"/>
  <c r="U182" i="12"/>
  <c r="AF182" i="12"/>
  <c r="AG182" i="12" s="1"/>
  <c r="N183" i="12"/>
  <c r="O183" i="12" s="1"/>
  <c r="S183" i="12"/>
  <c r="T183" i="12" s="1"/>
  <c r="U183" i="12"/>
  <c r="AF183" i="12"/>
  <c r="AG183" i="12" s="1"/>
  <c r="N184" i="12"/>
  <c r="O184" i="12" s="1"/>
  <c r="S184" i="12"/>
  <c r="T184" i="12" s="1"/>
  <c r="U184" i="12"/>
  <c r="AF184" i="12"/>
  <c r="AG184" i="12" s="1"/>
  <c r="N185" i="12"/>
  <c r="O185" i="12" s="1"/>
  <c r="S185" i="12"/>
  <c r="T185" i="12"/>
  <c r="U185" i="12"/>
  <c r="AF185" i="12"/>
  <c r="AG185" i="12" s="1"/>
  <c r="N186" i="12"/>
  <c r="O186" i="12" s="1"/>
  <c r="S186" i="12"/>
  <c r="T186" i="12" s="1"/>
  <c r="U186" i="12"/>
  <c r="AF186" i="12"/>
  <c r="AG186" i="12"/>
  <c r="N187" i="12"/>
  <c r="O187" i="12" s="1"/>
  <c r="S187" i="12"/>
  <c r="T187" i="12" s="1"/>
  <c r="U187" i="12"/>
  <c r="AF187" i="12"/>
  <c r="AG187" i="12" s="1"/>
  <c r="K10" i="12"/>
  <c r="D10" i="12"/>
  <c r="C53" i="36"/>
  <c r="E53" i="36"/>
  <c r="D53" i="36"/>
  <c r="F53" i="36"/>
  <c r="V107" i="12" l="1"/>
  <c r="V178" i="12"/>
  <c r="Y178" i="12" s="1"/>
  <c r="V105" i="12"/>
  <c r="Y105" i="12" s="1"/>
  <c r="V13" i="12"/>
  <c r="V48" i="12"/>
  <c r="Y48" i="12" s="1"/>
  <c r="T134" i="12"/>
  <c r="V162" i="12"/>
  <c r="Y162" i="12" s="1"/>
  <c r="V106" i="12"/>
  <c r="Y106" i="12" s="1"/>
  <c r="V88" i="12"/>
  <c r="Y88" i="12" s="1"/>
  <c r="V78" i="12"/>
  <c r="Y78" i="12" s="1"/>
  <c r="V93" i="12"/>
  <c r="Y93" i="12" s="1"/>
  <c r="V170" i="12"/>
  <c r="Y170" i="12" s="1"/>
  <c r="V122" i="12"/>
  <c r="Y122" i="12" s="1"/>
  <c r="V103" i="12"/>
  <c r="V31" i="12"/>
  <c r="Y31" i="12" s="1"/>
  <c r="N19" i="37"/>
  <c r="L19" i="37"/>
  <c r="P27" i="37" s="1"/>
  <c r="M21" i="37"/>
  <c r="L21" i="37"/>
  <c r="N21" i="37"/>
  <c r="N17" i="37"/>
  <c r="M17" i="37"/>
  <c r="L17" i="37"/>
  <c r="D7" i="36"/>
  <c r="C7" i="36"/>
  <c r="A44" i="36" s="1"/>
  <c r="F7" i="36"/>
  <c r="E7" i="36"/>
  <c r="K17" i="36"/>
  <c r="L17" i="36" s="1"/>
  <c r="L21" i="36"/>
  <c r="M21" i="36"/>
  <c r="L19" i="36"/>
  <c r="N19" i="36"/>
  <c r="M19" i="36"/>
  <c r="J22" i="36"/>
  <c r="I22" i="36"/>
  <c r="V185" i="12"/>
  <c r="Y185" i="12" s="1"/>
  <c r="V176" i="12"/>
  <c r="Y176" i="12" s="1"/>
  <c r="V174" i="12"/>
  <c r="Y174" i="12" s="1"/>
  <c r="V169" i="12"/>
  <c r="Y169" i="12" s="1"/>
  <c r="V154" i="12"/>
  <c r="Y154" i="12" s="1"/>
  <c r="V147" i="12"/>
  <c r="Y147" i="12" s="1"/>
  <c r="V139" i="12"/>
  <c r="Y139" i="12" s="1"/>
  <c r="T105" i="12"/>
  <c r="V84" i="12"/>
  <c r="Y84" i="12" s="1"/>
  <c r="U76" i="12"/>
  <c r="V76" i="12" s="1"/>
  <c r="Y76" i="12" s="1"/>
  <c r="U68" i="12"/>
  <c r="V68" i="12" s="1"/>
  <c r="Y68" i="12" s="1"/>
  <c r="U62" i="12"/>
  <c r="U20" i="12"/>
  <c r="U18" i="12"/>
  <c r="V18" i="12" s="1"/>
  <c r="Y18" i="12" s="1"/>
  <c r="U16" i="12"/>
  <c r="U11" i="12"/>
  <c r="V109" i="12"/>
  <c r="Y109" i="12" s="1"/>
  <c r="V179" i="12"/>
  <c r="Y179" i="12" s="1"/>
  <c r="V155" i="12"/>
  <c r="Y155" i="12" s="1"/>
  <c r="V135" i="12"/>
  <c r="Y135" i="12" s="1"/>
  <c r="U92" i="12"/>
  <c r="V92" i="12" s="1"/>
  <c r="Y92" i="12" s="1"/>
  <c r="U83" i="12"/>
  <c r="V83" i="12" s="1"/>
  <c r="Y83" i="12" s="1"/>
  <c r="U79" i="12"/>
  <c r="U73" i="12"/>
  <c r="V73" i="12" s="1"/>
  <c r="Y73" i="12" s="1"/>
  <c r="U71" i="12"/>
  <c r="V71" i="12" s="1"/>
  <c r="Y71" i="12" s="1"/>
  <c r="U57" i="12"/>
  <c r="V57" i="12" s="1"/>
  <c r="Y57" i="12" s="1"/>
  <c r="U55" i="12"/>
  <c r="U45" i="12"/>
  <c r="U37" i="12"/>
  <c r="V37" i="12" s="1"/>
  <c r="Y37" i="12" s="1"/>
  <c r="V146" i="12"/>
  <c r="Y146" i="12" s="1"/>
  <c r="V128" i="12"/>
  <c r="Y128" i="12" s="1"/>
  <c r="V95" i="12"/>
  <c r="Y95" i="12" s="1"/>
  <c r="U81" i="12"/>
  <c r="V81" i="12" s="1"/>
  <c r="Y81" i="12" s="1"/>
  <c r="U75" i="12"/>
  <c r="V75" i="12" s="1"/>
  <c r="Y75" i="12" s="1"/>
  <c r="U69" i="12"/>
  <c r="V69" i="12" s="1"/>
  <c r="Y69" i="12" s="1"/>
  <c r="U67" i="12"/>
  <c r="V67" i="12" s="1"/>
  <c r="Y67" i="12" s="1"/>
  <c r="U65" i="12"/>
  <c r="V65" i="12" s="1"/>
  <c r="Y65" i="12" s="1"/>
  <c r="U63" i="12"/>
  <c r="V63" i="12" s="1"/>
  <c r="Y63" i="12" s="1"/>
  <c r="U61" i="12"/>
  <c r="U51" i="12"/>
  <c r="V51" i="12" s="1"/>
  <c r="Y51" i="12" s="1"/>
  <c r="V25" i="12"/>
  <c r="Y25" i="12" s="1"/>
  <c r="V24" i="12"/>
  <c r="Y24" i="12" s="1"/>
  <c r="V23" i="12"/>
  <c r="Y23" i="12" s="1"/>
  <c r="V22" i="12"/>
  <c r="Y22" i="12" s="1"/>
  <c r="U21" i="12"/>
  <c r="U19" i="12"/>
  <c r="U17" i="12"/>
  <c r="V17" i="12" s="1"/>
  <c r="Y17" i="12" s="1"/>
  <c r="V90" i="12"/>
  <c r="Y90" i="12" s="1"/>
  <c r="V35" i="12"/>
  <c r="Y35" i="12" s="1"/>
  <c r="V26" i="12"/>
  <c r="Y26" i="12" s="1"/>
  <c r="T138" i="12"/>
  <c r="Y103" i="12"/>
  <c r="V181" i="12"/>
  <c r="Y181" i="12" s="1"/>
  <c r="V173" i="12"/>
  <c r="Y173" i="12" s="1"/>
  <c r="V167" i="12"/>
  <c r="Y167" i="12" s="1"/>
  <c r="V143" i="12"/>
  <c r="Y143" i="12" s="1"/>
  <c r="V141" i="12"/>
  <c r="Y141" i="12" s="1"/>
  <c r="V125" i="12"/>
  <c r="Y125" i="12" s="1"/>
  <c r="Y107" i="12"/>
  <c r="V89" i="12"/>
  <c r="Y89" i="12" s="1"/>
  <c r="U86" i="12"/>
  <c r="V86" i="12" s="1"/>
  <c r="Y86" i="12" s="1"/>
  <c r="U82" i="12"/>
  <c r="V82" i="12" s="1"/>
  <c r="Y82" i="12" s="1"/>
  <c r="V79" i="12"/>
  <c r="Y79" i="12" s="1"/>
  <c r="U74" i="12"/>
  <c r="V74" i="12" s="1"/>
  <c r="Y74" i="12" s="1"/>
  <c r="U64" i="12"/>
  <c r="V64" i="12" s="1"/>
  <c r="Y64" i="12" s="1"/>
  <c r="U59" i="12"/>
  <c r="V59" i="12" s="1"/>
  <c r="Y59" i="12" s="1"/>
  <c r="U49" i="12"/>
  <c r="V49" i="12" s="1"/>
  <c r="Y49" i="12" s="1"/>
  <c r="V29" i="12"/>
  <c r="Y29" i="12" s="1"/>
  <c r="U28" i="12"/>
  <c r="V28" i="12" s="1"/>
  <c r="Y28" i="12" s="1"/>
  <c r="U27" i="12"/>
  <c r="V27" i="12" s="1"/>
  <c r="Y27" i="12" s="1"/>
  <c r="U12" i="12"/>
  <c r="V12" i="12" s="1"/>
  <c r="Y12" i="12" s="1"/>
  <c r="V11" i="12"/>
  <c r="Y11" i="12" s="1"/>
  <c r="V137" i="12"/>
  <c r="Y137" i="12" s="1"/>
  <c r="V133" i="12"/>
  <c r="Y133" i="12" s="1"/>
  <c r="V157" i="12"/>
  <c r="Y157" i="12" s="1"/>
  <c r="V131" i="12"/>
  <c r="Y131" i="12" s="1"/>
  <c r="V130" i="12"/>
  <c r="Y130" i="12" s="1"/>
  <c r="V129" i="12"/>
  <c r="Y129" i="12" s="1"/>
  <c r="V114" i="12"/>
  <c r="Y114" i="12" s="1"/>
  <c r="V52" i="12"/>
  <c r="Y52" i="12" s="1"/>
  <c r="V145" i="12"/>
  <c r="Y145" i="12" s="1"/>
  <c r="V177" i="12"/>
  <c r="Y177" i="12" s="1"/>
  <c r="V149" i="12"/>
  <c r="Y149" i="12" s="1"/>
  <c r="V16" i="12"/>
  <c r="Y16" i="12" s="1"/>
  <c r="Y13" i="12"/>
  <c r="V150" i="12"/>
  <c r="Y150" i="12" s="1"/>
  <c r="V115" i="12"/>
  <c r="Y115" i="12" s="1"/>
  <c r="V187" i="12"/>
  <c r="Y187" i="12" s="1"/>
  <c r="V180" i="12"/>
  <c r="Y180" i="12" s="1"/>
  <c r="V172" i="12"/>
  <c r="Y172" i="12" s="1"/>
  <c r="V158" i="12"/>
  <c r="Y158" i="12" s="1"/>
  <c r="T127" i="12"/>
  <c r="V118" i="12"/>
  <c r="Y118" i="12" s="1"/>
  <c r="U101" i="12"/>
  <c r="V101" i="12" s="1"/>
  <c r="Y101" i="12" s="1"/>
  <c r="U98" i="12"/>
  <c r="V98" i="12" s="1"/>
  <c r="Y98" i="12" s="1"/>
  <c r="U97" i="12"/>
  <c r="V97" i="12" s="1"/>
  <c r="Y97" i="12" s="1"/>
  <c r="V96" i="12"/>
  <c r="Y96" i="12" s="1"/>
  <c r="T84" i="12"/>
  <c r="U80" i="12"/>
  <c r="V80" i="12" s="1"/>
  <c r="Y80" i="12" s="1"/>
  <c r="U77" i="12"/>
  <c r="V77" i="12" s="1"/>
  <c r="Y77" i="12" s="1"/>
  <c r="T76" i="12"/>
  <c r="U72" i="12"/>
  <c r="V72" i="12" s="1"/>
  <c r="Y72" i="12" s="1"/>
  <c r="U66" i="12"/>
  <c r="V66" i="12" s="1"/>
  <c r="Y66" i="12" s="1"/>
  <c r="U60" i="12"/>
  <c r="V60" i="12" s="1"/>
  <c r="Y60" i="12" s="1"/>
  <c r="U53" i="12"/>
  <c r="V53" i="12" s="1"/>
  <c r="Y53" i="12" s="1"/>
  <c r="U50" i="12"/>
  <c r="V50" i="12" s="1"/>
  <c r="Y50" i="12" s="1"/>
  <c r="V47" i="12"/>
  <c r="Y47" i="12" s="1"/>
  <c r="V45" i="12"/>
  <c r="Y45" i="12" s="1"/>
  <c r="U44" i="12"/>
  <c r="V44" i="12" s="1"/>
  <c r="Y44" i="12" s="1"/>
  <c r="V43" i="12"/>
  <c r="Y43" i="12" s="1"/>
  <c r="V41" i="12"/>
  <c r="Y41" i="12" s="1"/>
  <c r="U40" i="12"/>
  <c r="V40" i="12" s="1"/>
  <c r="Y40" i="12" s="1"/>
  <c r="V39" i="12"/>
  <c r="Y39" i="12" s="1"/>
  <c r="U36" i="12"/>
  <c r="V36" i="12" s="1"/>
  <c r="Y36" i="12" s="1"/>
  <c r="V33" i="12"/>
  <c r="Y33" i="12" s="1"/>
  <c r="U32" i="12"/>
  <c r="V32" i="12" s="1"/>
  <c r="Y32" i="12" s="1"/>
  <c r="V30" i="12"/>
  <c r="Y30" i="12" s="1"/>
  <c r="V10" i="12"/>
  <c r="Y10" i="12" s="1"/>
  <c r="V85" i="12"/>
  <c r="Y85" i="12" s="1"/>
  <c r="V151" i="12"/>
  <c r="Y151" i="12" s="1"/>
  <c r="T145" i="12"/>
  <c r="T109" i="12"/>
  <c r="T63" i="12"/>
  <c r="T48" i="12"/>
  <c r="V19" i="12"/>
  <c r="Y19" i="12" s="1"/>
  <c r="V186" i="12"/>
  <c r="Y186" i="12" s="1"/>
  <c r="T179" i="12"/>
  <c r="T177" i="12"/>
  <c r="O176" i="12"/>
  <c r="V171" i="12"/>
  <c r="Y171" i="12" s="1"/>
  <c r="T160" i="12"/>
  <c r="V160" i="12"/>
  <c r="Y160" i="12" s="1"/>
  <c r="O158" i="12"/>
  <c r="V184" i="12"/>
  <c r="Y184" i="12" s="1"/>
  <c r="T175" i="12"/>
  <c r="T173" i="12"/>
  <c r="O172" i="12"/>
  <c r="O164" i="12"/>
  <c r="V159" i="12"/>
  <c r="Y159" i="12" s="1"/>
  <c r="T169" i="12"/>
  <c r="T156" i="12"/>
  <c r="V156" i="12"/>
  <c r="Y156" i="12" s="1"/>
  <c r="V165" i="12"/>
  <c r="Y165" i="12" s="1"/>
  <c r="T152" i="12"/>
  <c r="V152" i="12"/>
  <c r="Y152" i="12" s="1"/>
  <c r="O150" i="12"/>
  <c r="V183" i="12"/>
  <c r="Y183" i="12" s="1"/>
  <c r="V168" i="12"/>
  <c r="Y168" i="12" s="1"/>
  <c r="V166" i="12"/>
  <c r="Y166" i="12" s="1"/>
  <c r="V153" i="12"/>
  <c r="Y153" i="12" s="1"/>
  <c r="T164" i="12"/>
  <c r="V164" i="12"/>
  <c r="Y164" i="12" s="1"/>
  <c r="O162" i="12"/>
  <c r="V161" i="12"/>
  <c r="Y161" i="12" s="1"/>
  <c r="T148" i="12"/>
  <c r="V148" i="12"/>
  <c r="Y148" i="12" s="1"/>
  <c r="T181" i="12"/>
  <c r="V163" i="12"/>
  <c r="Y163" i="12" s="1"/>
  <c r="T157" i="12"/>
  <c r="O155" i="12"/>
  <c r="O154" i="12"/>
  <c r="T129" i="12"/>
  <c r="O128" i="12"/>
  <c r="T125" i="12"/>
  <c r="T122" i="12"/>
  <c r="O120" i="12"/>
  <c r="V110" i="12"/>
  <c r="Y110" i="12" s="1"/>
  <c r="T100" i="12"/>
  <c r="V100" i="12"/>
  <c r="Y100" i="12" s="1"/>
  <c r="O72" i="12"/>
  <c r="T57" i="12"/>
  <c r="T108" i="12"/>
  <c r="V108" i="12"/>
  <c r="Y108" i="12" s="1"/>
  <c r="T60" i="12"/>
  <c r="T104" i="12"/>
  <c r="V104" i="12"/>
  <c r="Y104" i="12" s="1"/>
  <c r="T124" i="12"/>
  <c r="V124" i="12"/>
  <c r="Y124" i="12" s="1"/>
  <c r="O122" i="12"/>
  <c r="V121" i="12"/>
  <c r="Y121" i="12" s="1"/>
  <c r="V123" i="12"/>
  <c r="Y123" i="12" s="1"/>
  <c r="V113" i="12"/>
  <c r="Y113" i="12" s="1"/>
  <c r="O110" i="12"/>
  <c r="V144" i="12"/>
  <c r="Y144" i="12" s="1"/>
  <c r="V140" i="12"/>
  <c r="Y140" i="12" s="1"/>
  <c r="V136" i="12"/>
  <c r="Y136" i="12" s="1"/>
  <c r="V132" i="12"/>
  <c r="Y132" i="12" s="1"/>
  <c r="T120" i="12"/>
  <c r="V120" i="12"/>
  <c r="Y120" i="12" s="1"/>
  <c r="O118" i="12"/>
  <c r="V117" i="12"/>
  <c r="Y117" i="12" s="1"/>
  <c r="O114" i="12"/>
  <c r="O106" i="12"/>
  <c r="O97" i="12"/>
  <c r="V119" i="12"/>
  <c r="Y119" i="12" s="1"/>
  <c r="T112" i="12"/>
  <c r="V112" i="12"/>
  <c r="Y112" i="12" s="1"/>
  <c r="O102" i="12"/>
  <c r="T116" i="12"/>
  <c r="V116" i="12"/>
  <c r="Y116" i="12" s="1"/>
  <c r="O99" i="12"/>
  <c r="V94" i="12"/>
  <c r="Y94" i="12" s="1"/>
  <c r="T69" i="12"/>
  <c r="V99" i="12"/>
  <c r="Y99" i="12" s="1"/>
  <c r="T88" i="12"/>
  <c r="O16" i="12"/>
  <c r="T50" i="12"/>
  <c r="O48" i="12"/>
  <c r="V87" i="12"/>
  <c r="Y87" i="12" s="1"/>
  <c r="T54" i="12"/>
  <c r="V54" i="12"/>
  <c r="Y54" i="12" s="1"/>
  <c r="T14" i="12"/>
  <c r="V14" i="12"/>
  <c r="Y14" i="12" s="1"/>
  <c r="T80" i="12"/>
  <c r="V70" i="12"/>
  <c r="Y70" i="12" s="1"/>
  <c r="V61" i="12"/>
  <c r="Y61" i="12" s="1"/>
  <c r="O52" i="12"/>
  <c r="T18" i="12"/>
  <c r="T46" i="12"/>
  <c r="V46" i="12"/>
  <c r="Y46" i="12" s="1"/>
  <c r="O20" i="12"/>
  <c r="V15" i="12"/>
  <c r="Y15" i="12" s="1"/>
  <c r="V62" i="12"/>
  <c r="Y62" i="12" s="1"/>
  <c r="T58" i="12"/>
  <c r="V58" i="12"/>
  <c r="Y58" i="12" s="1"/>
  <c r="O56" i="12"/>
  <c r="V55" i="12"/>
  <c r="Y55" i="12" s="1"/>
  <c r="O21" i="12"/>
  <c r="V20" i="12"/>
  <c r="Y20" i="12" s="1"/>
  <c r="T19" i="12"/>
  <c r="O17" i="12"/>
  <c r="V42" i="12"/>
  <c r="Y42" i="12" s="1"/>
  <c r="V38" i="12"/>
  <c r="Y38" i="12" s="1"/>
  <c r="V34" i="12"/>
  <c r="Y34" i="12" s="1"/>
  <c r="V21" i="12"/>
  <c r="Y21" i="12" s="1"/>
  <c r="F10" i="12"/>
  <c r="C10" i="12" s="1"/>
  <c r="AC13" i="12" s="1"/>
  <c r="P29" i="37" l="1"/>
  <c r="P25" i="37"/>
  <c r="A43" i="36"/>
  <c r="N17" i="36"/>
  <c r="M17" i="36"/>
  <c r="AB22" i="12"/>
  <c r="AC21" i="12"/>
  <c r="AC22" i="12"/>
  <c r="AC11" i="12"/>
  <c r="AC10" i="12"/>
  <c r="AC95" i="31" l="1"/>
  <c r="AD95" i="31" s="1"/>
  <c r="AA95" i="31"/>
  <c r="AC94" i="31"/>
  <c r="AD94" i="31" s="1"/>
  <c r="AE94" i="31" s="1"/>
  <c r="AA94" i="31"/>
  <c r="AC93" i="31"/>
  <c r="AD93" i="31" s="1"/>
  <c r="AA93" i="31"/>
  <c r="AC92" i="31"/>
  <c r="AD92" i="31" s="1"/>
  <c r="AE92" i="31" s="1"/>
  <c r="AA92" i="31"/>
  <c r="AC91" i="31"/>
  <c r="AD91" i="31" s="1"/>
  <c r="AA91" i="31"/>
  <c r="AH43" i="31"/>
  <c r="AD43" i="31"/>
  <c r="AA43" i="31"/>
  <c r="Y39" i="31"/>
  <c r="B52" i="31"/>
  <c r="E52" i="31" s="1"/>
  <c r="N23" i="31"/>
  <c r="S19" i="31"/>
  <c r="U28" i="31" s="1"/>
  <c r="AB17" i="31"/>
  <c r="AA17" i="31"/>
  <c r="Z17" i="31"/>
  <c r="Y17" i="31"/>
  <c r="X17" i="31"/>
  <c r="W17" i="31"/>
  <c r="V17" i="31"/>
  <c r="U17" i="31"/>
  <c r="T17" i="31"/>
  <c r="R15" i="31"/>
  <c r="H14" i="31"/>
  <c r="D14" i="31"/>
  <c r="H13" i="31"/>
  <c r="U12" i="31"/>
  <c r="AD5" i="31" s="1"/>
  <c r="H12" i="31"/>
  <c r="D13" i="31"/>
  <c r="W11" i="31"/>
  <c r="J11" i="31"/>
  <c r="C11" i="31"/>
  <c r="H10" i="31"/>
  <c r="U7" i="31"/>
  <c r="R7" i="31"/>
  <c r="R13" i="31" s="1"/>
  <c r="R8" i="31" s="1"/>
  <c r="R12" i="31" s="1"/>
  <c r="W6" i="31"/>
  <c r="U3" i="31"/>
  <c r="T3" i="31"/>
  <c r="P3" i="31"/>
  <c r="A359" i="9"/>
  <c r="A360" i="9"/>
  <c r="A361" i="9"/>
  <c r="A358" i="9"/>
  <c r="A353" i="9"/>
  <c r="A354" i="9"/>
  <c r="A355" i="9"/>
  <c r="A356" i="9"/>
  <c r="A357" i="9"/>
  <c r="A352" i="9"/>
  <c r="A333" i="9"/>
  <c r="A334" i="9"/>
  <c r="A335" i="9"/>
  <c r="A336" i="9"/>
  <c r="A337" i="9"/>
  <c r="A338" i="9"/>
  <c r="A339" i="9"/>
  <c r="A340" i="9"/>
  <c r="A341" i="9"/>
  <c r="A342" i="9"/>
  <c r="A343" i="9"/>
  <c r="A344" i="9"/>
  <c r="A332" i="9"/>
  <c r="A326" i="9"/>
  <c r="A327" i="9"/>
  <c r="A328" i="9"/>
  <c r="A329" i="9"/>
  <c r="A330" i="9"/>
  <c r="A331" i="9"/>
  <c r="A317" i="9"/>
  <c r="A318" i="9"/>
  <c r="A319" i="9"/>
  <c r="A320" i="9"/>
  <c r="A321" i="9"/>
  <c r="A322" i="9"/>
  <c r="A323" i="9"/>
  <c r="A324" i="9"/>
  <c r="A325" i="9"/>
  <c r="A316" i="9"/>
  <c r="A346" i="9"/>
  <c r="A347" i="9"/>
  <c r="A348" i="9"/>
  <c r="A349" i="9"/>
  <c r="A350" i="9"/>
  <c r="A351" i="9"/>
  <c r="A345"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283" i="9"/>
  <c r="A216" i="9"/>
  <c r="A217" i="9"/>
  <c r="A218" i="9"/>
  <c r="A219" i="9"/>
  <c r="A220" i="9"/>
  <c r="A221" i="9"/>
  <c r="A222" i="9"/>
  <c r="A223" i="9"/>
  <c r="A224" i="9"/>
  <c r="A225" i="9"/>
  <c r="A226" i="9"/>
  <c r="A227" i="9"/>
  <c r="A228" i="9"/>
  <c r="A229" i="9"/>
  <c r="A230" i="9"/>
  <c r="A231" i="9"/>
  <c r="A232" i="9"/>
  <c r="A233" i="9"/>
  <c r="A209" i="9"/>
  <c r="A210" i="9"/>
  <c r="A211" i="9"/>
  <c r="A212" i="9"/>
  <c r="A213" i="9"/>
  <c r="A214" i="9"/>
  <c r="A215" i="9"/>
  <c r="A208" i="9"/>
  <c r="A31" i="9"/>
  <c r="A32" i="9"/>
  <c r="A33" i="9"/>
  <c r="A34" i="9"/>
  <c r="A35" i="9"/>
  <c r="A36" i="9"/>
  <c r="A37" i="9"/>
  <c r="A38" i="9"/>
  <c r="A39" i="9"/>
  <c r="A17" i="9"/>
  <c r="A18" i="9"/>
  <c r="A19" i="9"/>
  <c r="A20" i="9"/>
  <c r="A21" i="9"/>
  <c r="A22" i="9"/>
  <c r="A23" i="9"/>
  <c r="A24" i="9"/>
  <c r="A25" i="9"/>
  <c r="A26" i="9"/>
  <c r="A27" i="9"/>
  <c r="A28" i="9"/>
  <c r="A29" i="9"/>
  <c r="A30" i="9"/>
  <c r="A16" i="9"/>
  <c r="A4" i="9"/>
  <c r="A5" i="9"/>
  <c r="A6" i="9"/>
  <c r="A7" i="9"/>
  <c r="A3" i="9"/>
  <c r="A68" i="9"/>
  <c r="A67" i="9"/>
  <c r="A66" i="9"/>
  <c r="A65" i="9"/>
  <c r="A64" i="9"/>
  <c r="A63" i="9"/>
  <c r="A62" i="9"/>
  <c r="A61" i="9"/>
  <c r="A60" i="9"/>
  <c r="A59" i="9"/>
  <c r="A58" i="9"/>
  <c r="A57" i="9"/>
  <c r="A56" i="9"/>
  <c r="A55" i="9"/>
  <c r="A54" i="9"/>
  <c r="A53" i="9"/>
  <c r="A79" i="9"/>
  <c r="A77" i="9"/>
  <c r="A76" i="9"/>
  <c r="A75" i="9"/>
  <c r="A74" i="9"/>
  <c r="A73" i="9"/>
  <c r="A72" i="9"/>
  <c r="A71" i="9"/>
  <c r="A70" i="9"/>
  <c r="A69" i="9"/>
  <c r="A48" i="9"/>
  <c r="A47" i="9"/>
  <c r="A46" i="9"/>
  <c r="A13" i="9"/>
  <c r="A12" i="9"/>
  <c r="A14" i="9"/>
  <c r="A10" i="9"/>
  <c r="A9" i="9"/>
  <c r="A8" i="9"/>
  <c r="A11" i="9"/>
  <c r="A15" i="9"/>
  <c r="A40" i="9"/>
  <c r="A41" i="9"/>
  <c r="A42" i="9"/>
  <c r="A43" i="9"/>
  <c r="A44" i="9"/>
  <c r="A45" i="9"/>
  <c r="A49" i="9"/>
  <c r="A50" i="9"/>
  <c r="A51" i="9"/>
  <c r="A52" i="9"/>
  <c r="A78" i="9"/>
  <c r="A80" i="9"/>
  <c r="A81" i="9"/>
  <c r="A84" i="9"/>
  <c r="A85" i="9"/>
  <c r="A86" i="9"/>
  <c r="A87" i="9"/>
  <c r="A88" i="9"/>
  <c r="A89" i="9"/>
  <c r="A90" i="9"/>
  <c r="A91" i="9"/>
  <c r="A92" i="9"/>
  <c r="A93" i="9"/>
  <c r="A94" i="9"/>
  <c r="A95" i="9"/>
  <c r="A96" i="9"/>
  <c r="A97" i="9"/>
  <c r="A98" i="9"/>
  <c r="A99" i="9"/>
  <c r="A83" i="9"/>
  <c r="A82" i="9"/>
  <c r="A125" i="9"/>
  <c r="A245" i="9"/>
  <c r="A246" i="9"/>
  <c r="A247" i="9"/>
  <c r="A248" i="9"/>
  <c r="A249" i="9"/>
  <c r="A250" i="9"/>
  <c r="A251" i="9"/>
  <c r="A252" i="9"/>
  <c r="A253" i="9"/>
  <c r="A254" i="9"/>
  <c r="A255" i="9"/>
  <c r="A257" i="9"/>
  <c r="A256" i="9"/>
  <c r="A262" i="9"/>
  <c r="A261" i="9"/>
  <c r="A260" i="9"/>
  <c r="A258" i="9"/>
  <c r="A263" i="9"/>
  <c r="A264" i="9"/>
  <c r="A265" i="9"/>
  <c r="A268" i="9"/>
  <c r="A267" i="9"/>
  <c r="A266" i="9"/>
  <c r="A270" i="9"/>
  <c r="A271" i="9"/>
  <c r="A269" i="9"/>
  <c r="A259" i="9"/>
  <c r="A272" i="9"/>
  <c r="A273" i="9"/>
  <c r="A274" i="9"/>
  <c r="A275" i="9"/>
  <c r="A276" i="9"/>
  <c r="A277" i="9"/>
  <c r="A278" i="9"/>
  <c r="A279" i="9"/>
  <c r="A280" i="9"/>
  <c r="A281" i="9"/>
  <c r="A282" i="9"/>
  <c r="A236" i="9"/>
  <c r="A237" i="9"/>
  <c r="A238" i="9"/>
  <c r="A239" i="9"/>
  <c r="A240" i="9"/>
  <c r="A241" i="9"/>
  <c r="A242" i="9"/>
  <c r="A243" i="9"/>
  <c r="A244" i="9"/>
  <c r="A190" i="9"/>
  <c r="A191" i="9"/>
  <c r="A192" i="9"/>
  <c r="A193" i="9"/>
  <c r="A194" i="9"/>
  <c r="A195" i="9"/>
  <c r="A196" i="9"/>
  <c r="A197" i="9"/>
  <c r="A198" i="9"/>
  <c r="A199" i="9"/>
  <c r="A200" i="9"/>
  <c r="A201" i="9"/>
  <c r="A202" i="9"/>
  <c r="A203" i="9"/>
  <c r="A204" i="9"/>
  <c r="A205" i="9"/>
  <c r="A206" i="9"/>
  <c r="A207" i="9"/>
  <c r="A188" i="9"/>
  <c r="A189" i="9"/>
  <c r="A169" i="9"/>
  <c r="A170" i="9"/>
  <c r="A171" i="9"/>
  <c r="A172" i="9"/>
  <c r="A173" i="9"/>
  <c r="A174" i="9"/>
  <c r="A175" i="9"/>
  <c r="A176" i="9"/>
  <c r="A177" i="9"/>
  <c r="A178" i="9"/>
  <c r="A179" i="9"/>
  <c r="A180" i="9"/>
  <c r="A181" i="9"/>
  <c r="A182" i="9"/>
  <c r="A183" i="9"/>
  <c r="A184" i="9"/>
  <c r="A185" i="9"/>
  <c r="A186" i="9"/>
  <c r="A187"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60" i="9"/>
  <c r="A161" i="9"/>
  <c r="A162" i="9"/>
  <c r="A163" i="9"/>
  <c r="A155" i="9"/>
  <c r="A156" i="9"/>
  <c r="A157" i="9"/>
  <c r="A158" i="9"/>
  <c r="A120" i="9"/>
  <c r="A121" i="9"/>
  <c r="A122" i="9"/>
  <c r="A123" i="9"/>
  <c r="A124" i="9"/>
  <c r="A126" i="9"/>
  <c r="A127" i="9"/>
  <c r="A128" i="9"/>
  <c r="A100" i="9"/>
  <c r="A101" i="9"/>
  <c r="A102" i="9"/>
  <c r="A103" i="9"/>
  <c r="A104" i="9"/>
  <c r="A105" i="9"/>
  <c r="A106" i="9"/>
  <c r="A129" i="9"/>
  <c r="A107" i="9"/>
  <c r="A108" i="9"/>
  <c r="A109" i="9"/>
  <c r="A110" i="9"/>
  <c r="A111" i="9"/>
  <c r="A112" i="9"/>
  <c r="A113" i="9"/>
  <c r="A114" i="9"/>
  <c r="A115" i="9"/>
  <c r="A116" i="9"/>
  <c r="A118" i="9"/>
  <c r="A119" i="9"/>
  <c r="A117" i="9"/>
  <c r="A159" i="9"/>
  <c r="A234" i="9"/>
  <c r="A235" i="9"/>
  <c r="A164" i="9"/>
  <c r="A165" i="9"/>
  <c r="A166" i="9"/>
  <c r="A167" i="9"/>
  <c r="A168" i="9"/>
  <c r="L3" i="31"/>
  <c r="F3" i="31"/>
  <c r="M1" i="31"/>
  <c r="K3" i="31"/>
  <c r="N1" i="31"/>
  <c r="E3" i="31"/>
  <c r="I3" i="31"/>
  <c r="J3" i="31"/>
  <c r="D3" i="31"/>
  <c r="C3" i="31"/>
  <c r="I14" i="31" l="1"/>
  <c r="D13" i="36"/>
  <c r="I14" i="36" s="1"/>
  <c r="K14" i="31"/>
  <c r="D14" i="36"/>
  <c r="I11" i="31"/>
  <c r="C11" i="36"/>
  <c r="I11" i="36" s="1"/>
  <c r="C11" i="37"/>
  <c r="I11" i="37" s="1"/>
  <c r="E11" i="31"/>
  <c r="W22" i="31"/>
  <c r="L5" i="31" s="1"/>
  <c r="L7" i="31" s="1"/>
  <c r="L9" i="31" s="1"/>
  <c r="J21" i="31" s="1"/>
  <c r="T26" i="31"/>
  <c r="V28" i="31"/>
  <c r="W26" i="31"/>
  <c r="V27" i="31"/>
  <c r="M13" i="31"/>
  <c r="T23" i="31"/>
  <c r="W23" i="31"/>
  <c r="V25" i="31"/>
  <c r="AG93" i="31"/>
  <c r="AE93" i="31"/>
  <c r="AF93" i="31"/>
  <c r="V24" i="31"/>
  <c r="T27" i="31"/>
  <c r="T22" i="31"/>
  <c r="I5" i="31" s="1"/>
  <c r="I7" i="31" s="1"/>
  <c r="I9" i="31" s="1"/>
  <c r="I17" i="31" s="1"/>
  <c r="W24" i="31"/>
  <c r="U27" i="31"/>
  <c r="W25" i="31"/>
  <c r="W27" i="31"/>
  <c r="AF94" i="31"/>
  <c r="AG94" i="31"/>
  <c r="U23" i="31"/>
  <c r="U26" i="31"/>
  <c r="W28" i="31"/>
  <c r="V23" i="31"/>
  <c r="V26" i="31"/>
  <c r="I13" i="31"/>
  <c r="I19" i="31" s="1"/>
  <c r="K13" i="31"/>
  <c r="J13" i="31"/>
  <c r="J19" i="31" s="1"/>
  <c r="L13" i="31"/>
  <c r="C5" i="31"/>
  <c r="B19" i="31" s="1"/>
  <c r="D5" i="31"/>
  <c r="C19" i="31" s="1"/>
  <c r="W7" i="31"/>
  <c r="F52" i="31"/>
  <c r="AG91" i="31"/>
  <c r="AF91" i="31"/>
  <c r="AE91" i="31"/>
  <c r="AH92" i="31"/>
  <c r="AH93" i="31"/>
  <c r="AH94" i="31"/>
  <c r="AH95" i="31"/>
  <c r="AH91" i="31"/>
  <c r="AG43" i="31"/>
  <c r="AF43" i="31"/>
  <c r="W12" i="31"/>
  <c r="AE43" i="31"/>
  <c r="U13" i="31"/>
  <c r="AI91" i="31"/>
  <c r="AI92" i="31"/>
  <c r="AI93" i="31"/>
  <c r="AI94" i="31"/>
  <c r="AI95" i="31"/>
  <c r="C52" i="31"/>
  <c r="AI43" i="31"/>
  <c r="AJ43" i="31" s="1"/>
  <c r="AK43" i="31" s="1"/>
  <c r="U22" i="31"/>
  <c r="J5" i="31" s="1"/>
  <c r="J7" i="31" s="1"/>
  <c r="J9" i="31" s="1"/>
  <c r="J17" i="31" s="1"/>
  <c r="T24" i="31"/>
  <c r="T25" i="31"/>
  <c r="T28" i="31"/>
  <c r="V22" i="31"/>
  <c r="K5" i="31" s="1"/>
  <c r="U24" i="31"/>
  <c r="U25" i="31"/>
  <c r="AF95" i="31"/>
  <c r="AE95" i="31"/>
  <c r="AG95" i="31"/>
  <c r="AG92" i="31"/>
  <c r="AF92" i="31"/>
  <c r="L14" i="8"/>
  <c r="L13" i="8"/>
  <c r="L12" i="8"/>
  <c r="AC17" i="31" s="1"/>
  <c r="U8" i="31" s="1"/>
  <c r="W8" i="31" s="1"/>
  <c r="K13" i="12"/>
  <c r="K8" i="12"/>
  <c r="K11" i="12" s="1"/>
  <c r="K4" i="12"/>
  <c r="K3" i="12"/>
  <c r="C13" i="12"/>
  <c r="P1" i="12" s="1"/>
  <c r="F54" i="31"/>
  <c r="E54" i="31"/>
  <c r="C54" i="31"/>
  <c r="D54" i="31"/>
  <c r="C6" i="12"/>
  <c r="E11" i="37" l="1"/>
  <c r="K11" i="37" s="1"/>
  <c r="L11" i="37" s="1"/>
  <c r="M11" i="37" s="1"/>
  <c r="E11" i="36"/>
  <c r="K11" i="36" s="1"/>
  <c r="L11" i="36" s="1"/>
  <c r="M11" i="36" s="1"/>
  <c r="F11" i="31"/>
  <c r="K14" i="36"/>
  <c r="P27" i="36"/>
  <c r="P29" i="36"/>
  <c r="P25" i="36"/>
  <c r="AJ92" i="31"/>
  <c r="AK92" i="31" s="1"/>
  <c r="AL92" i="31" s="1"/>
  <c r="P11" i="12"/>
  <c r="P12" i="12"/>
  <c r="P26" i="12"/>
  <c r="P30" i="12"/>
  <c r="P34" i="12"/>
  <c r="P38" i="12"/>
  <c r="P42" i="12"/>
  <c r="P16" i="12"/>
  <c r="P20" i="12"/>
  <c r="P10" i="12"/>
  <c r="P25" i="12"/>
  <c r="P29" i="12"/>
  <c r="P33" i="12"/>
  <c r="P37" i="12"/>
  <c r="P41" i="12"/>
  <c r="P15" i="12"/>
  <c r="P19" i="12"/>
  <c r="P24" i="12"/>
  <c r="P28" i="12"/>
  <c r="P32" i="12"/>
  <c r="P36" i="12"/>
  <c r="P40" i="12"/>
  <c r="P44" i="12"/>
  <c r="P14" i="12"/>
  <c r="P18" i="12"/>
  <c r="P13" i="12"/>
  <c r="P22" i="12"/>
  <c r="P23" i="12"/>
  <c r="P27" i="12"/>
  <c r="P31" i="12"/>
  <c r="P35" i="12"/>
  <c r="P39" i="12"/>
  <c r="P43" i="12"/>
  <c r="P21" i="12"/>
  <c r="P46" i="12"/>
  <c r="P49" i="12"/>
  <c r="P66" i="12"/>
  <c r="P70" i="12"/>
  <c r="P74" i="12"/>
  <c r="P78" i="12"/>
  <c r="P82" i="12"/>
  <c r="P86" i="12"/>
  <c r="P56" i="12"/>
  <c r="P59" i="12"/>
  <c r="P47" i="12"/>
  <c r="P50" i="12"/>
  <c r="P53" i="12"/>
  <c r="P61" i="12"/>
  <c r="P63" i="12"/>
  <c r="P65" i="12"/>
  <c r="P54" i="12"/>
  <c r="P72" i="12"/>
  <c r="P76" i="12"/>
  <c r="P83" i="12"/>
  <c r="P85" i="12"/>
  <c r="P95" i="12"/>
  <c r="P97" i="12"/>
  <c r="P51" i="12"/>
  <c r="P52" i="12"/>
  <c r="P68" i="12"/>
  <c r="P99" i="12"/>
  <c r="P102" i="12"/>
  <c r="P106" i="12"/>
  <c r="P110" i="12"/>
  <c r="P114" i="12"/>
  <c r="P17" i="12"/>
  <c r="P79" i="12"/>
  <c r="P81" i="12"/>
  <c r="P88" i="12"/>
  <c r="P73" i="12"/>
  <c r="P90" i="12"/>
  <c r="P92" i="12"/>
  <c r="P101" i="12"/>
  <c r="P105" i="12"/>
  <c r="P109" i="12"/>
  <c r="P48" i="12"/>
  <c r="P69" i="12"/>
  <c r="P77" i="12"/>
  <c r="P84" i="12"/>
  <c r="P94" i="12"/>
  <c r="P96" i="12"/>
  <c r="P58" i="12"/>
  <c r="P62" i="12"/>
  <c r="P75" i="12"/>
  <c r="P98" i="12"/>
  <c r="P100" i="12"/>
  <c r="P104" i="12"/>
  <c r="P108" i="12"/>
  <c r="P45" i="12"/>
  <c r="P55" i="12"/>
  <c r="P57" i="12"/>
  <c r="P60" i="12"/>
  <c r="P64" i="12"/>
  <c r="P71" i="12"/>
  <c r="P80" i="12"/>
  <c r="P87" i="12"/>
  <c r="P89" i="12"/>
  <c r="P117" i="12"/>
  <c r="P120" i="12"/>
  <c r="P123" i="12"/>
  <c r="P128" i="12"/>
  <c r="P91" i="12"/>
  <c r="P113" i="12"/>
  <c r="P130" i="12"/>
  <c r="P134" i="12"/>
  <c r="P138" i="12"/>
  <c r="P142" i="12"/>
  <c r="P146" i="12"/>
  <c r="P150" i="12"/>
  <c r="P154" i="12"/>
  <c r="P121" i="12"/>
  <c r="P124" i="12"/>
  <c r="P103" i="12"/>
  <c r="P118" i="12"/>
  <c r="P133" i="12"/>
  <c r="P137" i="12"/>
  <c r="P141" i="12"/>
  <c r="P145" i="12"/>
  <c r="P149" i="12"/>
  <c r="P67" i="12"/>
  <c r="P107" i="12"/>
  <c r="P115" i="12"/>
  <c r="P125" i="12"/>
  <c r="P127" i="12"/>
  <c r="P129" i="12"/>
  <c r="P111" i="12"/>
  <c r="P122" i="12"/>
  <c r="P132" i="12"/>
  <c r="P136" i="12"/>
  <c r="P140" i="12"/>
  <c r="P144" i="12"/>
  <c r="P148" i="12"/>
  <c r="P152" i="12"/>
  <c r="P116" i="12"/>
  <c r="P119" i="12"/>
  <c r="P93" i="12"/>
  <c r="P112" i="12"/>
  <c r="P126" i="12"/>
  <c r="P131" i="12"/>
  <c r="P135" i="12"/>
  <c r="P139" i="12"/>
  <c r="P143" i="12"/>
  <c r="P147" i="12"/>
  <c r="P158" i="12"/>
  <c r="P176" i="12"/>
  <c r="P178" i="12"/>
  <c r="P153" i="12"/>
  <c r="P155" i="12"/>
  <c r="P165" i="12"/>
  <c r="P180" i="12"/>
  <c r="P182" i="12"/>
  <c r="P162" i="12"/>
  <c r="P167" i="12"/>
  <c r="P169" i="12"/>
  <c r="P184" i="12"/>
  <c r="P186" i="12"/>
  <c r="P151" i="12"/>
  <c r="P156" i="12"/>
  <c r="P159" i="12"/>
  <c r="P171" i="12"/>
  <c r="P173" i="12"/>
  <c r="P175" i="12"/>
  <c r="P177" i="12"/>
  <c r="P157" i="12"/>
  <c r="P160" i="12"/>
  <c r="P163" i="12"/>
  <c r="P166" i="12"/>
  <c r="P179" i="12"/>
  <c r="P181" i="12"/>
  <c r="P168" i="12"/>
  <c r="P170" i="12"/>
  <c r="P183" i="12"/>
  <c r="P185" i="12"/>
  <c r="P161" i="12"/>
  <c r="P164" i="12"/>
  <c r="P172" i="12"/>
  <c r="P174" i="12"/>
  <c r="P187" i="12"/>
  <c r="AJ95" i="31"/>
  <c r="AK95" i="31" s="1"/>
  <c r="AL95" i="31" s="1"/>
  <c r="AJ94" i="31"/>
  <c r="AK94" i="31" s="1"/>
  <c r="AL94" i="31" s="1"/>
  <c r="AJ91" i="31"/>
  <c r="AK91" i="31" s="1"/>
  <c r="AL91" i="31" s="1"/>
  <c r="J22" i="31"/>
  <c r="I22" i="31"/>
  <c r="K17" i="31"/>
  <c r="N17" i="31" s="1"/>
  <c r="K19" i="31"/>
  <c r="N19" i="31" s="1"/>
  <c r="K11" i="31"/>
  <c r="L11" i="31" s="1"/>
  <c r="K7" i="31"/>
  <c r="K9" i="31" s="1"/>
  <c r="I21" i="31" s="1"/>
  <c r="K21" i="31" s="1"/>
  <c r="AL43" i="31"/>
  <c r="AM43" i="31"/>
  <c r="W13" i="31"/>
  <c r="U14" i="31"/>
  <c r="U15" i="31" s="1"/>
  <c r="U16" i="31" s="1"/>
  <c r="B54" i="31"/>
  <c r="D52" i="31"/>
  <c r="B53" i="31"/>
  <c r="AJ93" i="31"/>
  <c r="AK93" i="31" s="1"/>
  <c r="D19" i="31"/>
  <c r="K12" i="12"/>
  <c r="K15" i="12" s="1"/>
  <c r="D17" i="12"/>
  <c r="C19" i="12"/>
  <c r="C17" i="12"/>
  <c r="D53" i="31"/>
  <c r="C53" i="31"/>
  <c r="F53" i="31"/>
  <c r="E53" i="31"/>
  <c r="F11" i="37" l="1"/>
  <c r="F11" i="36"/>
  <c r="I96" i="31"/>
  <c r="I98" i="31" s="1"/>
  <c r="AM92" i="31"/>
  <c r="AM95" i="31"/>
  <c r="Q158" i="12"/>
  <c r="W158" i="12" s="1"/>
  <c r="Q130" i="12"/>
  <c r="W130" i="12" s="1"/>
  <c r="Q110" i="12"/>
  <c r="W110" i="12" s="1"/>
  <c r="Q61" i="12"/>
  <c r="W61" i="12" s="1"/>
  <c r="Q78" i="12"/>
  <c r="W78" i="12" s="1"/>
  <c r="Q16" i="12"/>
  <c r="W16" i="12" s="1"/>
  <c r="Q164" i="12"/>
  <c r="W164" i="12" s="1"/>
  <c r="Q166" i="12"/>
  <c r="W166" i="12" s="1"/>
  <c r="Q159" i="12"/>
  <c r="W159" i="12" s="1"/>
  <c r="Q182" i="12"/>
  <c r="W182" i="12" s="1"/>
  <c r="Q147" i="12"/>
  <c r="W147" i="12" s="1"/>
  <c r="Q119" i="12"/>
  <c r="W119" i="12" s="1"/>
  <c r="Q122" i="12"/>
  <c r="W122" i="12" s="1"/>
  <c r="Q149" i="12"/>
  <c r="W149" i="12" s="1"/>
  <c r="Q121" i="12"/>
  <c r="W121" i="12" s="1"/>
  <c r="Q113" i="12"/>
  <c r="W113" i="12" s="1"/>
  <c r="Q80" i="12"/>
  <c r="W80" i="12" s="1"/>
  <c r="Q104" i="12"/>
  <c r="W104" i="12" s="1"/>
  <c r="Q84" i="12"/>
  <c r="W84" i="12" s="1"/>
  <c r="Q90" i="12"/>
  <c r="W90" i="12" s="1"/>
  <c r="Q106" i="12"/>
  <c r="W106" i="12" s="1"/>
  <c r="Q85" i="12"/>
  <c r="W85" i="12" s="1"/>
  <c r="Q53" i="12"/>
  <c r="W53" i="12" s="1"/>
  <c r="Q74" i="12"/>
  <c r="W74" i="12" s="1"/>
  <c r="Q35" i="12"/>
  <c r="W35" i="12" s="1"/>
  <c r="Q44" i="12"/>
  <c r="W44" i="12" s="1"/>
  <c r="Q41" i="12"/>
  <c r="W41" i="12" s="1"/>
  <c r="Q42" i="12"/>
  <c r="W42" i="12" s="1"/>
  <c r="X42" i="12"/>
  <c r="Q67" i="12"/>
  <c r="W67" i="12" s="1"/>
  <c r="Q92" i="12"/>
  <c r="W92" i="12" s="1"/>
  <c r="Q39" i="12"/>
  <c r="W39" i="12" s="1"/>
  <c r="Q161" i="12"/>
  <c r="W161" i="12" s="1"/>
  <c r="Q163" i="12"/>
  <c r="W163" i="12" s="1"/>
  <c r="Q156" i="12"/>
  <c r="W156" i="12" s="1"/>
  <c r="Q180" i="12"/>
  <c r="W180" i="12" s="1"/>
  <c r="Q143" i="12"/>
  <c r="W143" i="12" s="1"/>
  <c r="Q116" i="12"/>
  <c r="W116" i="12" s="1"/>
  <c r="Q111" i="12"/>
  <c r="W111" i="12" s="1"/>
  <c r="Q145" i="12"/>
  <c r="W145" i="12" s="1"/>
  <c r="Q154" i="12"/>
  <c r="W154" i="12" s="1"/>
  <c r="Q91" i="12"/>
  <c r="W91" i="12" s="1"/>
  <c r="Q71" i="12"/>
  <c r="W71" i="12" s="1"/>
  <c r="Q100" i="12"/>
  <c r="W100" i="12" s="1"/>
  <c r="Q77" i="12"/>
  <c r="W77" i="12" s="1"/>
  <c r="Q73" i="12"/>
  <c r="W73" i="12" s="1"/>
  <c r="Q102" i="12"/>
  <c r="W102" i="12" s="1"/>
  <c r="Q83" i="12"/>
  <c r="W83" i="12" s="1"/>
  <c r="Q50" i="12"/>
  <c r="W50" i="12" s="1"/>
  <c r="X50" i="12"/>
  <c r="Q70" i="12"/>
  <c r="W70" i="12" s="1"/>
  <c r="Q31" i="12"/>
  <c r="W31" i="12" s="1"/>
  <c r="Q40" i="12"/>
  <c r="W40" i="12" s="1"/>
  <c r="Q37" i="12"/>
  <c r="W37" i="12" s="1"/>
  <c r="Q38" i="12"/>
  <c r="W38" i="12" s="1"/>
  <c r="Q172" i="12"/>
  <c r="W172" i="12" s="1"/>
  <c r="Q132" i="12"/>
  <c r="W132" i="12" s="1"/>
  <c r="Q95" i="12"/>
  <c r="W95" i="12" s="1"/>
  <c r="Q185" i="12"/>
  <c r="W185" i="12" s="1"/>
  <c r="Q160" i="12"/>
  <c r="W160" i="12" s="1"/>
  <c r="Q151" i="12"/>
  <c r="W151" i="12" s="1"/>
  <c r="Q165" i="12"/>
  <c r="W165" i="12" s="1"/>
  <c r="Q139" i="12"/>
  <c r="W139" i="12" s="1"/>
  <c r="Q152" i="12"/>
  <c r="W152" i="12" s="1"/>
  <c r="Q129" i="12"/>
  <c r="W129" i="12" s="1"/>
  <c r="Q141" i="12"/>
  <c r="W141" i="12" s="1"/>
  <c r="Q150" i="12"/>
  <c r="W150" i="12" s="1"/>
  <c r="Q128" i="12"/>
  <c r="W128" i="12" s="1"/>
  <c r="Q64" i="12"/>
  <c r="W64" i="12" s="1"/>
  <c r="Q98" i="12"/>
  <c r="W98" i="12" s="1"/>
  <c r="Q69" i="12"/>
  <c r="W69" i="12" s="1"/>
  <c r="Q88" i="12"/>
  <c r="W88" i="12" s="1"/>
  <c r="Q99" i="12"/>
  <c r="W99" i="12" s="1"/>
  <c r="Q76" i="12"/>
  <c r="W76" i="12" s="1"/>
  <c r="Q47" i="12"/>
  <c r="W47" i="12" s="1"/>
  <c r="Q66" i="12"/>
  <c r="W66" i="12" s="1"/>
  <c r="Q27" i="12"/>
  <c r="W27" i="12" s="1"/>
  <c r="Q36" i="12"/>
  <c r="W36" i="12" s="1"/>
  <c r="Q33" i="12"/>
  <c r="W33" i="12" s="1"/>
  <c r="Q34" i="12"/>
  <c r="W34" i="12" s="1"/>
  <c r="Q183" i="12"/>
  <c r="W183" i="12" s="1"/>
  <c r="Q157" i="12"/>
  <c r="W157" i="12" s="1"/>
  <c r="Q186" i="12"/>
  <c r="W186" i="12" s="1"/>
  <c r="Q155" i="12"/>
  <c r="W155" i="12" s="1"/>
  <c r="Q135" i="12"/>
  <c r="W135" i="12" s="1"/>
  <c r="Q148" i="12"/>
  <c r="W148" i="12" s="1"/>
  <c r="Q127" i="12"/>
  <c r="W127" i="12" s="1"/>
  <c r="Q137" i="12"/>
  <c r="W137" i="12" s="1"/>
  <c r="Q146" i="12"/>
  <c r="W146" i="12" s="1"/>
  <c r="Q123" i="12"/>
  <c r="W123" i="12" s="1"/>
  <c r="Q60" i="12"/>
  <c r="W60" i="12" s="1"/>
  <c r="Q75" i="12"/>
  <c r="W75" i="12" s="1"/>
  <c r="Q48" i="12"/>
  <c r="W48" i="12" s="1"/>
  <c r="Q81" i="12"/>
  <c r="W81" i="12" s="1"/>
  <c r="Q68" i="12"/>
  <c r="W68" i="12" s="1"/>
  <c r="Q72" i="12"/>
  <c r="W72" i="12" s="1"/>
  <c r="Q59" i="12"/>
  <c r="W59" i="12" s="1"/>
  <c r="Q49" i="12"/>
  <c r="W49" i="12" s="1"/>
  <c r="Q23" i="12"/>
  <c r="W23" i="12" s="1"/>
  <c r="Q32" i="12"/>
  <c r="W32" i="12" s="1"/>
  <c r="Q29" i="12"/>
  <c r="W29" i="12" s="1"/>
  <c r="Q30" i="12"/>
  <c r="W30" i="12" s="1"/>
  <c r="Q179" i="12"/>
  <c r="W179" i="12" s="1"/>
  <c r="Q87" i="12"/>
  <c r="W87" i="12" s="1"/>
  <c r="Q170" i="12"/>
  <c r="W170" i="12" s="1"/>
  <c r="Q177" i="12"/>
  <c r="W177" i="12" s="1"/>
  <c r="Q184" i="12"/>
  <c r="W184" i="12" s="1"/>
  <c r="Q153" i="12"/>
  <c r="W153" i="12" s="1"/>
  <c r="Q131" i="12"/>
  <c r="W131" i="12" s="1"/>
  <c r="Q144" i="12"/>
  <c r="W144" i="12" s="1"/>
  <c r="Q125" i="12"/>
  <c r="W125" i="12" s="1"/>
  <c r="Q133" i="12"/>
  <c r="W133" i="12" s="1"/>
  <c r="Q142" i="12"/>
  <c r="W142" i="12" s="1"/>
  <c r="Q120" i="12"/>
  <c r="W120" i="12" s="1"/>
  <c r="Q57" i="12"/>
  <c r="W57" i="12" s="1"/>
  <c r="Q62" i="12"/>
  <c r="W62" i="12" s="1"/>
  <c r="Q109" i="12"/>
  <c r="W109" i="12" s="1"/>
  <c r="Q79" i="12"/>
  <c r="W79" i="12" s="1"/>
  <c r="Q52" i="12"/>
  <c r="W52" i="12" s="1"/>
  <c r="Q54" i="12"/>
  <c r="W54" i="12" s="1"/>
  <c r="Q56" i="12"/>
  <c r="W56" i="12" s="1"/>
  <c r="Q46" i="12"/>
  <c r="W46" i="12" s="1"/>
  <c r="Q22" i="12"/>
  <c r="W22" i="12" s="1"/>
  <c r="Q28" i="12"/>
  <c r="W28" i="12" s="1"/>
  <c r="Q25" i="12"/>
  <c r="W25" i="12" s="1"/>
  <c r="Q26" i="12"/>
  <c r="W26" i="12" s="1"/>
  <c r="X26" i="12"/>
  <c r="Q162" i="12"/>
  <c r="W162" i="12" s="1"/>
  <c r="Q124" i="12"/>
  <c r="W124" i="12" s="1"/>
  <c r="Q94" i="12"/>
  <c r="W94" i="12" s="1"/>
  <c r="Q15" i="12"/>
  <c r="W15" i="12" s="1"/>
  <c r="Q187" i="12"/>
  <c r="W187" i="12" s="1"/>
  <c r="Q168" i="12"/>
  <c r="W168" i="12" s="1"/>
  <c r="Q175" i="12"/>
  <c r="W175" i="12" s="1"/>
  <c r="Q169" i="12"/>
  <c r="W169" i="12" s="1"/>
  <c r="Q178" i="12"/>
  <c r="W178" i="12" s="1"/>
  <c r="Q126" i="12"/>
  <c r="W126" i="12" s="1"/>
  <c r="Q140" i="12"/>
  <c r="W140" i="12" s="1"/>
  <c r="Q115" i="12"/>
  <c r="W115" i="12" s="1"/>
  <c r="Q118" i="12"/>
  <c r="W118" i="12" s="1"/>
  <c r="Q138" i="12"/>
  <c r="W138" i="12" s="1"/>
  <c r="Q117" i="12"/>
  <c r="W117" i="12" s="1"/>
  <c r="Q55" i="12"/>
  <c r="W55" i="12" s="1"/>
  <c r="Q58" i="12"/>
  <c r="W58" i="12" s="1"/>
  <c r="Q105" i="12"/>
  <c r="W105" i="12" s="1"/>
  <c r="Q17" i="12"/>
  <c r="W17" i="12" s="1"/>
  <c r="Q51" i="12"/>
  <c r="W51" i="12" s="1"/>
  <c r="Q65" i="12"/>
  <c r="W65" i="12" s="1"/>
  <c r="Q86" i="12"/>
  <c r="W86" i="12" s="1"/>
  <c r="Q21" i="12"/>
  <c r="W21" i="12" s="1"/>
  <c r="Q13" i="12"/>
  <c r="W13" i="12" s="1"/>
  <c r="Q24" i="12"/>
  <c r="W24" i="12" s="1"/>
  <c r="Q10" i="12"/>
  <c r="W10" i="12" s="1"/>
  <c r="Q12" i="12"/>
  <c r="W12" i="12" s="1"/>
  <c r="Q171" i="12"/>
  <c r="W171" i="12" s="1"/>
  <c r="Q93" i="12"/>
  <c r="W93" i="12" s="1"/>
  <c r="Q108" i="12"/>
  <c r="W108" i="12" s="1"/>
  <c r="Q14" i="12"/>
  <c r="W14" i="12" s="1"/>
  <c r="Q174" i="12"/>
  <c r="W174" i="12" s="1"/>
  <c r="Q181" i="12"/>
  <c r="W181" i="12" s="1"/>
  <c r="Q173" i="12"/>
  <c r="W173" i="12" s="1"/>
  <c r="Q167" i="12"/>
  <c r="W167" i="12" s="1"/>
  <c r="Q176" i="12"/>
  <c r="W176" i="12" s="1"/>
  <c r="Q112" i="12"/>
  <c r="W112" i="12" s="1"/>
  <c r="Q136" i="12"/>
  <c r="W136" i="12" s="1"/>
  <c r="Q107" i="12"/>
  <c r="W107" i="12" s="1"/>
  <c r="Q103" i="12"/>
  <c r="W103" i="12" s="1"/>
  <c r="Q134" i="12"/>
  <c r="W134" i="12" s="1"/>
  <c r="Q89" i="12"/>
  <c r="W89" i="12" s="1"/>
  <c r="Q45" i="12"/>
  <c r="W45" i="12" s="1"/>
  <c r="Q96" i="12"/>
  <c r="W96" i="12" s="1"/>
  <c r="Q101" i="12"/>
  <c r="W101" i="12" s="1"/>
  <c r="Q114" i="12"/>
  <c r="W114" i="12" s="1"/>
  <c r="Q97" i="12"/>
  <c r="W97" i="12" s="1"/>
  <c r="Q63" i="12"/>
  <c r="W63" i="12" s="1"/>
  <c r="Q82" i="12"/>
  <c r="W82" i="12" s="1"/>
  <c r="Q43" i="12"/>
  <c r="W43" i="12" s="1"/>
  <c r="Q18" i="12"/>
  <c r="W18" i="12" s="1"/>
  <c r="Q19" i="12"/>
  <c r="W19" i="12" s="1"/>
  <c r="Q20" i="12"/>
  <c r="W20" i="12" s="1"/>
  <c r="Q11" i="12"/>
  <c r="W11" i="12" s="1"/>
  <c r="D19" i="12"/>
  <c r="F19" i="12" s="1"/>
  <c r="D87" i="12"/>
  <c r="AM94" i="31"/>
  <c r="AM91" i="31"/>
  <c r="F7" i="31"/>
  <c r="M17" i="31"/>
  <c r="J25" i="31" s="1"/>
  <c r="L19" i="31"/>
  <c r="L17" i="31"/>
  <c r="I25" i="31" s="1"/>
  <c r="M19" i="31"/>
  <c r="M11" i="31"/>
  <c r="E7" i="31"/>
  <c r="E9" i="31" s="1"/>
  <c r="D7" i="31"/>
  <c r="C7" i="31"/>
  <c r="AL93" i="31"/>
  <c r="AM93" i="31"/>
  <c r="W14" i="31"/>
  <c r="W15" i="31" s="1"/>
  <c r="W16" i="31"/>
  <c r="N21" i="31"/>
  <c r="M21" i="31"/>
  <c r="J29" i="31" s="1"/>
  <c r="L21" i="31"/>
  <c r="I29" i="31" s="1"/>
  <c r="C27" i="31"/>
  <c r="B27" i="31"/>
  <c r="J27" i="31"/>
  <c r="I27" i="31"/>
  <c r="O94" i="31"/>
  <c r="O95" i="31"/>
  <c r="O91" i="31"/>
  <c r="O93" i="31"/>
  <c r="O92" i="31"/>
  <c r="E19" i="31"/>
  <c r="F19" i="31"/>
  <c r="F17" i="12"/>
  <c r="E17" i="12"/>
  <c r="X34" i="12" l="1"/>
  <c r="I96" i="36"/>
  <c r="J27" i="36"/>
  <c r="I27" i="36"/>
  <c r="J29" i="36"/>
  <c r="I29" i="36"/>
  <c r="I25" i="36"/>
  <c r="J25" i="36"/>
  <c r="I96" i="37"/>
  <c r="I27" i="37"/>
  <c r="J27" i="37"/>
  <c r="I29" i="37"/>
  <c r="I25" i="37"/>
  <c r="J29" i="37"/>
  <c r="J25" i="37"/>
  <c r="X104" i="12"/>
  <c r="A44" i="31"/>
  <c r="B46" i="31" s="1"/>
  <c r="A43" i="31"/>
  <c r="I97" i="31"/>
  <c r="X30" i="12"/>
  <c r="Z30" i="12" s="1"/>
  <c r="X38" i="12"/>
  <c r="Z38" i="12" s="1"/>
  <c r="X19" i="12"/>
  <c r="Z19" i="12" s="1"/>
  <c r="X63" i="12"/>
  <c r="X96" i="12"/>
  <c r="Z96" i="12" s="1"/>
  <c r="X103" i="12"/>
  <c r="X176" i="12"/>
  <c r="Z176" i="12" s="1"/>
  <c r="X174" i="12"/>
  <c r="Z174" i="12" s="1"/>
  <c r="X171" i="12"/>
  <c r="X13" i="12"/>
  <c r="Z13" i="12" s="1"/>
  <c r="X51" i="12"/>
  <c r="X55" i="12"/>
  <c r="X115" i="12"/>
  <c r="Z115" i="12" s="1"/>
  <c r="X169" i="12"/>
  <c r="Z169" i="12" s="1"/>
  <c r="X15" i="12"/>
  <c r="Z26" i="12"/>
  <c r="X46" i="12"/>
  <c r="Z46" i="12" s="1"/>
  <c r="X79" i="12"/>
  <c r="Z79" i="12" s="1"/>
  <c r="X120" i="12"/>
  <c r="Z120" i="12" s="1"/>
  <c r="X144" i="12"/>
  <c r="Z144" i="12" s="1"/>
  <c r="X177" i="12"/>
  <c r="X49" i="12"/>
  <c r="Z49" i="12" s="1"/>
  <c r="X81" i="12"/>
  <c r="Z81" i="12" s="1"/>
  <c r="X123" i="12"/>
  <c r="Z123" i="12" s="1"/>
  <c r="X148" i="12"/>
  <c r="Z148" i="12" s="1"/>
  <c r="X157" i="12"/>
  <c r="Z157" i="12" s="1"/>
  <c r="X36" i="12"/>
  <c r="Z36" i="12" s="1"/>
  <c r="X76" i="12"/>
  <c r="Z76" i="12" s="1"/>
  <c r="X98" i="12"/>
  <c r="Z98" i="12" s="1"/>
  <c r="X141" i="12"/>
  <c r="Z141" i="12" s="1"/>
  <c r="X165" i="12"/>
  <c r="X95" i="12"/>
  <c r="Z95" i="12" s="1"/>
  <c r="X37" i="12"/>
  <c r="Z37" i="12" s="1"/>
  <c r="Z50" i="12"/>
  <c r="X77" i="12"/>
  <c r="Z77" i="12" s="1"/>
  <c r="X154" i="12"/>
  <c r="Z154" i="12" s="1"/>
  <c r="X143" i="12"/>
  <c r="Z143" i="12" s="1"/>
  <c r="X161" i="12"/>
  <c r="Z161" i="12" s="1"/>
  <c r="Z42" i="12"/>
  <c r="X74" i="12"/>
  <c r="Z74" i="12" s="1"/>
  <c r="X90" i="12"/>
  <c r="X113" i="12"/>
  <c r="X119" i="12"/>
  <c r="Z119" i="12" s="1"/>
  <c r="X166" i="12"/>
  <c r="Z166" i="12" s="1"/>
  <c r="X61" i="12"/>
  <c r="Z61" i="12" s="1"/>
  <c r="Z51" i="12"/>
  <c r="X18" i="12"/>
  <c r="Z18" i="12" s="1"/>
  <c r="X97" i="12"/>
  <c r="Z97" i="12" s="1"/>
  <c r="X45" i="12"/>
  <c r="Z45" i="12" s="1"/>
  <c r="X107" i="12"/>
  <c r="Z107" i="12" s="1"/>
  <c r="X167" i="12"/>
  <c r="Z167" i="12" s="1"/>
  <c r="X14" i="12"/>
  <c r="Z14" i="12" s="1"/>
  <c r="X12" i="12"/>
  <c r="Z12" i="12" s="1"/>
  <c r="X21" i="12"/>
  <c r="Z21" i="12" s="1"/>
  <c r="X17" i="12"/>
  <c r="Z17" i="12" s="1"/>
  <c r="X117" i="12"/>
  <c r="Z117" i="12" s="1"/>
  <c r="X140" i="12"/>
  <c r="Z140" i="12" s="1"/>
  <c r="X175" i="12"/>
  <c r="Z175" i="12" s="1"/>
  <c r="X94" i="12"/>
  <c r="Z94" i="12" s="1"/>
  <c r="X25" i="12"/>
  <c r="Z25" i="12" s="1"/>
  <c r="X56" i="12"/>
  <c r="Z56" i="12" s="1"/>
  <c r="X109" i="12"/>
  <c r="Z109" i="12" s="1"/>
  <c r="X142" i="12"/>
  <c r="Z142" i="12" s="1"/>
  <c r="X131" i="12"/>
  <c r="Z131" i="12" s="1"/>
  <c r="X170" i="12"/>
  <c r="Z170" i="12" s="1"/>
  <c r="X29" i="12"/>
  <c r="Z29" i="12" s="1"/>
  <c r="X59" i="12"/>
  <c r="Z59" i="12" s="1"/>
  <c r="X48" i="12"/>
  <c r="Z48" i="12" s="1"/>
  <c r="X146" i="12"/>
  <c r="Z146" i="12" s="1"/>
  <c r="X135" i="12"/>
  <c r="Z135" i="12" s="1"/>
  <c r="X183" i="12"/>
  <c r="Z183" i="12" s="1"/>
  <c r="X27" i="12"/>
  <c r="Z27" i="12" s="1"/>
  <c r="X99" i="12"/>
  <c r="Z99" i="12" s="1"/>
  <c r="X64" i="12"/>
  <c r="Z64" i="12" s="1"/>
  <c r="X129" i="12"/>
  <c r="Z129" i="12" s="1"/>
  <c r="X151" i="12"/>
  <c r="Z151" i="12" s="1"/>
  <c r="X132" i="12"/>
  <c r="Z132" i="12" s="1"/>
  <c r="X40" i="12"/>
  <c r="Z40" i="12" s="1"/>
  <c r="X83" i="12"/>
  <c r="Z83" i="12" s="1"/>
  <c r="X100" i="12"/>
  <c r="Z100" i="12" s="1"/>
  <c r="X145" i="12"/>
  <c r="Z145" i="12" s="1"/>
  <c r="X180" i="12"/>
  <c r="Z180" i="12" s="1"/>
  <c r="X39" i="12"/>
  <c r="Z39" i="12" s="1"/>
  <c r="X41" i="12"/>
  <c r="Z41" i="12" s="1"/>
  <c r="X53" i="12"/>
  <c r="Z53" i="12" s="1"/>
  <c r="X84" i="12"/>
  <c r="Z84" i="12" s="1"/>
  <c r="X121" i="12"/>
  <c r="Z121" i="12" s="1"/>
  <c r="X147" i="12"/>
  <c r="Z147" i="12" s="1"/>
  <c r="X164" i="12"/>
  <c r="Z164" i="12" s="1"/>
  <c r="X110" i="12"/>
  <c r="Z110" i="12" s="1"/>
  <c r="Z177" i="12"/>
  <c r="Z90" i="12"/>
  <c r="Z66" i="12"/>
  <c r="Z103" i="12"/>
  <c r="Z15" i="12"/>
  <c r="X11" i="12"/>
  <c r="Z11" i="12" s="1"/>
  <c r="X43" i="12"/>
  <c r="Z43" i="12" s="1"/>
  <c r="X114" i="12"/>
  <c r="Z114" i="12" s="1"/>
  <c r="X89" i="12"/>
  <c r="Z89" i="12" s="1"/>
  <c r="X136" i="12"/>
  <c r="Z136" i="12" s="1"/>
  <c r="X173" i="12"/>
  <c r="Z173" i="12" s="1"/>
  <c r="X108" i="12"/>
  <c r="Z108" i="12" s="1"/>
  <c r="X10" i="12"/>
  <c r="Z10" i="12" s="1"/>
  <c r="X86" i="12"/>
  <c r="Z86" i="12" s="1"/>
  <c r="X105" i="12"/>
  <c r="Z105" i="12" s="1"/>
  <c r="X138" i="12"/>
  <c r="Z138" i="12" s="1"/>
  <c r="X126" i="12"/>
  <c r="Z126" i="12" s="1"/>
  <c r="X168" i="12"/>
  <c r="Z168" i="12" s="1"/>
  <c r="X124" i="12"/>
  <c r="Z124" i="12" s="1"/>
  <c r="X28" i="12"/>
  <c r="Z28" i="12" s="1"/>
  <c r="X54" i="12"/>
  <c r="Z54" i="12" s="1"/>
  <c r="X62" i="12"/>
  <c r="Z62" i="12" s="1"/>
  <c r="X133" i="12"/>
  <c r="Z133" i="12" s="1"/>
  <c r="X153" i="12"/>
  <c r="Z153" i="12" s="1"/>
  <c r="X87" i="12"/>
  <c r="Z87" i="12" s="1"/>
  <c r="X32" i="12"/>
  <c r="Z32" i="12" s="1"/>
  <c r="X72" i="12"/>
  <c r="Z72" i="12" s="1"/>
  <c r="X75" i="12"/>
  <c r="Z75" i="12" s="1"/>
  <c r="X137" i="12"/>
  <c r="Z137" i="12" s="1"/>
  <c r="X155" i="12"/>
  <c r="Z155" i="12" s="1"/>
  <c r="Z34" i="12"/>
  <c r="X66" i="12"/>
  <c r="X88" i="12"/>
  <c r="Z88" i="12" s="1"/>
  <c r="X128" i="12"/>
  <c r="Z128" i="12" s="1"/>
  <c r="X152" i="12"/>
  <c r="Z152" i="12" s="1"/>
  <c r="X160" i="12"/>
  <c r="Z160" i="12" s="1"/>
  <c r="X172" i="12"/>
  <c r="Z172" i="12" s="1"/>
  <c r="X31" i="12"/>
  <c r="Z31" i="12" s="1"/>
  <c r="X102" i="12"/>
  <c r="Z102" i="12" s="1"/>
  <c r="X71" i="12"/>
  <c r="Z71" i="12" s="1"/>
  <c r="X111" i="12"/>
  <c r="Z111" i="12" s="1"/>
  <c r="X156" i="12"/>
  <c r="Z156" i="12" s="1"/>
  <c r="X92" i="12"/>
  <c r="Z92" i="12" s="1"/>
  <c r="X44" i="12"/>
  <c r="Z44" i="12" s="1"/>
  <c r="X85" i="12"/>
  <c r="Z85" i="12" s="1"/>
  <c r="Z104" i="12"/>
  <c r="X149" i="12"/>
  <c r="Z149" i="12" s="1"/>
  <c r="X182" i="12"/>
  <c r="Z182" i="12" s="1"/>
  <c r="X16" i="12"/>
  <c r="Z16" i="12" s="1"/>
  <c r="X130" i="12"/>
  <c r="Z130" i="12" s="1"/>
  <c r="Z171" i="12"/>
  <c r="Z113" i="12"/>
  <c r="Z63" i="12"/>
  <c r="Z55" i="12"/>
  <c r="Z165" i="12"/>
  <c r="X20" i="12"/>
  <c r="Z20" i="12" s="1"/>
  <c r="X82" i="12"/>
  <c r="Z82" i="12" s="1"/>
  <c r="X101" i="12"/>
  <c r="Z101" i="12" s="1"/>
  <c r="X134" i="12"/>
  <c r="Z134" i="12" s="1"/>
  <c r="X112" i="12"/>
  <c r="Z112" i="12" s="1"/>
  <c r="X181" i="12"/>
  <c r="Z181" i="12" s="1"/>
  <c r="X93" i="12"/>
  <c r="Z93" i="12" s="1"/>
  <c r="X24" i="12"/>
  <c r="Z24" i="12" s="1"/>
  <c r="X65" i="12"/>
  <c r="Z65" i="12" s="1"/>
  <c r="X58" i="12"/>
  <c r="Z58" i="12" s="1"/>
  <c r="X118" i="12"/>
  <c r="Z118" i="12" s="1"/>
  <c r="X178" i="12"/>
  <c r="Z178" i="12" s="1"/>
  <c r="X187" i="12"/>
  <c r="Z187" i="12" s="1"/>
  <c r="X162" i="12"/>
  <c r="Z162" i="12" s="1"/>
  <c r="X22" i="12"/>
  <c r="Z22" i="12" s="1"/>
  <c r="X52" i="12"/>
  <c r="Z52" i="12" s="1"/>
  <c r="X57" i="12"/>
  <c r="Z57" i="12" s="1"/>
  <c r="X125" i="12"/>
  <c r="Z125" i="12" s="1"/>
  <c r="X184" i="12"/>
  <c r="Z184" i="12" s="1"/>
  <c r="X179" i="12"/>
  <c r="Z179" i="12" s="1"/>
  <c r="X23" i="12"/>
  <c r="Z23" i="12" s="1"/>
  <c r="X68" i="12"/>
  <c r="Z68" i="12" s="1"/>
  <c r="X60" i="12"/>
  <c r="Z60" i="12" s="1"/>
  <c r="X127" i="12"/>
  <c r="Z127" i="12" s="1"/>
  <c r="X186" i="12"/>
  <c r="Z186" i="12" s="1"/>
  <c r="X33" i="12"/>
  <c r="Z33" i="12" s="1"/>
  <c r="X47" i="12"/>
  <c r="Z47" i="12" s="1"/>
  <c r="X69" i="12"/>
  <c r="Z69" i="12" s="1"/>
  <c r="X150" i="12"/>
  <c r="Z150" i="12" s="1"/>
  <c r="X139" i="12"/>
  <c r="Z139" i="12" s="1"/>
  <c r="X185" i="12"/>
  <c r="Z185" i="12" s="1"/>
  <c r="X70" i="12"/>
  <c r="Z70" i="12" s="1"/>
  <c r="X73" i="12"/>
  <c r="Z73" i="12" s="1"/>
  <c r="X91" i="12"/>
  <c r="Z91" i="12" s="1"/>
  <c r="X116" i="12"/>
  <c r="Z116" i="12" s="1"/>
  <c r="X163" i="12"/>
  <c r="Z163" i="12" s="1"/>
  <c r="X67" i="12"/>
  <c r="Z67" i="12" s="1"/>
  <c r="X35" i="12"/>
  <c r="Z35" i="12" s="1"/>
  <c r="X106" i="12"/>
  <c r="Z106" i="12" s="1"/>
  <c r="X80" i="12"/>
  <c r="Z80" i="12" s="1"/>
  <c r="X122" i="12"/>
  <c r="Z122" i="12" s="1"/>
  <c r="X159" i="12"/>
  <c r="Z159" i="12" s="1"/>
  <c r="X78" i="12"/>
  <c r="Z78" i="12" s="1"/>
  <c r="X158" i="12"/>
  <c r="Z158" i="12" s="1"/>
  <c r="E19" i="12"/>
  <c r="G19" i="12" s="1"/>
  <c r="H19" i="12" s="1"/>
  <c r="D25" i="12" s="1"/>
  <c r="D9" i="31"/>
  <c r="C17" i="31" s="1"/>
  <c r="C9" i="31"/>
  <c r="B17" i="31" s="1"/>
  <c r="F9" i="31"/>
  <c r="C21" i="31" s="1"/>
  <c r="B21" i="31"/>
  <c r="P25" i="31"/>
  <c r="P27" i="31"/>
  <c r="D27" i="31"/>
  <c r="E27" i="31" s="1"/>
  <c r="O43" i="31"/>
  <c r="P29" i="31"/>
  <c r="N29" i="31"/>
  <c r="K29" i="31"/>
  <c r="L29" i="31" s="1"/>
  <c r="I35" i="31" s="1"/>
  <c r="N25" i="31"/>
  <c r="K25" i="31"/>
  <c r="L25" i="31" s="1"/>
  <c r="I31" i="31" s="1"/>
  <c r="P95" i="31"/>
  <c r="Q95" i="31" s="1"/>
  <c r="R95" i="31" s="1"/>
  <c r="S95" i="31" s="1"/>
  <c r="P91" i="31"/>
  <c r="Q91" i="31" s="1"/>
  <c r="R91" i="31" s="1"/>
  <c r="S91" i="31" s="1"/>
  <c r="P92" i="31"/>
  <c r="Q92" i="31" s="1"/>
  <c r="R92" i="31" s="1"/>
  <c r="S92" i="31" s="1"/>
  <c r="P94" i="31"/>
  <c r="Q94" i="31" s="1"/>
  <c r="R94" i="31" s="1"/>
  <c r="S94" i="31" s="1"/>
  <c r="P93" i="31"/>
  <c r="Q93" i="31" s="1"/>
  <c r="R93" i="31" s="1"/>
  <c r="S93" i="31" s="1"/>
  <c r="P43" i="31"/>
  <c r="N27" i="31"/>
  <c r="K27" i="31"/>
  <c r="L27" i="31" s="1"/>
  <c r="I33" i="31" s="1"/>
  <c r="G17" i="12"/>
  <c r="H17" i="12" s="1"/>
  <c r="D21" i="12" s="1"/>
  <c r="B33" i="31" l="1"/>
  <c r="N27" i="37"/>
  <c r="Q27" i="37" s="1"/>
  <c r="M27" i="37" s="1"/>
  <c r="P33" i="37" s="1"/>
  <c r="K27" i="37"/>
  <c r="L27" i="37" s="1"/>
  <c r="I33" i="37" s="1"/>
  <c r="I98" i="37"/>
  <c r="I97" i="37"/>
  <c r="K29" i="37"/>
  <c r="L29" i="37" s="1"/>
  <c r="I35" i="37" s="1"/>
  <c r="N29" i="37"/>
  <c r="Q29" i="37" s="1"/>
  <c r="M29" i="37" s="1"/>
  <c r="P35" i="37" s="1"/>
  <c r="N25" i="36"/>
  <c r="Q25" i="36" s="1"/>
  <c r="M25" i="36" s="1"/>
  <c r="P31" i="36" s="1"/>
  <c r="K25" i="36"/>
  <c r="L25" i="36" s="1"/>
  <c r="I31" i="36" s="1"/>
  <c r="K29" i="36"/>
  <c r="L29" i="36" s="1"/>
  <c r="I35" i="36" s="1"/>
  <c r="N29" i="36"/>
  <c r="Q29" i="36" s="1"/>
  <c r="M29" i="36" s="1"/>
  <c r="P35" i="36" s="1"/>
  <c r="N27" i="36"/>
  <c r="Q27" i="36" s="1"/>
  <c r="M27" i="36" s="1"/>
  <c r="P33" i="36" s="1"/>
  <c r="K27" i="36"/>
  <c r="L27" i="36" s="1"/>
  <c r="I33" i="36" s="1"/>
  <c r="I98" i="36"/>
  <c r="I97" i="36"/>
  <c r="N25" i="37"/>
  <c r="Q25" i="37" s="1"/>
  <c r="M25" i="37" s="1"/>
  <c r="P31" i="37" s="1"/>
  <c r="K25" i="37"/>
  <c r="L25" i="37" s="1"/>
  <c r="I31" i="37" s="1"/>
  <c r="C22" i="31"/>
  <c r="AB11" i="12"/>
  <c r="D23" i="12"/>
  <c r="D27" i="12" s="1"/>
  <c r="B22" i="31"/>
  <c r="D21" i="31"/>
  <c r="Q25" i="31"/>
  <c r="M25" i="31" s="1"/>
  <c r="P31" i="31" s="1"/>
  <c r="Q27" i="31"/>
  <c r="M27" i="31" s="1"/>
  <c r="P33" i="31" s="1"/>
  <c r="Q43" i="31"/>
  <c r="R43" i="31" s="1"/>
  <c r="S43" i="31" s="1"/>
  <c r="Q29" i="31"/>
  <c r="M29" i="31" s="1"/>
  <c r="P35" i="31" s="1"/>
  <c r="D17" i="31"/>
  <c r="I36" i="31"/>
  <c r="L36" i="31" s="1"/>
  <c r="P36" i="37" l="1"/>
  <c r="P36" i="36"/>
  <c r="I36" i="37"/>
  <c r="L36" i="37" s="1"/>
  <c r="I36" i="36"/>
  <c r="L36" i="36" s="1"/>
  <c r="D39" i="31"/>
  <c r="I58" i="31"/>
  <c r="I58" i="37" s="1"/>
  <c r="I57" i="31"/>
  <c r="I57" i="37" s="1"/>
  <c r="I59" i="31"/>
  <c r="I59" i="37" s="1"/>
  <c r="T95" i="31"/>
  <c r="F21" i="31"/>
  <c r="C29" i="31" s="1"/>
  <c r="T92" i="31"/>
  <c r="T91" i="31"/>
  <c r="T94" i="31"/>
  <c r="T93" i="31"/>
  <c r="E21" i="31"/>
  <c r="P36" i="31"/>
  <c r="E17" i="31"/>
  <c r="F17" i="31"/>
  <c r="C48" i="31" s="1"/>
  <c r="J94" i="31"/>
  <c r="J93" i="31"/>
  <c r="F12" i="31"/>
  <c r="J95" i="31"/>
  <c r="J92" i="31"/>
  <c r="J91" i="31"/>
  <c r="I60" i="31" l="1"/>
  <c r="I59" i="36"/>
  <c r="AC57" i="31"/>
  <c r="AD57" i="31" s="1"/>
  <c r="AE57" i="31" s="1"/>
  <c r="I57" i="36"/>
  <c r="AI58" i="31"/>
  <c r="I58" i="36"/>
  <c r="C25" i="31"/>
  <c r="C44" i="31"/>
  <c r="C46" i="31"/>
  <c r="U95" i="31"/>
  <c r="I46" i="31"/>
  <c r="I46" i="37" s="1"/>
  <c r="I52" i="31"/>
  <c r="I52" i="37" s="1"/>
  <c r="O57" i="31"/>
  <c r="AH57" i="31"/>
  <c r="P57" i="31"/>
  <c r="AA57" i="31"/>
  <c r="AI57" i="31"/>
  <c r="I51" i="31"/>
  <c r="I51" i="37" s="1"/>
  <c r="I53" i="31"/>
  <c r="I47" i="31"/>
  <c r="I45" i="31"/>
  <c r="J59" i="31"/>
  <c r="U57" i="31"/>
  <c r="B29" i="31"/>
  <c r="U43" i="31"/>
  <c r="U93" i="31"/>
  <c r="U92" i="31"/>
  <c r="U91" i="31"/>
  <c r="AI59" i="31"/>
  <c r="O59" i="31"/>
  <c r="T57" i="31"/>
  <c r="T43" i="31"/>
  <c r="U94" i="31"/>
  <c r="AC59" i="31"/>
  <c r="AD59" i="31" s="1"/>
  <c r="AG59" i="31" s="1"/>
  <c r="AH59" i="31"/>
  <c r="AA59" i="31"/>
  <c r="T59" i="31"/>
  <c r="U59" i="31"/>
  <c r="P59" i="31"/>
  <c r="B25" i="31"/>
  <c r="T58" i="31"/>
  <c r="AA58" i="31"/>
  <c r="J43" i="31"/>
  <c r="J57" i="31"/>
  <c r="AC58" i="31"/>
  <c r="AD58" i="31" s="1"/>
  <c r="AE58" i="31" s="1"/>
  <c r="O58" i="31"/>
  <c r="U58" i="31"/>
  <c r="P58" i="31"/>
  <c r="J58" i="31"/>
  <c r="AH58" i="31"/>
  <c r="K95" i="31"/>
  <c r="K91" i="31"/>
  <c r="K94" i="31"/>
  <c r="K59" i="31"/>
  <c r="K57" i="31"/>
  <c r="K43" i="31"/>
  <c r="K58" i="31"/>
  <c r="K92" i="31"/>
  <c r="K93" i="31"/>
  <c r="V91" i="31" l="1"/>
  <c r="W91" i="31" s="1"/>
  <c r="X91" i="31" s="1"/>
  <c r="V92" i="31"/>
  <c r="W92" i="31" s="1"/>
  <c r="X92" i="31" s="1"/>
  <c r="AJ58" i="31"/>
  <c r="AK58" i="31" s="1"/>
  <c r="AL58" i="31" s="1"/>
  <c r="V93" i="31"/>
  <c r="W93" i="31" s="1"/>
  <c r="X93" i="31" s="1"/>
  <c r="V95" i="31"/>
  <c r="W95" i="31" s="1"/>
  <c r="X95" i="31" s="1"/>
  <c r="V94" i="31"/>
  <c r="W94" i="31" s="1"/>
  <c r="X94" i="31" s="1"/>
  <c r="AG57" i="31"/>
  <c r="I45" i="36"/>
  <c r="I45" i="37"/>
  <c r="I47" i="36"/>
  <c r="I47" i="37"/>
  <c r="I53" i="36"/>
  <c r="I53" i="37"/>
  <c r="AH60" i="31"/>
  <c r="I60" i="37"/>
  <c r="AF57" i="31"/>
  <c r="AC60" i="31"/>
  <c r="AD60" i="31" s="1"/>
  <c r="AG60" i="31" s="1"/>
  <c r="J60" i="31"/>
  <c r="U60" i="31"/>
  <c r="O60" i="31"/>
  <c r="T60" i="31"/>
  <c r="AI60" i="31"/>
  <c r="AA60" i="31"/>
  <c r="K60" i="31"/>
  <c r="P60" i="31"/>
  <c r="J52" i="31"/>
  <c r="I52" i="36"/>
  <c r="AC46" i="31"/>
  <c r="AD46" i="31" s="1"/>
  <c r="AG46" i="31" s="1"/>
  <c r="I46" i="36"/>
  <c r="AI51" i="31"/>
  <c r="I51" i="36"/>
  <c r="I61" i="31"/>
  <c r="I61" i="37" s="1"/>
  <c r="I60" i="36"/>
  <c r="U45" i="31"/>
  <c r="I44" i="36"/>
  <c r="L94" i="31"/>
  <c r="M94" i="31" s="1"/>
  <c r="N94" i="31" s="1"/>
  <c r="L95" i="31"/>
  <c r="M95" i="31" s="1"/>
  <c r="N95" i="31" s="1"/>
  <c r="L91" i="31"/>
  <c r="M91" i="31" s="1"/>
  <c r="N91" i="31" s="1"/>
  <c r="L93" i="31"/>
  <c r="M93" i="31" s="1"/>
  <c r="N93" i="31" s="1"/>
  <c r="L92" i="31"/>
  <c r="M92" i="31" s="1"/>
  <c r="N92" i="31" s="1"/>
  <c r="D46" i="31"/>
  <c r="E46" i="31" s="1"/>
  <c r="F46" i="31" s="1"/>
  <c r="D29" i="31"/>
  <c r="B48" i="31"/>
  <c r="B44" i="31"/>
  <c r="I49" i="31"/>
  <c r="I49" i="37" s="1"/>
  <c r="AA53" i="31"/>
  <c r="I55" i="31"/>
  <c r="I55" i="37" s="1"/>
  <c r="U47" i="31"/>
  <c r="AJ57" i="31"/>
  <c r="AK57" i="31" s="1"/>
  <c r="AM57" i="31" s="1"/>
  <c r="Q57" i="31"/>
  <c r="R57" i="31" s="1"/>
  <c r="S57" i="31" s="1"/>
  <c r="L59" i="31"/>
  <c r="M59" i="31" s="1"/>
  <c r="N59" i="31" s="1"/>
  <c r="K51" i="31"/>
  <c r="D25" i="31"/>
  <c r="P51" i="31"/>
  <c r="U51" i="31"/>
  <c r="AH51" i="31"/>
  <c r="O51" i="31"/>
  <c r="T51" i="31"/>
  <c r="AA51" i="31"/>
  <c r="J51" i="31"/>
  <c r="AC51" i="31"/>
  <c r="AD51" i="31" s="1"/>
  <c r="AG51" i="31" s="1"/>
  <c r="J45" i="31"/>
  <c r="K45" i="31"/>
  <c r="T45" i="31"/>
  <c r="AI45" i="31"/>
  <c r="AA45" i="31"/>
  <c r="AH45" i="31"/>
  <c r="P45" i="31"/>
  <c r="O45" i="31"/>
  <c r="AC45" i="31"/>
  <c r="AD45" i="31" s="1"/>
  <c r="V43" i="31"/>
  <c r="W43" i="31" s="1"/>
  <c r="X43" i="31" s="1"/>
  <c r="V57" i="31"/>
  <c r="W57" i="31" s="1"/>
  <c r="X57" i="31" s="1"/>
  <c r="K53" i="31"/>
  <c r="Q59" i="31"/>
  <c r="R59" i="31" s="1"/>
  <c r="S59" i="31" s="1"/>
  <c r="O53" i="31"/>
  <c r="P53" i="31"/>
  <c r="AI53" i="31"/>
  <c r="J47" i="31"/>
  <c r="AH47" i="31"/>
  <c r="AC47" i="31"/>
  <c r="AD47" i="31" s="1"/>
  <c r="AF47" i="31" s="1"/>
  <c r="P47" i="31"/>
  <c r="K47" i="31"/>
  <c r="AA47" i="31"/>
  <c r="AI47" i="31"/>
  <c r="T47" i="31"/>
  <c r="O47" i="31"/>
  <c r="AC53" i="31"/>
  <c r="AD53" i="31" s="1"/>
  <c r="AE53" i="31" s="1"/>
  <c r="T53" i="31"/>
  <c r="J53" i="31"/>
  <c r="U53" i="31"/>
  <c r="AH53" i="31"/>
  <c r="AJ59" i="31"/>
  <c r="AK59" i="31" s="1"/>
  <c r="AL59" i="31" s="1"/>
  <c r="V59" i="31"/>
  <c r="W59" i="31" s="1"/>
  <c r="X59" i="31" s="1"/>
  <c r="AE59" i="31"/>
  <c r="AF59" i="31"/>
  <c r="V58" i="31"/>
  <c r="W58" i="31" s="1"/>
  <c r="X58" i="31" s="1"/>
  <c r="AI46" i="31"/>
  <c r="AH46" i="31"/>
  <c r="AA46" i="31"/>
  <c r="T46" i="31"/>
  <c r="L43" i="31"/>
  <c r="U52" i="31"/>
  <c r="AI52" i="31"/>
  <c r="J46" i="31"/>
  <c r="L57" i="31"/>
  <c r="M57" i="31" s="1"/>
  <c r="N57" i="31" s="1"/>
  <c r="K46" i="31"/>
  <c r="K52" i="31"/>
  <c r="AA52" i="31"/>
  <c r="P52" i="31"/>
  <c r="AF58" i="31"/>
  <c r="T52" i="31"/>
  <c r="O52" i="31"/>
  <c r="AG58" i="31"/>
  <c r="AC52" i="31"/>
  <c r="AD52" i="31" s="1"/>
  <c r="AG52" i="31" s="1"/>
  <c r="AH52" i="31"/>
  <c r="L58" i="31"/>
  <c r="M58" i="31" s="1"/>
  <c r="N58" i="31" s="1"/>
  <c r="Q58" i="31"/>
  <c r="R58" i="31" s="1"/>
  <c r="S58" i="31" s="1"/>
  <c r="O46" i="31"/>
  <c r="U46" i="31"/>
  <c r="P46" i="31"/>
  <c r="E25" i="31" l="1"/>
  <c r="B31" i="31" s="1"/>
  <c r="E29" i="31"/>
  <c r="B35" i="31" s="1"/>
  <c r="AJ60" i="31"/>
  <c r="AK60" i="31" s="1"/>
  <c r="AL60" i="31" s="1"/>
  <c r="Y95" i="31"/>
  <c r="AN95" i="31" s="1"/>
  <c r="AM58" i="31"/>
  <c r="Y92" i="31"/>
  <c r="AN92" i="31" s="1"/>
  <c r="Y94" i="31"/>
  <c r="AN94" i="31" s="1"/>
  <c r="Y91" i="31"/>
  <c r="AN91" i="31" s="1"/>
  <c r="AF46" i="31"/>
  <c r="AE46" i="31"/>
  <c r="Y93" i="31"/>
  <c r="AN93" i="31" s="1"/>
  <c r="D44" i="31"/>
  <c r="E44" i="31" s="1"/>
  <c r="F44" i="31" s="1"/>
  <c r="D48" i="31"/>
  <c r="E48" i="31" s="1"/>
  <c r="F48" i="31" s="1"/>
  <c r="L60" i="31"/>
  <c r="M60" i="31" s="1"/>
  <c r="N60" i="31" s="1"/>
  <c r="V60" i="31"/>
  <c r="W60" i="31" s="1"/>
  <c r="X60" i="31" s="1"/>
  <c r="Q60" i="31"/>
  <c r="R60" i="31" s="1"/>
  <c r="S60" i="31" s="1"/>
  <c r="V45" i="31"/>
  <c r="W45" i="31" s="1"/>
  <c r="X45" i="31" s="1"/>
  <c r="AJ51" i="31"/>
  <c r="AK51" i="31" s="1"/>
  <c r="AM51" i="31" s="1"/>
  <c r="AF60" i="31"/>
  <c r="AE60" i="31"/>
  <c r="I62" i="31"/>
  <c r="I62" i="37" s="1"/>
  <c r="I61" i="36"/>
  <c r="P61" i="31"/>
  <c r="U61" i="31"/>
  <c r="J61" i="31"/>
  <c r="AA61" i="31"/>
  <c r="AH61" i="31"/>
  <c r="T61" i="31"/>
  <c r="K61" i="31"/>
  <c r="AC61" i="31"/>
  <c r="AD61" i="31" s="1"/>
  <c r="AI61" i="31"/>
  <c r="O61" i="31"/>
  <c r="I50" i="31"/>
  <c r="T50" i="31" s="1"/>
  <c r="I49" i="36"/>
  <c r="I56" i="31"/>
  <c r="I55" i="36"/>
  <c r="AC44" i="31"/>
  <c r="AD44" i="31" s="1"/>
  <c r="AA44" i="31"/>
  <c r="AH44" i="31"/>
  <c r="AI44" i="31"/>
  <c r="O44" i="31"/>
  <c r="P44" i="31"/>
  <c r="T44" i="31"/>
  <c r="J44" i="31"/>
  <c r="K44" i="31"/>
  <c r="U44" i="31"/>
  <c r="L52" i="31"/>
  <c r="M52" i="31" s="1"/>
  <c r="N52" i="31" s="1"/>
  <c r="I48" i="31"/>
  <c r="I54" i="31"/>
  <c r="V47" i="31"/>
  <c r="W47" i="31" s="1"/>
  <c r="X47" i="31" s="1"/>
  <c r="J55" i="31"/>
  <c r="AH55" i="31"/>
  <c r="K55" i="31"/>
  <c r="AA55" i="31"/>
  <c r="AI55" i="31"/>
  <c r="T55" i="31"/>
  <c r="U55" i="31"/>
  <c r="AC55" i="31"/>
  <c r="AD55" i="31" s="1"/>
  <c r="O55" i="31"/>
  <c r="P55" i="31"/>
  <c r="AC49" i="31"/>
  <c r="AD49" i="31" s="1"/>
  <c r="AA49" i="31"/>
  <c r="AH49" i="31"/>
  <c r="AI49" i="31"/>
  <c r="O49" i="31"/>
  <c r="P49" i="31"/>
  <c r="J49" i="31"/>
  <c r="K49" i="31"/>
  <c r="T49" i="31"/>
  <c r="U49" i="31"/>
  <c r="AL57" i="31"/>
  <c r="L45" i="31"/>
  <c r="M45" i="31" s="1"/>
  <c r="N45" i="31" s="1"/>
  <c r="Q51" i="31"/>
  <c r="R51" i="31" s="1"/>
  <c r="S51" i="31" s="1"/>
  <c r="L51" i="31"/>
  <c r="M51" i="31" s="1"/>
  <c r="N51" i="31" s="1"/>
  <c r="V51" i="31"/>
  <c r="W51" i="31" s="1"/>
  <c r="X51" i="31" s="1"/>
  <c r="AF51" i="31"/>
  <c r="AE51" i="31"/>
  <c r="AJ45" i="31"/>
  <c r="AK45" i="31" s="1"/>
  <c r="AM45" i="31" s="1"/>
  <c r="AG45" i="31"/>
  <c r="AE45" i="31"/>
  <c r="AF45" i="31"/>
  <c r="Q45" i="31"/>
  <c r="R45" i="31" s="1"/>
  <c r="S45" i="31" s="1"/>
  <c r="M43" i="31"/>
  <c r="N43" i="31" s="1"/>
  <c r="Y43" i="31" s="1"/>
  <c r="AG47" i="31"/>
  <c r="AE47" i="31"/>
  <c r="Y57" i="31"/>
  <c r="L53" i="31"/>
  <c r="M53" i="31" s="1"/>
  <c r="N53" i="31" s="1"/>
  <c r="AF53" i="31"/>
  <c r="Y59" i="31"/>
  <c r="AG53" i="31"/>
  <c r="Q53" i="31"/>
  <c r="R53" i="31" s="1"/>
  <c r="S53" i="31" s="1"/>
  <c r="L47" i="31"/>
  <c r="M47" i="31" s="1"/>
  <c r="N47" i="31" s="1"/>
  <c r="AM59" i="31"/>
  <c r="AJ47" i="31"/>
  <c r="AK47" i="31" s="1"/>
  <c r="AM47" i="31" s="1"/>
  <c r="AJ53" i="31"/>
  <c r="AK53" i="31" s="1"/>
  <c r="AM53" i="31" s="1"/>
  <c r="V53" i="31"/>
  <c r="W53" i="31" s="1"/>
  <c r="X53" i="31" s="1"/>
  <c r="Q47" i="31"/>
  <c r="R47" i="31" s="1"/>
  <c r="S47" i="31" s="1"/>
  <c r="AJ46" i="31"/>
  <c r="AK46" i="31" s="1"/>
  <c r="AL46" i="31" s="1"/>
  <c r="V52" i="31"/>
  <c r="W52" i="31" s="1"/>
  <c r="X52" i="31" s="1"/>
  <c r="AJ52" i="31"/>
  <c r="AK52" i="31" s="1"/>
  <c r="AM52" i="31" s="1"/>
  <c r="Y58" i="31"/>
  <c r="AN58" i="31" s="1"/>
  <c r="L46" i="31"/>
  <c r="M46" i="31" s="1"/>
  <c r="N46" i="31" s="1"/>
  <c r="V46" i="31"/>
  <c r="W46" i="31" s="1"/>
  <c r="X46" i="31" s="1"/>
  <c r="Q52" i="31"/>
  <c r="R52" i="31" s="1"/>
  <c r="S52" i="31" s="1"/>
  <c r="AF52" i="31"/>
  <c r="AE52" i="31"/>
  <c r="Q46" i="31"/>
  <c r="R46" i="31" s="1"/>
  <c r="S46" i="31" s="1"/>
  <c r="B36" i="31" l="1"/>
  <c r="AA41" i="31" s="1"/>
  <c r="Z61" i="31" s="1"/>
  <c r="AM60" i="31"/>
  <c r="AL51" i="31"/>
  <c r="Y60" i="31"/>
  <c r="AN60" i="31" s="1"/>
  <c r="F49" i="31"/>
  <c r="C50" i="31" s="1"/>
  <c r="P50" i="31"/>
  <c r="U50" i="31"/>
  <c r="V50" i="31" s="1"/>
  <c r="W50" i="31" s="1"/>
  <c r="X50" i="31" s="1"/>
  <c r="I54" i="36"/>
  <c r="I54" i="37"/>
  <c r="I56" i="36"/>
  <c r="I56" i="37"/>
  <c r="I48" i="36"/>
  <c r="I48" i="37"/>
  <c r="I50" i="36"/>
  <c r="I50" i="37"/>
  <c r="AC56" i="31"/>
  <c r="AD56" i="31" s="1"/>
  <c r="AE56" i="31" s="1"/>
  <c r="AC50" i="31"/>
  <c r="AD50" i="31" s="1"/>
  <c r="AG50" i="31" s="1"/>
  <c r="J50" i="31"/>
  <c r="U56" i="31"/>
  <c r="O50" i="31"/>
  <c r="T56" i="31"/>
  <c r="AI56" i="31"/>
  <c r="AA56" i="31"/>
  <c r="K56" i="31"/>
  <c r="AI50" i="31"/>
  <c r="AJ61" i="31"/>
  <c r="AK61" i="31" s="1"/>
  <c r="AH56" i="31"/>
  <c r="K50" i="31"/>
  <c r="L61" i="31"/>
  <c r="M61" i="31" s="1"/>
  <c r="N61" i="31" s="1"/>
  <c r="P56" i="31"/>
  <c r="AH50" i="31"/>
  <c r="O56" i="31"/>
  <c r="J56" i="31"/>
  <c r="AA50" i="31"/>
  <c r="I63" i="31"/>
  <c r="I63" i="37" s="1"/>
  <c r="I62" i="36"/>
  <c r="P62" i="31"/>
  <c r="U62" i="31"/>
  <c r="AH62" i="31"/>
  <c r="T62" i="31"/>
  <c r="K62" i="31"/>
  <c r="J62" i="31"/>
  <c r="AA62" i="31"/>
  <c r="AC62" i="31"/>
  <c r="AD62" i="31" s="1"/>
  <c r="AI62" i="31"/>
  <c r="O62" i="31"/>
  <c r="AF61" i="31"/>
  <c r="AG61" i="31"/>
  <c r="AE61" i="31"/>
  <c r="V61" i="31"/>
  <c r="W61" i="31" s="1"/>
  <c r="X61" i="31" s="1"/>
  <c r="Q61" i="31"/>
  <c r="R61" i="31" s="1"/>
  <c r="S61" i="31" s="1"/>
  <c r="Q44" i="31"/>
  <c r="R44" i="31" s="1"/>
  <c r="S44" i="31" s="1"/>
  <c r="AJ44" i="31"/>
  <c r="AK44" i="31" s="1"/>
  <c r="AL44" i="31" s="1"/>
  <c r="V44" i="31"/>
  <c r="W44" i="31" s="1"/>
  <c r="X44" i="31" s="1"/>
  <c r="L44" i="31"/>
  <c r="M44" i="31" s="1"/>
  <c r="N44" i="31" s="1"/>
  <c r="AE44" i="31"/>
  <c r="AG44" i="31"/>
  <c r="AF44" i="31"/>
  <c r="AJ55" i="31"/>
  <c r="AK55" i="31" s="1"/>
  <c r="AL55" i="31" s="1"/>
  <c r="J48" i="31"/>
  <c r="AH48" i="31"/>
  <c r="K48" i="31"/>
  <c r="AA48" i="31"/>
  <c r="AI48" i="31"/>
  <c r="T48" i="31"/>
  <c r="U48" i="31"/>
  <c r="AC48" i="31"/>
  <c r="AD48" i="31" s="1"/>
  <c r="O48" i="31"/>
  <c r="P48" i="31"/>
  <c r="J54" i="31"/>
  <c r="AH54" i="31"/>
  <c r="K54" i="31"/>
  <c r="AA54" i="31"/>
  <c r="AI54" i="31"/>
  <c r="T54" i="31"/>
  <c r="U54" i="31"/>
  <c r="AC54" i="31"/>
  <c r="AD54" i="31" s="1"/>
  <c r="O54" i="31"/>
  <c r="P54" i="31"/>
  <c r="Q49" i="31"/>
  <c r="R49" i="31" s="1"/>
  <c r="S49" i="31" s="1"/>
  <c r="V49" i="31"/>
  <c r="W49" i="31" s="1"/>
  <c r="X49" i="31" s="1"/>
  <c r="Y45" i="31"/>
  <c r="AJ49" i="31"/>
  <c r="AK49" i="31" s="1"/>
  <c r="AM49" i="31" s="1"/>
  <c r="V55" i="31"/>
  <c r="W55" i="31" s="1"/>
  <c r="X55" i="31" s="1"/>
  <c r="L55" i="31"/>
  <c r="M55" i="31" s="1"/>
  <c r="N55" i="31" s="1"/>
  <c r="Q55" i="31"/>
  <c r="R55" i="31" s="1"/>
  <c r="S55" i="31" s="1"/>
  <c r="AG55" i="31"/>
  <c r="AE55" i="31"/>
  <c r="AF55" i="31"/>
  <c r="L49" i="31"/>
  <c r="M49" i="31" s="1"/>
  <c r="N49" i="31" s="1"/>
  <c r="AG49" i="31"/>
  <c r="AF49" i="31"/>
  <c r="AE49" i="31"/>
  <c r="Y51" i="31"/>
  <c r="AL45" i="31"/>
  <c r="AN59" i="31"/>
  <c r="AN57" i="31"/>
  <c r="AN43" i="31"/>
  <c r="Y53" i="31"/>
  <c r="Y47" i="31"/>
  <c r="AN47" i="31" s="1"/>
  <c r="AL53" i="31"/>
  <c r="AL47" i="31"/>
  <c r="AM46" i="31"/>
  <c r="AL52" i="31"/>
  <c r="Y52" i="31"/>
  <c r="AN52" i="31" s="1"/>
  <c r="Y46" i="31"/>
  <c r="AN46" i="31" s="1"/>
  <c r="E36" i="31" l="1"/>
  <c r="D50" i="31"/>
  <c r="F50" i="31" s="1"/>
  <c r="Z54" i="31"/>
  <c r="AF56" i="31"/>
  <c r="Z48" i="31"/>
  <c r="AG56" i="31"/>
  <c r="Q50" i="31"/>
  <c r="R50" i="31" s="1"/>
  <c r="S50" i="31" s="1"/>
  <c r="Z62" i="31"/>
  <c r="Z56" i="31"/>
  <c r="Z49" i="31"/>
  <c r="Z43" i="31"/>
  <c r="Z59" i="31"/>
  <c r="Z93" i="31"/>
  <c r="Z91" i="31"/>
  <c r="Z95" i="31"/>
  <c r="Z58" i="31"/>
  <c r="Z92" i="31"/>
  <c r="Z57" i="31"/>
  <c r="Z94" i="31"/>
  <c r="Z46" i="31"/>
  <c r="Z47" i="31"/>
  <c r="Z51" i="31"/>
  <c r="Z45" i="31"/>
  <c r="Z52" i="31"/>
  <c r="Z60" i="31"/>
  <c r="Z53" i="31"/>
  <c r="L50" i="31"/>
  <c r="M50" i="31" s="1"/>
  <c r="N50" i="31" s="1"/>
  <c r="Z50" i="31"/>
  <c r="Z44" i="31"/>
  <c r="Z55" i="31"/>
  <c r="Q56" i="31"/>
  <c r="R56" i="31" s="1"/>
  <c r="S56" i="31" s="1"/>
  <c r="AJ56" i="31"/>
  <c r="AK56" i="31" s="1"/>
  <c r="AL56" i="31" s="1"/>
  <c r="V56" i="31"/>
  <c r="W56" i="31" s="1"/>
  <c r="X56" i="31" s="1"/>
  <c r="L56" i="31"/>
  <c r="M56" i="31" s="1"/>
  <c r="N56" i="31" s="1"/>
  <c r="AJ50" i="31"/>
  <c r="AK50" i="31" s="1"/>
  <c r="AM50" i="31" s="1"/>
  <c r="AE50" i="31"/>
  <c r="AF50" i="31"/>
  <c r="AM61" i="31"/>
  <c r="AL61" i="31"/>
  <c r="I64" i="31"/>
  <c r="I64" i="37" s="1"/>
  <c r="I63" i="36"/>
  <c r="P63" i="31"/>
  <c r="K63" i="31"/>
  <c r="U63" i="31"/>
  <c r="Z63" i="31" s="1"/>
  <c r="T63" i="31"/>
  <c r="AH63" i="31"/>
  <c r="O63" i="31"/>
  <c r="AC63" i="31"/>
  <c r="AD63" i="31" s="1"/>
  <c r="AA63" i="31"/>
  <c r="J63" i="31"/>
  <c r="AI63" i="31"/>
  <c r="L62" i="31"/>
  <c r="M62" i="31" s="1"/>
  <c r="N62" i="31" s="1"/>
  <c r="AF62" i="31"/>
  <c r="AG62" i="31"/>
  <c r="AE62" i="31"/>
  <c r="V62" i="31"/>
  <c r="W62" i="31" s="1"/>
  <c r="X62" i="31" s="1"/>
  <c r="Y61" i="31"/>
  <c r="AN61" i="31" s="1"/>
  <c r="AJ62" i="31"/>
  <c r="AK62" i="31" s="1"/>
  <c r="Q62" i="31"/>
  <c r="R62" i="31" s="1"/>
  <c r="S62" i="31" s="1"/>
  <c r="AM44" i="31"/>
  <c r="Y44" i="31"/>
  <c r="AN44" i="31" s="1"/>
  <c r="AJ48" i="31"/>
  <c r="AK48" i="31" s="1"/>
  <c r="AL48" i="31" s="1"/>
  <c r="AM55" i="31"/>
  <c r="AJ54" i="31"/>
  <c r="AK54" i="31" s="1"/>
  <c r="AM54" i="31" s="1"/>
  <c r="V48" i="31"/>
  <c r="W48" i="31" s="1"/>
  <c r="X48" i="31" s="1"/>
  <c r="L48" i="31"/>
  <c r="M48" i="31" s="1"/>
  <c r="N48" i="31" s="1"/>
  <c r="Q48" i="31"/>
  <c r="R48" i="31" s="1"/>
  <c r="S48" i="31" s="1"/>
  <c r="AG48" i="31"/>
  <c r="AE48" i="31"/>
  <c r="AF48" i="31"/>
  <c r="V54" i="31"/>
  <c r="W54" i="31" s="1"/>
  <c r="X54" i="31" s="1"/>
  <c r="AF54" i="31"/>
  <c r="AE54" i="31"/>
  <c r="AG54" i="31"/>
  <c r="L54" i="31"/>
  <c r="M54" i="31" s="1"/>
  <c r="N54" i="31" s="1"/>
  <c r="Q54" i="31"/>
  <c r="R54" i="31" s="1"/>
  <c r="S54" i="31" s="1"/>
  <c r="AN45" i="31"/>
  <c r="AL49" i="31"/>
  <c r="Y49" i="31"/>
  <c r="Y55" i="31"/>
  <c r="AN51" i="31"/>
  <c r="AN53" i="31"/>
  <c r="Y50" i="31" l="1"/>
  <c r="AN50" i="31" s="1"/>
  <c r="AM56" i="31"/>
  <c r="Y56" i="31"/>
  <c r="AN56" i="31" s="1"/>
  <c r="AL50" i="31"/>
  <c r="L63" i="31"/>
  <c r="M63" i="31" s="1"/>
  <c r="N63" i="31" s="1"/>
  <c r="V63" i="31"/>
  <c r="W63" i="31" s="1"/>
  <c r="X63" i="31" s="1"/>
  <c r="AJ63" i="31"/>
  <c r="AK63" i="31" s="1"/>
  <c r="AM63" i="31" s="1"/>
  <c r="Y62" i="31"/>
  <c r="AN62" i="31" s="1"/>
  <c r="AE63" i="31"/>
  <c r="AG63" i="31"/>
  <c r="AF63" i="31"/>
  <c r="I65" i="31"/>
  <c r="I65" i="37" s="1"/>
  <c r="I64" i="36"/>
  <c r="O64" i="31"/>
  <c r="U64" i="31"/>
  <c r="Z64" i="31" s="1"/>
  <c r="K64" i="31"/>
  <c r="P64" i="31"/>
  <c r="AC64" i="31"/>
  <c r="AD64" i="31" s="1"/>
  <c r="AA64" i="31"/>
  <c r="J64" i="31"/>
  <c r="T64" i="31"/>
  <c r="AH64" i="31"/>
  <c r="AI64" i="31"/>
  <c r="AB63" i="31"/>
  <c r="AM62" i="31"/>
  <c r="AL62" i="31"/>
  <c r="Q63" i="31"/>
  <c r="R63" i="31" s="1"/>
  <c r="S63" i="31" s="1"/>
  <c r="AB51" i="31"/>
  <c r="AB93" i="31"/>
  <c r="AB95" i="31"/>
  <c r="AB52" i="31"/>
  <c r="AB57" i="31"/>
  <c r="AB62" i="31"/>
  <c r="AB47" i="31"/>
  <c r="AB91" i="31"/>
  <c r="AB45" i="31"/>
  <c r="AB61" i="31"/>
  <c r="AB92" i="31"/>
  <c r="AB46" i="31"/>
  <c r="AB58" i="31"/>
  <c r="AB53" i="31"/>
  <c r="AB44" i="31"/>
  <c r="AB60" i="31"/>
  <c r="AB59" i="31"/>
  <c r="AB94" i="31"/>
  <c r="AB43" i="31"/>
  <c r="AB55" i="31"/>
  <c r="AB49" i="31"/>
  <c r="AL54" i="31"/>
  <c r="AM48" i="31"/>
  <c r="Y48" i="31"/>
  <c r="AB48" i="31" s="1"/>
  <c r="Y54" i="31"/>
  <c r="AN54" i="31" s="1"/>
  <c r="AB50" i="31"/>
  <c r="AN49" i="31"/>
  <c r="AN55" i="31"/>
  <c r="AB56" i="31"/>
  <c r="Y63" i="31" l="1"/>
  <c r="AN63" i="31" s="1"/>
  <c r="AL63" i="31"/>
  <c r="Q64" i="31"/>
  <c r="R64" i="31" s="1"/>
  <c r="S64" i="31" s="1"/>
  <c r="AE64" i="31"/>
  <c r="AF64" i="31"/>
  <c r="AG64" i="31"/>
  <c r="L64" i="31"/>
  <c r="M64" i="31" s="1"/>
  <c r="N64" i="31" s="1"/>
  <c r="AB64" i="31"/>
  <c r="AJ64" i="31"/>
  <c r="AK64" i="31" s="1"/>
  <c r="V64" i="31"/>
  <c r="W64" i="31" s="1"/>
  <c r="X64" i="31" s="1"/>
  <c r="I66" i="31"/>
  <c r="I66" i="37" s="1"/>
  <c r="I65" i="36"/>
  <c r="AI65" i="31"/>
  <c r="T65" i="31"/>
  <c r="AH65" i="31"/>
  <c r="O65" i="31"/>
  <c r="K65" i="31"/>
  <c r="U65" i="31"/>
  <c r="Z65" i="31" s="1"/>
  <c r="J65" i="31"/>
  <c r="P65" i="31"/>
  <c r="AC65" i="31"/>
  <c r="AD65" i="31" s="1"/>
  <c r="AA65" i="31"/>
  <c r="AN48" i="31"/>
  <c r="AB54" i="31"/>
  <c r="V65" i="31" l="1"/>
  <c r="W65" i="31" s="1"/>
  <c r="X65" i="31" s="1"/>
  <c r="Y64" i="31"/>
  <c r="AN64" i="31" s="1"/>
  <c r="I67" i="31"/>
  <c r="I67" i="37" s="1"/>
  <c r="I66" i="36"/>
  <c r="AC66" i="31"/>
  <c r="AD66" i="31" s="1"/>
  <c r="AA66" i="31"/>
  <c r="U66" i="31"/>
  <c r="Z66" i="31" s="1"/>
  <c r="AI66" i="31"/>
  <c r="P66" i="31"/>
  <c r="J66" i="31"/>
  <c r="AH66" i="31"/>
  <c r="T66" i="31"/>
  <c r="O66" i="31"/>
  <c r="K66" i="31"/>
  <c r="L65" i="31"/>
  <c r="M65" i="31" s="1"/>
  <c r="N65" i="31" s="1"/>
  <c r="AB65" i="31"/>
  <c r="AL64" i="31"/>
  <c r="AM64" i="31"/>
  <c r="AG65" i="31"/>
  <c r="AE65" i="31"/>
  <c r="AF65" i="31"/>
  <c r="AJ65" i="31"/>
  <c r="AK65" i="31" s="1"/>
  <c r="Q65" i="31"/>
  <c r="R65" i="31" s="1"/>
  <c r="S65" i="31" s="1"/>
  <c r="Y65" i="31" l="1"/>
  <c r="AN65" i="31" s="1"/>
  <c r="I68" i="31"/>
  <c r="I68" i="37" s="1"/>
  <c r="I67" i="36"/>
  <c r="AI67" i="31"/>
  <c r="K67" i="31"/>
  <c r="AH67" i="31"/>
  <c r="T67" i="31"/>
  <c r="AA67" i="31"/>
  <c r="O67" i="31"/>
  <c r="P67" i="31"/>
  <c r="AC67" i="31"/>
  <c r="AD67" i="31" s="1"/>
  <c r="J67" i="31"/>
  <c r="U67" i="31"/>
  <c r="Z67" i="31" s="1"/>
  <c r="Q66" i="31"/>
  <c r="R66" i="31" s="1"/>
  <c r="S66" i="31" s="1"/>
  <c r="V66" i="31"/>
  <c r="W66" i="31" s="1"/>
  <c r="X66" i="31" s="1"/>
  <c r="AE66" i="31"/>
  <c r="AG66" i="31"/>
  <c r="AF66" i="31"/>
  <c r="AJ66" i="31"/>
  <c r="AK66" i="31" s="1"/>
  <c r="AL65" i="31"/>
  <c r="AM65" i="31"/>
  <c r="L66" i="31"/>
  <c r="M66" i="31" s="1"/>
  <c r="N66" i="31" s="1"/>
  <c r="AB66" i="31"/>
  <c r="Y66" i="31" l="1"/>
  <c r="AN66" i="31" s="1"/>
  <c r="V67" i="31"/>
  <c r="W67" i="31" s="1"/>
  <c r="X67" i="31" s="1"/>
  <c r="L67" i="31"/>
  <c r="M67" i="31" s="1"/>
  <c r="N67" i="31" s="1"/>
  <c r="AB67" i="31"/>
  <c r="AJ67" i="31"/>
  <c r="AK67" i="31" s="1"/>
  <c r="AL66" i="31"/>
  <c r="AM66" i="31"/>
  <c r="AF67" i="31"/>
  <c r="AE67" i="31"/>
  <c r="AG67" i="31"/>
  <c r="Q67" i="31"/>
  <c r="R67" i="31" s="1"/>
  <c r="S67" i="31" s="1"/>
  <c r="I69" i="31"/>
  <c r="I69" i="37" s="1"/>
  <c r="I68" i="36"/>
  <c r="P68" i="31"/>
  <c r="J68" i="31"/>
  <c r="AH68" i="31"/>
  <c r="T68" i="31"/>
  <c r="U68" i="31"/>
  <c r="Z68" i="31" s="1"/>
  <c r="K68" i="31"/>
  <c r="O68" i="31"/>
  <c r="AC68" i="31"/>
  <c r="AD68" i="31" s="1"/>
  <c r="AA68" i="31"/>
  <c r="AI68" i="31"/>
  <c r="V68" i="31" l="1"/>
  <c r="W68" i="31" s="1"/>
  <c r="X68" i="31" s="1"/>
  <c r="AJ68" i="31"/>
  <c r="AK68" i="31" s="1"/>
  <c r="Q68" i="31"/>
  <c r="R68" i="31" s="1"/>
  <c r="S68" i="31" s="1"/>
  <c r="AL67" i="31"/>
  <c r="AM67" i="31"/>
  <c r="AF68" i="31"/>
  <c r="AG68" i="31"/>
  <c r="AE68" i="31"/>
  <c r="I70" i="31"/>
  <c r="I70" i="37" s="1"/>
  <c r="I69" i="36"/>
  <c r="O69" i="31"/>
  <c r="K69" i="31"/>
  <c r="T69" i="31"/>
  <c r="P69" i="31"/>
  <c r="AC69" i="31"/>
  <c r="AD69" i="31" s="1"/>
  <c r="J69" i="31"/>
  <c r="U69" i="31"/>
  <c r="Z69" i="31" s="1"/>
  <c r="AA69" i="31"/>
  <c r="AH69" i="31"/>
  <c r="AI69" i="31"/>
  <c r="L68" i="31"/>
  <c r="M68" i="31" s="1"/>
  <c r="N68" i="31" s="1"/>
  <c r="AB68" i="31"/>
  <c r="Y67" i="31"/>
  <c r="AN67" i="31" s="1"/>
  <c r="Q69" i="31" l="1"/>
  <c r="R69" i="31" s="1"/>
  <c r="S69" i="31" s="1"/>
  <c r="AJ69" i="31"/>
  <c r="AK69" i="31" s="1"/>
  <c r="AL69" i="31" s="1"/>
  <c r="Y68" i="31"/>
  <c r="AN68" i="31" s="1"/>
  <c r="V69" i="31"/>
  <c r="W69" i="31" s="1"/>
  <c r="X69" i="31" s="1"/>
  <c r="I71" i="31"/>
  <c r="I71" i="37" s="1"/>
  <c r="I70" i="36"/>
  <c r="T70" i="31"/>
  <c r="AC70" i="31"/>
  <c r="AD70" i="31" s="1"/>
  <c r="AA70" i="31"/>
  <c r="U70" i="31"/>
  <c r="Z70" i="31" s="1"/>
  <c r="AI70" i="31"/>
  <c r="J70" i="31"/>
  <c r="K70" i="31"/>
  <c r="AH70" i="31"/>
  <c r="O70" i="31"/>
  <c r="P70" i="31"/>
  <c r="AF69" i="31"/>
  <c r="AG69" i="31"/>
  <c r="AE69" i="31"/>
  <c r="L69" i="31"/>
  <c r="M69" i="31" s="1"/>
  <c r="N69" i="31" s="1"/>
  <c r="AB69" i="31"/>
  <c r="AM68" i="31"/>
  <c r="AL68" i="31"/>
  <c r="Q70" i="31" l="1"/>
  <c r="R70" i="31" s="1"/>
  <c r="S70" i="31" s="1"/>
  <c r="AM69" i="31"/>
  <c r="V70" i="31"/>
  <c r="W70" i="31" s="1"/>
  <c r="X70" i="31" s="1"/>
  <c r="AJ70" i="31"/>
  <c r="AK70" i="31" s="1"/>
  <c r="AM70" i="31" s="1"/>
  <c r="Y69" i="31"/>
  <c r="AN69" i="31" s="1"/>
  <c r="AG70" i="31"/>
  <c r="AF70" i="31"/>
  <c r="AE70" i="31"/>
  <c r="L70" i="31"/>
  <c r="M70" i="31" s="1"/>
  <c r="N70" i="31" s="1"/>
  <c r="AB70" i="31"/>
  <c r="I72" i="31"/>
  <c r="I72" i="37" s="1"/>
  <c r="I71" i="36"/>
  <c r="U71" i="31"/>
  <c r="Z71" i="31" s="1"/>
  <c r="AA71" i="31"/>
  <c r="AC71" i="31"/>
  <c r="AD71" i="31" s="1"/>
  <c r="AH71" i="31"/>
  <c r="AI71" i="31"/>
  <c r="K71" i="31"/>
  <c r="O71" i="31"/>
  <c r="P71" i="31"/>
  <c r="J71" i="31"/>
  <c r="T71" i="31"/>
  <c r="Y70" i="31" l="1"/>
  <c r="AN70" i="31" s="1"/>
  <c r="V71" i="31"/>
  <c r="W71" i="31" s="1"/>
  <c r="X71" i="31" s="1"/>
  <c r="AL70" i="31"/>
  <c r="AJ71" i="31"/>
  <c r="AK71" i="31" s="1"/>
  <c r="AL71" i="31" s="1"/>
  <c r="L71" i="31"/>
  <c r="M71" i="31" s="1"/>
  <c r="N71" i="31" s="1"/>
  <c r="AB71" i="31"/>
  <c r="AE71" i="31"/>
  <c r="AG71" i="31"/>
  <c r="AF71" i="31"/>
  <c r="Q71" i="31"/>
  <c r="R71" i="31" s="1"/>
  <c r="S71" i="31" s="1"/>
  <c r="I73" i="31"/>
  <c r="I73" i="37" s="1"/>
  <c r="I72" i="36"/>
  <c r="J72" i="31"/>
  <c r="AH72" i="31"/>
  <c r="P72" i="31"/>
  <c r="T72" i="31"/>
  <c r="AC72" i="31"/>
  <c r="AD72" i="31" s="1"/>
  <c r="K72" i="31"/>
  <c r="O72" i="31"/>
  <c r="AA72" i="31"/>
  <c r="U72" i="31"/>
  <c r="Z72" i="31" s="1"/>
  <c r="AI72" i="31"/>
  <c r="AJ72" i="31" l="1"/>
  <c r="AK72" i="31" s="1"/>
  <c r="AM72" i="31" s="1"/>
  <c r="Q72" i="31"/>
  <c r="R72" i="31" s="1"/>
  <c r="S72" i="31" s="1"/>
  <c r="AM71" i="31"/>
  <c r="Y71" i="31"/>
  <c r="AN71" i="31" s="1"/>
  <c r="V72" i="31"/>
  <c r="W72" i="31" s="1"/>
  <c r="X72" i="31" s="1"/>
  <c r="AE72" i="31"/>
  <c r="AF72" i="31"/>
  <c r="AG72" i="31"/>
  <c r="I74" i="31"/>
  <c r="I74" i="37" s="1"/>
  <c r="I73" i="36"/>
  <c r="AI73" i="31"/>
  <c r="U73" i="31"/>
  <c r="Z73" i="31" s="1"/>
  <c r="K73" i="31"/>
  <c r="AH73" i="31"/>
  <c r="O73" i="31"/>
  <c r="P73" i="31"/>
  <c r="AC73" i="31"/>
  <c r="AD73" i="31" s="1"/>
  <c r="AA73" i="31"/>
  <c r="T73" i="31"/>
  <c r="J73" i="31"/>
  <c r="L72" i="31"/>
  <c r="M72" i="31" s="1"/>
  <c r="N72" i="31" s="1"/>
  <c r="AB72" i="31"/>
  <c r="AL72" i="31" l="1"/>
  <c r="Q73" i="31"/>
  <c r="R73" i="31" s="1"/>
  <c r="S73" i="31" s="1"/>
  <c r="AJ73" i="31"/>
  <c r="AK73" i="31" s="1"/>
  <c r="AL73" i="31" s="1"/>
  <c r="AE73" i="31"/>
  <c r="AF73" i="31"/>
  <c r="AG73" i="31"/>
  <c r="I75" i="31"/>
  <c r="I75" i="37" s="1"/>
  <c r="I74" i="36"/>
  <c r="AH74" i="31"/>
  <c r="O74" i="31"/>
  <c r="T74" i="31"/>
  <c r="AC74" i="31"/>
  <c r="AD74" i="31" s="1"/>
  <c r="K74" i="31"/>
  <c r="AI74" i="31"/>
  <c r="P74" i="31"/>
  <c r="J74" i="31"/>
  <c r="AA74" i="31"/>
  <c r="U74" i="31"/>
  <c r="Z74" i="31" s="1"/>
  <c r="L73" i="31"/>
  <c r="M73" i="31" s="1"/>
  <c r="N73" i="31" s="1"/>
  <c r="AB73" i="31"/>
  <c r="Y72" i="31"/>
  <c r="AN72" i="31" s="1"/>
  <c r="V73" i="31"/>
  <c r="W73" i="31" s="1"/>
  <c r="X73" i="31" s="1"/>
  <c r="Y73" i="31" l="1"/>
  <c r="AN73" i="31" s="1"/>
  <c r="Q74" i="31"/>
  <c r="R74" i="31" s="1"/>
  <c r="S74" i="31" s="1"/>
  <c r="AM73" i="31"/>
  <c r="V74" i="31"/>
  <c r="W74" i="31" s="1"/>
  <c r="X74" i="31" s="1"/>
  <c r="AJ74" i="31"/>
  <c r="AK74" i="31" s="1"/>
  <c r="I76" i="31"/>
  <c r="I76" i="37" s="1"/>
  <c r="I75" i="36"/>
  <c r="O75" i="31"/>
  <c r="P75" i="31"/>
  <c r="T75" i="31"/>
  <c r="AA75" i="31"/>
  <c r="K75" i="31"/>
  <c r="AI75" i="31"/>
  <c r="J75" i="31"/>
  <c r="AC75" i="31"/>
  <c r="AD75" i="31" s="1"/>
  <c r="U75" i="31"/>
  <c r="Z75" i="31" s="1"/>
  <c r="AH75" i="31"/>
  <c r="AG74" i="31"/>
  <c r="AE74" i="31"/>
  <c r="AF74" i="31"/>
  <c r="L74" i="31"/>
  <c r="M74" i="31" s="1"/>
  <c r="N74" i="31" s="1"/>
  <c r="Y74" i="31" l="1"/>
  <c r="AN74" i="31" s="1"/>
  <c r="Q75" i="31"/>
  <c r="R75" i="31" s="1"/>
  <c r="S75" i="31" s="1"/>
  <c r="AB75" i="31"/>
  <c r="L75" i="31"/>
  <c r="M75" i="31" s="1"/>
  <c r="N75" i="31" s="1"/>
  <c r="V75" i="31"/>
  <c r="W75" i="31" s="1"/>
  <c r="X75" i="31" s="1"/>
  <c r="AB74" i="31"/>
  <c r="AG75" i="31"/>
  <c r="AE75" i="31"/>
  <c r="AF75" i="31"/>
  <c r="I77" i="31"/>
  <c r="I77" i="37" s="1"/>
  <c r="I76" i="36"/>
  <c r="AI76" i="31"/>
  <c r="P76" i="31"/>
  <c r="AH76" i="31"/>
  <c r="O76" i="31"/>
  <c r="AC76" i="31"/>
  <c r="AD76" i="31" s="1"/>
  <c r="AA76" i="31"/>
  <c r="T76" i="31"/>
  <c r="K76" i="31"/>
  <c r="U76" i="31"/>
  <c r="Z76" i="31" s="1"/>
  <c r="J76" i="31"/>
  <c r="AJ75" i="31"/>
  <c r="AK75" i="31" s="1"/>
  <c r="AL74" i="31"/>
  <c r="AM74" i="31"/>
  <c r="Y75" i="31" l="1"/>
  <c r="AN75" i="31" s="1"/>
  <c r="AE76" i="31"/>
  <c r="AG76" i="31"/>
  <c r="AF76" i="31"/>
  <c r="Q76" i="31"/>
  <c r="R76" i="31" s="1"/>
  <c r="S76" i="31" s="1"/>
  <c r="AL75" i="31"/>
  <c r="AM75" i="31"/>
  <c r="AJ76" i="31"/>
  <c r="AK76" i="31" s="1"/>
  <c r="AB76" i="31"/>
  <c r="L76" i="31"/>
  <c r="M76" i="31" s="1"/>
  <c r="N76" i="31" s="1"/>
  <c r="V76" i="31"/>
  <c r="W76" i="31" s="1"/>
  <c r="X76" i="31" s="1"/>
  <c r="I78" i="31"/>
  <c r="I78" i="37" s="1"/>
  <c r="I77" i="36"/>
  <c r="AA77" i="31"/>
  <c r="U77" i="31"/>
  <c r="Z77" i="31" s="1"/>
  <c r="AI77" i="31"/>
  <c r="O77" i="31"/>
  <c r="P77" i="31"/>
  <c r="J77" i="31"/>
  <c r="T77" i="31"/>
  <c r="AC77" i="31"/>
  <c r="AD77" i="31" s="1"/>
  <c r="K77" i="31"/>
  <c r="AH77" i="31"/>
  <c r="C5" i="36"/>
  <c r="B19" i="36" s="1"/>
  <c r="E9" i="36"/>
  <c r="B21" i="36" s="1"/>
  <c r="T17" i="36"/>
  <c r="C9" i="36"/>
  <c r="B17" i="36"/>
  <c r="B22" i="36" s="1"/>
  <c r="D5" i="36"/>
  <c r="C19" i="36" s="1"/>
  <c r="F9" i="36"/>
  <c r="C21" i="36" s="1"/>
  <c r="B5" i="37"/>
  <c r="D9" i="37" s="1"/>
  <c r="D9" i="36"/>
  <c r="C17" i="36" s="1"/>
  <c r="P3" i="36"/>
  <c r="AB17" i="36"/>
  <c r="AA17" i="36"/>
  <c r="T3" i="36"/>
  <c r="AC17" i="36"/>
  <c r="Z17" i="36"/>
  <c r="X17" i="36"/>
  <c r="W17" i="36"/>
  <c r="Y17" i="36"/>
  <c r="V17" i="36"/>
  <c r="U17" i="36"/>
  <c r="U3" i="36"/>
  <c r="D19" i="36" l="1"/>
  <c r="F19" i="36" s="1"/>
  <c r="C27" i="36" s="1"/>
  <c r="Y76" i="31"/>
  <c r="AN76" i="31" s="1"/>
  <c r="Q77" i="31"/>
  <c r="R77" i="31" s="1"/>
  <c r="S77" i="31" s="1"/>
  <c r="AE77" i="31"/>
  <c r="AG77" i="31"/>
  <c r="AF77" i="31"/>
  <c r="AM76" i="31"/>
  <c r="AL76" i="31"/>
  <c r="AB77" i="31"/>
  <c r="L77" i="31"/>
  <c r="M77" i="31" s="1"/>
  <c r="N77" i="31" s="1"/>
  <c r="I79" i="31"/>
  <c r="I79" i="37" s="1"/>
  <c r="I78" i="36"/>
  <c r="O78" i="31"/>
  <c r="P78" i="31"/>
  <c r="J78" i="31"/>
  <c r="AH78" i="31"/>
  <c r="T78" i="31"/>
  <c r="AC78" i="31"/>
  <c r="AD78" i="31" s="1"/>
  <c r="U78" i="31"/>
  <c r="Z78" i="31" s="1"/>
  <c r="AA78" i="31"/>
  <c r="K78" i="31"/>
  <c r="AI78" i="31"/>
  <c r="AJ77" i="31"/>
  <c r="AK77" i="31" s="1"/>
  <c r="V77" i="31"/>
  <c r="W77" i="31" s="1"/>
  <c r="X77" i="31" s="1"/>
  <c r="D21" i="36"/>
  <c r="F21" i="36" s="1"/>
  <c r="C29" i="36" s="1"/>
  <c r="D17" i="36"/>
  <c r="U8" i="36"/>
  <c r="W8" i="36" s="1"/>
  <c r="AI91" i="36"/>
  <c r="AJ91" i="36" s="1"/>
  <c r="AK91" i="36" s="1"/>
  <c r="AL91" i="36" s="1"/>
  <c r="AI43" i="36"/>
  <c r="AJ43" i="36" s="1"/>
  <c r="AK43" i="36" s="1"/>
  <c r="AM43" i="36" s="1"/>
  <c r="C5" i="37"/>
  <c r="B19" i="37" s="1"/>
  <c r="Z17" i="37"/>
  <c r="W17" i="37"/>
  <c r="C9" i="37"/>
  <c r="T17" i="37"/>
  <c r="P3" i="37"/>
  <c r="X17" i="37"/>
  <c r="U17" i="37"/>
  <c r="AA17" i="37"/>
  <c r="T3" i="37"/>
  <c r="E9" i="37"/>
  <c r="Y17" i="37"/>
  <c r="U3" i="37"/>
  <c r="AC17" i="37"/>
  <c r="V17" i="37"/>
  <c r="AB17" i="37"/>
  <c r="D5" i="37"/>
  <c r="C19" i="37" s="1"/>
  <c r="F9" i="37"/>
  <c r="C22" i="36"/>
  <c r="AI92" i="36"/>
  <c r="AJ92" i="36" s="1"/>
  <c r="AK92" i="36" s="1"/>
  <c r="AI95" i="36"/>
  <c r="AJ95" i="36" s="1"/>
  <c r="AK95" i="36" s="1"/>
  <c r="AI94" i="36"/>
  <c r="AJ94" i="36" s="1"/>
  <c r="AK94" i="36" s="1"/>
  <c r="AI93" i="36"/>
  <c r="AJ93" i="36" s="1"/>
  <c r="AK93" i="36" s="1"/>
  <c r="AM91" i="36" l="1"/>
  <c r="O91" i="36"/>
  <c r="O94" i="36"/>
  <c r="O93" i="36"/>
  <c r="O95" i="36"/>
  <c r="E19" i="36"/>
  <c r="B27" i="36" s="1"/>
  <c r="D27" i="36" s="1"/>
  <c r="E27" i="36" s="1"/>
  <c r="B33" i="36" s="1"/>
  <c r="O92" i="36"/>
  <c r="Y77" i="31"/>
  <c r="AN77" i="31" s="1"/>
  <c r="I80" i="31"/>
  <c r="I80" i="37" s="1"/>
  <c r="I79" i="36"/>
  <c r="O79" i="31"/>
  <c r="AA79" i="31"/>
  <c r="P79" i="31"/>
  <c r="U79" i="31"/>
  <c r="Z79" i="31" s="1"/>
  <c r="T79" i="31"/>
  <c r="J79" i="31"/>
  <c r="AC79" i="31"/>
  <c r="AD79" i="31" s="1"/>
  <c r="AH79" i="31"/>
  <c r="K79" i="31"/>
  <c r="AI79" i="31"/>
  <c r="AE78" i="31"/>
  <c r="AG78" i="31"/>
  <c r="AF78" i="31"/>
  <c r="AL77" i="31"/>
  <c r="AM77" i="31"/>
  <c r="V78" i="31"/>
  <c r="W78" i="31" s="1"/>
  <c r="X78" i="31" s="1"/>
  <c r="AJ78" i="31"/>
  <c r="AK78" i="31" s="1"/>
  <c r="Q78" i="31"/>
  <c r="R78" i="31" s="1"/>
  <c r="S78" i="31" s="1"/>
  <c r="AB78" i="31"/>
  <c r="L78" i="31"/>
  <c r="M78" i="31" s="1"/>
  <c r="N78" i="31" s="1"/>
  <c r="E21" i="36"/>
  <c r="U95" i="36" s="1"/>
  <c r="T91" i="36"/>
  <c r="T92" i="36"/>
  <c r="D19" i="37"/>
  <c r="C27" i="37" s="1"/>
  <c r="T95" i="36"/>
  <c r="T93" i="36"/>
  <c r="AH60" i="36"/>
  <c r="T94" i="36"/>
  <c r="D39" i="36"/>
  <c r="AL43" i="36"/>
  <c r="C46" i="36"/>
  <c r="B25" i="36"/>
  <c r="B44" i="36" s="1"/>
  <c r="J95" i="36"/>
  <c r="C48" i="36"/>
  <c r="F12" i="36"/>
  <c r="J94" i="36"/>
  <c r="C44" i="36"/>
  <c r="F17" i="36"/>
  <c r="E17" i="36"/>
  <c r="J93" i="36"/>
  <c r="AC58" i="36"/>
  <c r="AD58" i="36" s="1"/>
  <c r="J92" i="36"/>
  <c r="J91" i="36"/>
  <c r="C25" i="36"/>
  <c r="U14" i="36"/>
  <c r="U15" i="36" s="1"/>
  <c r="U16" i="36" s="1"/>
  <c r="AL93" i="36"/>
  <c r="AM93" i="36"/>
  <c r="AL94" i="36"/>
  <c r="AM94" i="36"/>
  <c r="AL95" i="36"/>
  <c r="AM95" i="36"/>
  <c r="AM92" i="36"/>
  <c r="AL92" i="36"/>
  <c r="W14" i="36"/>
  <c r="W15" i="36" s="1"/>
  <c r="W16" i="36"/>
  <c r="AI93" i="37"/>
  <c r="AJ93" i="37" s="1"/>
  <c r="AK93" i="37" s="1"/>
  <c r="AI43" i="37"/>
  <c r="AJ43" i="37" s="1"/>
  <c r="AK43" i="37" s="1"/>
  <c r="U8" i="37"/>
  <c r="AI92" i="37"/>
  <c r="AJ92" i="37" s="1"/>
  <c r="AK92" i="37" s="1"/>
  <c r="AI91" i="37"/>
  <c r="AJ91" i="37" s="1"/>
  <c r="AK91" i="37" s="1"/>
  <c r="AI94" i="37"/>
  <c r="AJ94" i="37" s="1"/>
  <c r="AK94" i="37" s="1"/>
  <c r="AI95" i="37"/>
  <c r="AJ95" i="37" s="1"/>
  <c r="AK95" i="37" s="1"/>
  <c r="B46" i="36" l="1"/>
  <c r="D46" i="36" s="1"/>
  <c r="E46" i="36" s="1"/>
  <c r="F46" i="36" s="1"/>
  <c r="P94" i="36"/>
  <c r="Q94" i="36" s="1"/>
  <c r="R94" i="36" s="1"/>
  <c r="S94" i="36" s="1"/>
  <c r="P43" i="36"/>
  <c r="P92" i="36"/>
  <c r="Q92" i="36" s="1"/>
  <c r="R92" i="36" s="1"/>
  <c r="S92" i="36" s="1"/>
  <c r="P91" i="36"/>
  <c r="Q91" i="36" s="1"/>
  <c r="R91" i="36" s="1"/>
  <c r="S91" i="36" s="1"/>
  <c r="O43" i="36"/>
  <c r="P93" i="36"/>
  <c r="Q93" i="36" s="1"/>
  <c r="R93" i="36" s="1"/>
  <c r="S93" i="36" s="1"/>
  <c r="P95" i="36"/>
  <c r="Q95" i="36" s="1"/>
  <c r="R95" i="36" s="1"/>
  <c r="S95" i="36" s="1"/>
  <c r="U57" i="36"/>
  <c r="Q79" i="31"/>
  <c r="R79" i="31" s="1"/>
  <c r="S79" i="31" s="1"/>
  <c r="AJ79" i="31"/>
  <c r="AK79" i="31" s="1"/>
  <c r="AM79" i="31" s="1"/>
  <c r="V79" i="31"/>
  <c r="W79" i="31" s="1"/>
  <c r="X79" i="31" s="1"/>
  <c r="U94" i="36"/>
  <c r="AM78" i="31"/>
  <c r="AL78" i="31"/>
  <c r="L79" i="31"/>
  <c r="M79" i="31" s="1"/>
  <c r="N79" i="31" s="1"/>
  <c r="Y78" i="31"/>
  <c r="AN78" i="31" s="1"/>
  <c r="AG79" i="31"/>
  <c r="AF79" i="31"/>
  <c r="AE79" i="31"/>
  <c r="I81" i="31"/>
  <c r="I81" i="37" s="1"/>
  <c r="I80" i="36"/>
  <c r="T80" i="31"/>
  <c r="J80" i="31"/>
  <c r="AC80" i="31"/>
  <c r="AD80" i="31" s="1"/>
  <c r="U80" i="31"/>
  <c r="Z80" i="31" s="1"/>
  <c r="AA80" i="31"/>
  <c r="K80" i="31"/>
  <c r="AH80" i="31"/>
  <c r="O80" i="31"/>
  <c r="P80" i="31"/>
  <c r="AI80" i="31"/>
  <c r="T60" i="36"/>
  <c r="O60" i="36"/>
  <c r="P59" i="36"/>
  <c r="AC60" i="36"/>
  <c r="AD60" i="36" s="1"/>
  <c r="AG60" i="36" s="1"/>
  <c r="AH59" i="36"/>
  <c r="P60" i="36"/>
  <c r="O61" i="36"/>
  <c r="AA60" i="36"/>
  <c r="J60" i="36"/>
  <c r="U93" i="36"/>
  <c r="U59" i="36"/>
  <c r="U60" i="36"/>
  <c r="B29" i="36"/>
  <c r="B48" i="36" s="1"/>
  <c r="U91" i="36"/>
  <c r="T43" i="36"/>
  <c r="U92" i="36"/>
  <c r="U43" i="36"/>
  <c r="AI60" i="36"/>
  <c r="AJ60" i="36" s="1"/>
  <c r="AK60" i="36" s="1"/>
  <c r="O59" i="36"/>
  <c r="F19" i="37"/>
  <c r="V95" i="36"/>
  <c r="W95" i="36" s="1"/>
  <c r="X95" i="36" s="1"/>
  <c r="O94" i="37"/>
  <c r="O91" i="37"/>
  <c r="E19" i="37"/>
  <c r="P94" i="37" s="1"/>
  <c r="O95" i="37"/>
  <c r="O93" i="37"/>
  <c r="O92" i="37"/>
  <c r="T59" i="36"/>
  <c r="AA59" i="36"/>
  <c r="AI59" i="36"/>
  <c r="K59" i="36"/>
  <c r="J59" i="36"/>
  <c r="AC59" i="36"/>
  <c r="AD59" i="36" s="1"/>
  <c r="D25" i="36"/>
  <c r="E25" i="36" s="1"/>
  <c r="B31" i="36" s="1"/>
  <c r="K57" i="36"/>
  <c r="P52" i="36"/>
  <c r="T46" i="36"/>
  <c r="K94" i="36"/>
  <c r="L94" i="36" s="1"/>
  <c r="M94" i="36" s="1"/>
  <c r="N94" i="36" s="1"/>
  <c r="K93" i="36"/>
  <c r="L93" i="36" s="1"/>
  <c r="M93" i="36" s="1"/>
  <c r="N93" i="36" s="1"/>
  <c r="D44" i="36"/>
  <c r="E44" i="36" s="1"/>
  <c r="F44" i="36" s="1"/>
  <c r="K92" i="36"/>
  <c r="L92" i="36" s="1"/>
  <c r="M92" i="36" s="1"/>
  <c r="N92" i="36" s="1"/>
  <c r="K43" i="36"/>
  <c r="P57" i="36"/>
  <c r="K95" i="36"/>
  <c r="L95" i="36" s="1"/>
  <c r="M95" i="36" s="1"/>
  <c r="N95" i="36" s="1"/>
  <c r="AA45" i="36"/>
  <c r="K91" i="36"/>
  <c r="L91" i="36" s="1"/>
  <c r="M91" i="36" s="1"/>
  <c r="N91" i="36" s="1"/>
  <c r="K60" i="36"/>
  <c r="K47" i="36"/>
  <c r="O53" i="36"/>
  <c r="J57" i="36"/>
  <c r="J43" i="36"/>
  <c r="AH58" i="36"/>
  <c r="T58" i="36"/>
  <c r="O58" i="36"/>
  <c r="AA58" i="36"/>
  <c r="O57" i="36"/>
  <c r="AI57" i="36"/>
  <c r="AH57" i="36"/>
  <c r="AC57" i="36"/>
  <c r="AD57" i="36" s="1"/>
  <c r="AE57" i="36" s="1"/>
  <c r="J58" i="36"/>
  <c r="P58" i="36"/>
  <c r="T57" i="36"/>
  <c r="AA57" i="36"/>
  <c r="U58" i="36"/>
  <c r="AI58" i="36"/>
  <c r="K58" i="36"/>
  <c r="AL93" i="37"/>
  <c r="AM93" i="37"/>
  <c r="K51" i="36"/>
  <c r="P51" i="36"/>
  <c r="AC51" i="36"/>
  <c r="AD51" i="36" s="1"/>
  <c r="AI51" i="36"/>
  <c r="J51" i="36"/>
  <c r="U51" i="36"/>
  <c r="AH51" i="36"/>
  <c r="T51" i="36"/>
  <c r="O51" i="36"/>
  <c r="AA51" i="36"/>
  <c r="AM43" i="37"/>
  <c r="AL43" i="37"/>
  <c r="AL95" i="37"/>
  <c r="AM95" i="37"/>
  <c r="AE58" i="36"/>
  <c r="AF58" i="36"/>
  <c r="AG58" i="36"/>
  <c r="AL94" i="37"/>
  <c r="AM94" i="37"/>
  <c r="AM91" i="37"/>
  <c r="AL91" i="37"/>
  <c r="P61" i="36"/>
  <c r="K61" i="36"/>
  <c r="AI61" i="36"/>
  <c r="U61" i="36"/>
  <c r="AM92" i="37"/>
  <c r="AL92" i="37"/>
  <c r="U14" i="37"/>
  <c r="U15" i="37" s="1"/>
  <c r="U16" i="37" s="1"/>
  <c r="W8" i="37"/>
  <c r="B27" i="37"/>
  <c r="V57" i="36" l="1"/>
  <c r="W57" i="36" s="1"/>
  <c r="X57" i="36" s="1"/>
  <c r="Q43" i="36"/>
  <c r="R43" i="36" s="1"/>
  <c r="S43" i="36" s="1"/>
  <c r="V92" i="36"/>
  <c r="W92" i="36" s="1"/>
  <c r="X92" i="36" s="1"/>
  <c r="Y92" i="36" s="1"/>
  <c r="AN92" i="36" s="1"/>
  <c r="V91" i="36"/>
  <c r="W91" i="36" s="1"/>
  <c r="X91" i="36" s="1"/>
  <c r="Y91" i="36" s="1"/>
  <c r="AN91" i="36" s="1"/>
  <c r="D48" i="36"/>
  <c r="E48" i="36" s="1"/>
  <c r="F48" i="36" s="1"/>
  <c r="F49" i="36" s="1"/>
  <c r="C50" i="36" s="1"/>
  <c r="V94" i="36"/>
  <c r="W94" i="36" s="1"/>
  <c r="X94" i="36" s="1"/>
  <c r="Y94" i="36" s="1"/>
  <c r="AN94" i="36" s="1"/>
  <c r="V93" i="36"/>
  <c r="W93" i="36" s="1"/>
  <c r="X93" i="36" s="1"/>
  <c r="Y93" i="36" s="1"/>
  <c r="AN93" i="36" s="1"/>
  <c r="Q60" i="36"/>
  <c r="R60" i="36" s="1"/>
  <c r="S60" i="36" s="1"/>
  <c r="AL79" i="31"/>
  <c r="Y79" i="31"/>
  <c r="AN79" i="31" s="1"/>
  <c r="AB79" i="31"/>
  <c r="Q80" i="31"/>
  <c r="R80" i="31" s="1"/>
  <c r="S80" i="31" s="1"/>
  <c r="L80" i="31"/>
  <c r="M80" i="31" s="1"/>
  <c r="N80" i="31" s="1"/>
  <c r="Q59" i="36"/>
  <c r="R59" i="36" s="1"/>
  <c r="S59" i="36" s="1"/>
  <c r="V80" i="31"/>
  <c r="W80" i="31" s="1"/>
  <c r="X80" i="31" s="1"/>
  <c r="I82" i="31"/>
  <c r="I82" i="37" s="1"/>
  <c r="I81" i="36"/>
  <c r="T81" i="31"/>
  <c r="J81" i="31"/>
  <c r="AC81" i="31"/>
  <c r="AD81" i="31" s="1"/>
  <c r="K81" i="31"/>
  <c r="AA81" i="31"/>
  <c r="U81" i="31"/>
  <c r="Z81" i="31" s="1"/>
  <c r="AH81" i="31"/>
  <c r="O81" i="31"/>
  <c r="P81" i="31"/>
  <c r="AI81" i="31"/>
  <c r="AF80" i="31"/>
  <c r="AE80" i="31"/>
  <c r="AG80" i="31"/>
  <c r="AJ80" i="31"/>
  <c r="AK80" i="31" s="1"/>
  <c r="AF60" i="36"/>
  <c r="Q94" i="37"/>
  <c r="R94" i="37" s="1"/>
  <c r="S94" i="37" s="1"/>
  <c r="V59" i="36"/>
  <c r="W59" i="36" s="1"/>
  <c r="X59" i="36" s="1"/>
  <c r="AE60" i="36"/>
  <c r="AA61" i="36"/>
  <c r="D29" i="36"/>
  <c r="E29" i="36" s="1"/>
  <c r="B35" i="36" s="1"/>
  <c r="B36" i="36" s="1"/>
  <c r="T61" i="36"/>
  <c r="V61" i="36" s="1"/>
  <c r="W61" i="36" s="1"/>
  <c r="X61" i="36" s="1"/>
  <c r="AH61" i="36"/>
  <c r="AJ61" i="36" s="1"/>
  <c r="AK61" i="36" s="1"/>
  <c r="AL61" i="36" s="1"/>
  <c r="J61" i="36"/>
  <c r="L61" i="36" s="1"/>
  <c r="M61" i="36" s="1"/>
  <c r="N61" i="36" s="1"/>
  <c r="AC61" i="36"/>
  <c r="AD61" i="36" s="1"/>
  <c r="AG61" i="36" s="1"/>
  <c r="P62" i="36"/>
  <c r="V60" i="36"/>
  <c r="W60" i="36" s="1"/>
  <c r="X60" i="36" s="1"/>
  <c r="Y95" i="36"/>
  <c r="AN95" i="36" s="1"/>
  <c r="AJ59" i="36"/>
  <c r="AK59" i="36" s="1"/>
  <c r="AL59" i="36" s="1"/>
  <c r="P95" i="37"/>
  <c r="Q95" i="37" s="1"/>
  <c r="R95" i="37" s="1"/>
  <c r="S95" i="37" s="1"/>
  <c r="P43" i="37"/>
  <c r="P93" i="37"/>
  <c r="Q93" i="37" s="1"/>
  <c r="R93" i="37" s="1"/>
  <c r="S93" i="37" s="1"/>
  <c r="P91" i="37"/>
  <c r="Q91" i="37" s="1"/>
  <c r="R91" i="37" s="1"/>
  <c r="S91" i="37" s="1"/>
  <c r="P92" i="37"/>
  <c r="Q92" i="37" s="1"/>
  <c r="R92" i="37" s="1"/>
  <c r="S92" i="37" s="1"/>
  <c r="V43" i="36"/>
  <c r="W43" i="36" s="1"/>
  <c r="X43" i="36" s="1"/>
  <c r="L60" i="36"/>
  <c r="M60" i="36" s="1"/>
  <c r="N60" i="36" s="1"/>
  <c r="U46" i="36"/>
  <c r="V46" i="36" s="1"/>
  <c r="W46" i="36" s="1"/>
  <c r="X46" i="36" s="1"/>
  <c r="O43" i="37"/>
  <c r="P46" i="36"/>
  <c r="AI52" i="36"/>
  <c r="AC52" i="36"/>
  <c r="AD52" i="36" s="1"/>
  <c r="AE52" i="36" s="1"/>
  <c r="O52" i="36"/>
  <c r="Q52" i="36" s="1"/>
  <c r="R52" i="36" s="1"/>
  <c r="S52" i="36" s="1"/>
  <c r="K52" i="36"/>
  <c r="T52" i="36"/>
  <c r="L59" i="36"/>
  <c r="M59" i="36" s="1"/>
  <c r="N59" i="36" s="1"/>
  <c r="AH52" i="36"/>
  <c r="AF59" i="36"/>
  <c r="AG59" i="36"/>
  <c r="AE59" i="36"/>
  <c r="AH46" i="36"/>
  <c r="AA52" i="36"/>
  <c r="J52" i="36"/>
  <c r="J46" i="36"/>
  <c r="AC45" i="36"/>
  <c r="AD45" i="36" s="1"/>
  <c r="AE45" i="36" s="1"/>
  <c r="U52" i="36"/>
  <c r="K46" i="36"/>
  <c r="AC46" i="36"/>
  <c r="AD46" i="36" s="1"/>
  <c r="AG46" i="36" s="1"/>
  <c r="AI46" i="36"/>
  <c r="O46" i="36"/>
  <c r="AA46" i="36"/>
  <c r="AH45" i="36"/>
  <c r="L57" i="36"/>
  <c r="M57" i="36" s="1"/>
  <c r="N57" i="36" s="1"/>
  <c r="P53" i="36"/>
  <c r="Q53" i="36" s="1"/>
  <c r="R53" i="36" s="1"/>
  <c r="S53" i="36" s="1"/>
  <c r="O48" i="36"/>
  <c r="AC47" i="36"/>
  <c r="AD47" i="36" s="1"/>
  <c r="AF47" i="36" s="1"/>
  <c r="U47" i="36"/>
  <c r="P47" i="36"/>
  <c r="Q57" i="36"/>
  <c r="R57" i="36" s="1"/>
  <c r="S57" i="36" s="1"/>
  <c r="L43" i="36"/>
  <c r="M43" i="36" s="1"/>
  <c r="N43" i="36" s="1"/>
  <c r="J45" i="36"/>
  <c r="U45" i="36"/>
  <c r="O45" i="36"/>
  <c r="T44" i="36"/>
  <c r="AI45" i="36"/>
  <c r="T45" i="36"/>
  <c r="P45" i="36"/>
  <c r="K45" i="36"/>
  <c r="AH47" i="36"/>
  <c r="O47" i="36"/>
  <c r="AI53" i="36"/>
  <c r="K53" i="36"/>
  <c r="AH53" i="36"/>
  <c r="T53" i="36"/>
  <c r="AA53" i="36"/>
  <c r="AI47" i="36"/>
  <c r="T47" i="36"/>
  <c r="AA47" i="36"/>
  <c r="J47" i="36"/>
  <c r="L47" i="36" s="1"/>
  <c r="M47" i="36" s="1"/>
  <c r="N47" i="36" s="1"/>
  <c r="J53" i="36"/>
  <c r="AC54" i="36"/>
  <c r="AD54" i="36" s="1"/>
  <c r="U53" i="36"/>
  <c r="AC53" i="36"/>
  <c r="AD53" i="36" s="1"/>
  <c r="AE53" i="36" s="1"/>
  <c r="V58" i="36"/>
  <c r="W58" i="36" s="1"/>
  <c r="X58" i="36" s="1"/>
  <c r="L58" i="36"/>
  <c r="M58" i="36" s="1"/>
  <c r="N58" i="36" s="1"/>
  <c r="Q58" i="36"/>
  <c r="R58" i="36" s="1"/>
  <c r="S58" i="36" s="1"/>
  <c r="AJ58" i="36"/>
  <c r="AK58" i="36" s="1"/>
  <c r="AM58" i="36" s="1"/>
  <c r="AJ57" i="36"/>
  <c r="AK57" i="36" s="1"/>
  <c r="AM57" i="36" s="1"/>
  <c r="AF57" i="36"/>
  <c r="AG57" i="36"/>
  <c r="V51" i="36"/>
  <c r="W51" i="36" s="1"/>
  <c r="X51" i="36" s="1"/>
  <c r="Q51" i="36"/>
  <c r="R51" i="36" s="1"/>
  <c r="S51" i="36" s="1"/>
  <c r="W16" i="37"/>
  <c r="W14" i="37"/>
  <c r="W15" i="37" s="1"/>
  <c r="D27" i="37"/>
  <c r="E27" i="37" s="1"/>
  <c r="B33" i="37" s="1"/>
  <c r="AJ51" i="36"/>
  <c r="AK51" i="36" s="1"/>
  <c r="AC62" i="36"/>
  <c r="AD62" i="36" s="1"/>
  <c r="O62" i="36"/>
  <c r="J62" i="36"/>
  <c r="T62" i="36"/>
  <c r="AL60" i="36"/>
  <c r="AM60" i="36"/>
  <c r="AG51" i="36"/>
  <c r="AE51" i="36"/>
  <c r="AF51" i="36"/>
  <c r="Q61" i="36"/>
  <c r="R61" i="36" s="1"/>
  <c r="S61" i="36" s="1"/>
  <c r="L51" i="36"/>
  <c r="M51" i="36" s="1"/>
  <c r="N51" i="36" s="1"/>
  <c r="Q43" i="37" l="1"/>
  <c r="R43" i="37" s="1"/>
  <c r="S43" i="37" s="1"/>
  <c r="AJ46" i="36"/>
  <c r="AK46" i="36" s="1"/>
  <c r="AM46" i="36" s="1"/>
  <c r="Q46" i="36"/>
  <c r="R46" i="36" s="1"/>
  <c r="S46" i="36" s="1"/>
  <c r="AF45" i="36"/>
  <c r="AM59" i="36"/>
  <c r="Q81" i="31"/>
  <c r="R81" i="31" s="1"/>
  <c r="S81" i="31" s="1"/>
  <c r="B7" i="37"/>
  <c r="B52" i="37" s="1"/>
  <c r="E52" i="37" s="1"/>
  <c r="B6" i="37"/>
  <c r="Y59" i="36"/>
  <c r="AN59" i="36" s="1"/>
  <c r="AJ81" i="31"/>
  <c r="AK81" i="31" s="1"/>
  <c r="AM81" i="31" s="1"/>
  <c r="AJ52" i="36"/>
  <c r="AK52" i="36" s="1"/>
  <c r="AM52" i="36" s="1"/>
  <c r="AL80" i="31"/>
  <c r="AM80" i="31"/>
  <c r="V81" i="31"/>
  <c r="W81" i="31" s="1"/>
  <c r="X81" i="31" s="1"/>
  <c r="Y80" i="31"/>
  <c r="AF81" i="31"/>
  <c r="AG81" i="31"/>
  <c r="AE81" i="31"/>
  <c r="Y43" i="36"/>
  <c r="AN43" i="36" s="1"/>
  <c r="AB81" i="31"/>
  <c r="L81" i="31"/>
  <c r="M81" i="31" s="1"/>
  <c r="N81" i="31" s="1"/>
  <c r="I83" i="31"/>
  <c r="I83" i="37" s="1"/>
  <c r="I82" i="36"/>
  <c r="O82" i="31"/>
  <c r="P82" i="31"/>
  <c r="T82" i="31"/>
  <c r="J82" i="31"/>
  <c r="U82" i="31"/>
  <c r="Z82" i="31" s="1"/>
  <c r="K82" i="31"/>
  <c r="AC82" i="31"/>
  <c r="AD82" i="31" s="1"/>
  <c r="AA82" i="31"/>
  <c r="AH82" i="31"/>
  <c r="AI82" i="31"/>
  <c r="AH62" i="36"/>
  <c r="K62" i="36"/>
  <c r="AE61" i="36"/>
  <c r="U62" i="36"/>
  <c r="V62" i="36" s="1"/>
  <c r="W62" i="36" s="1"/>
  <c r="X62" i="36" s="1"/>
  <c r="AF61" i="36"/>
  <c r="AA62" i="36"/>
  <c r="Y60" i="36"/>
  <c r="AN60" i="36" s="1"/>
  <c r="AI62" i="36"/>
  <c r="AG52" i="36"/>
  <c r="AG47" i="36"/>
  <c r="AF52" i="36"/>
  <c r="E36" i="36"/>
  <c r="AE46" i="36"/>
  <c r="AA41" i="36"/>
  <c r="Z52" i="36" s="1"/>
  <c r="AF46" i="36"/>
  <c r="AJ47" i="36"/>
  <c r="AK47" i="36" s="1"/>
  <c r="AM47" i="36" s="1"/>
  <c r="L52" i="36"/>
  <c r="M52" i="36" s="1"/>
  <c r="N52" i="36" s="1"/>
  <c r="V52" i="36"/>
  <c r="W52" i="36" s="1"/>
  <c r="X52" i="36" s="1"/>
  <c r="L46" i="36"/>
  <c r="M46" i="36" s="1"/>
  <c r="N46" i="36" s="1"/>
  <c r="U48" i="36"/>
  <c r="P49" i="36"/>
  <c r="AA48" i="36"/>
  <c r="J49" i="36"/>
  <c r="U49" i="36"/>
  <c r="AG45" i="36"/>
  <c r="AA49" i="36"/>
  <c r="T48" i="36"/>
  <c r="AH48" i="36"/>
  <c r="K49" i="36"/>
  <c r="T49" i="36"/>
  <c r="AI50" i="36"/>
  <c r="AJ45" i="36"/>
  <c r="AK45" i="36" s="1"/>
  <c r="AM45" i="36" s="1"/>
  <c r="AG53" i="36"/>
  <c r="P48" i="36"/>
  <c r="Q48" i="36" s="1"/>
  <c r="R48" i="36" s="1"/>
  <c r="S48" i="36" s="1"/>
  <c r="AH49" i="36"/>
  <c r="O49" i="36"/>
  <c r="AI48" i="36"/>
  <c r="J48" i="36"/>
  <c r="K48" i="36"/>
  <c r="AC49" i="36"/>
  <c r="AD49" i="36" s="1"/>
  <c r="AF49" i="36" s="1"/>
  <c r="AC48" i="36"/>
  <c r="AD48" i="36" s="1"/>
  <c r="AF48" i="36" s="1"/>
  <c r="AI49" i="36"/>
  <c r="O44" i="36"/>
  <c r="V53" i="36"/>
  <c r="W53" i="36" s="1"/>
  <c r="X53" i="36" s="1"/>
  <c r="Y57" i="36"/>
  <c r="AN57" i="36" s="1"/>
  <c r="AI44" i="36"/>
  <c r="Q47" i="36"/>
  <c r="R47" i="36" s="1"/>
  <c r="S47" i="36" s="1"/>
  <c r="AE47" i="36"/>
  <c r="V47" i="36"/>
  <c r="W47" i="36" s="1"/>
  <c r="X47" i="36" s="1"/>
  <c r="D50" i="36"/>
  <c r="F50" i="36" s="1"/>
  <c r="AJ53" i="36"/>
  <c r="AK53" i="36" s="1"/>
  <c r="AL53" i="36" s="1"/>
  <c r="AF53" i="36"/>
  <c r="AA44" i="36"/>
  <c r="AH44" i="36"/>
  <c r="AJ44" i="36" s="1"/>
  <c r="AK44" i="36" s="1"/>
  <c r="AM44" i="36" s="1"/>
  <c r="L45" i="36"/>
  <c r="M45" i="36" s="1"/>
  <c r="N45" i="36" s="1"/>
  <c r="U44" i="36"/>
  <c r="V44" i="36" s="1"/>
  <c r="W44" i="36" s="1"/>
  <c r="X44" i="36" s="1"/>
  <c r="K44" i="36"/>
  <c r="J44" i="36"/>
  <c r="L53" i="36"/>
  <c r="M53" i="36" s="1"/>
  <c r="N53" i="36" s="1"/>
  <c r="Q45" i="36"/>
  <c r="R45" i="36" s="1"/>
  <c r="S45" i="36" s="1"/>
  <c r="AC44" i="36"/>
  <c r="AD44" i="36" s="1"/>
  <c r="AF44" i="36" s="1"/>
  <c r="P44" i="36"/>
  <c r="V45" i="36"/>
  <c r="W45" i="36" s="1"/>
  <c r="X45" i="36" s="1"/>
  <c r="U54" i="36"/>
  <c r="J55" i="36"/>
  <c r="K55" i="36"/>
  <c r="K54" i="36"/>
  <c r="AH54" i="36"/>
  <c r="J54" i="36"/>
  <c r="AA55" i="36"/>
  <c r="T54" i="36"/>
  <c r="T55" i="36"/>
  <c r="AM61" i="36"/>
  <c r="AL58" i="36"/>
  <c r="AA54" i="36"/>
  <c r="O55" i="36"/>
  <c r="U55" i="36"/>
  <c r="AH55" i="36"/>
  <c r="AI55" i="36"/>
  <c r="P54" i="36"/>
  <c r="O54" i="36"/>
  <c r="AC55" i="36"/>
  <c r="AD55" i="36" s="1"/>
  <c r="AG55" i="36" s="1"/>
  <c r="AI54" i="36"/>
  <c r="U56" i="36"/>
  <c r="P55" i="36"/>
  <c r="Y58" i="36"/>
  <c r="AN58" i="36" s="1"/>
  <c r="AL57" i="36"/>
  <c r="Q62" i="36"/>
  <c r="R62" i="36" s="1"/>
  <c r="S62" i="36" s="1"/>
  <c r="Y51" i="36"/>
  <c r="AN51" i="36" s="1"/>
  <c r="K63" i="36"/>
  <c r="O63" i="36"/>
  <c r="AC63" i="36"/>
  <c r="AD63" i="36" s="1"/>
  <c r="P63" i="36"/>
  <c r="AI63" i="36"/>
  <c r="U63" i="36"/>
  <c r="AA63" i="36"/>
  <c r="J63" i="36"/>
  <c r="AH63" i="36"/>
  <c r="T63" i="36"/>
  <c r="AE54" i="36"/>
  <c r="AG54" i="36"/>
  <c r="AF54" i="36"/>
  <c r="AF62" i="36"/>
  <c r="AE62" i="36"/>
  <c r="AG62" i="36"/>
  <c r="AL51" i="36"/>
  <c r="AM51" i="36"/>
  <c r="Y61" i="36"/>
  <c r="AN61" i="36" s="1"/>
  <c r="AL46" i="36" l="1"/>
  <c r="AJ62" i="36"/>
  <c r="AK62" i="36" s="1"/>
  <c r="AM62" i="36" s="1"/>
  <c r="AG49" i="36"/>
  <c r="C52" i="37"/>
  <c r="B54" i="37" s="1"/>
  <c r="Z48" i="36"/>
  <c r="Z48" i="37" s="1"/>
  <c r="Z63" i="36"/>
  <c r="Z63" i="37" s="1"/>
  <c r="Z54" i="36"/>
  <c r="Z55" i="36"/>
  <c r="Z55" i="37" s="1"/>
  <c r="Z44" i="36"/>
  <c r="Z44" i="37" s="1"/>
  <c r="Y46" i="36"/>
  <c r="AN46" i="36" s="1"/>
  <c r="Z95" i="36"/>
  <c r="Z51" i="36"/>
  <c r="Z51" i="37" s="1"/>
  <c r="Z58" i="36"/>
  <c r="Z58" i="37" s="1"/>
  <c r="Z47" i="36"/>
  <c r="AB47" i="36" s="1"/>
  <c r="Z57" i="36"/>
  <c r="Z57" i="37" s="1"/>
  <c r="Z92" i="36"/>
  <c r="Z92" i="37" s="1"/>
  <c r="Z94" i="36"/>
  <c r="Z94" i="37" s="1"/>
  <c r="Z59" i="36"/>
  <c r="Z59" i="37" s="1"/>
  <c r="Z61" i="36"/>
  <c r="Z60" i="36"/>
  <c r="Z91" i="36"/>
  <c r="Z91" i="37" s="1"/>
  <c r="Z93" i="36"/>
  <c r="Z93" i="37" s="1"/>
  <c r="Z53" i="36"/>
  <c r="Z53" i="37" s="1"/>
  <c r="L62" i="36"/>
  <c r="M62" i="36" s="1"/>
  <c r="N62" i="36" s="1"/>
  <c r="Y62" i="36" s="1"/>
  <c r="AN62" i="36" s="1"/>
  <c r="Z62" i="36"/>
  <c r="Z62" i="37" s="1"/>
  <c r="Z49" i="36"/>
  <c r="Z49" i="37" s="1"/>
  <c r="Z46" i="36"/>
  <c r="Z45" i="36"/>
  <c r="Z45" i="37" s="1"/>
  <c r="Z43" i="36"/>
  <c r="AB43" i="36" s="1"/>
  <c r="AL52" i="36"/>
  <c r="AL81" i="31"/>
  <c r="F52" i="37"/>
  <c r="V82" i="31"/>
  <c r="W82" i="31" s="1"/>
  <c r="X82" i="31" s="1"/>
  <c r="AL47" i="36"/>
  <c r="AJ82" i="31"/>
  <c r="AK82" i="31" s="1"/>
  <c r="AM82" i="31" s="1"/>
  <c r="Q82" i="31"/>
  <c r="R82" i="31" s="1"/>
  <c r="S82" i="31" s="1"/>
  <c r="AE82" i="31"/>
  <c r="AF82" i="31"/>
  <c r="AG82" i="31"/>
  <c r="I84" i="31"/>
  <c r="I84" i="37" s="1"/>
  <c r="I83" i="36"/>
  <c r="J83" i="31"/>
  <c r="AC83" i="31"/>
  <c r="AD83" i="31" s="1"/>
  <c r="K83" i="31"/>
  <c r="AA83" i="31"/>
  <c r="AH83" i="31"/>
  <c r="P83" i="31"/>
  <c r="U83" i="31"/>
  <c r="Z83" i="31" s="1"/>
  <c r="T83" i="31"/>
  <c r="AI83" i="31"/>
  <c r="O83" i="31"/>
  <c r="L82" i="31"/>
  <c r="M82" i="31" s="1"/>
  <c r="N82" i="31" s="1"/>
  <c r="Y81" i="31"/>
  <c r="AN81" i="31" s="1"/>
  <c r="AB80" i="31"/>
  <c r="AN80" i="31"/>
  <c r="AE49" i="36"/>
  <c r="L48" i="36"/>
  <c r="M48" i="36" s="1"/>
  <c r="N48" i="36" s="1"/>
  <c r="Y52" i="36"/>
  <c r="AN52" i="36" s="1"/>
  <c r="AL45" i="36"/>
  <c r="AA50" i="36"/>
  <c r="AJ48" i="36"/>
  <c r="AK48" i="36" s="1"/>
  <c r="AL48" i="36" s="1"/>
  <c r="V49" i="36"/>
  <c r="W49" i="36" s="1"/>
  <c r="X49" i="36" s="1"/>
  <c r="AG48" i="36"/>
  <c r="V54" i="36"/>
  <c r="W54" i="36" s="1"/>
  <c r="X54" i="36" s="1"/>
  <c r="AJ49" i="36"/>
  <c r="AK49" i="36" s="1"/>
  <c r="AM49" i="36" s="1"/>
  <c r="L49" i="36"/>
  <c r="M49" i="36" s="1"/>
  <c r="N49" i="36" s="1"/>
  <c r="Q49" i="36"/>
  <c r="R49" i="36" s="1"/>
  <c r="S49" i="36" s="1"/>
  <c r="V48" i="36"/>
  <c r="W48" i="36" s="1"/>
  <c r="X48" i="36" s="1"/>
  <c r="AE48" i="36"/>
  <c r="Y47" i="36"/>
  <c r="AN47" i="36" s="1"/>
  <c r="Q44" i="36"/>
  <c r="R44" i="36" s="1"/>
  <c r="S44" i="36" s="1"/>
  <c r="AH50" i="36"/>
  <c r="AJ50" i="36" s="1"/>
  <c r="AK50" i="36" s="1"/>
  <c r="J50" i="36"/>
  <c r="U50" i="36"/>
  <c r="P50" i="36"/>
  <c r="K50" i="36"/>
  <c r="AC50" i="36"/>
  <c r="AD50" i="36" s="1"/>
  <c r="AE50" i="36" s="1"/>
  <c r="T50" i="36"/>
  <c r="O50" i="36"/>
  <c r="Y53" i="36"/>
  <c r="AN53" i="36" s="1"/>
  <c r="AG44" i="36"/>
  <c r="AM53" i="36"/>
  <c r="AE44" i="36"/>
  <c r="L54" i="36"/>
  <c r="M54" i="36" s="1"/>
  <c r="N54" i="36" s="1"/>
  <c r="Y45" i="36"/>
  <c r="AN45" i="36" s="1"/>
  <c r="L44" i="36"/>
  <c r="M44" i="36" s="1"/>
  <c r="N44" i="36" s="1"/>
  <c r="L55" i="36"/>
  <c r="M55" i="36" s="1"/>
  <c r="N55" i="36" s="1"/>
  <c r="AH56" i="36"/>
  <c r="AJ54" i="36"/>
  <c r="AK54" i="36" s="1"/>
  <c r="AM54" i="36" s="1"/>
  <c r="AJ55" i="36"/>
  <c r="AK55" i="36" s="1"/>
  <c r="AM55" i="36" s="1"/>
  <c r="V55" i="36"/>
  <c r="W55" i="36" s="1"/>
  <c r="X55" i="36" s="1"/>
  <c r="P56" i="36"/>
  <c r="Q54" i="36"/>
  <c r="R54" i="36" s="1"/>
  <c r="S54" i="36" s="1"/>
  <c r="AC56" i="36"/>
  <c r="AD56" i="36" s="1"/>
  <c r="AG56" i="36" s="1"/>
  <c r="K56" i="36"/>
  <c r="O56" i="36"/>
  <c r="AA56" i="36"/>
  <c r="AI56" i="36"/>
  <c r="J56" i="36"/>
  <c r="T56" i="36"/>
  <c r="V56" i="36" s="1"/>
  <c r="W56" i="36" s="1"/>
  <c r="X56" i="36" s="1"/>
  <c r="AE55" i="36"/>
  <c r="AF55" i="36"/>
  <c r="Q55" i="36"/>
  <c r="R55" i="36" s="1"/>
  <c r="S55" i="36" s="1"/>
  <c r="Q63" i="36"/>
  <c r="R63" i="36" s="1"/>
  <c r="S63" i="36" s="1"/>
  <c r="AJ63" i="36"/>
  <c r="AK63" i="36" s="1"/>
  <c r="AL63" i="36" s="1"/>
  <c r="AL44" i="36"/>
  <c r="V63" i="36"/>
  <c r="W63" i="36" s="1"/>
  <c r="X63" i="36" s="1"/>
  <c r="O64" i="36"/>
  <c r="AI64" i="36"/>
  <c r="U64" i="36"/>
  <c r="Z64" i="36" s="1"/>
  <c r="J64" i="36"/>
  <c r="AC64" i="36"/>
  <c r="AD64" i="36" s="1"/>
  <c r="T64" i="36"/>
  <c r="P64" i="36"/>
  <c r="AA64" i="36"/>
  <c r="AH64" i="36"/>
  <c r="K64" i="36"/>
  <c r="AE63" i="36"/>
  <c r="AF63" i="36"/>
  <c r="AG63" i="36"/>
  <c r="L63" i="36"/>
  <c r="M63" i="36" s="1"/>
  <c r="N63" i="36" s="1"/>
  <c r="D54" i="37"/>
  <c r="F54" i="37"/>
  <c r="E54" i="37"/>
  <c r="C54" i="37"/>
  <c r="D52" i="37" l="1"/>
  <c r="B53" i="37"/>
  <c r="AL62" i="36"/>
  <c r="Z47" i="37"/>
  <c r="AB45" i="36"/>
  <c r="Z50" i="36"/>
  <c r="Z50" i="37" s="1"/>
  <c r="Z56" i="36"/>
  <c r="Z56" i="37" s="1"/>
  <c r="AL82" i="31"/>
  <c r="Y82" i="31"/>
  <c r="AN82" i="31" s="1"/>
  <c r="AB53" i="36"/>
  <c r="Y48" i="36"/>
  <c r="AN48" i="36" s="1"/>
  <c r="AB62" i="36"/>
  <c r="AB93" i="36"/>
  <c r="AB92" i="36"/>
  <c r="AJ83" i="31"/>
  <c r="AK83" i="31" s="1"/>
  <c r="AM83" i="31" s="1"/>
  <c r="L83" i="31"/>
  <c r="M83" i="31" s="1"/>
  <c r="N83" i="31" s="1"/>
  <c r="AE83" i="31"/>
  <c r="AG83" i="31"/>
  <c r="AF83" i="31"/>
  <c r="V83" i="31"/>
  <c r="W83" i="31" s="1"/>
  <c r="X83" i="31" s="1"/>
  <c r="I85" i="31"/>
  <c r="I85" i="37" s="1"/>
  <c r="I84" i="36"/>
  <c r="AC84" i="31"/>
  <c r="AD84" i="31" s="1"/>
  <c r="U84" i="31"/>
  <c r="Z84" i="31" s="1"/>
  <c r="AA84" i="31"/>
  <c r="K84" i="31"/>
  <c r="AI84" i="31"/>
  <c r="AH84" i="31"/>
  <c r="O84" i="31"/>
  <c r="P84" i="31"/>
  <c r="J84" i="31"/>
  <c r="T84" i="31"/>
  <c r="Q83" i="31"/>
  <c r="R83" i="31" s="1"/>
  <c r="S83" i="31" s="1"/>
  <c r="AB82" i="31"/>
  <c r="AB51" i="36"/>
  <c r="Z43" i="37"/>
  <c r="AB94" i="36"/>
  <c r="AB58" i="36"/>
  <c r="AB55" i="36"/>
  <c r="AB91" i="36"/>
  <c r="AB59" i="36"/>
  <c r="AB60" i="36"/>
  <c r="Z60" i="37"/>
  <c r="AB52" i="36"/>
  <c r="Z52" i="37"/>
  <c r="AB95" i="36"/>
  <c r="Z95" i="37"/>
  <c r="AB54" i="36"/>
  <c r="Z54" i="37"/>
  <c r="AB46" i="36"/>
  <c r="Z46" i="37"/>
  <c r="AM48" i="36"/>
  <c r="AB57" i="36"/>
  <c r="AB61" i="36"/>
  <c r="Z61" i="37"/>
  <c r="AB48" i="36"/>
  <c r="AB63" i="36"/>
  <c r="AB49" i="36"/>
  <c r="AB44" i="36"/>
  <c r="AL54" i="36"/>
  <c r="Y49" i="36"/>
  <c r="AN49" i="36" s="1"/>
  <c r="AL49" i="36"/>
  <c r="V50" i="36"/>
  <c r="W50" i="36" s="1"/>
  <c r="X50" i="36" s="1"/>
  <c r="Q50" i="36"/>
  <c r="R50" i="36" s="1"/>
  <c r="S50" i="36" s="1"/>
  <c r="Y44" i="36"/>
  <c r="AN44" i="36" s="1"/>
  <c r="AF50" i="36"/>
  <c r="L50" i="36"/>
  <c r="M50" i="36" s="1"/>
  <c r="N50" i="36" s="1"/>
  <c r="Y54" i="36"/>
  <c r="AN54" i="36" s="1"/>
  <c r="AG50" i="36"/>
  <c r="AL55" i="36"/>
  <c r="AJ56" i="36"/>
  <c r="AK56" i="36" s="1"/>
  <c r="AL56" i="36" s="1"/>
  <c r="Y55" i="36"/>
  <c r="AN55" i="36" s="1"/>
  <c r="Q56" i="36"/>
  <c r="R56" i="36" s="1"/>
  <c r="S56" i="36" s="1"/>
  <c r="AE56" i="36"/>
  <c r="AF56" i="36"/>
  <c r="L56" i="36"/>
  <c r="M56" i="36" s="1"/>
  <c r="N56" i="36" s="1"/>
  <c r="AM63" i="36"/>
  <c r="AJ64" i="36"/>
  <c r="AK64" i="36" s="1"/>
  <c r="AL64" i="36" s="1"/>
  <c r="Q64" i="36"/>
  <c r="R64" i="36" s="1"/>
  <c r="S64" i="36" s="1"/>
  <c r="Y63" i="36"/>
  <c r="AN63" i="36" s="1"/>
  <c r="AG64" i="36"/>
  <c r="AE64" i="36"/>
  <c r="AF64" i="36"/>
  <c r="O65" i="36"/>
  <c r="K65" i="36"/>
  <c r="AI65" i="36"/>
  <c r="U65" i="36"/>
  <c r="Z65" i="36" s="1"/>
  <c r="AC65" i="36"/>
  <c r="AD65" i="36" s="1"/>
  <c r="P65" i="36"/>
  <c r="AA65" i="36"/>
  <c r="T65" i="36"/>
  <c r="J65" i="36"/>
  <c r="AH65" i="36"/>
  <c r="V64" i="36"/>
  <c r="W64" i="36" s="1"/>
  <c r="X64" i="36" s="1"/>
  <c r="Z64" i="37"/>
  <c r="L64" i="36"/>
  <c r="M64" i="36" s="1"/>
  <c r="N64" i="36" s="1"/>
  <c r="AL50" i="36"/>
  <c r="AM50" i="36"/>
  <c r="C53" i="37"/>
  <c r="D53" i="37"/>
  <c r="F53" i="37"/>
  <c r="E53" i="37"/>
  <c r="E7" i="37" l="1"/>
  <c r="B21" i="37" s="1"/>
  <c r="F7" i="37"/>
  <c r="C21" i="37" s="1"/>
  <c r="D7" i="37"/>
  <c r="C17" i="37" s="1"/>
  <c r="C7" i="37"/>
  <c r="A43" i="37" s="1"/>
  <c r="AB56" i="36"/>
  <c r="AB50" i="36"/>
  <c r="Q84" i="31"/>
  <c r="R84" i="31" s="1"/>
  <c r="S84" i="31" s="1"/>
  <c r="AL83" i="31"/>
  <c r="Y83" i="31"/>
  <c r="AN83" i="31" s="1"/>
  <c r="AB83" i="31"/>
  <c r="AJ84" i="31"/>
  <c r="AK84" i="31" s="1"/>
  <c r="L84" i="31"/>
  <c r="M84" i="31" s="1"/>
  <c r="N84" i="31" s="1"/>
  <c r="V84" i="31"/>
  <c r="W84" i="31" s="1"/>
  <c r="X84" i="31" s="1"/>
  <c r="AG84" i="31"/>
  <c r="AF84" i="31"/>
  <c r="AE84" i="31"/>
  <c r="I86" i="31"/>
  <c r="I86" i="37" s="1"/>
  <c r="I85" i="36"/>
  <c r="J85" i="31"/>
  <c r="T85" i="31"/>
  <c r="AA85" i="31"/>
  <c r="AI85" i="31"/>
  <c r="O85" i="31"/>
  <c r="P85" i="31"/>
  <c r="AC85" i="31"/>
  <c r="AD85" i="31" s="1"/>
  <c r="K85" i="31"/>
  <c r="U85" i="31"/>
  <c r="Z85" i="31" s="1"/>
  <c r="AH85" i="31"/>
  <c r="AB64" i="36"/>
  <c r="Y50" i="36"/>
  <c r="AN50" i="36" s="1"/>
  <c r="AM56" i="36"/>
  <c r="Y56" i="36"/>
  <c r="AN56" i="36" s="1"/>
  <c r="AM64" i="36"/>
  <c r="AJ65" i="36"/>
  <c r="AK65" i="36" s="1"/>
  <c r="AM65" i="36" s="1"/>
  <c r="Q65" i="36"/>
  <c r="R65" i="36" s="1"/>
  <c r="S65" i="36" s="1"/>
  <c r="AG65" i="36"/>
  <c r="AF65" i="36"/>
  <c r="AE65" i="36"/>
  <c r="Y64" i="36"/>
  <c r="AN64" i="36" s="1"/>
  <c r="V65" i="36"/>
  <c r="W65" i="36" s="1"/>
  <c r="X65" i="36" s="1"/>
  <c r="U66" i="36"/>
  <c r="Z66" i="36" s="1"/>
  <c r="O66" i="36"/>
  <c r="K66" i="36"/>
  <c r="AC66" i="36"/>
  <c r="AD66" i="36" s="1"/>
  <c r="P66" i="36"/>
  <c r="AI66" i="36"/>
  <c r="J66" i="36"/>
  <c r="AA66" i="36"/>
  <c r="T66" i="36"/>
  <c r="AH66" i="36"/>
  <c r="L65" i="36"/>
  <c r="M65" i="36" s="1"/>
  <c r="N65" i="36" s="1"/>
  <c r="Z65" i="37"/>
  <c r="B17" i="37" l="1"/>
  <c r="B22" i="37" s="1"/>
  <c r="A44" i="37"/>
  <c r="B46" i="37" s="1"/>
  <c r="D21" i="37"/>
  <c r="T93" i="37" s="1"/>
  <c r="Y84" i="31"/>
  <c r="AN84" i="31" s="1"/>
  <c r="AJ85" i="31"/>
  <c r="AK85" i="31" s="1"/>
  <c r="V85" i="31"/>
  <c r="W85" i="31" s="1"/>
  <c r="X85" i="31" s="1"/>
  <c r="AB85" i="31"/>
  <c r="L85" i="31"/>
  <c r="M85" i="31" s="1"/>
  <c r="N85" i="31" s="1"/>
  <c r="AL84" i="31"/>
  <c r="AM84" i="31"/>
  <c r="AE85" i="31"/>
  <c r="AF85" i="31"/>
  <c r="AG85" i="31"/>
  <c r="I87" i="31"/>
  <c r="I87" i="37" s="1"/>
  <c r="I86" i="36"/>
  <c r="AC86" i="31"/>
  <c r="AD86" i="31" s="1"/>
  <c r="U86" i="31"/>
  <c r="Z86" i="31" s="1"/>
  <c r="AA86" i="31"/>
  <c r="K86" i="31"/>
  <c r="AH86" i="31"/>
  <c r="O86" i="31"/>
  <c r="P86" i="31"/>
  <c r="AI86" i="31"/>
  <c r="T86" i="31"/>
  <c r="J86" i="31"/>
  <c r="AB84" i="31"/>
  <c r="Q85" i="31"/>
  <c r="R85" i="31" s="1"/>
  <c r="S85" i="31" s="1"/>
  <c r="AB65" i="36"/>
  <c r="AL65" i="36"/>
  <c r="AJ66" i="36"/>
  <c r="AK66" i="36" s="1"/>
  <c r="AL66" i="36" s="1"/>
  <c r="Q66" i="36"/>
  <c r="R66" i="36" s="1"/>
  <c r="S66" i="36" s="1"/>
  <c r="AG66" i="36"/>
  <c r="AF66" i="36"/>
  <c r="AE66" i="36"/>
  <c r="Y65" i="36"/>
  <c r="AN65" i="36" s="1"/>
  <c r="Z66" i="37"/>
  <c r="L66" i="36"/>
  <c r="M66" i="36" s="1"/>
  <c r="N66" i="36" s="1"/>
  <c r="P67" i="36"/>
  <c r="AC67" i="36"/>
  <c r="AD67" i="36" s="1"/>
  <c r="U67" i="36"/>
  <c r="Z67" i="36" s="1"/>
  <c r="AA67" i="36"/>
  <c r="AI67" i="36"/>
  <c r="T67" i="36"/>
  <c r="O67" i="36"/>
  <c r="AH67" i="36"/>
  <c r="J67" i="36"/>
  <c r="K67" i="36"/>
  <c r="V66" i="36"/>
  <c r="W66" i="36" s="1"/>
  <c r="X66" i="36" s="1"/>
  <c r="D17" i="37" l="1"/>
  <c r="E17" i="37" s="1"/>
  <c r="K93" i="37" s="1"/>
  <c r="C22" i="37"/>
  <c r="T95" i="37"/>
  <c r="T92" i="37"/>
  <c r="F21" i="37"/>
  <c r="C29" i="37" s="1"/>
  <c r="E21" i="37"/>
  <c r="U92" i="37" s="1"/>
  <c r="T91" i="37"/>
  <c r="T94" i="37"/>
  <c r="Q86" i="31"/>
  <c r="R86" i="31" s="1"/>
  <c r="S86" i="31" s="1"/>
  <c r="V86" i="31"/>
  <c r="W86" i="31" s="1"/>
  <c r="X86" i="31" s="1"/>
  <c r="AB86" i="31"/>
  <c r="L86" i="31"/>
  <c r="M86" i="31" s="1"/>
  <c r="N86" i="31" s="1"/>
  <c r="AG86" i="31"/>
  <c r="AF86" i="31"/>
  <c r="AE86" i="31"/>
  <c r="AJ86" i="31"/>
  <c r="AK86" i="31" s="1"/>
  <c r="I88" i="31"/>
  <c r="I88" i="37" s="1"/>
  <c r="I87" i="36"/>
  <c r="AI87" i="31"/>
  <c r="O87" i="31"/>
  <c r="J87" i="31"/>
  <c r="K87" i="31"/>
  <c r="P87" i="31"/>
  <c r="T87" i="31"/>
  <c r="AA87" i="31"/>
  <c r="U87" i="31"/>
  <c r="Z87" i="31" s="1"/>
  <c r="AC87" i="31"/>
  <c r="AD87" i="31" s="1"/>
  <c r="AH87" i="31"/>
  <c r="Y85" i="31"/>
  <c r="AN85" i="31" s="1"/>
  <c r="AM85" i="31"/>
  <c r="AL85" i="31"/>
  <c r="AB66" i="36"/>
  <c r="P58" i="37"/>
  <c r="AI58" i="37"/>
  <c r="AH58" i="37"/>
  <c r="AC58" i="37"/>
  <c r="AD58" i="37" s="1"/>
  <c r="O58" i="37"/>
  <c r="AA58" i="37"/>
  <c r="AA57" i="37"/>
  <c r="O57" i="37"/>
  <c r="AH57" i="37"/>
  <c r="AI57" i="37"/>
  <c r="P57" i="37"/>
  <c r="AC57" i="37"/>
  <c r="AD57" i="37" s="1"/>
  <c r="P59" i="37"/>
  <c r="AA59" i="37"/>
  <c r="AC59" i="37"/>
  <c r="AD59" i="37" s="1"/>
  <c r="O59" i="37"/>
  <c r="AH59" i="37"/>
  <c r="AI59" i="37"/>
  <c r="AM66" i="36"/>
  <c r="Q67" i="36"/>
  <c r="R67" i="36" s="1"/>
  <c r="S67" i="36" s="1"/>
  <c r="L67" i="36"/>
  <c r="M67" i="36" s="1"/>
  <c r="N67" i="36" s="1"/>
  <c r="Z67" i="37"/>
  <c r="AF67" i="36"/>
  <c r="AG67" i="36"/>
  <c r="AE67" i="36"/>
  <c r="AJ67" i="36"/>
  <c r="AK67" i="36" s="1"/>
  <c r="Y66" i="36"/>
  <c r="AN66" i="36" s="1"/>
  <c r="K68" i="36"/>
  <c r="P68" i="36"/>
  <c r="U68" i="36"/>
  <c r="Z68" i="36" s="1"/>
  <c r="AI68" i="36"/>
  <c r="AC68" i="36"/>
  <c r="AD68" i="36" s="1"/>
  <c r="J68" i="36"/>
  <c r="AA68" i="36"/>
  <c r="T68" i="36"/>
  <c r="O68" i="36"/>
  <c r="AH68" i="36"/>
  <c r="V67" i="36"/>
  <c r="W67" i="36" s="1"/>
  <c r="X67" i="36" s="1"/>
  <c r="K91" i="37" l="1"/>
  <c r="J59" i="37"/>
  <c r="K58" i="37"/>
  <c r="K57" i="37"/>
  <c r="K59" i="37"/>
  <c r="C48" i="37"/>
  <c r="J58" i="37"/>
  <c r="J95" i="37"/>
  <c r="K95" i="37"/>
  <c r="J94" i="37"/>
  <c r="F12" i="37"/>
  <c r="B25" i="37"/>
  <c r="K94" i="37"/>
  <c r="C25" i="37"/>
  <c r="J93" i="37"/>
  <c r="L93" i="37" s="1"/>
  <c r="M93" i="37" s="1"/>
  <c r="N93" i="37" s="1"/>
  <c r="K92" i="37"/>
  <c r="J57" i="37"/>
  <c r="K43" i="37"/>
  <c r="C44" i="37"/>
  <c r="F17" i="37"/>
  <c r="J43" i="37" s="1"/>
  <c r="C46" i="37"/>
  <c r="D46" i="37" s="1"/>
  <c r="E46" i="37" s="1"/>
  <c r="F46" i="37" s="1"/>
  <c r="J91" i="37"/>
  <c r="J92" i="37"/>
  <c r="D39" i="37"/>
  <c r="V92" i="37"/>
  <c r="W92" i="37" s="1"/>
  <c r="X92" i="37" s="1"/>
  <c r="Y92" i="37" s="1"/>
  <c r="AN92" i="37" s="1"/>
  <c r="T58" i="37"/>
  <c r="T59" i="37"/>
  <c r="T57" i="37"/>
  <c r="T43" i="37"/>
  <c r="B29" i="37"/>
  <c r="B48" i="37" s="1"/>
  <c r="D48" i="37" s="1"/>
  <c r="E48" i="37" s="1"/>
  <c r="F48" i="37" s="1"/>
  <c r="U57" i="37"/>
  <c r="U93" i="37"/>
  <c r="V93" i="37" s="1"/>
  <c r="W93" i="37" s="1"/>
  <c r="X93" i="37" s="1"/>
  <c r="Y93" i="37" s="1"/>
  <c r="AN93" i="37" s="1"/>
  <c r="U58" i="37"/>
  <c r="U43" i="37"/>
  <c r="U59" i="37"/>
  <c r="U94" i="37"/>
  <c r="V94" i="37" s="1"/>
  <c r="W94" i="37" s="1"/>
  <c r="X94" i="37" s="1"/>
  <c r="Y94" i="37" s="1"/>
  <c r="AN94" i="37" s="1"/>
  <c r="U95" i="37"/>
  <c r="V95" i="37" s="1"/>
  <c r="W95" i="37" s="1"/>
  <c r="X95" i="37" s="1"/>
  <c r="Y95" i="37" s="1"/>
  <c r="AN95" i="37" s="1"/>
  <c r="U91" i="37"/>
  <c r="V91" i="37" s="1"/>
  <c r="W91" i="37" s="1"/>
  <c r="X91" i="37" s="1"/>
  <c r="Y91" i="37" s="1"/>
  <c r="AN91" i="37" s="1"/>
  <c r="Q87" i="31"/>
  <c r="R87" i="31" s="1"/>
  <c r="S87" i="31" s="1"/>
  <c r="Y86" i="31"/>
  <c r="AN86" i="31" s="1"/>
  <c r="I89" i="31"/>
  <c r="I89" i="37" s="1"/>
  <c r="I88" i="36"/>
  <c r="AC88" i="31"/>
  <c r="AD88" i="31" s="1"/>
  <c r="O88" i="31"/>
  <c r="AA88" i="31"/>
  <c r="J88" i="31"/>
  <c r="T88" i="31"/>
  <c r="AH88" i="31"/>
  <c r="P88" i="31"/>
  <c r="K88" i="31"/>
  <c r="AI88" i="31"/>
  <c r="U88" i="31"/>
  <c r="Z88" i="31" s="1"/>
  <c r="AL86" i="31"/>
  <c r="AM86" i="31"/>
  <c r="AB87" i="31"/>
  <c r="L87" i="31"/>
  <c r="M87" i="31" s="1"/>
  <c r="N87" i="31" s="1"/>
  <c r="AE87" i="31"/>
  <c r="AG87" i="31"/>
  <c r="AF87" i="31"/>
  <c r="AJ87" i="31"/>
  <c r="AK87" i="31" s="1"/>
  <c r="V87" i="31"/>
  <c r="W87" i="31" s="1"/>
  <c r="X87" i="31" s="1"/>
  <c r="AB67" i="36"/>
  <c r="Q57" i="37"/>
  <c r="R57" i="37" s="1"/>
  <c r="S57" i="37" s="1"/>
  <c r="AJ57" i="37"/>
  <c r="AK57" i="37" s="1"/>
  <c r="AL57" i="37" s="1"/>
  <c r="AF57" i="37"/>
  <c r="AE57" i="37"/>
  <c r="AG57" i="37"/>
  <c r="AA45" i="37"/>
  <c r="O45" i="37"/>
  <c r="T45" i="37"/>
  <c r="J45" i="37"/>
  <c r="P45" i="37"/>
  <c r="AI45" i="37"/>
  <c r="AC45" i="37"/>
  <c r="AD45" i="37" s="1"/>
  <c r="AH45" i="37"/>
  <c r="U45" i="37"/>
  <c r="K45" i="37"/>
  <c r="T46" i="37"/>
  <c r="K46" i="37"/>
  <c r="AC46" i="37"/>
  <c r="AD46" i="37" s="1"/>
  <c r="U46" i="37"/>
  <c r="AH46" i="37"/>
  <c r="O46" i="37"/>
  <c r="AA46" i="37"/>
  <c r="AI46" i="37"/>
  <c r="P46" i="37"/>
  <c r="J46" i="37"/>
  <c r="AE58" i="37"/>
  <c r="AG58" i="37"/>
  <c r="AF58" i="37"/>
  <c r="AJ58" i="37"/>
  <c r="AK58" i="37" s="1"/>
  <c r="U52" i="37"/>
  <c r="K52" i="37"/>
  <c r="P52" i="37"/>
  <c r="T52" i="37"/>
  <c r="J52" i="37"/>
  <c r="AH52" i="37"/>
  <c r="O52" i="37"/>
  <c r="AA52" i="37"/>
  <c r="AC52" i="37"/>
  <c r="AD52" i="37" s="1"/>
  <c r="AI52" i="37"/>
  <c r="T51" i="37"/>
  <c r="P51" i="37"/>
  <c r="U51" i="37"/>
  <c r="O51" i="37"/>
  <c r="AH51" i="37"/>
  <c r="AI51" i="37"/>
  <c r="AC51" i="37"/>
  <c r="AD51" i="37" s="1"/>
  <c r="K51" i="37"/>
  <c r="AA51" i="37"/>
  <c r="J51" i="37"/>
  <c r="AF59" i="37"/>
  <c r="AG59" i="37"/>
  <c r="AE59" i="37"/>
  <c r="AI47" i="37"/>
  <c r="O47" i="37"/>
  <c r="AA47" i="37"/>
  <c r="J47" i="37"/>
  <c r="K47" i="37"/>
  <c r="P47" i="37"/>
  <c r="AH47" i="37"/>
  <c r="T47" i="37"/>
  <c r="AC47" i="37"/>
  <c r="AD47" i="37" s="1"/>
  <c r="U47" i="37"/>
  <c r="O53" i="37"/>
  <c r="T53" i="37"/>
  <c r="K53" i="37"/>
  <c r="AH53" i="37"/>
  <c r="P53" i="37"/>
  <c r="AC53" i="37"/>
  <c r="AD53" i="37" s="1"/>
  <c r="AA53" i="37"/>
  <c r="J53" i="37"/>
  <c r="AI53" i="37"/>
  <c r="U53" i="37"/>
  <c r="AJ59" i="37"/>
  <c r="AK59" i="37" s="1"/>
  <c r="J60" i="37"/>
  <c r="AC60" i="37"/>
  <c r="AD60" i="37" s="1"/>
  <c r="O60" i="37"/>
  <c r="AI60" i="37"/>
  <c r="T60" i="37"/>
  <c r="K60" i="37"/>
  <c r="AA60" i="37"/>
  <c r="U60" i="37"/>
  <c r="AH60" i="37"/>
  <c r="P60" i="37"/>
  <c r="Q59" i="37"/>
  <c r="R59" i="37" s="1"/>
  <c r="S59" i="37" s="1"/>
  <c r="Q58" i="37"/>
  <c r="R58" i="37" s="1"/>
  <c r="S58" i="37" s="1"/>
  <c r="AJ68" i="36"/>
  <c r="AK68" i="36" s="1"/>
  <c r="AL68" i="36" s="1"/>
  <c r="Y67" i="36"/>
  <c r="AN67" i="36" s="1"/>
  <c r="V68" i="36"/>
  <c r="W68" i="36" s="1"/>
  <c r="X68" i="36" s="1"/>
  <c r="Q68" i="36"/>
  <c r="R68" i="36" s="1"/>
  <c r="S68" i="36" s="1"/>
  <c r="AG68" i="36"/>
  <c r="AF68" i="36"/>
  <c r="AE68" i="36"/>
  <c r="O69" i="36"/>
  <c r="K69" i="36"/>
  <c r="AC69" i="36"/>
  <c r="AD69" i="36" s="1"/>
  <c r="AA69" i="36"/>
  <c r="T69" i="36"/>
  <c r="AH69" i="36"/>
  <c r="AI69" i="36"/>
  <c r="P69" i="36"/>
  <c r="J69" i="36"/>
  <c r="U69" i="36"/>
  <c r="Z69" i="36" s="1"/>
  <c r="Z68" i="37"/>
  <c r="L68" i="36"/>
  <c r="M68" i="36" s="1"/>
  <c r="N68" i="36" s="1"/>
  <c r="AL67" i="36"/>
  <c r="AM67" i="36"/>
  <c r="L92" i="37" l="1"/>
  <c r="M92" i="37" s="1"/>
  <c r="N92" i="37" s="1"/>
  <c r="L95" i="37"/>
  <c r="M95" i="37" s="1"/>
  <c r="N95" i="37" s="1"/>
  <c r="L57" i="37"/>
  <c r="M57" i="37" s="1"/>
  <c r="N57" i="37" s="1"/>
  <c r="D25" i="37"/>
  <c r="E25" i="37" s="1"/>
  <c r="B31" i="37" s="1"/>
  <c r="B36" i="37" s="1"/>
  <c r="E36" i="37" s="1"/>
  <c r="L59" i="37"/>
  <c r="M59" i="37" s="1"/>
  <c r="N59" i="37" s="1"/>
  <c r="L58" i="37"/>
  <c r="M58" i="37" s="1"/>
  <c r="N58" i="37" s="1"/>
  <c r="L91" i="37"/>
  <c r="M91" i="37" s="1"/>
  <c r="N91" i="37" s="1"/>
  <c r="B44" i="37"/>
  <c r="D44" i="37" s="1"/>
  <c r="E44" i="37" s="1"/>
  <c r="F44" i="37" s="1"/>
  <c r="F49" i="37" s="1"/>
  <c r="C50" i="37" s="1"/>
  <c r="L43" i="37"/>
  <c r="M43" i="37" s="1"/>
  <c r="N43" i="37" s="1"/>
  <c r="L94" i="37"/>
  <c r="M94" i="37" s="1"/>
  <c r="N94" i="37" s="1"/>
  <c r="V43" i="37"/>
  <c r="W43" i="37" s="1"/>
  <c r="X43" i="37" s="1"/>
  <c r="Y43" i="37" s="1"/>
  <c r="AN43" i="37" s="1"/>
  <c r="D29" i="37"/>
  <c r="E29" i="37" s="1"/>
  <c r="B35" i="37" s="1"/>
  <c r="V58" i="37"/>
  <c r="W58" i="37" s="1"/>
  <c r="X58" i="37" s="1"/>
  <c r="Y58" i="37" s="1"/>
  <c r="AN58" i="37" s="1"/>
  <c r="V59" i="37"/>
  <c r="W59" i="37" s="1"/>
  <c r="X59" i="37" s="1"/>
  <c r="Y59" i="37" s="1"/>
  <c r="AN59" i="37" s="1"/>
  <c r="V57" i="37"/>
  <c r="W57" i="37" s="1"/>
  <c r="X57" i="37" s="1"/>
  <c r="Y57" i="37" s="1"/>
  <c r="AN57" i="37" s="1"/>
  <c r="Y87" i="31"/>
  <c r="AN87" i="31" s="1"/>
  <c r="V88" i="31"/>
  <c r="W88" i="31" s="1"/>
  <c r="X88" i="31" s="1"/>
  <c r="AJ88" i="31"/>
  <c r="AK88" i="31" s="1"/>
  <c r="AF88" i="31"/>
  <c r="AG88" i="31"/>
  <c r="AE88" i="31"/>
  <c r="AL87" i="31"/>
  <c r="AM87" i="31"/>
  <c r="AB88" i="31"/>
  <c r="L88" i="31"/>
  <c r="M88" i="31" s="1"/>
  <c r="N88" i="31" s="1"/>
  <c r="Q88" i="31"/>
  <c r="R88" i="31" s="1"/>
  <c r="S88" i="31" s="1"/>
  <c r="I90" i="31"/>
  <c r="I90" i="37" s="1"/>
  <c r="I89" i="36"/>
  <c r="U89" i="31"/>
  <c r="Z89" i="31" s="1"/>
  <c r="J89" i="31"/>
  <c r="AH89" i="31"/>
  <c r="P89" i="31"/>
  <c r="AI89" i="31"/>
  <c r="AC89" i="31"/>
  <c r="AD89" i="31" s="1"/>
  <c r="O89" i="31"/>
  <c r="T89" i="31"/>
  <c r="K89" i="31"/>
  <c r="AA89" i="31"/>
  <c r="AB68" i="36"/>
  <c r="AM57" i="37"/>
  <c r="AJ53" i="37"/>
  <c r="AK53" i="37" s="1"/>
  <c r="AL53" i="37" s="1"/>
  <c r="AM68" i="36"/>
  <c r="V60" i="37"/>
  <c r="W60" i="37" s="1"/>
  <c r="X60" i="37" s="1"/>
  <c r="Q52" i="37"/>
  <c r="R52" i="37" s="1"/>
  <c r="S52" i="37" s="1"/>
  <c r="V46" i="37"/>
  <c r="W46" i="37" s="1"/>
  <c r="X46" i="37" s="1"/>
  <c r="V47" i="37"/>
  <c r="W47" i="37" s="1"/>
  <c r="X47" i="37" s="1"/>
  <c r="V53" i="37"/>
  <c r="W53" i="37" s="1"/>
  <c r="X53" i="37" s="1"/>
  <c r="Q47" i="37"/>
  <c r="R47" i="37" s="1"/>
  <c r="S47" i="37" s="1"/>
  <c r="L45" i="37"/>
  <c r="M45" i="37" s="1"/>
  <c r="N45" i="37" s="1"/>
  <c r="Q45" i="37"/>
  <c r="R45" i="37" s="1"/>
  <c r="S45" i="37" s="1"/>
  <c r="Q60" i="37"/>
  <c r="R60" i="37" s="1"/>
  <c r="S60" i="37" s="1"/>
  <c r="AG60" i="37"/>
  <c r="AE60" i="37"/>
  <c r="AF60" i="37"/>
  <c r="L47" i="37"/>
  <c r="M47" i="37" s="1"/>
  <c r="N47" i="37" s="1"/>
  <c r="V51" i="37"/>
  <c r="W51" i="37" s="1"/>
  <c r="X51" i="37" s="1"/>
  <c r="O55" i="37"/>
  <c r="J55" i="37"/>
  <c r="K55" i="37"/>
  <c r="AH55" i="37"/>
  <c r="AC55" i="37"/>
  <c r="AD55" i="37" s="1"/>
  <c r="U55" i="37"/>
  <c r="T55" i="37"/>
  <c r="P55" i="37"/>
  <c r="AA55" i="37"/>
  <c r="AI55" i="37"/>
  <c r="AH61" i="37"/>
  <c r="J61" i="37"/>
  <c r="AC61" i="37"/>
  <c r="AD61" i="37" s="1"/>
  <c r="T61" i="37"/>
  <c r="O61" i="37"/>
  <c r="AI61" i="37"/>
  <c r="AA61" i="37"/>
  <c r="P61" i="37"/>
  <c r="K61" i="37"/>
  <c r="U61" i="37"/>
  <c r="AF53" i="37"/>
  <c r="AE53" i="37"/>
  <c r="AG53" i="37"/>
  <c r="T49" i="37"/>
  <c r="J49" i="37"/>
  <c r="P49" i="37"/>
  <c r="AH49" i="37"/>
  <c r="K49" i="37"/>
  <c r="U49" i="37"/>
  <c r="AI49" i="37"/>
  <c r="AC49" i="37"/>
  <c r="AD49" i="37" s="1"/>
  <c r="O49" i="37"/>
  <c r="AA49" i="37"/>
  <c r="L51" i="37"/>
  <c r="M51" i="37" s="1"/>
  <c r="N51" i="37" s="1"/>
  <c r="AJ52" i="37"/>
  <c r="AK52" i="37" s="1"/>
  <c r="L52" i="37"/>
  <c r="M52" i="37" s="1"/>
  <c r="N52" i="37" s="1"/>
  <c r="AF46" i="37"/>
  <c r="AG46" i="37"/>
  <c r="AE46" i="37"/>
  <c r="V45" i="37"/>
  <c r="W45" i="37" s="1"/>
  <c r="X45" i="37" s="1"/>
  <c r="L60" i="37"/>
  <c r="M60" i="37" s="1"/>
  <c r="N60" i="37" s="1"/>
  <c r="Q53" i="37"/>
  <c r="R53" i="37" s="1"/>
  <c r="S53" i="37" s="1"/>
  <c r="AE47" i="37"/>
  <c r="AG47" i="37"/>
  <c r="AF47" i="37"/>
  <c r="AE51" i="37"/>
  <c r="AF51" i="37"/>
  <c r="AG51" i="37"/>
  <c r="AF52" i="37"/>
  <c r="AG52" i="37"/>
  <c r="AE52" i="37"/>
  <c r="V52" i="37"/>
  <c r="W52" i="37" s="1"/>
  <c r="X52" i="37" s="1"/>
  <c r="L46" i="37"/>
  <c r="M46" i="37" s="1"/>
  <c r="N46" i="37" s="1"/>
  <c r="AI44" i="37"/>
  <c r="J44" i="37"/>
  <c r="O44" i="37"/>
  <c r="AA44" i="37"/>
  <c r="AH44" i="37"/>
  <c r="T44" i="37"/>
  <c r="P44" i="37"/>
  <c r="U44" i="37"/>
  <c r="K44" i="37"/>
  <c r="AC44" i="37"/>
  <c r="AD44" i="37" s="1"/>
  <c r="AJ47" i="37"/>
  <c r="AK47" i="37" s="1"/>
  <c r="AJ51" i="37"/>
  <c r="AK51" i="37" s="1"/>
  <c r="AM58" i="37"/>
  <c r="AL58" i="37"/>
  <c r="Q46" i="37"/>
  <c r="R46" i="37" s="1"/>
  <c r="S46" i="37" s="1"/>
  <c r="AE45" i="37"/>
  <c r="AG45" i="37"/>
  <c r="AF45" i="37"/>
  <c r="Q51" i="37"/>
  <c r="R51" i="37" s="1"/>
  <c r="S51" i="37" s="1"/>
  <c r="AJ60" i="37"/>
  <c r="AK60" i="37" s="1"/>
  <c r="AM59" i="37"/>
  <c r="AL59" i="37"/>
  <c r="L53" i="37"/>
  <c r="M53" i="37" s="1"/>
  <c r="N53" i="37" s="1"/>
  <c r="AJ46" i="37"/>
  <c r="AK46" i="37" s="1"/>
  <c r="AJ45" i="37"/>
  <c r="AK45" i="37" s="1"/>
  <c r="AJ69" i="36"/>
  <c r="AK69" i="36" s="1"/>
  <c r="AM69" i="36" s="1"/>
  <c r="Y68" i="36"/>
  <c r="AN68" i="36" s="1"/>
  <c r="V69" i="36"/>
  <c r="W69" i="36" s="1"/>
  <c r="X69" i="36" s="1"/>
  <c r="AF69" i="36"/>
  <c r="AE69" i="36"/>
  <c r="AG69" i="36"/>
  <c r="Z69" i="37"/>
  <c r="L69" i="36"/>
  <c r="M69" i="36" s="1"/>
  <c r="N69" i="36" s="1"/>
  <c r="U70" i="36"/>
  <c r="Z70" i="36" s="1"/>
  <c r="P70" i="36"/>
  <c r="O70" i="36"/>
  <c r="K70" i="36"/>
  <c r="AI70" i="36"/>
  <c r="AC70" i="36"/>
  <c r="AD70" i="36" s="1"/>
  <c r="AH70" i="36"/>
  <c r="J70" i="36"/>
  <c r="AA70" i="36"/>
  <c r="T70" i="36"/>
  <c r="Q69" i="36"/>
  <c r="R69" i="36" s="1"/>
  <c r="S69" i="36" s="1"/>
  <c r="AA41" i="37" l="1"/>
  <c r="Y88" i="31"/>
  <c r="AN88" i="31" s="1"/>
  <c r="V89" i="31"/>
  <c r="W89" i="31" s="1"/>
  <c r="X89" i="31" s="1"/>
  <c r="I90" i="36"/>
  <c r="AH90" i="31"/>
  <c r="P90" i="31"/>
  <c r="J90" i="31"/>
  <c r="J98" i="31" s="1"/>
  <c r="K90" i="31"/>
  <c r="T90" i="31"/>
  <c r="T98" i="31" s="1"/>
  <c r="AA90" i="31"/>
  <c r="U90" i="31"/>
  <c r="Z90" i="31" s="1"/>
  <c r="AC90" i="31"/>
  <c r="AD90" i="31" s="1"/>
  <c r="O90" i="31"/>
  <c r="AI90" i="31"/>
  <c r="L89" i="31"/>
  <c r="M89" i="31" s="1"/>
  <c r="N89" i="31" s="1"/>
  <c r="AE89" i="31"/>
  <c r="AF89" i="31"/>
  <c r="AG89" i="31"/>
  <c r="AJ89" i="31"/>
  <c r="AK89" i="31" s="1"/>
  <c r="AM88" i="31"/>
  <c r="AL88" i="31"/>
  <c r="Q89" i="31"/>
  <c r="R89" i="31" s="1"/>
  <c r="S89" i="31" s="1"/>
  <c r="AB69" i="36"/>
  <c r="AM53" i="37"/>
  <c r="Y47" i="37"/>
  <c r="AN47" i="37" s="1"/>
  <c r="AJ49" i="37"/>
  <c r="AK49" i="37" s="1"/>
  <c r="AL49" i="37" s="1"/>
  <c r="D50" i="37"/>
  <c r="F50" i="37" s="1"/>
  <c r="AJ61" i="37"/>
  <c r="AK61" i="37" s="1"/>
  <c r="AL61" i="37" s="1"/>
  <c r="Y45" i="37"/>
  <c r="AN45" i="37" s="1"/>
  <c r="V44" i="37"/>
  <c r="W44" i="37" s="1"/>
  <c r="X44" i="37" s="1"/>
  <c r="AJ55" i="37"/>
  <c r="AK55" i="37" s="1"/>
  <c r="Y46" i="37"/>
  <c r="AN46" i="37" s="1"/>
  <c r="Q55" i="37"/>
  <c r="R55" i="37" s="1"/>
  <c r="S55" i="37" s="1"/>
  <c r="V49" i="37"/>
  <c r="W49" i="37" s="1"/>
  <c r="X49" i="37" s="1"/>
  <c r="Y60" i="37"/>
  <c r="AN60" i="37" s="1"/>
  <c r="Y53" i="37"/>
  <c r="AN53" i="37" s="1"/>
  <c r="V61" i="37"/>
  <c r="W61" i="37" s="1"/>
  <c r="X61" i="37" s="1"/>
  <c r="AI48" i="37"/>
  <c r="O48" i="37"/>
  <c r="J48" i="37"/>
  <c r="AA48" i="37"/>
  <c r="AC48" i="37"/>
  <c r="AD48" i="37" s="1"/>
  <c r="U48" i="37"/>
  <c r="T48" i="37"/>
  <c r="K48" i="37"/>
  <c r="P48" i="37"/>
  <c r="AH48" i="37"/>
  <c r="P50" i="37"/>
  <c r="AH50" i="37"/>
  <c r="O50" i="37"/>
  <c r="J50" i="37"/>
  <c r="AC50" i="37"/>
  <c r="AD50" i="37" s="1"/>
  <c r="U50" i="37"/>
  <c r="AI50" i="37"/>
  <c r="AA50" i="37"/>
  <c r="K50" i="37"/>
  <c r="T50" i="37"/>
  <c r="AI56" i="37"/>
  <c r="P56" i="37"/>
  <c r="AH56" i="37"/>
  <c r="K56" i="37"/>
  <c r="J56" i="37"/>
  <c r="U56" i="37"/>
  <c r="T56" i="37"/>
  <c r="AC56" i="37"/>
  <c r="AD56" i="37" s="1"/>
  <c r="AA56" i="37"/>
  <c r="O56" i="37"/>
  <c r="Q44" i="37"/>
  <c r="R44" i="37" s="1"/>
  <c r="S44" i="37" s="1"/>
  <c r="Y52" i="37"/>
  <c r="AN52" i="37" s="1"/>
  <c r="AF49" i="37"/>
  <c r="AG49" i="37"/>
  <c r="AE49" i="37"/>
  <c r="AB55" i="37"/>
  <c r="L55" i="37"/>
  <c r="M55" i="37" s="1"/>
  <c r="N55" i="37" s="1"/>
  <c r="AL47" i="37"/>
  <c r="AM47" i="37"/>
  <c r="AM45" i="37"/>
  <c r="AL45" i="37"/>
  <c r="AB51" i="37"/>
  <c r="AB95" i="37"/>
  <c r="AB45" i="37"/>
  <c r="AB52" i="37"/>
  <c r="AB59" i="37"/>
  <c r="AB91" i="37"/>
  <c r="AB92" i="37"/>
  <c r="AB53" i="37"/>
  <c r="AB58" i="37"/>
  <c r="AB93" i="37"/>
  <c r="AB46" i="37"/>
  <c r="AB60" i="37"/>
  <c r="AB94" i="37"/>
  <c r="AB57" i="37"/>
  <c r="AB43" i="37"/>
  <c r="L49" i="37"/>
  <c r="M49" i="37" s="1"/>
  <c r="N49" i="37" s="1"/>
  <c r="AB49" i="37"/>
  <c r="AF61" i="37"/>
  <c r="AE61" i="37"/>
  <c r="AG61" i="37"/>
  <c r="U54" i="37"/>
  <c r="AA54" i="37"/>
  <c r="O54" i="37"/>
  <c r="AI54" i="37"/>
  <c r="J54" i="37"/>
  <c r="P54" i="37"/>
  <c r="AC54" i="37"/>
  <c r="AD54" i="37" s="1"/>
  <c r="K54" i="37"/>
  <c r="T54" i="37"/>
  <c r="AH54" i="37"/>
  <c r="AM46" i="37"/>
  <c r="AL46" i="37"/>
  <c r="AM52" i="37"/>
  <c r="AL52" i="37"/>
  <c r="V55" i="37"/>
  <c r="W55" i="37" s="1"/>
  <c r="X55" i="37" s="1"/>
  <c r="Y51" i="37"/>
  <c r="AN51" i="37" s="1"/>
  <c r="AG44" i="37"/>
  <c r="AF44" i="37"/>
  <c r="AE44" i="37"/>
  <c r="Q49" i="37"/>
  <c r="R49" i="37" s="1"/>
  <c r="S49" i="37" s="1"/>
  <c r="L61" i="37"/>
  <c r="M61" i="37" s="1"/>
  <c r="N61" i="37" s="1"/>
  <c r="AB61" i="37"/>
  <c r="AF55" i="37"/>
  <c r="AE55" i="37"/>
  <c r="AG55" i="37"/>
  <c r="AB47" i="37"/>
  <c r="AL60" i="37"/>
  <c r="AM60" i="37"/>
  <c r="AL51" i="37"/>
  <c r="AM51" i="37"/>
  <c r="L44" i="37"/>
  <c r="M44" i="37" s="1"/>
  <c r="N44" i="37" s="1"/>
  <c r="AB44" i="37"/>
  <c r="AJ44" i="37"/>
  <c r="AK44" i="37" s="1"/>
  <c r="Q61" i="37"/>
  <c r="R61" i="37" s="1"/>
  <c r="S61" i="37" s="1"/>
  <c r="J62" i="37"/>
  <c r="K62" i="37"/>
  <c r="T62" i="37"/>
  <c r="O62" i="37"/>
  <c r="AI62" i="37"/>
  <c r="U62" i="37"/>
  <c r="AC62" i="37"/>
  <c r="AD62" i="37" s="1"/>
  <c r="AH62" i="37"/>
  <c r="P62" i="37"/>
  <c r="AA62" i="37"/>
  <c r="AL69" i="36"/>
  <c r="Y69" i="36"/>
  <c r="AN69" i="36" s="1"/>
  <c r="V70" i="36"/>
  <c r="W70" i="36" s="1"/>
  <c r="X70" i="36" s="1"/>
  <c r="AJ70" i="36"/>
  <c r="AK70" i="36" s="1"/>
  <c r="L70" i="36"/>
  <c r="M70" i="36" s="1"/>
  <c r="N70" i="36" s="1"/>
  <c r="Z70" i="37"/>
  <c r="O71" i="36"/>
  <c r="P71" i="36"/>
  <c r="K71" i="36"/>
  <c r="T71" i="36"/>
  <c r="J71" i="36"/>
  <c r="AI71" i="36"/>
  <c r="AA71" i="36"/>
  <c r="AC71" i="36"/>
  <c r="AD71" i="36" s="1"/>
  <c r="U71" i="36"/>
  <c r="Z71" i="36" s="1"/>
  <c r="AH71" i="36"/>
  <c r="AF70" i="36"/>
  <c r="AE70" i="36"/>
  <c r="AG70" i="36"/>
  <c r="Q70" i="36"/>
  <c r="R70" i="36" s="1"/>
  <c r="S70" i="36" s="1"/>
  <c r="AJ90" i="31" l="1"/>
  <c r="AK90" i="31" s="1"/>
  <c r="AL90" i="31" s="1"/>
  <c r="Y89" i="31"/>
  <c r="AN89" i="31" s="1"/>
  <c r="AB89" i="31"/>
  <c r="V90" i="31"/>
  <c r="W90" i="31" s="1"/>
  <c r="X90" i="31" s="1"/>
  <c r="U98" i="31"/>
  <c r="Q90" i="31"/>
  <c r="R90" i="31" s="1"/>
  <c r="S90" i="31" s="1"/>
  <c r="P98" i="31"/>
  <c r="L90" i="31"/>
  <c r="M90" i="31" s="1"/>
  <c r="N90" i="31" s="1"/>
  <c r="K98" i="31"/>
  <c r="AM89" i="31"/>
  <c r="AL89" i="31"/>
  <c r="AE90" i="31"/>
  <c r="AG90" i="31"/>
  <c r="AF90" i="31"/>
  <c r="AB70" i="36"/>
  <c r="AM61" i="37"/>
  <c r="Y70" i="36"/>
  <c r="AN70" i="36" s="1"/>
  <c r="AM49" i="37"/>
  <c r="Y49" i="37"/>
  <c r="AN49" i="37" s="1"/>
  <c r="Q54" i="37"/>
  <c r="R54" i="37" s="1"/>
  <c r="S54" i="37" s="1"/>
  <c r="Y61" i="37"/>
  <c r="AN61" i="37" s="1"/>
  <c r="AM55" i="37"/>
  <c r="AL55" i="37"/>
  <c r="Q62" i="37"/>
  <c r="R62" i="37" s="1"/>
  <c r="S62" i="37" s="1"/>
  <c r="AJ54" i="37"/>
  <c r="AK54" i="37" s="1"/>
  <c r="AL54" i="37" s="1"/>
  <c r="AE50" i="37"/>
  <c r="AF50" i="37"/>
  <c r="AG50" i="37"/>
  <c r="AB62" i="37"/>
  <c r="L62" i="37"/>
  <c r="M62" i="37" s="1"/>
  <c r="N62" i="37" s="1"/>
  <c r="Q56" i="37"/>
  <c r="R56" i="37" s="1"/>
  <c r="S56" i="37" s="1"/>
  <c r="V48" i="37"/>
  <c r="W48" i="37" s="1"/>
  <c r="X48" i="37" s="1"/>
  <c r="AF62" i="37"/>
  <c r="AG62" i="37"/>
  <c r="AE62" i="37"/>
  <c r="AG56" i="37"/>
  <c r="AE56" i="37"/>
  <c r="AF56" i="37"/>
  <c r="V62" i="37"/>
  <c r="W62" i="37" s="1"/>
  <c r="X62" i="37" s="1"/>
  <c r="AM44" i="37"/>
  <c r="AL44" i="37"/>
  <c r="AB50" i="37"/>
  <c r="L50" i="37"/>
  <c r="M50" i="37" s="1"/>
  <c r="N50" i="37" s="1"/>
  <c r="Q50" i="37"/>
  <c r="R50" i="37" s="1"/>
  <c r="S50" i="37" s="1"/>
  <c r="V54" i="37"/>
  <c r="W54" i="37" s="1"/>
  <c r="X54" i="37" s="1"/>
  <c r="V56" i="37"/>
  <c r="W56" i="37" s="1"/>
  <c r="X56" i="37" s="1"/>
  <c r="AE48" i="37"/>
  <c r="AF48" i="37"/>
  <c r="AG48" i="37"/>
  <c r="AJ62" i="37"/>
  <c r="AK62" i="37" s="1"/>
  <c r="Y44" i="37"/>
  <c r="AN44" i="37" s="1"/>
  <c r="AB54" i="37"/>
  <c r="L54" i="37"/>
  <c r="M54" i="37" s="1"/>
  <c r="N54" i="37" s="1"/>
  <c r="AJ50" i="37"/>
  <c r="AK50" i="37" s="1"/>
  <c r="Q48" i="37"/>
  <c r="R48" i="37" s="1"/>
  <c r="S48" i="37" s="1"/>
  <c r="AJ48" i="37"/>
  <c r="AK48" i="37" s="1"/>
  <c r="AJ56" i="37"/>
  <c r="AK56" i="37" s="1"/>
  <c r="O63" i="37"/>
  <c r="AH63" i="37"/>
  <c r="K63" i="37"/>
  <c r="T63" i="37"/>
  <c r="AA63" i="37"/>
  <c r="P63" i="37"/>
  <c r="J63" i="37"/>
  <c r="U63" i="37"/>
  <c r="AI63" i="37"/>
  <c r="AC63" i="37"/>
  <c r="AD63" i="37" s="1"/>
  <c r="Y55" i="37"/>
  <c r="AN55" i="37" s="1"/>
  <c r="AE54" i="37"/>
  <c r="AG54" i="37"/>
  <c r="AF54" i="37"/>
  <c r="L56" i="37"/>
  <c r="M56" i="37" s="1"/>
  <c r="N56" i="37" s="1"/>
  <c r="AB56" i="37"/>
  <c r="V50" i="37"/>
  <c r="W50" i="37" s="1"/>
  <c r="X50" i="37" s="1"/>
  <c r="L48" i="37"/>
  <c r="M48" i="37" s="1"/>
  <c r="N48" i="37" s="1"/>
  <c r="AB48" i="37"/>
  <c r="Q71" i="36"/>
  <c r="R71" i="36" s="1"/>
  <c r="S71" i="36" s="1"/>
  <c r="V71" i="36"/>
  <c r="W71" i="36" s="1"/>
  <c r="X71" i="36" s="1"/>
  <c r="AG71" i="36"/>
  <c r="AE71" i="36"/>
  <c r="AF71" i="36"/>
  <c r="Z71" i="37"/>
  <c r="L71" i="36"/>
  <c r="M71" i="36" s="1"/>
  <c r="N71" i="36" s="1"/>
  <c r="O72" i="36"/>
  <c r="P72" i="36"/>
  <c r="AC72" i="36"/>
  <c r="AD72" i="36" s="1"/>
  <c r="K72" i="36"/>
  <c r="U72" i="36"/>
  <c r="Z72" i="36" s="1"/>
  <c r="AI72" i="36"/>
  <c r="J72" i="36"/>
  <c r="AA72" i="36"/>
  <c r="T72" i="36"/>
  <c r="AH72" i="36"/>
  <c r="AJ71" i="36"/>
  <c r="AK71" i="36" s="1"/>
  <c r="AL70" i="36"/>
  <c r="AM70" i="36"/>
  <c r="AM90" i="31" l="1"/>
  <c r="AJ63" i="37"/>
  <c r="AK63" i="37" s="1"/>
  <c r="AL63" i="37" s="1"/>
  <c r="X98" i="31"/>
  <c r="Y90" i="31"/>
  <c r="AB71" i="36"/>
  <c r="Y50" i="37"/>
  <c r="AN50" i="37" s="1"/>
  <c r="AM54" i="37"/>
  <c r="Y62" i="37"/>
  <c r="AN62" i="37" s="1"/>
  <c r="AH64" i="37"/>
  <c r="P64" i="37"/>
  <c r="O64" i="37"/>
  <c r="U64" i="37"/>
  <c r="AA64" i="37"/>
  <c r="AI64" i="37"/>
  <c r="J64" i="37"/>
  <c r="AC64" i="37"/>
  <c r="AD64" i="37" s="1"/>
  <c r="K64" i="37"/>
  <c r="T64" i="37"/>
  <c r="AM50" i="37"/>
  <c r="AL50" i="37"/>
  <c r="Y48" i="37"/>
  <c r="AN48" i="37" s="1"/>
  <c r="L63" i="37"/>
  <c r="M63" i="37" s="1"/>
  <c r="N63" i="37" s="1"/>
  <c r="AB63" i="37"/>
  <c r="Y56" i="37"/>
  <c r="AN56" i="37" s="1"/>
  <c r="Y54" i="37"/>
  <c r="AN54" i="37" s="1"/>
  <c r="AG63" i="37"/>
  <c r="AF63" i="37"/>
  <c r="AE63" i="37"/>
  <c r="V63" i="37"/>
  <c r="W63" i="37" s="1"/>
  <c r="X63" i="37" s="1"/>
  <c r="AL62" i="37"/>
  <c r="AM62" i="37"/>
  <c r="AL56" i="37"/>
  <c r="AM56" i="37"/>
  <c r="Q63" i="37"/>
  <c r="R63" i="37" s="1"/>
  <c r="S63" i="37" s="1"/>
  <c r="AM48" i="37"/>
  <c r="AL48" i="37"/>
  <c r="Q72" i="36"/>
  <c r="R72" i="36" s="1"/>
  <c r="S72" i="36" s="1"/>
  <c r="V72" i="36"/>
  <c r="W72" i="36" s="1"/>
  <c r="X72" i="36" s="1"/>
  <c r="Y71" i="36"/>
  <c r="AN71" i="36" s="1"/>
  <c r="AJ72" i="36"/>
  <c r="AK72" i="36" s="1"/>
  <c r="AM72" i="36" s="1"/>
  <c r="Z72" i="37"/>
  <c r="L72" i="36"/>
  <c r="M72" i="36" s="1"/>
  <c r="N72" i="36" s="1"/>
  <c r="J73" i="36"/>
  <c r="AI73" i="36"/>
  <c r="AH73" i="36"/>
  <c r="U73" i="36"/>
  <c r="Z73" i="36" s="1"/>
  <c r="P73" i="36"/>
  <c r="O73" i="36"/>
  <c r="AC73" i="36"/>
  <c r="AD73" i="36" s="1"/>
  <c r="AA73" i="36"/>
  <c r="T73" i="36"/>
  <c r="K73" i="36"/>
  <c r="AL71" i="36"/>
  <c r="AM71" i="36"/>
  <c r="AF72" i="36"/>
  <c r="AE72" i="36"/>
  <c r="AG72" i="36"/>
  <c r="AM63" i="37" l="1"/>
  <c r="AB90" i="31"/>
  <c r="AN90" i="31"/>
  <c r="AB72" i="36"/>
  <c r="AJ64" i="37"/>
  <c r="AK64" i="37" s="1"/>
  <c r="AM64" i="37" s="1"/>
  <c r="Y63" i="37"/>
  <c r="AN63" i="37" s="1"/>
  <c r="P65" i="37"/>
  <c r="AA65" i="37"/>
  <c r="AI65" i="37"/>
  <c r="O65" i="37"/>
  <c r="U65" i="37"/>
  <c r="T65" i="37"/>
  <c r="AH65" i="37"/>
  <c r="J65" i="37"/>
  <c r="AC65" i="37"/>
  <c r="AD65" i="37" s="1"/>
  <c r="K65" i="37"/>
  <c r="V64" i="37"/>
  <c r="W64" i="37" s="1"/>
  <c r="X64" i="37" s="1"/>
  <c r="L64" i="37"/>
  <c r="M64" i="37" s="1"/>
  <c r="N64" i="37" s="1"/>
  <c r="AB64" i="37"/>
  <c r="Q64" i="37"/>
  <c r="R64" i="37" s="1"/>
  <c r="S64" i="37" s="1"/>
  <c r="AG64" i="37"/>
  <c r="AF64" i="37"/>
  <c r="AE64" i="37"/>
  <c r="AL72" i="36"/>
  <c r="Y72" i="36"/>
  <c r="AN72" i="36" s="1"/>
  <c r="V73" i="36"/>
  <c r="W73" i="36" s="1"/>
  <c r="X73" i="36" s="1"/>
  <c r="K74" i="36"/>
  <c r="O74" i="36"/>
  <c r="U74" i="36"/>
  <c r="Z74" i="36" s="1"/>
  <c r="AC74" i="36"/>
  <c r="AD74" i="36" s="1"/>
  <c r="P74" i="36"/>
  <c r="AH74" i="36"/>
  <c r="J74" i="36"/>
  <c r="AA74" i="36"/>
  <c r="T74" i="36"/>
  <c r="AI74" i="36"/>
  <c r="L73" i="36"/>
  <c r="M73" i="36" s="1"/>
  <c r="N73" i="36" s="1"/>
  <c r="Z73" i="37"/>
  <c r="Q73" i="36"/>
  <c r="R73" i="36" s="1"/>
  <c r="S73" i="36" s="1"/>
  <c r="AJ73" i="36"/>
  <c r="AK73" i="36" s="1"/>
  <c r="AF73" i="36"/>
  <c r="AE73" i="36"/>
  <c r="AG73" i="36"/>
  <c r="AB73" i="36" l="1"/>
  <c r="AL64" i="37"/>
  <c r="Y64" i="37"/>
  <c r="AN64" i="37" s="1"/>
  <c r="V65" i="37"/>
  <c r="W65" i="37" s="1"/>
  <c r="X65" i="37" s="1"/>
  <c r="AJ65" i="37"/>
  <c r="AK65" i="37" s="1"/>
  <c r="AA66" i="37"/>
  <c r="AC66" i="37"/>
  <c r="AD66" i="37" s="1"/>
  <c r="J66" i="37"/>
  <c r="AH66" i="37"/>
  <c r="K66" i="37"/>
  <c r="AI66" i="37"/>
  <c r="O66" i="37"/>
  <c r="U66" i="37"/>
  <c r="T66" i="37"/>
  <c r="P66" i="37"/>
  <c r="AB65" i="37"/>
  <c r="L65" i="37"/>
  <c r="M65" i="37" s="1"/>
  <c r="N65" i="37" s="1"/>
  <c r="AG65" i="37"/>
  <c r="AE65" i="37"/>
  <c r="AF65" i="37"/>
  <c r="Q65" i="37"/>
  <c r="R65" i="37" s="1"/>
  <c r="S65" i="37" s="1"/>
  <c r="AJ74" i="36"/>
  <c r="AK74" i="36" s="1"/>
  <c r="AM74" i="36" s="1"/>
  <c r="Y73" i="36"/>
  <c r="AN73" i="36" s="1"/>
  <c r="L74" i="36"/>
  <c r="M74" i="36" s="1"/>
  <c r="N74" i="36" s="1"/>
  <c r="Z74" i="37"/>
  <c r="Q74" i="36"/>
  <c r="R74" i="36" s="1"/>
  <c r="S74" i="36" s="1"/>
  <c r="AM73" i="36"/>
  <c r="AL73" i="36"/>
  <c r="AE74" i="36"/>
  <c r="AG74" i="36"/>
  <c r="AF74" i="36"/>
  <c r="U75" i="36"/>
  <c r="Z75" i="36" s="1"/>
  <c r="K75" i="36"/>
  <c r="O75" i="36"/>
  <c r="AH75" i="36"/>
  <c r="J75" i="36"/>
  <c r="T75" i="36"/>
  <c r="AI75" i="36"/>
  <c r="P75" i="36"/>
  <c r="AA75" i="36"/>
  <c r="AC75" i="36"/>
  <c r="AD75" i="36" s="1"/>
  <c r="V74" i="36"/>
  <c r="W74" i="36" s="1"/>
  <c r="X74" i="36" s="1"/>
  <c r="AB74" i="36" l="1"/>
  <c r="Q66" i="37"/>
  <c r="R66" i="37" s="1"/>
  <c r="S66" i="37" s="1"/>
  <c r="AJ66" i="37"/>
  <c r="AK66" i="37" s="1"/>
  <c r="AL66" i="37" s="1"/>
  <c r="L66" i="37"/>
  <c r="M66" i="37" s="1"/>
  <c r="N66" i="37" s="1"/>
  <c r="AB66" i="37"/>
  <c r="O67" i="37"/>
  <c r="J67" i="37"/>
  <c r="AA67" i="37"/>
  <c r="AI67" i="37"/>
  <c r="AH67" i="37"/>
  <c r="K67" i="37"/>
  <c r="P67" i="37"/>
  <c r="AC67" i="37"/>
  <c r="AD67" i="37" s="1"/>
  <c r="T67" i="37"/>
  <c r="U67" i="37"/>
  <c r="AG66" i="37"/>
  <c r="AE66" i="37"/>
  <c r="AF66" i="37"/>
  <c r="V66" i="37"/>
  <c r="W66" i="37" s="1"/>
  <c r="X66" i="37" s="1"/>
  <c r="AM65" i="37"/>
  <c r="AL65" i="37"/>
  <c r="Y65" i="37"/>
  <c r="AN65" i="37" s="1"/>
  <c r="AL74" i="36"/>
  <c r="AJ75" i="36"/>
  <c r="AK75" i="36" s="1"/>
  <c r="AM75" i="36" s="1"/>
  <c r="Y74" i="36"/>
  <c r="AN74" i="36" s="1"/>
  <c r="L75" i="36"/>
  <c r="M75" i="36" s="1"/>
  <c r="N75" i="36" s="1"/>
  <c r="Z75" i="37"/>
  <c r="O76" i="36"/>
  <c r="U76" i="36"/>
  <c r="Z76" i="36" s="1"/>
  <c r="AI76" i="36"/>
  <c r="AC76" i="36"/>
  <c r="AD76" i="36" s="1"/>
  <c r="K76" i="36"/>
  <c r="T76" i="36"/>
  <c r="AA76" i="36"/>
  <c r="AH76" i="36"/>
  <c r="J76" i="36"/>
  <c r="P76" i="36"/>
  <c r="AF75" i="36"/>
  <c r="AG75" i="36"/>
  <c r="AE75" i="36"/>
  <c r="V75" i="36"/>
  <c r="W75" i="36" s="1"/>
  <c r="X75" i="36" s="1"/>
  <c r="Q75" i="36"/>
  <c r="R75" i="36" s="1"/>
  <c r="S75" i="36" s="1"/>
  <c r="AB75" i="36" l="1"/>
  <c r="AM66" i="37"/>
  <c r="Q76" i="36"/>
  <c r="R76" i="36" s="1"/>
  <c r="S76" i="36" s="1"/>
  <c r="Y66" i="37"/>
  <c r="AN66" i="37" s="1"/>
  <c r="V67" i="37"/>
  <c r="W67" i="37" s="1"/>
  <c r="X67" i="37" s="1"/>
  <c r="AJ67" i="37"/>
  <c r="AK67" i="37" s="1"/>
  <c r="O68" i="37"/>
  <c r="U68" i="37"/>
  <c r="AC68" i="37"/>
  <c r="AD68" i="37" s="1"/>
  <c r="J68" i="37"/>
  <c r="P68" i="37"/>
  <c r="AI68" i="37"/>
  <c r="AA68" i="37"/>
  <c r="K68" i="37"/>
  <c r="AH68" i="37"/>
  <c r="T68" i="37"/>
  <c r="AG67" i="37"/>
  <c r="AE67" i="37"/>
  <c r="AF67" i="37"/>
  <c r="Q67" i="37"/>
  <c r="R67" i="37" s="1"/>
  <c r="S67" i="37" s="1"/>
  <c r="AB67" i="37"/>
  <c r="L67" i="37"/>
  <c r="M67" i="37" s="1"/>
  <c r="N67" i="37" s="1"/>
  <c r="AL75" i="36"/>
  <c r="AJ76" i="36"/>
  <c r="AK76" i="36" s="1"/>
  <c r="AL76" i="36" s="1"/>
  <c r="Z76" i="37"/>
  <c r="L76" i="36"/>
  <c r="M76" i="36" s="1"/>
  <c r="N76" i="36" s="1"/>
  <c r="P77" i="36"/>
  <c r="K77" i="36"/>
  <c r="AI77" i="36"/>
  <c r="J77" i="36"/>
  <c r="AC77" i="36"/>
  <c r="AD77" i="36" s="1"/>
  <c r="AH77" i="36"/>
  <c r="T77" i="36"/>
  <c r="U77" i="36"/>
  <c r="Z77" i="36" s="1"/>
  <c r="O77" i="36"/>
  <c r="AA77" i="36"/>
  <c r="AG76" i="36"/>
  <c r="AE76" i="36"/>
  <c r="AF76" i="36"/>
  <c r="V76" i="36"/>
  <c r="W76" i="36" s="1"/>
  <c r="X76" i="36" s="1"/>
  <c r="Y75" i="36"/>
  <c r="AN75" i="36" s="1"/>
  <c r="AB76" i="36" l="1"/>
  <c r="Q68" i="37"/>
  <c r="R68" i="37" s="1"/>
  <c r="S68" i="37" s="1"/>
  <c r="AJ68" i="37"/>
  <c r="AK68" i="37" s="1"/>
  <c r="AM68" i="37" s="1"/>
  <c r="AF68" i="37"/>
  <c r="AE68" i="37"/>
  <c r="AG68" i="37"/>
  <c r="J69" i="37"/>
  <c r="P69" i="37"/>
  <c r="K69" i="37"/>
  <c r="O69" i="37"/>
  <c r="AA69" i="37"/>
  <c r="AI69" i="37"/>
  <c r="AH69" i="37"/>
  <c r="U69" i="37"/>
  <c r="AC69" i="37"/>
  <c r="AD69" i="37" s="1"/>
  <c r="T69" i="37"/>
  <c r="V68" i="37"/>
  <c r="W68" i="37" s="1"/>
  <c r="X68" i="37" s="1"/>
  <c r="Y67" i="37"/>
  <c r="AN67" i="37" s="1"/>
  <c r="AB68" i="37"/>
  <c r="L68" i="37"/>
  <c r="M68" i="37" s="1"/>
  <c r="N68" i="37" s="1"/>
  <c r="AM67" i="37"/>
  <c r="AL67" i="37"/>
  <c r="AM76" i="36"/>
  <c r="AJ77" i="36"/>
  <c r="AK77" i="36" s="1"/>
  <c r="AL77" i="36" s="1"/>
  <c r="V77" i="36"/>
  <c r="W77" i="36" s="1"/>
  <c r="X77" i="36" s="1"/>
  <c r="P78" i="36"/>
  <c r="O78" i="36"/>
  <c r="AA78" i="36"/>
  <c r="T78" i="36"/>
  <c r="AI78" i="36"/>
  <c r="AH78" i="36"/>
  <c r="U78" i="36"/>
  <c r="Z78" i="36" s="1"/>
  <c r="J78" i="36"/>
  <c r="AC78" i="36"/>
  <c r="AD78" i="36" s="1"/>
  <c r="K78" i="36"/>
  <c r="L77" i="36"/>
  <c r="M77" i="36" s="1"/>
  <c r="N77" i="36" s="1"/>
  <c r="Z77" i="37"/>
  <c r="Q77" i="36"/>
  <c r="R77" i="36" s="1"/>
  <c r="S77" i="36" s="1"/>
  <c r="AG77" i="36"/>
  <c r="AF77" i="36"/>
  <c r="AE77" i="36"/>
  <c r="Y76" i="36"/>
  <c r="AN76" i="36" s="1"/>
  <c r="AB77" i="36" l="1"/>
  <c r="AL68" i="37"/>
  <c r="Q69" i="37"/>
  <c r="R69" i="37" s="1"/>
  <c r="S69" i="37" s="1"/>
  <c r="V78" i="36"/>
  <c r="W78" i="36" s="1"/>
  <c r="X78" i="36" s="1"/>
  <c r="AJ69" i="37"/>
  <c r="AK69" i="37" s="1"/>
  <c r="P70" i="37"/>
  <c r="AI70" i="37"/>
  <c r="AC70" i="37"/>
  <c r="AD70" i="37" s="1"/>
  <c r="J70" i="37"/>
  <c r="U70" i="37"/>
  <c r="AA70" i="37"/>
  <c r="K70" i="37"/>
  <c r="T70" i="37"/>
  <c r="O70" i="37"/>
  <c r="AH70" i="37"/>
  <c r="AF69" i="37"/>
  <c r="AG69" i="37"/>
  <c r="AE69" i="37"/>
  <c r="V69" i="37"/>
  <c r="W69" i="37" s="1"/>
  <c r="X69" i="37" s="1"/>
  <c r="Y68" i="37"/>
  <c r="AN68" i="37" s="1"/>
  <c r="L69" i="37"/>
  <c r="M69" i="37" s="1"/>
  <c r="N69" i="37" s="1"/>
  <c r="AB69" i="37"/>
  <c r="AM77" i="36"/>
  <c r="Y77" i="36"/>
  <c r="AN77" i="36" s="1"/>
  <c r="AJ78" i="36"/>
  <c r="AK78" i="36" s="1"/>
  <c r="O79" i="36"/>
  <c r="K79" i="36"/>
  <c r="AC79" i="36"/>
  <c r="AD79" i="36" s="1"/>
  <c r="AH79" i="36"/>
  <c r="AA79" i="36"/>
  <c r="P79" i="36"/>
  <c r="T79" i="36"/>
  <c r="U79" i="36"/>
  <c r="Z79" i="36" s="1"/>
  <c r="AI79" i="36"/>
  <c r="J79" i="36"/>
  <c r="Z78" i="37"/>
  <c r="L78" i="36"/>
  <c r="M78" i="36" s="1"/>
  <c r="N78" i="36" s="1"/>
  <c r="AE78" i="36"/>
  <c r="AF78" i="36"/>
  <c r="AG78" i="36"/>
  <c r="Q78" i="36"/>
  <c r="R78" i="36" s="1"/>
  <c r="S78" i="36" s="1"/>
  <c r="AB78" i="36" l="1"/>
  <c r="Y78" i="36"/>
  <c r="AN78" i="36" s="1"/>
  <c r="V70" i="37"/>
  <c r="W70" i="37" s="1"/>
  <c r="X70" i="37" s="1"/>
  <c r="Y69" i="37"/>
  <c r="AN69" i="37" s="1"/>
  <c r="Q70" i="37"/>
  <c r="R70" i="37" s="1"/>
  <c r="S70" i="37" s="1"/>
  <c r="AE70" i="37"/>
  <c r="AG70" i="37"/>
  <c r="AF70" i="37"/>
  <c r="AA71" i="37"/>
  <c r="T71" i="37"/>
  <c r="K71" i="37"/>
  <c r="U71" i="37"/>
  <c r="AC71" i="37"/>
  <c r="AD71" i="37" s="1"/>
  <c r="AH71" i="37"/>
  <c r="AI71" i="37"/>
  <c r="P71" i="37"/>
  <c r="J71" i="37"/>
  <c r="O71" i="37"/>
  <c r="AJ70" i="37"/>
  <c r="AK70" i="37" s="1"/>
  <c r="AB70" i="37"/>
  <c r="L70" i="37"/>
  <c r="M70" i="37" s="1"/>
  <c r="N70" i="37" s="1"/>
  <c r="AL69" i="37"/>
  <c r="AM69" i="37"/>
  <c r="AJ79" i="36"/>
  <c r="AK79" i="36" s="1"/>
  <c r="AM79" i="36" s="1"/>
  <c r="V79" i="36"/>
  <c r="W79" i="36" s="1"/>
  <c r="X79" i="36" s="1"/>
  <c r="K80" i="36"/>
  <c r="P80" i="36"/>
  <c r="O80" i="36"/>
  <c r="AH80" i="36"/>
  <c r="J80" i="36"/>
  <c r="AI80" i="36"/>
  <c r="U80" i="36"/>
  <c r="Z80" i="36" s="1"/>
  <c r="AC80" i="36"/>
  <c r="AD80" i="36" s="1"/>
  <c r="AA80" i="36"/>
  <c r="T80" i="36"/>
  <c r="AL78" i="36"/>
  <c r="AM78" i="36"/>
  <c r="L79" i="36"/>
  <c r="M79" i="36" s="1"/>
  <c r="N79" i="36" s="1"/>
  <c r="Z79" i="37"/>
  <c r="Q79" i="36"/>
  <c r="R79" i="36" s="1"/>
  <c r="S79" i="36" s="1"/>
  <c r="AG79" i="36"/>
  <c r="AF79" i="36"/>
  <c r="AE79" i="36"/>
  <c r="AB79" i="36" l="1"/>
  <c r="Y70" i="37"/>
  <c r="AN70" i="37" s="1"/>
  <c r="AJ71" i="37"/>
  <c r="AK71" i="37" s="1"/>
  <c r="AM71" i="37" s="1"/>
  <c r="V71" i="37"/>
  <c r="W71" i="37" s="1"/>
  <c r="X71" i="37" s="1"/>
  <c r="AM70" i="37"/>
  <c r="AL70" i="37"/>
  <c r="AA72" i="37"/>
  <c r="AI72" i="37"/>
  <c r="AC72" i="37"/>
  <c r="AD72" i="37" s="1"/>
  <c r="U72" i="37"/>
  <c r="O72" i="37"/>
  <c r="J72" i="37"/>
  <c r="T72" i="37"/>
  <c r="AH72" i="37"/>
  <c r="K72" i="37"/>
  <c r="P72" i="37"/>
  <c r="Q71" i="37"/>
  <c r="R71" i="37" s="1"/>
  <c r="S71" i="37" s="1"/>
  <c r="L71" i="37"/>
  <c r="M71" i="37" s="1"/>
  <c r="N71" i="37" s="1"/>
  <c r="AB71" i="37"/>
  <c r="AF71" i="37"/>
  <c r="AE71" i="37"/>
  <c r="AG71" i="37"/>
  <c r="AL79" i="36"/>
  <c r="Y79" i="36"/>
  <c r="AN79" i="36" s="1"/>
  <c r="Q80" i="36"/>
  <c r="R80" i="36" s="1"/>
  <c r="S80" i="36" s="1"/>
  <c r="L80" i="36"/>
  <c r="M80" i="36" s="1"/>
  <c r="N80" i="36" s="1"/>
  <c r="Z80" i="37"/>
  <c r="J81" i="36"/>
  <c r="AA81" i="36"/>
  <c r="AI81" i="36"/>
  <c r="K81" i="36"/>
  <c r="T81" i="36"/>
  <c r="U81" i="36"/>
  <c r="Z81" i="36" s="1"/>
  <c r="O81" i="36"/>
  <c r="AH81" i="36"/>
  <c r="AC81" i="36"/>
  <c r="AD81" i="36" s="1"/>
  <c r="P81" i="36"/>
  <c r="AG80" i="36"/>
  <c r="AF80" i="36"/>
  <c r="AE80" i="36"/>
  <c r="V80" i="36"/>
  <c r="W80" i="36" s="1"/>
  <c r="X80" i="36" s="1"/>
  <c r="AJ80" i="36"/>
  <c r="AK80" i="36" s="1"/>
  <c r="AB80" i="36" l="1"/>
  <c r="Q72" i="37"/>
  <c r="R72" i="37" s="1"/>
  <c r="S72" i="37" s="1"/>
  <c r="AJ72" i="37"/>
  <c r="AK72" i="37" s="1"/>
  <c r="AL72" i="37" s="1"/>
  <c r="AL71" i="37"/>
  <c r="V72" i="37"/>
  <c r="W72" i="37" s="1"/>
  <c r="X72" i="37" s="1"/>
  <c r="Y71" i="37"/>
  <c r="AN71" i="37" s="1"/>
  <c r="AF72" i="37"/>
  <c r="AE72" i="37"/>
  <c r="AG72" i="37"/>
  <c r="L72" i="37"/>
  <c r="M72" i="37" s="1"/>
  <c r="N72" i="37" s="1"/>
  <c r="AB72" i="37"/>
  <c r="J73" i="37"/>
  <c r="U73" i="37"/>
  <c r="P73" i="37"/>
  <c r="K73" i="37"/>
  <c r="AA73" i="37"/>
  <c r="AC73" i="37"/>
  <c r="AD73" i="37" s="1"/>
  <c r="AH73" i="37"/>
  <c r="O73" i="37"/>
  <c r="AI73" i="37"/>
  <c r="T73" i="37"/>
  <c r="V81" i="36"/>
  <c r="W81" i="36" s="1"/>
  <c r="X81" i="36" s="1"/>
  <c r="Y80" i="36"/>
  <c r="AN80" i="36" s="1"/>
  <c r="AG81" i="36"/>
  <c r="AF81" i="36"/>
  <c r="AE81" i="36"/>
  <c r="P82" i="36"/>
  <c r="AI82" i="36"/>
  <c r="K82" i="36"/>
  <c r="U82" i="36"/>
  <c r="Z82" i="36" s="1"/>
  <c r="O82" i="36"/>
  <c r="J82" i="36"/>
  <c r="AA82" i="36"/>
  <c r="T82" i="36"/>
  <c r="AH82" i="36"/>
  <c r="AC82" i="36"/>
  <c r="AD82" i="36" s="1"/>
  <c r="AL80" i="36"/>
  <c r="AM80" i="36"/>
  <c r="L81" i="36"/>
  <c r="M81" i="36" s="1"/>
  <c r="N81" i="36" s="1"/>
  <c r="Z81" i="37"/>
  <c r="Q81" i="36"/>
  <c r="R81" i="36" s="1"/>
  <c r="S81" i="36" s="1"/>
  <c r="AJ81" i="36"/>
  <c r="AK81" i="36" s="1"/>
  <c r="AM72" i="37" l="1"/>
  <c r="AB81" i="36"/>
  <c r="Y72" i="37"/>
  <c r="AN72" i="37" s="1"/>
  <c r="AJ73" i="37"/>
  <c r="AK73" i="37" s="1"/>
  <c r="AL73" i="37" s="1"/>
  <c r="Q73" i="37"/>
  <c r="R73" i="37" s="1"/>
  <c r="S73" i="37" s="1"/>
  <c r="AI74" i="37"/>
  <c r="AC74" i="37"/>
  <c r="AD74" i="37" s="1"/>
  <c r="P74" i="37"/>
  <c r="K74" i="37"/>
  <c r="AA74" i="37"/>
  <c r="J74" i="37"/>
  <c r="O74" i="37"/>
  <c r="U74" i="37"/>
  <c r="T74" i="37"/>
  <c r="AH74" i="37"/>
  <c r="V73" i="37"/>
  <c r="W73" i="37" s="1"/>
  <c r="X73" i="37" s="1"/>
  <c r="AF73" i="37"/>
  <c r="AG73" i="37"/>
  <c r="AE73" i="37"/>
  <c r="AB73" i="37"/>
  <c r="L73" i="37"/>
  <c r="M73" i="37" s="1"/>
  <c r="N73" i="37" s="1"/>
  <c r="Q82" i="36"/>
  <c r="R82" i="36" s="1"/>
  <c r="S82" i="36" s="1"/>
  <c r="Y81" i="36"/>
  <c r="AN81" i="36" s="1"/>
  <c r="AJ82" i="36"/>
  <c r="AK82" i="36" s="1"/>
  <c r="AM82" i="36" s="1"/>
  <c r="L82" i="36"/>
  <c r="M82" i="36" s="1"/>
  <c r="N82" i="36" s="1"/>
  <c r="Z82" i="37"/>
  <c r="AE82" i="36"/>
  <c r="AG82" i="36"/>
  <c r="AF82" i="36"/>
  <c r="O83" i="36"/>
  <c r="P83" i="36"/>
  <c r="K83" i="36"/>
  <c r="U83" i="36"/>
  <c r="Z83" i="36" s="1"/>
  <c r="AC83" i="36"/>
  <c r="AD83" i="36" s="1"/>
  <c r="AH83" i="36"/>
  <c r="J83" i="36"/>
  <c r="AI83" i="36"/>
  <c r="AA83" i="36"/>
  <c r="T83" i="36"/>
  <c r="AL81" i="36"/>
  <c r="AM81" i="36"/>
  <c r="V82" i="36"/>
  <c r="W82" i="36" s="1"/>
  <c r="X82" i="36" s="1"/>
  <c r="AB82" i="36" l="1"/>
  <c r="AM73" i="37"/>
  <c r="Q74" i="37"/>
  <c r="R74" i="37" s="1"/>
  <c r="S74" i="37" s="1"/>
  <c r="AJ74" i="37"/>
  <c r="AK74" i="37" s="1"/>
  <c r="AL74" i="37" s="1"/>
  <c r="AB74" i="37"/>
  <c r="L74" i="37"/>
  <c r="M74" i="37" s="1"/>
  <c r="N74" i="37" s="1"/>
  <c r="AF74" i="37"/>
  <c r="AE74" i="37"/>
  <c r="AG74" i="37"/>
  <c r="Y73" i="37"/>
  <c r="AN73" i="37" s="1"/>
  <c r="V74" i="37"/>
  <c r="W74" i="37" s="1"/>
  <c r="X74" i="37" s="1"/>
  <c r="AH75" i="37"/>
  <c r="AC75" i="37"/>
  <c r="AD75" i="37" s="1"/>
  <c r="AA75" i="37"/>
  <c r="U75" i="37"/>
  <c r="P75" i="37"/>
  <c r="AI75" i="37"/>
  <c r="O75" i="37"/>
  <c r="J75" i="37"/>
  <c r="T75" i="37"/>
  <c r="K75" i="37"/>
  <c r="Y82" i="36"/>
  <c r="AN82" i="36" s="1"/>
  <c r="AL82" i="36"/>
  <c r="Q83" i="36"/>
  <c r="R83" i="36" s="1"/>
  <c r="S83" i="36" s="1"/>
  <c r="V83" i="36"/>
  <c r="W83" i="36" s="1"/>
  <c r="X83" i="36" s="1"/>
  <c r="AJ83" i="36"/>
  <c r="AK83" i="36" s="1"/>
  <c r="AM83" i="36" s="1"/>
  <c r="Z83" i="37"/>
  <c r="L83" i="36"/>
  <c r="M83" i="36" s="1"/>
  <c r="N83" i="36" s="1"/>
  <c r="AG83" i="36"/>
  <c r="AE83" i="36"/>
  <c r="AF83" i="36"/>
  <c r="K84" i="36"/>
  <c r="O84" i="36"/>
  <c r="P84" i="36"/>
  <c r="AC84" i="36"/>
  <c r="AD84" i="36" s="1"/>
  <c r="AA84" i="36"/>
  <c r="T84" i="36"/>
  <c r="AH84" i="36"/>
  <c r="AI84" i="36"/>
  <c r="J84" i="36"/>
  <c r="U84" i="36"/>
  <c r="Z84" i="36" s="1"/>
  <c r="AB83" i="36" l="1"/>
  <c r="AM74" i="37"/>
  <c r="AL83" i="36"/>
  <c r="Q75" i="37"/>
  <c r="R75" i="37" s="1"/>
  <c r="S75" i="37" s="1"/>
  <c r="AJ84" i="36"/>
  <c r="AK84" i="36" s="1"/>
  <c r="AM84" i="36" s="1"/>
  <c r="AJ75" i="37"/>
  <c r="AK75" i="37" s="1"/>
  <c r="AM75" i="37" s="1"/>
  <c r="O76" i="37"/>
  <c r="AH76" i="37"/>
  <c r="AI76" i="37"/>
  <c r="K76" i="37"/>
  <c r="T76" i="37"/>
  <c r="AC76" i="37"/>
  <c r="AD76" i="37" s="1"/>
  <c r="AA76" i="37"/>
  <c r="P76" i="37"/>
  <c r="U76" i="37"/>
  <c r="J76" i="37"/>
  <c r="V75" i="37"/>
  <c r="W75" i="37" s="1"/>
  <c r="X75" i="37" s="1"/>
  <c r="AB75" i="37"/>
  <c r="L75" i="37"/>
  <c r="M75" i="37" s="1"/>
  <c r="N75" i="37" s="1"/>
  <c r="AG75" i="37"/>
  <c r="AF75" i="37"/>
  <c r="AE75" i="37"/>
  <c r="Y74" i="37"/>
  <c r="AN74" i="37" s="1"/>
  <c r="Y83" i="36"/>
  <c r="AN83" i="36" s="1"/>
  <c r="V84" i="36"/>
  <c r="W84" i="36" s="1"/>
  <c r="X84" i="36" s="1"/>
  <c r="Q84" i="36"/>
  <c r="R84" i="36" s="1"/>
  <c r="S84" i="36" s="1"/>
  <c r="Z84" i="37"/>
  <c r="L84" i="36"/>
  <c r="M84" i="36" s="1"/>
  <c r="N84" i="36" s="1"/>
  <c r="P85" i="36"/>
  <c r="O85" i="36"/>
  <c r="AC85" i="36"/>
  <c r="AD85" i="36" s="1"/>
  <c r="AI85" i="36"/>
  <c r="K85" i="36"/>
  <c r="AH85" i="36"/>
  <c r="T85" i="36"/>
  <c r="J85" i="36"/>
  <c r="AA85" i="36"/>
  <c r="U85" i="36"/>
  <c r="Z85" i="36" s="1"/>
  <c r="AG84" i="36"/>
  <c r="AE84" i="36"/>
  <c r="AF84" i="36"/>
  <c r="AB84" i="36" l="1"/>
  <c r="AL84" i="36"/>
  <c r="AJ76" i="37"/>
  <c r="AK76" i="37" s="1"/>
  <c r="AL76" i="37" s="1"/>
  <c r="AL75" i="37"/>
  <c r="Y75" i="37"/>
  <c r="AN75" i="37" s="1"/>
  <c r="Q76" i="37"/>
  <c r="R76" i="37" s="1"/>
  <c r="S76" i="37" s="1"/>
  <c r="AE76" i="37"/>
  <c r="AF76" i="37"/>
  <c r="AG76" i="37"/>
  <c r="AB76" i="37"/>
  <c r="L76" i="37"/>
  <c r="M76" i="37" s="1"/>
  <c r="N76" i="37" s="1"/>
  <c r="V76" i="37"/>
  <c r="W76" i="37" s="1"/>
  <c r="X76" i="37" s="1"/>
  <c r="AA77" i="37"/>
  <c r="AC77" i="37"/>
  <c r="AD77" i="37" s="1"/>
  <c r="U77" i="37"/>
  <c r="AI77" i="37"/>
  <c r="J77" i="37"/>
  <c r="P77" i="37"/>
  <c r="K77" i="37"/>
  <c r="AH77" i="37"/>
  <c r="T77" i="37"/>
  <c r="O77" i="37"/>
  <c r="Y84" i="36"/>
  <c r="AN84" i="36" s="1"/>
  <c r="V85" i="36"/>
  <c r="W85" i="36" s="1"/>
  <c r="X85" i="36" s="1"/>
  <c r="AJ85" i="36"/>
  <c r="AK85" i="36" s="1"/>
  <c r="AL85" i="36" s="1"/>
  <c r="Q85" i="36"/>
  <c r="R85" i="36" s="1"/>
  <c r="S85" i="36" s="1"/>
  <c r="L85" i="36"/>
  <c r="M85" i="36" s="1"/>
  <c r="N85" i="36" s="1"/>
  <c r="Z85" i="37"/>
  <c r="AF85" i="36"/>
  <c r="AE85" i="36"/>
  <c r="AG85" i="36"/>
  <c r="U86" i="36"/>
  <c r="Z86" i="36" s="1"/>
  <c r="P86" i="36"/>
  <c r="O86" i="36"/>
  <c r="AA86" i="36"/>
  <c r="K86" i="36"/>
  <c r="AC86" i="36"/>
  <c r="AD86" i="36" s="1"/>
  <c r="AH86" i="36"/>
  <c r="J86" i="36"/>
  <c r="T86" i="36"/>
  <c r="AI86" i="36"/>
  <c r="AB85" i="36" l="1"/>
  <c r="AM76" i="37"/>
  <c r="Q77" i="37"/>
  <c r="R77" i="37" s="1"/>
  <c r="S77" i="37" s="1"/>
  <c r="Y76" i="37"/>
  <c r="AN76" i="37" s="1"/>
  <c r="AF77" i="37"/>
  <c r="AE77" i="37"/>
  <c r="AG77" i="37"/>
  <c r="AB77" i="37"/>
  <c r="L77" i="37"/>
  <c r="M77" i="37" s="1"/>
  <c r="N77" i="37" s="1"/>
  <c r="U78" i="37"/>
  <c r="J78" i="37"/>
  <c r="AA78" i="37"/>
  <c r="AH78" i="37"/>
  <c r="K78" i="37"/>
  <c r="P78" i="37"/>
  <c r="T78" i="37"/>
  <c r="AI78" i="37"/>
  <c r="O78" i="37"/>
  <c r="AC78" i="37"/>
  <c r="AD78" i="37" s="1"/>
  <c r="AJ77" i="37"/>
  <c r="AK77" i="37" s="1"/>
  <c r="AJ86" i="36"/>
  <c r="AK86" i="36" s="1"/>
  <c r="AM86" i="36" s="1"/>
  <c r="V77" i="37"/>
  <c r="W77" i="37" s="1"/>
  <c r="X77" i="37" s="1"/>
  <c r="Y85" i="36"/>
  <c r="AN85" i="36" s="1"/>
  <c r="AM85" i="36"/>
  <c r="O87" i="36"/>
  <c r="K87" i="36"/>
  <c r="AI87" i="36"/>
  <c r="U87" i="36"/>
  <c r="Z87" i="36" s="1"/>
  <c r="AC87" i="36"/>
  <c r="AD87" i="36" s="1"/>
  <c r="AH87" i="36"/>
  <c r="AA87" i="36"/>
  <c r="J87" i="36"/>
  <c r="P87" i="36"/>
  <c r="T87" i="36"/>
  <c r="L86" i="36"/>
  <c r="M86" i="36" s="1"/>
  <c r="N86" i="36" s="1"/>
  <c r="Z86" i="37"/>
  <c r="Q86" i="36"/>
  <c r="R86" i="36" s="1"/>
  <c r="S86" i="36" s="1"/>
  <c r="V86" i="36"/>
  <c r="W86" i="36" s="1"/>
  <c r="X86" i="36" s="1"/>
  <c r="AE86" i="36"/>
  <c r="AG86" i="36"/>
  <c r="AF86" i="36"/>
  <c r="AB86" i="36" l="1"/>
  <c r="AL86" i="36"/>
  <c r="AJ78" i="37"/>
  <c r="AK78" i="37" s="1"/>
  <c r="AM78" i="37" s="1"/>
  <c r="V78" i="37"/>
  <c r="W78" i="37" s="1"/>
  <c r="X78" i="37" s="1"/>
  <c r="AG78" i="37"/>
  <c r="AE78" i="37"/>
  <c r="AF78" i="37"/>
  <c r="Y77" i="37"/>
  <c r="AN77" i="37" s="1"/>
  <c r="Q78" i="37"/>
  <c r="R78" i="37" s="1"/>
  <c r="S78" i="37" s="1"/>
  <c r="P79" i="37"/>
  <c r="AI79" i="37"/>
  <c r="U79" i="37"/>
  <c r="T79" i="37"/>
  <c r="AA79" i="37"/>
  <c r="K79" i="37"/>
  <c r="AH79" i="37"/>
  <c r="AC79" i="37"/>
  <c r="AD79" i="37" s="1"/>
  <c r="J79" i="37"/>
  <c r="O79" i="37"/>
  <c r="L78" i="37"/>
  <c r="M78" i="37" s="1"/>
  <c r="N78" i="37" s="1"/>
  <c r="AB78" i="37"/>
  <c r="AL78" i="37"/>
  <c r="AL77" i="37"/>
  <c r="AM77" i="37"/>
  <c r="V87" i="36"/>
  <c r="W87" i="36" s="1"/>
  <c r="X87" i="36" s="1"/>
  <c r="Q87" i="36"/>
  <c r="R87" i="36" s="1"/>
  <c r="S87" i="36" s="1"/>
  <c r="O88" i="36"/>
  <c r="P88" i="36"/>
  <c r="AC88" i="36"/>
  <c r="AD88" i="36" s="1"/>
  <c r="U88" i="36"/>
  <c r="Z88" i="36" s="1"/>
  <c r="T88" i="36"/>
  <c r="K88" i="36"/>
  <c r="AI88" i="36"/>
  <c r="AH88" i="36"/>
  <c r="J88" i="36"/>
  <c r="AA88" i="36"/>
  <c r="AE87" i="36"/>
  <c r="AG87" i="36"/>
  <c r="AF87" i="36"/>
  <c r="AJ87" i="36"/>
  <c r="AK87" i="36" s="1"/>
  <c r="Y86" i="36"/>
  <c r="AN86" i="36" s="1"/>
  <c r="L87" i="36"/>
  <c r="M87" i="36" s="1"/>
  <c r="N87" i="36" s="1"/>
  <c r="Z87" i="37"/>
  <c r="AB87" i="36" l="1"/>
  <c r="Y78" i="37"/>
  <c r="AN78" i="37" s="1"/>
  <c r="Q79" i="37"/>
  <c r="R79" i="37" s="1"/>
  <c r="S79" i="37" s="1"/>
  <c r="AE79" i="37"/>
  <c r="AG79" i="37"/>
  <c r="AF79" i="37"/>
  <c r="J80" i="37"/>
  <c r="AH80" i="37"/>
  <c r="T80" i="37"/>
  <c r="P80" i="37"/>
  <c r="AA80" i="37"/>
  <c r="AI80" i="37"/>
  <c r="O80" i="37"/>
  <c r="K80" i="37"/>
  <c r="U80" i="37"/>
  <c r="AC80" i="37"/>
  <c r="AD80" i="37" s="1"/>
  <c r="AB79" i="37"/>
  <c r="L79" i="37"/>
  <c r="M79" i="37" s="1"/>
  <c r="N79" i="37" s="1"/>
  <c r="V79" i="37"/>
  <c r="W79" i="37" s="1"/>
  <c r="X79" i="37" s="1"/>
  <c r="AJ79" i="37"/>
  <c r="AK79" i="37" s="1"/>
  <c r="Q88" i="36"/>
  <c r="R88" i="36" s="1"/>
  <c r="S88" i="36" s="1"/>
  <c r="Y87" i="36"/>
  <c r="AN87" i="36" s="1"/>
  <c r="V88" i="36"/>
  <c r="W88" i="36" s="1"/>
  <c r="X88" i="36" s="1"/>
  <c r="AM87" i="36"/>
  <c r="AL87" i="36"/>
  <c r="AG88" i="36"/>
  <c r="AE88" i="36"/>
  <c r="AF88" i="36"/>
  <c r="AJ88" i="36"/>
  <c r="AK88" i="36" s="1"/>
  <c r="Z88" i="37"/>
  <c r="L88" i="36"/>
  <c r="M88" i="36" s="1"/>
  <c r="N88" i="36" s="1"/>
  <c r="AI89" i="36"/>
  <c r="P89" i="36"/>
  <c r="O89" i="36"/>
  <c r="U89" i="36"/>
  <c r="Z89" i="36" s="1"/>
  <c r="J89" i="36"/>
  <c r="AC89" i="36"/>
  <c r="AD89" i="36" s="1"/>
  <c r="AA89" i="36"/>
  <c r="T89" i="36"/>
  <c r="AH89" i="36"/>
  <c r="K89" i="36"/>
  <c r="AB88" i="36" l="1"/>
  <c r="Q80" i="37"/>
  <c r="R80" i="37" s="1"/>
  <c r="S80" i="37" s="1"/>
  <c r="AE80" i="37"/>
  <c r="AG80" i="37"/>
  <c r="AF80" i="37"/>
  <c r="V80" i="37"/>
  <c r="W80" i="37" s="1"/>
  <c r="X80" i="37" s="1"/>
  <c r="AB80" i="37"/>
  <c r="L80" i="37"/>
  <c r="M80" i="37" s="1"/>
  <c r="N80" i="37" s="1"/>
  <c r="AL79" i="37"/>
  <c r="AM79" i="37"/>
  <c r="Y79" i="37"/>
  <c r="AN79" i="37" s="1"/>
  <c r="AJ80" i="37"/>
  <c r="AK80" i="37" s="1"/>
  <c r="AH81" i="37"/>
  <c r="J81" i="37"/>
  <c r="U81" i="37"/>
  <c r="T81" i="37"/>
  <c r="K81" i="37"/>
  <c r="AC81" i="37"/>
  <c r="AD81" i="37" s="1"/>
  <c r="AI81" i="37"/>
  <c r="P81" i="37"/>
  <c r="AA81" i="37"/>
  <c r="O81" i="37"/>
  <c r="Q89" i="36"/>
  <c r="R89" i="36" s="1"/>
  <c r="S89" i="36" s="1"/>
  <c r="AJ89" i="36"/>
  <c r="AK89" i="36" s="1"/>
  <c r="AL89" i="36" s="1"/>
  <c r="Y88" i="36"/>
  <c r="AN88" i="36" s="1"/>
  <c r="Z89" i="37"/>
  <c r="L89" i="36"/>
  <c r="M89" i="36" s="1"/>
  <c r="N89" i="36" s="1"/>
  <c r="AM88" i="36"/>
  <c r="AL88" i="36"/>
  <c r="V89" i="36"/>
  <c r="W89" i="36" s="1"/>
  <c r="X89" i="36" s="1"/>
  <c r="AG89" i="36"/>
  <c r="AF89" i="36"/>
  <c r="AE89" i="36"/>
  <c r="U90" i="36"/>
  <c r="Z90" i="36" s="1"/>
  <c r="AC90" i="36"/>
  <c r="AD90" i="36" s="1"/>
  <c r="P90" i="36"/>
  <c r="O90" i="36"/>
  <c r="K90" i="36"/>
  <c r="AA90" i="36"/>
  <c r="J90" i="36"/>
  <c r="J98" i="36" s="1"/>
  <c r="AH90" i="36"/>
  <c r="AI90" i="36"/>
  <c r="T90" i="36"/>
  <c r="T98" i="36" s="1"/>
  <c r="AB89" i="36" l="1"/>
  <c r="AJ90" i="36"/>
  <c r="AK90" i="36" s="1"/>
  <c r="AM90" i="36" s="1"/>
  <c r="V81" i="37"/>
  <c r="W81" i="37" s="1"/>
  <c r="X81" i="37" s="1"/>
  <c r="AB81" i="37"/>
  <c r="L81" i="37"/>
  <c r="M81" i="37" s="1"/>
  <c r="N81" i="37" s="1"/>
  <c r="Y80" i="37"/>
  <c r="AN80" i="37" s="1"/>
  <c r="Q81" i="37"/>
  <c r="R81" i="37" s="1"/>
  <c r="S81" i="37" s="1"/>
  <c r="P82" i="37"/>
  <c r="T82" i="37"/>
  <c r="AH82" i="37"/>
  <c r="J82" i="37"/>
  <c r="U82" i="37"/>
  <c r="O82" i="37"/>
  <c r="AI82" i="37"/>
  <c r="AA82" i="37"/>
  <c r="K82" i="37"/>
  <c r="AC82" i="37"/>
  <c r="AD82" i="37" s="1"/>
  <c r="AJ81" i="37"/>
  <c r="AK81" i="37" s="1"/>
  <c r="AL80" i="37"/>
  <c r="AM80" i="37"/>
  <c r="AE81" i="37"/>
  <c r="AF81" i="37"/>
  <c r="AG81" i="37"/>
  <c r="AM89" i="36"/>
  <c r="Y89" i="36"/>
  <c r="AN89" i="36" s="1"/>
  <c r="V90" i="36"/>
  <c r="W90" i="36" s="1"/>
  <c r="X90" i="36" s="1"/>
  <c r="U98" i="36"/>
  <c r="AG90" i="36"/>
  <c r="AF90" i="36"/>
  <c r="AE90" i="36"/>
  <c r="L90" i="36"/>
  <c r="M90" i="36" s="1"/>
  <c r="N90" i="36" s="1"/>
  <c r="Z90" i="37"/>
  <c r="K98" i="36"/>
  <c r="Q90" i="36"/>
  <c r="R90" i="36" s="1"/>
  <c r="S90" i="36" s="1"/>
  <c r="P98" i="36"/>
  <c r="AB90" i="36" l="1"/>
  <c r="AL90" i="36"/>
  <c r="Q82" i="37"/>
  <c r="R82" i="37" s="1"/>
  <c r="S82" i="37" s="1"/>
  <c r="AG82" i="37"/>
  <c r="AE82" i="37"/>
  <c r="AF82" i="37"/>
  <c r="L82" i="37"/>
  <c r="M82" i="37" s="1"/>
  <c r="N82" i="37" s="1"/>
  <c r="AB82" i="37"/>
  <c r="U83" i="37"/>
  <c r="O83" i="37"/>
  <c r="K83" i="37"/>
  <c r="T83" i="37"/>
  <c r="AA83" i="37"/>
  <c r="AI83" i="37"/>
  <c r="AH83" i="37"/>
  <c r="P83" i="37"/>
  <c r="AC83" i="37"/>
  <c r="AD83" i="37" s="1"/>
  <c r="J83" i="37"/>
  <c r="V82" i="37"/>
  <c r="W82" i="37" s="1"/>
  <c r="X82" i="37" s="1"/>
  <c r="AJ82" i="37"/>
  <c r="AK82" i="37" s="1"/>
  <c r="AM81" i="37"/>
  <c r="AL81" i="37"/>
  <c r="Y81" i="37"/>
  <c r="AN81" i="37" s="1"/>
  <c r="Y90" i="36"/>
  <c r="AN90" i="36" s="1"/>
  <c r="X98" i="36"/>
  <c r="V83" i="37" l="1"/>
  <c r="W83" i="37" s="1"/>
  <c r="X83" i="37" s="1"/>
  <c r="Y82" i="37"/>
  <c r="AN82" i="37" s="1"/>
  <c r="Q83" i="37"/>
  <c r="R83" i="37" s="1"/>
  <c r="S83" i="37" s="1"/>
  <c r="J84" i="37"/>
  <c r="P84" i="37"/>
  <c r="K84" i="37"/>
  <c r="AI84" i="37"/>
  <c r="O84" i="37"/>
  <c r="T84" i="37"/>
  <c r="AH84" i="37"/>
  <c r="U84" i="37"/>
  <c r="AC84" i="37"/>
  <c r="AD84" i="37" s="1"/>
  <c r="AA84" i="37"/>
  <c r="AE83" i="37"/>
  <c r="AF83" i="37"/>
  <c r="AG83" i="37"/>
  <c r="AB83" i="37"/>
  <c r="L83" i="37"/>
  <c r="M83" i="37" s="1"/>
  <c r="N83" i="37" s="1"/>
  <c r="AJ83" i="37"/>
  <c r="AK83" i="37" s="1"/>
  <c r="AM82" i="37"/>
  <c r="AL82" i="37"/>
  <c r="K85" i="37" l="1"/>
  <c r="O85" i="37"/>
  <c r="AH85" i="37"/>
  <c r="AA85" i="37"/>
  <c r="T85" i="37"/>
  <c r="J85" i="37"/>
  <c r="U85" i="37"/>
  <c r="P85" i="37"/>
  <c r="AC85" i="37"/>
  <c r="AD85" i="37" s="1"/>
  <c r="AI85" i="37"/>
  <c r="AJ84" i="37"/>
  <c r="AK84" i="37" s="1"/>
  <c r="L84" i="37"/>
  <c r="M84" i="37" s="1"/>
  <c r="N84" i="37" s="1"/>
  <c r="AB84" i="37"/>
  <c r="AL83" i="37"/>
  <c r="AM83" i="37"/>
  <c r="AG84" i="37"/>
  <c r="AF84" i="37"/>
  <c r="AE84" i="37"/>
  <c r="Q84" i="37"/>
  <c r="R84" i="37" s="1"/>
  <c r="S84" i="37" s="1"/>
  <c r="Y83" i="37"/>
  <c r="AN83" i="37" s="1"/>
  <c r="V84" i="37"/>
  <c r="W84" i="37" s="1"/>
  <c r="X84" i="37" s="1"/>
  <c r="Y84" i="37" l="1"/>
  <c r="AN84" i="37" s="1"/>
  <c r="V85" i="37"/>
  <c r="W85" i="37" s="1"/>
  <c r="X85" i="37" s="1"/>
  <c r="AJ85" i="37"/>
  <c r="AK85" i="37" s="1"/>
  <c r="AM85" i="37" s="1"/>
  <c r="K86" i="37"/>
  <c r="AC86" i="37"/>
  <c r="AD86" i="37" s="1"/>
  <c r="T86" i="37"/>
  <c r="AI86" i="37"/>
  <c r="AA86" i="37"/>
  <c r="P86" i="37"/>
  <c r="AH86" i="37"/>
  <c r="J86" i="37"/>
  <c r="U86" i="37"/>
  <c r="O86" i="37"/>
  <c r="AM84" i="37"/>
  <c r="AL84" i="37"/>
  <c r="AG85" i="37"/>
  <c r="AF85" i="37"/>
  <c r="AE85" i="37"/>
  <c r="Q85" i="37"/>
  <c r="R85" i="37" s="1"/>
  <c r="S85" i="37" s="1"/>
  <c r="L85" i="37"/>
  <c r="M85" i="37" s="1"/>
  <c r="N85" i="37" s="1"/>
  <c r="AB85" i="37"/>
  <c r="AL85" i="37" l="1"/>
  <c r="Q86" i="37"/>
  <c r="R86" i="37" s="1"/>
  <c r="S86" i="37" s="1"/>
  <c r="Y85" i="37"/>
  <c r="AN85" i="37" s="1"/>
  <c r="AJ86" i="37"/>
  <c r="AK86" i="37" s="1"/>
  <c r="AG86" i="37"/>
  <c r="AE86" i="37"/>
  <c r="AF86" i="37"/>
  <c r="V86" i="37"/>
  <c r="W86" i="37" s="1"/>
  <c r="X86" i="37" s="1"/>
  <c r="O87" i="37"/>
  <c r="J87" i="37"/>
  <c r="P87" i="37"/>
  <c r="AH87" i="37"/>
  <c r="AA87" i="37"/>
  <c r="T87" i="37"/>
  <c r="AC87" i="37"/>
  <c r="AD87" i="37" s="1"/>
  <c r="K87" i="37"/>
  <c r="U87" i="37"/>
  <c r="AI87" i="37"/>
  <c r="L86" i="37"/>
  <c r="M86" i="37" s="1"/>
  <c r="N86" i="37" s="1"/>
  <c r="AB86" i="37"/>
  <c r="Y86" i="37" l="1"/>
  <c r="AN86" i="37" s="1"/>
  <c r="V87" i="37"/>
  <c r="W87" i="37" s="1"/>
  <c r="X87" i="37" s="1"/>
  <c r="AF87" i="37"/>
  <c r="AE87" i="37"/>
  <c r="AG87" i="37"/>
  <c r="AB87" i="37"/>
  <c r="L87" i="37"/>
  <c r="M87" i="37" s="1"/>
  <c r="N87" i="37" s="1"/>
  <c r="AM86" i="37"/>
  <c r="AL86" i="37"/>
  <c r="O88" i="37"/>
  <c r="AI88" i="37"/>
  <c r="AC88" i="37"/>
  <c r="AD88" i="37" s="1"/>
  <c r="AA88" i="37"/>
  <c r="AH88" i="37"/>
  <c r="U88" i="37"/>
  <c r="J88" i="37"/>
  <c r="K88" i="37"/>
  <c r="T88" i="37"/>
  <c r="P88" i="37"/>
  <c r="AJ87" i="37"/>
  <c r="AK87" i="37" s="1"/>
  <c r="Q87" i="37"/>
  <c r="R87" i="37" s="1"/>
  <c r="S87" i="37" s="1"/>
  <c r="V88" i="37" l="1"/>
  <c r="W88" i="37" s="1"/>
  <c r="X88" i="37" s="1"/>
  <c r="Q88" i="37"/>
  <c r="R88" i="37" s="1"/>
  <c r="S88" i="37" s="1"/>
  <c r="Y87" i="37"/>
  <c r="AN87" i="37" s="1"/>
  <c r="L88" i="37"/>
  <c r="M88" i="37" s="1"/>
  <c r="N88" i="37" s="1"/>
  <c r="AB88" i="37"/>
  <c r="AL87" i="37"/>
  <c r="AM87" i="37"/>
  <c r="AE88" i="37"/>
  <c r="AG88" i="37"/>
  <c r="AF88" i="37"/>
  <c r="AJ88" i="37"/>
  <c r="AK88" i="37" s="1"/>
  <c r="P89" i="37"/>
  <c r="AA89" i="37"/>
  <c r="AI89" i="37"/>
  <c r="J89" i="37"/>
  <c r="T89" i="37"/>
  <c r="AH89" i="37"/>
  <c r="AC89" i="37"/>
  <c r="AD89" i="37" s="1"/>
  <c r="K89" i="37"/>
  <c r="U89" i="37"/>
  <c r="O89" i="37"/>
  <c r="Y88" i="37" l="1"/>
  <c r="AN88" i="37" s="1"/>
  <c r="AE89" i="37"/>
  <c r="AG89" i="37"/>
  <c r="AF89" i="37"/>
  <c r="AJ89" i="37"/>
  <c r="AK89" i="37" s="1"/>
  <c r="U90" i="37"/>
  <c r="AC90" i="37"/>
  <c r="AD90" i="37" s="1"/>
  <c r="AA90" i="37"/>
  <c r="O90" i="37"/>
  <c r="AI90" i="37"/>
  <c r="P90" i="37"/>
  <c r="P98" i="37" s="1"/>
  <c r="J90" i="37"/>
  <c r="J98" i="37" s="1"/>
  <c r="AH90" i="37"/>
  <c r="T90" i="37"/>
  <c r="T98" i="37" s="1"/>
  <c r="K90" i="37"/>
  <c r="Q89" i="37"/>
  <c r="R89" i="37" s="1"/>
  <c r="S89" i="37" s="1"/>
  <c r="V89" i="37"/>
  <c r="W89" i="37" s="1"/>
  <c r="X89" i="37" s="1"/>
  <c r="AB89" i="37"/>
  <c r="L89" i="37"/>
  <c r="M89" i="37" s="1"/>
  <c r="N89" i="37" s="1"/>
  <c r="AM88" i="37"/>
  <c r="AL88" i="37"/>
  <c r="AM89" i="37" l="1"/>
  <c r="AL89" i="37"/>
  <c r="AB90" i="37"/>
  <c r="L90" i="37"/>
  <c r="M90" i="37" s="1"/>
  <c r="N90" i="37" s="1"/>
  <c r="K98" i="37"/>
  <c r="U98" i="37"/>
  <c r="V90" i="37"/>
  <c r="W90" i="37" s="1"/>
  <c r="X90" i="37" s="1"/>
  <c r="Q90" i="37"/>
  <c r="R90" i="37" s="1"/>
  <c r="S90" i="37" s="1"/>
  <c r="AG90" i="37"/>
  <c r="AE90" i="37"/>
  <c r="AF90" i="37"/>
  <c r="Y89" i="37"/>
  <c r="AN89" i="37" s="1"/>
  <c r="AJ90" i="37"/>
  <c r="AK90" i="37" s="1"/>
  <c r="Y90" i="37" l="1"/>
  <c r="AN90" i="37" s="1"/>
  <c r="AL90" i="37"/>
  <c r="AM90" i="37"/>
  <c r="X9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justins</author>
  </authors>
  <commentList>
    <comment ref="K14" authorId="0" shapeId="0" xr:uid="{00000000-0006-0000-0100-000001000000}">
      <text>
        <r>
          <rPr>
            <sz val="9"/>
            <color indexed="81"/>
            <rFont val="細明體"/>
            <family val="3"/>
            <charset val="136"/>
          </rPr>
          <t>一、僅具韌性立體剛構架，並由其扺禦全部橫力者，</t>
        </r>
        <r>
          <rPr>
            <sz val="9"/>
            <color indexed="81"/>
            <rFont val="Tahoma"/>
            <family val="2"/>
          </rPr>
          <t>K=0.67</t>
        </r>
        <r>
          <rPr>
            <sz val="9"/>
            <color indexed="81"/>
            <rFont val="細明體"/>
            <family val="3"/>
            <charset val="136"/>
          </rPr>
          <t>。
二、韌性立體剛構架與剪力牆</t>
        </r>
        <r>
          <rPr>
            <sz val="9"/>
            <color indexed="81"/>
            <rFont val="Tahoma"/>
            <family val="2"/>
          </rPr>
          <t>(</t>
        </r>
        <r>
          <rPr>
            <sz val="9"/>
            <color indexed="81"/>
            <rFont val="細明體"/>
            <family val="3"/>
            <charset val="136"/>
          </rPr>
          <t>或斜撐剛架</t>
        </r>
        <r>
          <rPr>
            <sz val="9"/>
            <color indexed="81"/>
            <rFont val="Tahoma"/>
            <family val="2"/>
          </rPr>
          <t>)</t>
        </r>
        <r>
          <rPr>
            <sz val="9"/>
            <color indexed="81"/>
            <rFont val="細明體"/>
            <family val="3"/>
            <charset val="136"/>
          </rPr>
          <t>共同存在，並依下列規定者，</t>
        </r>
        <r>
          <rPr>
            <sz val="9"/>
            <color indexed="81"/>
            <rFont val="Tahoma"/>
            <family val="2"/>
          </rPr>
          <t>K=0.80</t>
        </r>
        <r>
          <rPr>
            <sz val="9"/>
            <color indexed="81"/>
            <rFont val="細明體"/>
            <family val="3"/>
            <charset val="136"/>
          </rPr>
          <t xml:space="preserve">。
</t>
        </r>
        <r>
          <rPr>
            <sz val="9"/>
            <color indexed="81"/>
            <rFont val="Tahoma"/>
            <family val="2"/>
          </rPr>
          <t xml:space="preserve">    (</t>
        </r>
        <r>
          <rPr>
            <sz val="9"/>
            <color indexed="81"/>
            <rFont val="細明體"/>
            <family val="3"/>
            <charset val="136"/>
          </rPr>
          <t>一</t>
        </r>
        <r>
          <rPr>
            <sz val="9"/>
            <color indexed="81"/>
            <rFont val="Tahoma"/>
            <family val="2"/>
          </rPr>
          <t>)</t>
        </r>
        <r>
          <rPr>
            <sz val="9"/>
            <color indexed="81"/>
            <rFont val="細明體"/>
            <family val="3"/>
            <charset val="136"/>
          </rPr>
          <t>剛構架與剪力牆</t>
        </r>
        <r>
          <rPr>
            <sz val="9"/>
            <color indexed="81"/>
            <rFont val="Tahoma"/>
            <family val="2"/>
          </rPr>
          <t>(</t>
        </r>
        <r>
          <rPr>
            <sz val="9"/>
            <color indexed="81"/>
            <rFont val="細明體"/>
            <family val="3"/>
            <charset val="136"/>
          </rPr>
          <t>或斜撐剛架</t>
        </r>
        <r>
          <rPr>
            <sz val="9"/>
            <color indexed="81"/>
            <rFont val="Tahoma"/>
            <family val="2"/>
          </rPr>
          <t>)</t>
        </r>
        <r>
          <rPr>
            <sz val="9"/>
            <color indexed="81"/>
            <rFont val="細明體"/>
            <family val="3"/>
            <charset val="136"/>
          </rPr>
          <t xml:space="preserve">具互制作用，且依其剛度比，共同抵禦全部橫力。
</t>
        </r>
        <r>
          <rPr>
            <sz val="9"/>
            <color indexed="81"/>
            <rFont val="Tahoma"/>
            <family val="2"/>
          </rPr>
          <t xml:space="preserve">    (</t>
        </r>
        <r>
          <rPr>
            <sz val="9"/>
            <color indexed="81"/>
            <rFont val="細明體"/>
            <family val="3"/>
            <charset val="136"/>
          </rPr>
          <t>二</t>
        </r>
        <r>
          <rPr>
            <sz val="9"/>
            <color indexed="81"/>
            <rFont val="Tahoma"/>
            <family val="2"/>
          </rPr>
          <t>)</t>
        </r>
        <r>
          <rPr>
            <sz val="9"/>
            <color indexed="81"/>
            <rFont val="細明體"/>
            <family val="3"/>
            <charset val="136"/>
          </rPr>
          <t>剪力牆</t>
        </r>
        <r>
          <rPr>
            <sz val="9"/>
            <color indexed="81"/>
            <rFont val="Tahoma"/>
            <family val="2"/>
          </rPr>
          <t>(</t>
        </r>
        <r>
          <rPr>
            <sz val="9"/>
            <color indexed="81"/>
            <rFont val="細明體"/>
            <family val="3"/>
            <charset val="136"/>
          </rPr>
          <t>或斜撐剛架</t>
        </r>
        <r>
          <rPr>
            <sz val="9"/>
            <color indexed="81"/>
            <rFont val="Tahoma"/>
            <family val="2"/>
          </rPr>
          <t>)</t>
        </r>
        <r>
          <rPr>
            <sz val="9"/>
            <color indexed="81"/>
            <rFont val="細明體"/>
            <family val="3"/>
            <charset val="136"/>
          </rPr>
          <t>與韌性立體剛構架分開作用，剪力牆</t>
        </r>
        <r>
          <rPr>
            <sz val="9"/>
            <color indexed="81"/>
            <rFont val="Tahoma"/>
            <family val="2"/>
          </rPr>
          <t>(</t>
        </r>
        <r>
          <rPr>
            <sz val="9"/>
            <color indexed="81"/>
            <rFont val="細明體"/>
            <family val="3"/>
            <charset val="136"/>
          </rPr>
          <t>或斜撐剛架</t>
        </r>
        <r>
          <rPr>
            <sz val="9"/>
            <color indexed="81"/>
            <rFont val="Tahoma"/>
            <family val="2"/>
          </rPr>
          <t>)</t>
        </r>
        <r>
          <rPr>
            <sz val="9"/>
            <color indexed="81"/>
            <rFont val="細明體"/>
            <family val="3"/>
            <charset val="136"/>
          </rPr>
          <t xml:space="preserve">應扺禦全部橫力。
</t>
        </r>
        <r>
          <rPr>
            <sz val="9"/>
            <color indexed="81"/>
            <rFont val="Tahoma"/>
            <family val="2"/>
          </rPr>
          <t xml:space="preserve">    (</t>
        </r>
        <r>
          <rPr>
            <sz val="9"/>
            <color indexed="81"/>
            <rFont val="細明體"/>
            <family val="3"/>
            <charset val="136"/>
          </rPr>
          <t>三</t>
        </r>
        <r>
          <rPr>
            <sz val="9"/>
            <color indexed="81"/>
            <rFont val="Tahoma"/>
            <family val="2"/>
          </rPr>
          <t>)</t>
        </r>
        <r>
          <rPr>
            <sz val="9"/>
            <color indexed="81"/>
            <rFont val="細明體"/>
            <family val="3"/>
            <charset val="136"/>
          </rPr>
          <t>韌性立體剛構架應扺禦全部橫力四分之一以上。
三、不具完整豎向承重之立體剛構架</t>
        </r>
        <r>
          <rPr>
            <sz val="9"/>
            <color indexed="81"/>
            <rFont val="Tahoma"/>
            <family val="2"/>
          </rPr>
          <t>(</t>
        </r>
        <r>
          <rPr>
            <sz val="9"/>
            <color indexed="81"/>
            <rFont val="細明體"/>
            <family val="3"/>
            <charset val="136"/>
          </rPr>
          <t>箱式構造物</t>
        </r>
        <r>
          <rPr>
            <sz val="9"/>
            <color indexed="81"/>
            <rFont val="Tahoma"/>
            <family val="2"/>
          </rPr>
          <t>)</t>
        </r>
        <r>
          <rPr>
            <sz val="9"/>
            <color indexed="81"/>
            <rFont val="細明體"/>
            <family val="3"/>
            <charset val="136"/>
          </rPr>
          <t>，由剪力牆</t>
        </r>
        <r>
          <rPr>
            <sz val="9"/>
            <color indexed="81"/>
            <rFont val="Tahoma"/>
            <family val="2"/>
          </rPr>
          <t>(</t>
        </r>
        <r>
          <rPr>
            <sz val="9"/>
            <color indexed="81"/>
            <rFont val="細明體"/>
            <family val="3"/>
            <charset val="136"/>
          </rPr>
          <t>或斜撐剛架</t>
        </r>
        <r>
          <rPr>
            <sz val="9"/>
            <color indexed="81"/>
            <rFont val="Tahoma"/>
            <family val="2"/>
          </rPr>
          <t>)</t>
        </r>
        <r>
          <rPr>
            <sz val="9"/>
            <color indexed="81"/>
            <rFont val="細明體"/>
            <family val="3"/>
            <charset val="136"/>
          </rPr>
          <t>扺禦全部橫力者，</t>
        </r>
        <r>
          <rPr>
            <sz val="9"/>
            <color indexed="81"/>
            <rFont val="Tahoma"/>
            <family val="2"/>
          </rPr>
          <t>K=1.33</t>
        </r>
        <r>
          <rPr>
            <sz val="9"/>
            <color indexed="81"/>
            <rFont val="細明體"/>
            <family val="3"/>
            <charset val="136"/>
          </rPr>
          <t>。
四、前列以外之構造物，</t>
        </r>
        <r>
          <rPr>
            <sz val="9"/>
            <color indexed="81"/>
            <rFont val="Tahoma"/>
            <family val="2"/>
          </rPr>
          <t>K=1.00</t>
        </r>
        <r>
          <rPr>
            <sz val="9"/>
            <color indexed="81"/>
            <rFont val="細明體"/>
            <family val="3"/>
            <charset val="136"/>
          </rPr>
          <t xml:space="preserve">。
</t>
        </r>
      </text>
    </comment>
  </commentList>
</comments>
</file>

<file path=xl/sharedStrings.xml><?xml version="1.0" encoding="utf-8"?>
<sst xmlns="http://schemas.openxmlformats.org/spreadsheetml/2006/main" count="7393" uniqueCount="1808">
  <si>
    <t>T</t>
    <phoneticPr fontId="1" type="noConversion"/>
  </si>
  <si>
    <t>表2-2(a)</t>
  </si>
  <si>
    <t>短週期結構之工址放大係數Fa</t>
  </si>
  <si>
    <t>(線性內插求值)</t>
  </si>
  <si>
    <t>地盤分類</t>
  </si>
  <si>
    <t>SS&lt;=0.5</t>
  </si>
  <si>
    <t>SS=0.6</t>
  </si>
  <si>
    <t>SS=0.7</t>
  </si>
  <si>
    <t>SS=0.8</t>
  </si>
  <si>
    <t>SS&gt;=0.9</t>
  </si>
  <si>
    <t>第一類地盤</t>
  </si>
  <si>
    <t>第二類地盤</t>
  </si>
  <si>
    <t>第三類地盤</t>
  </si>
  <si>
    <t>表2-2(b)</t>
  </si>
  <si>
    <t>長週期結構之工址放大係數Fv</t>
  </si>
  <si>
    <t>S1&lt;=0.30</t>
  </si>
  <si>
    <t>S1=0.35</t>
  </si>
  <si>
    <t>S1=0.40</t>
  </si>
  <si>
    <t>S1=0.45</t>
  </si>
  <si>
    <t>S1&gt;=0.50</t>
  </si>
  <si>
    <r>
      <rPr>
        <sz val="12"/>
        <rFont val="Arial"/>
        <family val="2"/>
      </rPr>
      <t>縣市</t>
    </r>
    <phoneticPr fontId="1" type="noConversion"/>
  </si>
  <si>
    <r>
      <rPr>
        <sz val="12"/>
        <rFont val="Arial"/>
        <family val="2"/>
      </rPr>
      <t>行政區</t>
    </r>
    <phoneticPr fontId="1" type="noConversion"/>
  </si>
  <si>
    <r>
      <t>V</t>
    </r>
    <r>
      <rPr>
        <vertAlign val="subscript"/>
        <sz val="12"/>
        <rFont val="Times New Roman"/>
        <family val="1"/>
      </rPr>
      <t>10</t>
    </r>
    <r>
      <rPr>
        <sz val="12"/>
        <rFont val="Times New Roman"/>
        <family val="1"/>
      </rPr>
      <t>(C)</t>
    </r>
    <phoneticPr fontId="1" type="noConversion"/>
  </si>
  <si>
    <r>
      <rPr>
        <sz val="12"/>
        <rFont val="Arial"/>
        <family val="2"/>
      </rPr>
      <t>郵遞區號</t>
    </r>
    <phoneticPr fontId="1" type="noConversion"/>
  </si>
  <si>
    <r>
      <rPr>
        <b/>
        <sz val="12"/>
        <rFont val="新細明體"/>
        <family val="1"/>
        <charset val="136"/>
      </rPr>
      <t>大同區</t>
    </r>
    <phoneticPr fontId="1" type="noConversion"/>
  </si>
  <si>
    <r>
      <rPr>
        <b/>
        <sz val="12"/>
        <rFont val="新細明體"/>
        <family val="1"/>
        <charset val="136"/>
      </rPr>
      <t>新北市</t>
    </r>
    <phoneticPr fontId="1" type="noConversion"/>
  </si>
  <si>
    <r>
      <rPr>
        <b/>
        <sz val="12"/>
        <rFont val="新細明體"/>
        <family val="1"/>
        <charset val="136"/>
      </rPr>
      <t>南港區</t>
    </r>
    <phoneticPr fontId="1" type="noConversion"/>
  </si>
  <si>
    <r>
      <rPr>
        <b/>
        <sz val="12"/>
        <rFont val="新細明體"/>
        <family val="1"/>
        <charset val="136"/>
      </rPr>
      <t>文山區</t>
    </r>
    <phoneticPr fontId="1" type="noConversion"/>
  </si>
  <si>
    <r>
      <rPr>
        <b/>
        <sz val="12"/>
        <rFont val="新細明體"/>
        <family val="1"/>
        <charset val="136"/>
      </rPr>
      <t>新店區</t>
    </r>
    <phoneticPr fontId="1" type="noConversion"/>
  </si>
  <si>
    <r>
      <rPr>
        <b/>
        <sz val="12"/>
        <rFont val="新細明體"/>
        <family val="1"/>
        <charset val="136"/>
      </rPr>
      <t>永和區</t>
    </r>
    <phoneticPr fontId="1" type="noConversion"/>
  </si>
  <si>
    <r>
      <rPr>
        <b/>
        <sz val="12"/>
        <rFont val="新細明體"/>
        <family val="1"/>
        <charset val="136"/>
      </rPr>
      <t>中和區</t>
    </r>
    <phoneticPr fontId="1" type="noConversion"/>
  </si>
  <si>
    <r>
      <rPr>
        <b/>
        <sz val="12"/>
        <rFont val="新細明體"/>
        <family val="1"/>
        <charset val="136"/>
      </rPr>
      <t>土城區</t>
    </r>
    <phoneticPr fontId="1" type="noConversion"/>
  </si>
  <si>
    <r>
      <rPr>
        <b/>
        <sz val="12"/>
        <rFont val="新細明體"/>
        <family val="1"/>
        <charset val="136"/>
      </rPr>
      <t>樹林區</t>
    </r>
    <phoneticPr fontId="1" type="noConversion"/>
  </si>
  <si>
    <r>
      <rPr>
        <b/>
        <sz val="12"/>
        <rFont val="新細明體"/>
        <family val="1"/>
        <charset val="136"/>
      </rPr>
      <t>三重區</t>
    </r>
    <phoneticPr fontId="1" type="noConversion"/>
  </si>
  <si>
    <r>
      <rPr>
        <b/>
        <sz val="12"/>
        <rFont val="新細明體"/>
        <family val="1"/>
        <charset val="136"/>
      </rPr>
      <t>新莊區</t>
    </r>
    <phoneticPr fontId="1" type="noConversion"/>
  </si>
  <si>
    <r>
      <rPr>
        <b/>
        <sz val="12"/>
        <rFont val="新細明體"/>
        <family val="1"/>
        <charset val="136"/>
      </rPr>
      <t>泰山區</t>
    </r>
    <phoneticPr fontId="1" type="noConversion"/>
  </si>
  <si>
    <r>
      <rPr>
        <b/>
        <sz val="12"/>
        <rFont val="新細明體"/>
        <family val="1"/>
        <charset val="136"/>
      </rPr>
      <t>蘆洲區</t>
    </r>
    <phoneticPr fontId="1" type="noConversion"/>
  </si>
  <si>
    <r>
      <rPr>
        <b/>
        <sz val="12"/>
        <rFont val="新細明體"/>
        <family val="1"/>
        <charset val="136"/>
      </rPr>
      <t>五股區</t>
    </r>
    <phoneticPr fontId="1" type="noConversion"/>
  </si>
  <si>
    <t>縣市</t>
    <phoneticPr fontId="1" type="noConversion"/>
  </si>
  <si>
    <t>鄉鎮市區</t>
    <phoneticPr fontId="1" type="noConversion"/>
  </si>
  <si>
    <t>斷層名稱</t>
    <phoneticPr fontId="1" type="noConversion"/>
  </si>
  <si>
    <t>Z(建技78)</t>
    <phoneticPr fontId="1" type="noConversion"/>
  </si>
  <si>
    <t>基隆市</t>
    <phoneticPr fontId="1" type="noConversion"/>
  </si>
  <si>
    <t>中正區</t>
    <phoneticPr fontId="1" type="noConversion"/>
  </si>
  <si>
    <t>七堵區</t>
    <phoneticPr fontId="1" type="noConversion"/>
  </si>
  <si>
    <t>暖暖區</t>
    <phoneticPr fontId="1" type="noConversion"/>
  </si>
  <si>
    <t>仁愛區</t>
    <phoneticPr fontId="1" type="noConversion"/>
  </si>
  <si>
    <t>中山區</t>
    <phoneticPr fontId="1" type="noConversion"/>
  </si>
  <si>
    <t>安樂區</t>
    <phoneticPr fontId="1" type="noConversion"/>
  </si>
  <si>
    <t>信義區</t>
    <phoneticPr fontId="1" type="noConversion"/>
  </si>
  <si>
    <t>宜蘭縣</t>
    <phoneticPr fontId="1" type="noConversion"/>
  </si>
  <si>
    <t>宜蘭市</t>
    <phoneticPr fontId="1" type="noConversion"/>
  </si>
  <si>
    <t>羅東鎮</t>
    <phoneticPr fontId="1" type="noConversion"/>
  </si>
  <si>
    <t>蘇澳鎮</t>
    <phoneticPr fontId="1" type="noConversion"/>
  </si>
  <si>
    <t>頭城鎮</t>
    <phoneticPr fontId="1" type="noConversion"/>
  </si>
  <si>
    <t>礁溪鎮</t>
    <phoneticPr fontId="1" type="noConversion"/>
  </si>
  <si>
    <t>壯圍鄉</t>
    <phoneticPr fontId="1" type="noConversion"/>
  </si>
  <si>
    <t>員山鄉</t>
    <phoneticPr fontId="1" type="noConversion"/>
  </si>
  <si>
    <t>冬山鄉</t>
    <phoneticPr fontId="1" type="noConversion"/>
  </si>
  <si>
    <t>五結鄉</t>
    <phoneticPr fontId="1" type="noConversion"/>
  </si>
  <si>
    <t>三星鄉</t>
    <phoneticPr fontId="1" type="noConversion"/>
  </si>
  <si>
    <t>大同鄉</t>
    <phoneticPr fontId="1" type="noConversion"/>
  </si>
  <si>
    <t>南澳鄉</t>
    <phoneticPr fontId="1" type="noConversion"/>
  </si>
  <si>
    <t>新竹縣</t>
    <phoneticPr fontId="1" type="noConversion"/>
  </si>
  <si>
    <t>竹北市</t>
    <phoneticPr fontId="1" type="noConversion"/>
  </si>
  <si>
    <t>竹東鎮</t>
    <phoneticPr fontId="1" type="noConversion"/>
  </si>
  <si>
    <t>新埔鎮</t>
    <phoneticPr fontId="1" type="noConversion"/>
  </si>
  <si>
    <t>關西鎮</t>
    <phoneticPr fontId="1" type="noConversion"/>
  </si>
  <si>
    <t>湖口鄉</t>
    <phoneticPr fontId="1" type="noConversion"/>
  </si>
  <si>
    <t>新豐鄉</t>
    <phoneticPr fontId="1" type="noConversion"/>
  </si>
  <si>
    <t>芎林鄉</t>
    <phoneticPr fontId="1" type="noConversion"/>
  </si>
  <si>
    <t>橫山鄉</t>
    <phoneticPr fontId="1" type="noConversion"/>
  </si>
  <si>
    <t>北埔鄉</t>
    <phoneticPr fontId="1" type="noConversion"/>
  </si>
  <si>
    <t>獅潭與神卓山斷層</t>
    <phoneticPr fontId="1" type="noConversion"/>
  </si>
  <si>
    <t>寶山鄉</t>
    <phoneticPr fontId="1" type="noConversion"/>
  </si>
  <si>
    <t>峨嵋鄉</t>
    <phoneticPr fontId="1" type="noConversion"/>
  </si>
  <si>
    <t>尖石鄉</t>
    <phoneticPr fontId="1" type="noConversion"/>
  </si>
  <si>
    <t>五峰鄉</t>
    <phoneticPr fontId="1" type="noConversion"/>
  </si>
  <si>
    <t>苗栗縣</t>
    <phoneticPr fontId="1" type="noConversion"/>
  </si>
  <si>
    <t>苗栗市</t>
    <phoneticPr fontId="1" type="noConversion"/>
  </si>
  <si>
    <t>苑裡鎮</t>
    <phoneticPr fontId="1" type="noConversion"/>
  </si>
  <si>
    <t>車籠埔斷層</t>
    <phoneticPr fontId="1" type="noConversion"/>
  </si>
  <si>
    <t>通宵鎮</t>
    <phoneticPr fontId="1" type="noConversion"/>
  </si>
  <si>
    <t>竹南鎮</t>
    <phoneticPr fontId="1" type="noConversion"/>
  </si>
  <si>
    <t>頭份鎮</t>
    <phoneticPr fontId="1" type="noConversion"/>
  </si>
  <si>
    <t>後龍鎮</t>
    <phoneticPr fontId="1" type="noConversion"/>
  </si>
  <si>
    <t>卓蘭鎮</t>
    <phoneticPr fontId="1" type="noConversion"/>
  </si>
  <si>
    <t>大湖鄉</t>
    <phoneticPr fontId="1" type="noConversion"/>
  </si>
  <si>
    <t>公館鄉</t>
    <phoneticPr fontId="1" type="noConversion"/>
  </si>
  <si>
    <t>銅鑼鄉</t>
    <phoneticPr fontId="1" type="noConversion"/>
  </si>
  <si>
    <t>南庄鄉</t>
    <phoneticPr fontId="1" type="noConversion"/>
  </si>
  <si>
    <t>頭屋鄉</t>
    <phoneticPr fontId="1" type="noConversion"/>
  </si>
  <si>
    <t>三義鄉</t>
    <phoneticPr fontId="1" type="noConversion"/>
  </si>
  <si>
    <t>西湖鄉</t>
    <phoneticPr fontId="1" type="noConversion"/>
  </si>
  <si>
    <t>造橋鄉</t>
    <phoneticPr fontId="1" type="noConversion"/>
  </si>
  <si>
    <t>三灣鄉</t>
    <phoneticPr fontId="1" type="noConversion"/>
  </si>
  <si>
    <t>獅潭鄉</t>
    <phoneticPr fontId="1" type="noConversion"/>
  </si>
  <si>
    <t>泰安鄉</t>
    <phoneticPr fontId="1" type="noConversion"/>
  </si>
  <si>
    <t>台中市</t>
    <phoneticPr fontId="1" type="noConversion"/>
  </si>
  <si>
    <t>豐原區</t>
    <phoneticPr fontId="1" type="noConversion"/>
  </si>
  <si>
    <t>東勢區</t>
    <phoneticPr fontId="1" type="noConversion"/>
  </si>
  <si>
    <t>大甲區</t>
    <phoneticPr fontId="1" type="noConversion"/>
  </si>
  <si>
    <t>清水區</t>
    <phoneticPr fontId="1" type="noConversion"/>
  </si>
  <si>
    <t>沙鹿區</t>
    <phoneticPr fontId="1" type="noConversion"/>
  </si>
  <si>
    <t>梧棲區</t>
    <phoneticPr fontId="1" type="noConversion"/>
  </si>
  <si>
    <t>后里區</t>
    <phoneticPr fontId="1" type="noConversion"/>
  </si>
  <si>
    <t>神岡區</t>
    <phoneticPr fontId="1" type="noConversion"/>
  </si>
  <si>
    <t>潭子區</t>
    <phoneticPr fontId="1" type="noConversion"/>
  </si>
  <si>
    <t>大雅區</t>
    <phoneticPr fontId="1" type="noConversion"/>
  </si>
  <si>
    <t>新社區</t>
    <phoneticPr fontId="1" type="noConversion"/>
  </si>
  <si>
    <t>石岡區</t>
    <phoneticPr fontId="1" type="noConversion"/>
  </si>
  <si>
    <t>外埔區</t>
    <phoneticPr fontId="1" type="noConversion"/>
  </si>
  <si>
    <t>大安區</t>
    <phoneticPr fontId="1" type="noConversion"/>
  </si>
  <si>
    <t>烏日區</t>
    <phoneticPr fontId="1" type="noConversion"/>
  </si>
  <si>
    <t>大肚區</t>
    <phoneticPr fontId="1" type="noConversion"/>
  </si>
  <si>
    <t>龍井區</t>
    <phoneticPr fontId="1" type="noConversion"/>
  </si>
  <si>
    <t>霧峰區</t>
    <phoneticPr fontId="1" type="noConversion"/>
  </si>
  <si>
    <t>太平區</t>
    <phoneticPr fontId="1" type="noConversion"/>
  </si>
  <si>
    <t>大里區</t>
    <phoneticPr fontId="1" type="noConversion"/>
  </si>
  <si>
    <t>和平區</t>
    <phoneticPr fontId="1" type="noConversion"/>
  </si>
  <si>
    <t>中區</t>
    <phoneticPr fontId="1" type="noConversion"/>
  </si>
  <si>
    <t>西屯區</t>
    <phoneticPr fontId="1" type="noConversion"/>
  </si>
  <si>
    <t>南屯區</t>
    <phoneticPr fontId="1" type="noConversion"/>
  </si>
  <si>
    <t>北屯區</t>
    <phoneticPr fontId="1" type="noConversion"/>
  </si>
  <si>
    <t>彰化縣</t>
    <phoneticPr fontId="1" type="noConversion"/>
  </si>
  <si>
    <t>彰化市</t>
    <phoneticPr fontId="1" type="noConversion"/>
  </si>
  <si>
    <t>鹿港鎮</t>
    <phoneticPr fontId="1" type="noConversion"/>
  </si>
  <si>
    <t>和美鎮</t>
    <phoneticPr fontId="1" type="noConversion"/>
  </si>
  <si>
    <t>線西鄉</t>
    <phoneticPr fontId="1" type="noConversion"/>
  </si>
  <si>
    <t>伸港鄉</t>
    <phoneticPr fontId="1" type="noConversion"/>
  </si>
  <si>
    <t>福興鄉</t>
    <phoneticPr fontId="1" type="noConversion"/>
  </si>
  <si>
    <t>秀水鄉</t>
    <phoneticPr fontId="1" type="noConversion"/>
  </si>
  <si>
    <t>花壇鄉</t>
    <phoneticPr fontId="1" type="noConversion"/>
  </si>
  <si>
    <t>芬園鄉</t>
    <phoneticPr fontId="1" type="noConversion"/>
  </si>
  <si>
    <t>員林鎮</t>
    <phoneticPr fontId="1" type="noConversion"/>
  </si>
  <si>
    <t>溪湖鎮</t>
    <phoneticPr fontId="1" type="noConversion"/>
  </si>
  <si>
    <t>田中鎮</t>
    <phoneticPr fontId="1" type="noConversion"/>
  </si>
  <si>
    <t>大村鄉</t>
    <phoneticPr fontId="1" type="noConversion"/>
  </si>
  <si>
    <t>埔鹽鄉</t>
    <phoneticPr fontId="1" type="noConversion"/>
  </si>
  <si>
    <t>埔心鄉</t>
    <phoneticPr fontId="1" type="noConversion"/>
  </si>
  <si>
    <t>永靖鄉</t>
    <phoneticPr fontId="1" type="noConversion"/>
  </si>
  <si>
    <t>社頭鄉</t>
    <phoneticPr fontId="1" type="noConversion"/>
  </si>
  <si>
    <t>二水鄉</t>
    <phoneticPr fontId="1" type="noConversion"/>
  </si>
  <si>
    <t>北斗鎮</t>
    <phoneticPr fontId="1" type="noConversion"/>
  </si>
  <si>
    <t>二林鎮</t>
    <phoneticPr fontId="1" type="noConversion"/>
  </si>
  <si>
    <t>田尾鄉</t>
    <phoneticPr fontId="1" type="noConversion"/>
  </si>
  <si>
    <t>埤頭鄉</t>
    <phoneticPr fontId="1" type="noConversion"/>
  </si>
  <si>
    <t>芳苑鄉</t>
    <phoneticPr fontId="1" type="noConversion"/>
  </si>
  <si>
    <t>大城鄉</t>
    <phoneticPr fontId="1" type="noConversion"/>
  </si>
  <si>
    <t>竹塘鄉</t>
    <phoneticPr fontId="1" type="noConversion"/>
  </si>
  <si>
    <t>溪州鄉</t>
    <phoneticPr fontId="1" type="noConversion"/>
  </si>
  <si>
    <t>南投縣</t>
    <phoneticPr fontId="1" type="noConversion"/>
  </si>
  <si>
    <t>南投市</t>
    <phoneticPr fontId="1" type="noConversion"/>
  </si>
  <si>
    <t>埔里鎮</t>
    <phoneticPr fontId="1" type="noConversion"/>
  </si>
  <si>
    <t>草屯鎮</t>
    <phoneticPr fontId="1" type="noConversion"/>
  </si>
  <si>
    <t>竹山鎮</t>
    <phoneticPr fontId="1" type="noConversion"/>
  </si>
  <si>
    <t>大尖山與觸口斷層</t>
  </si>
  <si>
    <t>集集鎮</t>
    <phoneticPr fontId="1" type="noConversion"/>
  </si>
  <si>
    <t>名間鄉</t>
    <phoneticPr fontId="1" type="noConversion"/>
  </si>
  <si>
    <t>鹿谷鄉</t>
    <phoneticPr fontId="1" type="noConversion"/>
  </si>
  <si>
    <t>中寮鄉</t>
    <phoneticPr fontId="1" type="noConversion"/>
  </si>
  <si>
    <t>魚池鄉</t>
    <phoneticPr fontId="1" type="noConversion"/>
  </si>
  <si>
    <t>國姓鄉</t>
    <phoneticPr fontId="1" type="noConversion"/>
  </si>
  <si>
    <t>水里鄉</t>
    <phoneticPr fontId="1" type="noConversion"/>
  </si>
  <si>
    <t>信義鄉</t>
    <phoneticPr fontId="1" type="noConversion"/>
  </si>
  <si>
    <t>仁愛鄉</t>
    <phoneticPr fontId="1" type="noConversion"/>
  </si>
  <si>
    <t>雲林縣</t>
    <phoneticPr fontId="1" type="noConversion"/>
  </si>
  <si>
    <t>斗六市</t>
    <phoneticPr fontId="1" type="noConversion"/>
  </si>
  <si>
    <t>斗南鎮</t>
    <phoneticPr fontId="1" type="noConversion"/>
  </si>
  <si>
    <t>梅山斷層</t>
    <phoneticPr fontId="1" type="noConversion"/>
  </si>
  <si>
    <t>虎尾鎮</t>
    <phoneticPr fontId="1" type="noConversion"/>
  </si>
  <si>
    <t>西螺鎮</t>
    <phoneticPr fontId="1" type="noConversion"/>
  </si>
  <si>
    <t>土庫鎮</t>
    <phoneticPr fontId="1" type="noConversion"/>
  </si>
  <si>
    <t>北港鎮</t>
    <phoneticPr fontId="1" type="noConversion"/>
  </si>
  <si>
    <t>古坑鄉</t>
    <phoneticPr fontId="1" type="noConversion"/>
  </si>
  <si>
    <t>大埤鄉</t>
    <phoneticPr fontId="1" type="noConversion"/>
  </si>
  <si>
    <t>莿桐鄉</t>
    <phoneticPr fontId="1" type="noConversion"/>
  </si>
  <si>
    <t>林內鄉</t>
    <phoneticPr fontId="1" type="noConversion"/>
  </si>
  <si>
    <t>二崙鄉</t>
    <phoneticPr fontId="1" type="noConversion"/>
  </si>
  <si>
    <t>崙背鄉</t>
    <phoneticPr fontId="1" type="noConversion"/>
  </si>
  <si>
    <t>麥寮鄉</t>
    <phoneticPr fontId="1" type="noConversion"/>
  </si>
  <si>
    <t>東勢鄉</t>
    <phoneticPr fontId="1" type="noConversion"/>
  </si>
  <si>
    <t>褒忠鄉</t>
    <phoneticPr fontId="1" type="noConversion"/>
  </si>
  <si>
    <t>台西鄉</t>
    <phoneticPr fontId="1" type="noConversion"/>
  </si>
  <si>
    <t>元長鄉</t>
    <phoneticPr fontId="1" type="noConversion"/>
  </si>
  <si>
    <t>四湖鄉</t>
    <phoneticPr fontId="1" type="noConversion"/>
  </si>
  <si>
    <t>口湖鄉</t>
    <phoneticPr fontId="1" type="noConversion"/>
  </si>
  <si>
    <t>水林鄉</t>
    <phoneticPr fontId="1" type="noConversion"/>
  </si>
  <si>
    <t>嘉義縣</t>
    <phoneticPr fontId="1" type="noConversion"/>
  </si>
  <si>
    <t>太保市</t>
    <phoneticPr fontId="1" type="noConversion"/>
  </si>
  <si>
    <t>朴子市</t>
    <phoneticPr fontId="1" type="noConversion"/>
  </si>
  <si>
    <t>布袋鎮</t>
    <phoneticPr fontId="1" type="noConversion"/>
  </si>
  <si>
    <t>大林鎮</t>
    <phoneticPr fontId="1" type="noConversion"/>
  </si>
  <si>
    <t>民雄鄉</t>
    <phoneticPr fontId="1" type="noConversion"/>
  </si>
  <si>
    <t>溪口鄉</t>
    <phoneticPr fontId="1" type="noConversion"/>
  </si>
  <si>
    <t>新港鄉</t>
    <phoneticPr fontId="1" type="noConversion"/>
  </si>
  <si>
    <t>六腳鄉</t>
    <phoneticPr fontId="1" type="noConversion"/>
  </si>
  <si>
    <t>東石鄉</t>
    <phoneticPr fontId="1" type="noConversion"/>
  </si>
  <si>
    <t>義竹鄉</t>
    <phoneticPr fontId="1" type="noConversion"/>
  </si>
  <si>
    <t>鹿草鄉</t>
    <phoneticPr fontId="1" type="noConversion"/>
  </si>
  <si>
    <t>水上鄉</t>
    <phoneticPr fontId="1" type="noConversion"/>
  </si>
  <si>
    <t>中埔鄉</t>
    <phoneticPr fontId="1" type="noConversion"/>
  </si>
  <si>
    <t>竹崎鄉</t>
    <phoneticPr fontId="1" type="noConversion"/>
  </si>
  <si>
    <t>梅山鄉</t>
    <phoneticPr fontId="1" type="noConversion"/>
  </si>
  <si>
    <t>番路鄉</t>
    <phoneticPr fontId="1" type="noConversion"/>
  </si>
  <si>
    <t>大埔鄉</t>
    <phoneticPr fontId="1" type="noConversion"/>
  </si>
  <si>
    <t>阿里山鄉</t>
    <phoneticPr fontId="1" type="noConversion"/>
  </si>
  <si>
    <t>嘉義市</t>
    <phoneticPr fontId="1" type="noConversion"/>
  </si>
  <si>
    <t>台南市</t>
    <phoneticPr fontId="1" type="noConversion"/>
  </si>
  <si>
    <t>新營區</t>
    <phoneticPr fontId="1" type="noConversion"/>
  </si>
  <si>
    <t>鹽水區</t>
    <phoneticPr fontId="1" type="noConversion"/>
  </si>
  <si>
    <t>白河區</t>
    <phoneticPr fontId="1" type="noConversion"/>
  </si>
  <si>
    <t>柳營區</t>
    <phoneticPr fontId="1" type="noConversion"/>
  </si>
  <si>
    <t>後壁區</t>
    <phoneticPr fontId="1" type="noConversion"/>
  </si>
  <si>
    <t>東山區</t>
    <phoneticPr fontId="1" type="noConversion"/>
  </si>
  <si>
    <t>麻豆區</t>
    <phoneticPr fontId="1" type="noConversion"/>
  </si>
  <si>
    <t>下營區</t>
    <phoneticPr fontId="1" type="noConversion"/>
  </si>
  <si>
    <t>六甲區</t>
    <phoneticPr fontId="1" type="noConversion"/>
  </si>
  <si>
    <t>官田區</t>
    <phoneticPr fontId="1" type="noConversion"/>
  </si>
  <si>
    <t>大內區</t>
    <phoneticPr fontId="1" type="noConversion"/>
  </si>
  <si>
    <t>新化斷層</t>
    <phoneticPr fontId="1" type="noConversion"/>
  </si>
  <si>
    <t>佳里區</t>
    <phoneticPr fontId="1" type="noConversion"/>
  </si>
  <si>
    <t>學甲區</t>
    <phoneticPr fontId="1" type="noConversion"/>
  </si>
  <si>
    <t>西港區</t>
    <phoneticPr fontId="1" type="noConversion"/>
  </si>
  <si>
    <t>七股區</t>
    <phoneticPr fontId="1" type="noConversion"/>
  </si>
  <si>
    <t>將軍區</t>
    <phoneticPr fontId="1" type="noConversion"/>
  </si>
  <si>
    <t>北門區</t>
    <phoneticPr fontId="1" type="noConversion"/>
  </si>
  <si>
    <t>新化區</t>
    <phoneticPr fontId="1" type="noConversion"/>
  </si>
  <si>
    <t>善化區</t>
    <phoneticPr fontId="1" type="noConversion"/>
  </si>
  <si>
    <t>新市區</t>
    <phoneticPr fontId="1" type="noConversion"/>
  </si>
  <si>
    <t>安定區</t>
    <phoneticPr fontId="1" type="noConversion"/>
  </si>
  <si>
    <t>山上區</t>
    <phoneticPr fontId="1" type="noConversion"/>
  </si>
  <si>
    <t>玉井區</t>
    <phoneticPr fontId="1" type="noConversion"/>
  </si>
  <si>
    <t>楠西區</t>
    <phoneticPr fontId="1" type="noConversion"/>
  </si>
  <si>
    <t>南化區</t>
    <phoneticPr fontId="1" type="noConversion"/>
  </si>
  <si>
    <t>左鎮區</t>
    <phoneticPr fontId="1" type="noConversion"/>
  </si>
  <si>
    <t>仁德區</t>
    <phoneticPr fontId="1" type="noConversion"/>
  </si>
  <si>
    <t>歸仁區</t>
    <phoneticPr fontId="1" type="noConversion"/>
  </si>
  <si>
    <t>關廟區</t>
    <phoneticPr fontId="1" type="noConversion"/>
  </si>
  <si>
    <t>龍崎區</t>
    <phoneticPr fontId="1" type="noConversion"/>
  </si>
  <si>
    <t>永康區</t>
    <phoneticPr fontId="1" type="noConversion"/>
  </si>
  <si>
    <t>中西區</t>
    <phoneticPr fontId="1" type="noConversion"/>
  </si>
  <si>
    <t>安南區</t>
    <phoneticPr fontId="1" type="noConversion"/>
  </si>
  <si>
    <t>安平區</t>
    <phoneticPr fontId="1" type="noConversion"/>
  </si>
  <si>
    <t>高雄市</t>
    <phoneticPr fontId="1" type="noConversion"/>
  </si>
  <si>
    <t>鳳山區</t>
    <phoneticPr fontId="1" type="noConversion"/>
  </si>
  <si>
    <t>林園區</t>
    <phoneticPr fontId="1" type="noConversion"/>
  </si>
  <si>
    <t>大寮區</t>
    <phoneticPr fontId="1" type="noConversion"/>
  </si>
  <si>
    <t>大樹區</t>
    <phoneticPr fontId="1" type="noConversion"/>
  </si>
  <si>
    <t>大社區</t>
    <phoneticPr fontId="1" type="noConversion"/>
  </si>
  <si>
    <t>仁武區</t>
    <phoneticPr fontId="1" type="noConversion"/>
  </si>
  <si>
    <t>鳥松區</t>
    <phoneticPr fontId="1" type="noConversion"/>
  </si>
  <si>
    <t>岡山區</t>
    <phoneticPr fontId="1" type="noConversion"/>
  </si>
  <si>
    <t>橋頭區</t>
    <phoneticPr fontId="1" type="noConversion"/>
  </si>
  <si>
    <t>燕巢區</t>
    <phoneticPr fontId="1" type="noConversion"/>
  </si>
  <si>
    <t>田寮區</t>
    <phoneticPr fontId="1" type="noConversion"/>
  </si>
  <si>
    <t>阿蓮區</t>
    <phoneticPr fontId="1" type="noConversion"/>
  </si>
  <si>
    <t>路竹區</t>
    <phoneticPr fontId="1" type="noConversion"/>
  </si>
  <si>
    <t>湖內區</t>
    <phoneticPr fontId="1" type="noConversion"/>
  </si>
  <si>
    <t>茄萣區</t>
    <phoneticPr fontId="1" type="noConversion"/>
  </si>
  <si>
    <t>永安區</t>
    <phoneticPr fontId="1" type="noConversion"/>
  </si>
  <si>
    <t>彌陀區</t>
    <phoneticPr fontId="1" type="noConversion"/>
  </si>
  <si>
    <t>梓官區</t>
    <phoneticPr fontId="1" type="noConversion"/>
  </si>
  <si>
    <t>旗山區</t>
    <phoneticPr fontId="1" type="noConversion"/>
  </si>
  <si>
    <t>美濃區</t>
    <phoneticPr fontId="1" type="noConversion"/>
  </si>
  <si>
    <t>六龜區</t>
    <phoneticPr fontId="1" type="noConversion"/>
  </si>
  <si>
    <t>甲仙區</t>
    <phoneticPr fontId="1" type="noConversion"/>
  </si>
  <si>
    <t>杉林區</t>
    <phoneticPr fontId="1" type="noConversion"/>
  </si>
  <si>
    <t>內門區</t>
    <phoneticPr fontId="1" type="noConversion"/>
  </si>
  <si>
    <t>茂林區</t>
    <phoneticPr fontId="1" type="noConversion"/>
  </si>
  <si>
    <t>桃源區</t>
    <phoneticPr fontId="1" type="noConversion"/>
  </si>
  <si>
    <t>那瑪夏區</t>
    <phoneticPr fontId="1" type="noConversion"/>
  </si>
  <si>
    <t>鹽埕區</t>
    <phoneticPr fontId="1" type="noConversion"/>
  </si>
  <si>
    <t>鼓山區</t>
    <phoneticPr fontId="1" type="noConversion"/>
  </si>
  <si>
    <t>左營區</t>
    <phoneticPr fontId="1" type="noConversion"/>
  </si>
  <si>
    <t>楠梓區</t>
    <phoneticPr fontId="1" type="noConversion"/>
  </si>
  <si>
    <t>三民區</t>
    <phoneticPr fontId="1" type="noConversion"/>
  </si>
  <si>
    <t>新興區</t>
    <phoneticPr fontId="1" type="noConversion"/>
  </si>
  <si>
    <t>前金區</t>
    <phoneticPr fontId="1" type="noConversion"/>
  </si>
  <si>
    <t>苓雅區</t>
    <phoneticPr fontId="1" type="noConversion"/>
  </si>
  <si>
    <t>前鎮區</t>
    <phoneticPr fontId="1" type="noConversion"/>
  </si>
  <si>
    <t>旗津區</t>
    <phoneticPr fontId="1" type="noConversion"/>
  </si>
  <si>
    <t>小港區</t>
    <phoneticPr fontId="1" type="noConversion"/>
  </si>
  <si>
    <t>屏東縣</t>
    <phoneticPr fontId="1" type="noConversion"/>
  </si>
  <si>
    <t>屏東市</t>
    <phoneticPr fontId="1" type="noConversion"/>
  </si>
  <si>
    <t>潮州鎮</t>
    <phoneticPr fontId="1" type="noConversion"/>
  </si>
  <si>
    <t>東港鎮</t>
    <phoneticPr fontId="1" type="noConversion"/>
  </si>
  <si>
    <t>恆春鎮</t>
    <phoneticPr fontId="1" type="noConversion"/>
  </si>
  <si>
    <t>萬丹鄉</t>
    <phoneticPr fontId="1" type="noConversion"/>
  </si>
  <si>
    <t>長治鄉</t>
    <phoneticPr fontId="1" type="noConversion"/>
  </si>
  <si>
    <t>麟洛鄉</t>
    <phoneticPr fontId="1" type="noConversion"/>
  </si>
  <si>
    <t>九如鄉</t>
    <phoneticPr fontId="1" type="noConversion"/>
  </si>
  <si>
    <t>里港鄉</t>
    <phoneticPr fontId="1" type="noConversion"/>
  </si>
  <si>
    <t>鹽埔鄉</t>
    <phoneticPr fontId="1" type="noConversion"/>
  </si>
  <si>
    <t>高樹鄉</t>
    <phoneticPr fontId="1" type="noConversion"/>
  </si>
  <si>
    <t>萬巒鄉</t>
    <phoneticPr fontId="1" type="noConversion"/>
  </si>
  <si>
    <t>內埔鄉</t>
    <phoneticPr fontId="1" type="noConversion"/>
  </si>
  <si>
    <t>竹田鄉</t>
    <phoneticPr fontId="1" type="noConversion"/>
  </si>
  <si>
    <t>新埤鄉</t>
    <phoneticPr fontId="1" type="noConversion"/>
  </si>
  <si>
    <t>枋寮鄉</t>
    <phoneticPr fontId="1" type="noConversion"/>
  </si>
  <si>
    <t>新園鄉</t>
    <phoneticPr fontId="1" type="noConversion"/>
  </si>
  <si>
    <t>崁頂鄉</t>
    <phoneticPr fontId="1" type="noConversion"/>
  </si>
  <si>
    <t>林邊鄉</t>
    <phoneticPr fontId="1" type="noConversion"/>
  </si>
  <si>
    <t>南州鄉</t>
    <phoneticPr fontId="1" type="noConversion"/>
  </si>
  <si>
    <t>佳冬鄉</t>
    <phoneticPr fontId="1" type="noConversion"/>
  </si>
  <si>
    <t>琉球鄉</t>
    <phoneticPr fontId="1" type="noConversion"/>
  </si>
  <si>
    <t>車城鄉</t>
    <phoneticPr fontId="1" type="noConversion"/>
  </si>
  <si>
    <t>滿州鄉</t>
    <phoneticPr fontId="1" type="noConversion"/>
  </si>
  <si>
    <t>枋山鄉</t>
    <phoneticPr fontId="1" type="noConversion"/>
  </si>
  <si>
    <t>三地門鄉</t>
    <phoneticPr fontId="1" type="noConversion"/>
  </si>
  <si>
    <t>霧台鄉</t>
    <phoneticPr fontId="1" type="noConversion"/>
  </si>
  <si>
    <t>瑪家鄉</t>
    <phoneticPr fontId="1" type="noConversion"/>
  </si>
  <si>
    <t>泰武鄉</t>
    <phoneticPr fontId="1" type="noConversion"/>
  </si>
  <si>
    <t>來義鄉</t>
    <phoneticPr fontId="1" type="noConversion"/>
  </si>
  <si>
    <t>春日鄉</t>
    <phoneticPr fontId="1" type="noConversion"/>
  </si>
  <si>
    <t>獅子鄉</t>
    <phoneticPr fontId="1" type="noConversion"/>
  </si>
  <si>
    <t>牡丹鄉</t>
    <phoneticPr fontId="1" type="noConversion"/>
  </si>
  <si>
    <t>澎湖縣</t>
    <phoneticPr fontId="1" type="noConversion"/>
  </si>
  <si>
    <t>馬公市</t>
    <phoneticPr fontId="1" type="noConversion"/>
  </si>
  <si>
    <t>湖西鄉</t>
    <phoneticPr fontId="1" type="noConversion"/>
  </si>
  <si>
    <t>白沙鄉</t>
    <phoneticPr fontId="1" type="noConversion"/>
  </si>
  <si>
    <t>西嶼鄉</t>
    <phoneticPr fontId="1" type="noConversion"/>
  </si>
  <si>
    <t>望安鄉</t>
    <phoneticPr fontId="1" type="noConversion"/>
  </si>
  <si>
    <t>台東縣</t>
    <phoneticPr fontId="1" type="noConversion"/>
  </si>
  <si>
    <t>台東市</t>
    <phoneticPr fontId="1" type="noConversion"/>
  </si>
  <si>
    <t>成功鎮</t>
    <phoneticPr fontId="1" type="noConversion"/>
  </si>
  <si>
    <t>花東地區斷層</t>
    <phoneticPr fontId="1" type="noConversion"/>
  </si>
  <si>
    <t>關山鎮</t>
    <phoneticPr fontId="1" type="noConversion"/>
  </si>
  <si>
    <t>卑南鄉</t>
    <phoneticPr fontId="1" type="noConversion"/>
  </si>
  <si>
    <t>鹿野鄉</t>
    <phoneticPr fontId="1" type="noConversion"/>
  </si>
  <si>
    <t>池上鄉</t>
    <phoneticPr fontId="1" type="noConversion"/>
  </si>
  <si>
    <t>東河鄉</t>
    <phoneticPr fontId="1" type="noConversion"/>
  </si>
  <si>
    <t>長濱鄉</t>
    <phoneticPr fontId="1" type="noConversion"/>
  </si>
  <si>
    <t>太麻里鄉</t>
    <phoneticPr fontId="1" type="noConversion"/>
  </si>
  <si>
    <t>大武鄉</t>
    <phoneticPr fontId="1" type="noConversion"/>
  </si>
  <si>
    <t>綠島鄉</t>
    <phoneticPr fontId="1" type="noConversion"/>
  </si>
  <si>
    <t>海端鄉</t>
    <phoneticPr fontId="1" type="noConversion"/>
  </si>
  <si>
    <t>延平鄉</t>
    <phoneticPr fontId="1" type="noConversion"/>
  </si>
  <si>
    <t>金峰鄉</t>
    <phoneticPr fontId="1" type="noConversion"/>
  </si>
  <si>
    <t>達仁鄉</t>
    <phoneticPr fontId="1" type="noConversion"/>
  </si>
  <si>
    <t>蘭嶼鄉</t>
    <phoneticPr fontId="1" type="noConversion"/>
  </si>
  <si>
    <t>花蓮縣</t>
    <phoneticPr fontId="1" type="noConversion"/>
  </si>
  <si>
    <t>花蓮市</t>
    <phoneticPr fontId="1" type="noConversion"/>
  </si>
  <si>
    <t>鳳林鎮</t>
    <phoneticPr fontId="1" type="noConversion"/>
  </si>
  <si>
    <t>玉里鎮</t>
    <phoneticPr fontId="1" type="noConversion"/>
  </si>
  <si>
    <t>新城鄉</t>
    <phoneticPr fontId="1" type="noConversion"/>
  </si>
  <si>
    <t>吉安鄉</t>
    <phoneticPr fontId="1" type="noConversion"/>
  </si>
  <si>
    <t>壽豐鄉</t>
    <phoneticPr fontId="1" type="noConversion"/>
  </si>
  <si>
    <t>光復鄉</t>
    <phoneticPr fontId="1" type="noConversion"/>
  </si>
  <si>
    <t>豐濱鄉</t>
    <phoneticPr fontId="1" type="noConversion"/>
  </si>
  <si>
    <t>瑞穗鄉</t>
    <phoneticPr fontId="1" type="noConversion"/>
  </si>
  <si>
    <t>富里鄉</t>
    <phoneticPr fontId="1" type="noConversion"/>
  </si>
  <si>
    <t>秀林鄉</t>
    <phoneticPr fontId="1" type="noConversion"/>
  </si>
  <si>
    <t>萬榮鄉</t>
    <phoneticPr fontId="1" type="noConversion"/>
  </si>
  <si>
    <t>卓溪鄉</t>
    <phoneticPr fontId="1" type="noConversion"/>
  </si>
  <si>
    <t>金馬</t>
    <phoneticPr fontId="1" type="noConversion"/>
  </si>
  <si>
    <t>金門縣</t>
    <phoneticPr fontId="1" type="noConversion"/>
  </si>
  <si>
    <t>無</t>
    <phoneticPr fontId="1" type="noConversion"/>
  </si>
  <si>
    <t>連江縣</t>
    <phoneticPr fontId="1" type="noConversion"/>
  </si>
  <si>
    <t>屯子腳、車籠埔斷層</t>
    <phoneticPr fontId="7" type="noConversion"/>
  </si>
  <si>
    <t>屯子腳斷層</t>
    <phoneticPr fontId="7" type="noConversion"/>
  </si>
  <si>
    <t>獅潭與神卓山、屯子腳、車籠埔斷層</t>
    <phoneticPr fontId="1" type="noConversion"/>
  </si>
  <si>
    <t>屯子腳、車籠埔斷層</t>
    <phoneticPr fontId="1" type="noConversion"/>
  </si>
  <si>
    <t>獅潭與神卓山、車籠埔斷層</t>
    <phoneticPr fontId="1" type="noConversion"/>
  </si>
  <si>
    <t>車籠埔、大尖山與觸口斷層</t>
    <phoneticPr fontId="1" type="noConversion"/>
  </si>
  <si>
    <t>大尖山與觸口、梅山斷層</t>
    <phoneticPr fontId="7" type="noConversion"/>
  </si>
  <si>
    <t>梅山、大尖山與觸口斷層</t>
    <phoneticPr fontId="1" type="noConversion"/>
  </si>
  <si>
    <t>大尖山與觸口、車籠埔斷層</t>
    <phoneticPr fontId="7" type="noConversion"/>
  </si>
  <si>
    <t>梅山、車籠埔斷層</t>
    <phoneticPr fontId="1" type="noConversion"/>
  </si>
  <si>
    <t>第二類</t>
    <phoneticPr fontId="18" type="noConversion"/>
  </si>
  <si>
    <t>第三類</t>
    <phoneticPr fontId="18" type="noConversion"/>
  </si>
  <si>
    <t>獅潭斷層</t>
    <phoneticPr fontId="1" type="noConversion"/>
  </si>
  <si>
    <t>屯子腳斷層</t>
    <phoneticPr fontId="1" type="noConversion"/>
  </si>
  <si>
    <t>堅實</t>
    <phoneticPr fontId="4" type="noConversion"/>
  </si>
  <si>
    <t>普通</t>
    <phoneticPr fontId="4" type="noConversion"/>
  </si>
  <si>
    <t>軟弱</t>
    <phoneticPr fontId="4" type="noConversion"/>
  </si>
  <si>
    <t>第一類</t>
    <phoneticPr fontId="18" type="noConversion"/>
  </si>
  <si>
    <r>
      <t>T</t>
    </r>
    <r>
      <rPr>
        <vertAlign val="subscript"/>
        <sz val="12"/>
        <rFont val="Times New Roman"/>
        <family val="1"/>
      </rPr>
      <t>0</t>
    </r>
    <r>
      <rPr>
        <vertAlign val="superscript"/>
        <sz val="12"/>
        <rFont val="Times New Roman"/>
        <family val="1"/>
      </rPr>
      <t>D</t>
    </r>
    <phoneticPr fontId="1" type="noConversion"/>
  </si>
  <si>
    <t>構造</t>
    <phoneticPr fontId="18" type="noConversion"/>
  </si>
  <si>
    <t>RC</t>
    <phoneticPr fontId="18" type="noConversion"/>
  </si>
  <si>
    <t>鋼構</t>
    <phoneticPr fontId="18" type="noConversion"/>
  </si>
  <si>
    <t>其他</t>
    <phoneticPr fontId="18" type="noConversion"/>
  </si>
  <si>
    <t>地盤分類</t>
    <phoneticPr fontId="7" type="noConversion"/>
  </si>
  <si>
    <t>地盤分類</t>
    <phoneticPr fontId="4" type="noConversion"/>
  </si>
  <si>
    <t>Z</t>
    <phoneticPr fontId="4" type="noConversion"/>
  </si>
  <si>
    <t>78~85</t>
    <phoneticPr fontId="4" type="noConversion"/>
  </si>
  <si>
    <t>T =</t>
    <phoneticPr fontId="4" type="noConversion"/>
  </si>
  <si>
    <t>K =</t>
    <phoneticPr fontId="4" type="noConversion"/>
  </si>
  <si>
    <t>C =</t>
    <phoneticPr fontId="4" type="noConversion"/>
  </si>
  <si>
    <t>I =</t>
    <phoneticPr fontId="4" type="noConversion"/>
  </si>
  <si>
    <t>Cs =</t>
    <phoneticPr fontId="4" type="noConversion"/>
  </si>
  <si>
    <t>中震區</t>
    <phoneticPr fontId="4" type="noConversion"/>
  </si>
  <si>
    <t>地震二區</t>
    <phoneticPr fontId="4" type="noConversion"/>
  </si>
  <si>
    <t>86~88</t>
    <phoneticPr fontId="4" type="noConversion"/>
  </si>
  <si>
    <t>強震區</t>
    <phoneticPr fontId="4" type="noConversion"/>
  </si>
  <si>
    <t>地震一甲區</t>
    <phoneticPr fontId="4" type="noConversion"/>
  </si>
  <si>
    <t>地震一乙區</t>
    <phoneticPr fontId="4" type="noConversion"/>
  </si>
  <si>
    <t>地震三區</t>
    <phoneticPr fontId="4" type="noConversion"/>
  </si>
  <si>
    <t>89~94</t>
    <phoneticPr fontId="4" type="noConversion"/>
  </si>
  <si>
    <t>甲區</t>
    <phoneticPr fontId="4" type="noConversion"/>
  </si>
  <si>
    <t>乙區</t>
    <phoneticPr fontId="4" type="noConversion"/>
  </si>
  <si>
    <t>輕震區</t>
    <phoneticPr fontId="4" type="noConversion"/>
  </si>
  <si>
    <t>Z =</t>
    <phoneticPr fontId="4" type="noConversion"/>
  </si>
  <si>
    <t xml:space="preserve"> I =</t>
    <phoneticPr fontId="4" type="noConversion"/>
  </si>
  <si>
    <t>用途係數</t>
  </si>
  <si>
    <t xml:space="preserve"> C =</t>
    <phoneticPr fontId="4" type="noConversion"/>
  </si>
  <si>
    <t>震力係數</t>
    <phoneticPr fontId="7" type="noConversion"/>
  </si>
  <si>
    <t>震區係數</t>
    <phoneticPr fontId="7" type="noConversion"/>
  </si>
  <si>
    <t>組構係數</t>
    <phoneticPr fontId="7" type="noConversion"/>
  </si>
  <si>
    <t>基本振動周期</t>
    <phoneticPr fontId="7" type="noConversion"/>
  </si>
  <si>
    <t>1/8/T^0.5</t>
    <phoneticPr fontId="4" type="noConversion"/>
  </si>
  <si>
    <t>C</t>
    <phoneticPr fontId="7" type="noConversion"/>
  </si>
  <si>
    <t>Fu</t>
    <phoneticPr fontId="7" type="noConversion"/>
  </si>
  <si>
    <t>(2*Ra-1)^0.5</t>
    <phoneticPr fontId="4" type="noConversion"/>
  </si>
  <si>
    <t>結構系統地震力折減係數</t>
    <phoneticPr fontId="7" type="noConversion"/>
  </si>
  <si>
    <t>容許韌性容量</t>
    <phoneticPr fontId="7" type="noConversion"/>
  </si>
  <si>
    <t>用途係數</t>
    <phoneticPr fontId="7" type="noConversion"/>
  </si>
  <si>
    <t>震區水平加速度係數</t>
    <phoneticPr fontId="7" type="noConversion"/>
  </si>
  <si>
    <t>起始降伏地震力放大倍數</t>
    <phoneticPr fontId="7" type="noConversion"/>
  </si>
  <si>
    <t>工址正規化水平加速度反應譜係數</t>
    <phoneticPr fontId="7" type="noConversion"/>
  </si>
  <si>
    <t>(C/Fu)m</t>
    <phoneticPr fontId="7" type="noConversion"/>
  </si>
  <si>
    <t>C/Fu</t>
    <phoneticPr fontId="7" type="noConversion"/>
  </si>
  <si>
    <t>K</t>
    <phoneticPr fontId="7" type="noConversion"/>
  </si>
  <si>
    <t>D</t>
    <phoneticPr fontId="7" type="noConversion"/>
  </si>
  <si>
    <t>L</t>
    <phoneticPr fontId="7" type="noConversion"/>
  </si>
  <si>
    <t>E</t>
    <phoneticPr fontId="7" type="noConversion"/>
  </si>
  <si>
    <t>95~99</t>
    <phoneticPr fontId="7" type="noConversion"/>
  </si>
  <si>
    <t>距離</t>
    <phoneticPr fontId="18" type="noConversion"/>
  </si>
  <si>
    <t>大安區</t>
    <phoneticPr fontId="1" type="noConversion"/>
  </si>
  <si>
    <t>內湖區</t>
    <phoneticPr fontId="1" type="noConversion"/>
  </si>
  <si>
    <t>南港區</t>
    <phoneticPr fontId="1" type="noConversion"/>
  </si>
  <si>
    <t>興珍里</t>
    <phoneticPr fontId="1" type="noConversion"/>
  </si>
  <si>
    <t>三愛里</t>
    <phoneticPr fontId="1" type="noConversion"/>
  </si>
  <si>
    <t>更寮里</t>
    <phoneticPr fontId="1" type="noConversion"/>
  </si>
  <si>
    <t>幸市里</t>
    <phoneticPr fontId="1" type="noConversion"/>
  </si>
  <si>
    <t>集福里</t>
    <phoneticPr fontId="1" type="noConversion"/>
  </si>
  <si>
    <t>梅花里</t>
    <phoneticPr fontId="1" type="noConversion"/>
  </si>
  <si>
    <t>台北微分區</t>
    <phoneticPr fontId="1" type="noConversion"/>
  </si>
  <si>
    <t>成州里</t>
    <phoneticPr fontId="1" type="noConversion"/>
  </si>
  <si>
    <t>水源里</t>
    <phoneticPr fontId="1" type="noConversion"/>
  </si>
  <si>
    <t>成功里</t>
    <phoneticPr fontId="1" type="noConversion"/>
  </si>
  <si>
    <t>富水里</t>
    <phoneticPr fontId="1" type="noConversion"/>
  </si>
  <si>
    <t>工址水平譜加速度係數</t>
    <phoneticPr fontId="1" type="noConversion"/>
  </si>
  <si>
    <t>五股里</t>
    <phoneticPr fontId="1" type="noConversion"/>
  </si>
  <si>
    <t>文盛里</t>
    <phoneticPr fontId="1" type="noConversion"/>
  </si>
  <si>
    <t>五福里</t>
    <phoneticPr fontId="1" type="noConversion"/>
  </si>
  <si>
    <t>林興里</t>
    <phoneticPr fontId="1" type="noConversion"/>
  </si>
  <si>
    <t>德音里</t>
    <phoneticPr fontId="1" type="noConversion"/>
  </si>
  <si>
    <t>河堤里</t>
    <phoneticPr fontId="1" type="noConversion"/>
  </si>
  <si>
    <t>結構系統</t>
    <phoneticPr fontId="1" type="noConversion"/>
  </si>
  <si>
    <t>陸一里</t>
    <phoneticPr fontId="1" type="noConversion"/>
  </si>
  <si>
    <t>頂東里</t>
    <phoneticPr fontId="1" type="noConversion"/>
  </si>
  <si>
    <t>貿商里</t>
    <phoneticPr fontId="1" type="noConversion"/>
  </si>
  <si>
    <t>網溪里</t>
    <phoneticPr fontId="1" type="noConversion"/>
  </si>
  <si>
    <t>經驗公式分類</t>
    <phoneticPr fontId="1" type="noConversion"/>
  </si>
  <si>
    <t>徳泰里</t>
    <phoneticPr fontId="1" type="noConversion"/>
  </si>
  <si>
    <t>板溪里</t>
    <phoneticPr fontId="1" type="noConversion"/>
  </si>
  <si>
    <t>成德里</t>
    <phoneticPr fontId="1" type="noConversion"/>
  </si>
  <si>
    <t>螢圃里</t>
    <phoneticPr fontId="1" type="noConversion"/>
  </si>
  <si>
    <t>用途係數 I</t>
    <phoneticPr fontId="1" type="noConversion"/>
  </si>
  <si>
    <t>螢雪里</t>
    <phoneticPr fontId="1" type="noConversion"/>
  </si>
  <si>
    <t>系統韌性容量R</t>
    <phoneticPr fontId="1" type="noConversion"/>
  </si>
  <si>
    <t>福興里</t>
    <phoneticPr fontId="1" type="noConversion"/>
  </si>
  <si>
    <t>永功里</t>
    <phoneticPr fontId="1" type="noConversion"/>
  </si>
  <si>
    <t>永昌里</t>
    <phoneticPr fontId="1" type="noConversion"/>
  </si>
  <si>
    <t>福德里</t>
    <phoneticPr fontId="1" type="noConversion"/>
  </si>
  <si>
    <t>龍興里</t>
    <phoneticPr fontId="1" type="noConversion"/>
  </si>
  <si>
    <t>工址設計水平譜加速度係數</t>
    <phoneticPr fontId="1" type="noConversion"/>
  </si>
  <si>
    <t>忠勤里</t>
    <phoneticPr fontId="1" type="noConversion"/>
  </si>
  <si>
    <t>廈安里</t>
    <phoneticPr fontId="1" type="noConversion"/>
  </si>
  <si>
    <t>愛國里</t>
    <phoneticPr fontId="1" type="noConversion"/>
  </si>
  <si>
    <t>南門里</t>
    <phoneticPr fontId="1" type="noConversion"/>
  </si>
  <si>
    <t>龍光里</t>
    <phoneticPr fontId="1" type="noConversion"/>
  </si>
  <si>
    <t>南福里</t>
    <phoneticPr fontId="1" type="noConversion"/>
  </si>
  <si>
    <t>龍福里</t>
    <phoneticPr fontId="1" type="noConversion"/>
  </si>
  <si>
    <t>新營里</t>
    <phoneticPr fontId="1" type="noConversion"/>
  </si>
  <si>
    <t>避免中小度地震下降伏之設計地震力 V*</t>
    <phoneticPr fontId="1" type="noConversion"/>
  </si>
  <si>
    <t>建國里</t>
    <phoneticPr fontId="1" type="noConversion"/>
  </si>
  <si>
    <t>光復里</t>
    <phoneticPr fontId="1" type="noConversion"/>
  </si>
  <si>
    <t>黎明里</t>
    <phoneticPr fontId="1" type="noConversion"/>
  </si>
  <si>
    <t>幸福里</t>
    <phoneticPr fontId="1" type="noConversion"/>
  </si>
  <si>
    <t>東門里</t>
    <phoneticPr fontId="1" type="noConversion"/>
  </si>
  <si>
    <t>文北里</t>
    <phoneticPr fontId="1" type="noConversion"/>
  </si>
  <si>
    <t>文祥里</t>
    <phoneticPr fontId="1" type="noConversion"/>
  </si>
  <si>
    <t>1989~1996建築技術規則</t>
    <phoneticPr fontId="1" type="noConversion"/>
  </si>
  <si>
    <t>震區</t>
    <phoneticPr fontId="1" type="noConversion"/>
  </si>
  <si>
    <t>中震區</t>
    <phoneticPr fontId="1" type="noConversion"/>
  </si>
  <si>
    <t>震力係數Z</t>
    <phoneticPr fontId="1" type="noConversion"/>
  </si>
  <si>
    <t>橫力係數C</t>
    <phoneticPr fontId="1" type="noConversion"/>
  </si>
  <si>
    <t>最小設計水平總橫力 V=ZKCIW</t>
    <phoneticPr fontId="1" type="noConversion"/>
  </si>
  <si>
    <t>台北三區</t>
    <phoneticPr fontId="1" type="noConversion"/>
  </si>
  <si>
    <t>台北一區</t>
    <phoneticPr fontId="1" type="noConversion"/>
  </si>
  <si>
    <t>台北二區</t>
    <phoneticPr fontId="1" type="noConversion"/>
  </si>
  <si>
    <t>R</t>
    <phoneticPr fontId="1" type="noConversion"/>
  </si>
  <si>
    <t>Ra</t>
    <phoneticPr fontId="1" type="noConversion"/>
  </si>
  <si>
    <t>I</t>
    <phoneticPr fontId="1" type="noConversion"/>
  </si>
  <si>
    <t>αy</t>
    <phoneticPr fontId="1" type="noConversion"/>
  </si>
  <si>
    <t>1989~1996建技</t>
    <phoneticPr fontId="1" type="noConversion"/>
  </si>
  <si>
    <t>Sds</t>
    <phoneticPr fontId="1" type="noConversion"/>
  </si>
  <si>
    <r>
      <t>S</t>
    </r>
    <r>
      <rPr>
        <vertAlign val="subscript"/>
        <sz val="12"/>
        <color indexed="8"/>
        <rFont val="新細明體"/>
        <family val="1"/>
        <charset val="136"/>
      </rPr>
      <t>M</t>
    </r>
    <r>
      <rPr>
        <sz val="12"/>
        <color theme="1"/>
        <rFont val="新細明體"/>
        <family val="1"/>
        <charset val="136"/>
        <scheme val="minor"/>
      </rPr>
      <t>s</t>
    </r>
    <phoneticPr fontId="1" type="noConversion"/>
  </si>
  <si>
    <t>Z</t>
    <phoneticPr fontId="1" type="noConversion"/>
  </si>
  <si>
    <t>K</t>
    <phoneticPr fontId="1" type="noConversion"/>
  </si>
  <si>
    <t>0.2T0</t>
    <phoneticPr fontId="1" type="noConversion"/>
  </si>
  <si>
    <t>T0</t>
    <phoneticPr fontId="1" type="noConversion"/>
  </si>
  <si>
    <t>2.5T0</t>
    <phoneticPr fontId="1" type="noConversion"/>
  </si>
  <si>
    <t>自振週期標示線</t>
    <phoneticPr fontId="1" type="noConversion"/>
  </si>
  <si>
    <t>Sa(g)</t>
    <phoneticPr fontId="1" type="noConversion"/>
  </si>
  <si>
    <t>Sd(cm)</t>
    <phoneticPr fontId="1" type="noConversion"/>
  </si>
  <si>
    <t>Fu</t>
    <phoneticPr fontId="1" type="noConversion"/>
  </si>
  <si>
    <t>(SaD/Fu)m</t>
    <phoneticPr fontId="1" type="noConversion"/>
  </si>
  <si>
    <t>SaM(g)</t>
    <phoneticPr fontId="1" type="noConversion"/>
  </si>
  <si>
    <t>SdM(cm)</t>
    <phoneticPr fontId="1" type="noConversion"/>
  </si>
  <si>
    <t>FuM</t>
    <phoneticPr fontId="1" type="noConversion"/>
  </si>
  <si>
    <t>(SaM/Fu)m</t>
    <phoneticPr fontId="1" type="noConversion"/>
  </si>
  <si>
    <t>V*</t>
    <phoneticPr fontId="1" type="noConversion"/>
  </si>
  <si>
    <t>VM</t>
    <phoneticPr fontId="1" type="noConversion"/>
  </si>
  <si>
    <t>Cs</t>
    <phoneticPr fontId="1" type="noConversion"/>
  </si>
  <si>
    <t>y</t>
    <phoneticPr fontId="1" type="noConversion"/>
  </si>
  <si>
    <t>x</t>
    <phoneticPr fontId="1" type="noConversion"/>
  </si>
  <si>
    <t>C</t>
    <phoneticPr fontId="1" type="noConversion"/>
  </si>
  <si>
    <t>基本振動週期T=</t>
    <phoneticPr fontId="1" type="noConversion"/>
  </si>
  <si>
    <t>s</t>
    <phoneticPr fontId="1" type="noConversion"/>
  </si>
  <si>
    <t>正守里</t>
  </si>
  <si>
    <t>正義里</t>
  </si>
  <si>
    <t>康樂里</t>
  </si>
  <si>
    <t>中山里</t>
  </si>
  <si>
    <t>聚盛里</t>
  </si>
  <si>
    <t>聚葉里</t>
  </si>
  <si>
    <t>恆安里</t>
  </si>
  <si>
    <t>晴光里</t>
  </si>
  <si>
    <t>圓山里</t>
  </si>
  <si>
    <t>劍潭里</t>
  </si>
  <si>
    <t>大直里</t>
  </si>
  <si>
    <t>成功里</t>
  </si>
  <si>
    <t>永安里</t>
  </si>
  <si>
    <t>大佳里</t>
  </si>
  <si>
    <t>新喜里</t>
  </si>
  <si>
    <t>新庄里</t>
  </si>
  <si>
    <t>新福里</t>
  </si>
  <si>
    <t>松江里</t>
  </si>
  <si>
    <t>新生里</t>
  </si>
  <si>
    <t>中庄里</t>
  </si>
  <si>
    <t>行政里</t>
  </si>
  <si>
    <t>行仁里</t>
  </si>
  <si>
    <t>行孝里</t>
  </si>
  <si>
    <t>下埤里</t>
  </si>
  <si>
    <t>江寧里</t>
  </si>
  <si>
    <t>江山里</t>
  </si>
  <si>
    <t>中吉里</t>
  </si>
  <si>
    <t>中原里</t>
  </si>
  <si>
    <t>興亞里</t>
  </si>
  <si>
    <t>中央里</t>
  </si>
  <si>
    <t>朱馥里</t>
  </si>
  <si>
    <t>龍洲里</t>
  </si>
  <si>
    <t>朱園里</t>
  </si>
  <si>
    <t>埤頭里</t>
  </si>
  <si>
    <t>朱崙里</t>
  </si>
  <si>
    <t>力行里</t>
  </si>
  <si>
    <t>復華里</t>
  </si>
  <si>
    <t>北安里</t>
  </si>
  <si>
    <t>中山區</t>
    <phoneticPr fontId="7" type="noConversion"/>
  </si>
  <si>
    <t>正得里</t>
    <phoneticPr fontId="1" type="noConversion"/>
  </si>
  <si>
    <t>民安里</t>
    <phoneticPr fontId="1" type="noConversion"/>
  </si>
  <si>
    <t>集英里</t>
    <phoneticPr fontId="1" type="noConversion"/>
  </si>
  <si>
    <t>金泰里</t>
    <phoneticPr fontId="1" type="noConversion"/>
  </si>
  <si>
    <t>榮華里</t>
    <phoneticPr fontId="1" type="noConversion"/>
  </si>
  <si>
    <t>裕民里</t>
    <phoneticPr fontId="1" type="noConversion"/>
  </si>
  <si>
    <t>振華里</t>
    <phoneticPr fontId="1" type="noConversion"/>
  </si>
  <si>
    <t>永明里</t>
    <phoneticPr fontId="1" type="noConversion"/>
  </si>
  <si>
    <t>吉利里</t>
    <phoneticPr fontId="1" type="noConversion"/>
  </si>
  <si>
    <t>尊賢里</t>
    <phoneticPr fontId="1" type="noConversion"/>
  </si>
  <si>
    <t>立農里</t>
    <phoneticPr fontId="1" type="noConversion"/>
  </si>
  <si>
    <t>八仙里</t>
    <phoneticPr fontId="1" type="noConversion"/>
  </si>
  <si>
    <t>一德里</t>
    <phoneticPr fontId="1" type="noConversion"/>
  </si>
  <si>
    <t>永欣里</t>
    <phoneticPr fontId="1" type="noConversion"/>
  </si>
  <si>
    <t>東華里</t>
    <phoneticPr fontId="1" type="noConversion"/>
  </si>
  <si>
    <t>奇岩里</t>
    <phoneticPr fontId="1" type="noConversion"/>
  </si>
  <si>
    <t>清江里</t>
    <phoneticPr fontId="1" type="noConversion"/>
  </si>
  <si>
    <t>中央里</t>
    <phoneticPr fontId="1" type="noConversion"/>
  </si>
  <si>
    <t>長安里</t>
    <phoneticPr fontId="1" type="noConversion"/>
  </si>
  <si>
    <t>大同里</t>
    <phoneticPr fontId="1" type="noConversion"/>
  </si>
  <si>
    <t>溫泉里</t>
    <phoneticPr fontId="1" type="noConversion"/>
  </si>
  <si>
    <t>中心里</t>
    <phoneticPr fontId="1" type="noConversion"/>
  </si>
  <si>
    <t>中庸里</t>
    <phoneticPr fontId="1" type="noConversion"/>
  </si>
  <si>
    <t>智仁里</t>
    <phoneticPr fontId="1" type="noConversion"/>
  </si>
  <si>
    <t>文化里</t>
    <phoneticPr fontId="1" type="noConversion"/>
  </si>
  <si>
    <t>豐年里</t>
    <phoneticPr fontId="1" type="noConversion"/>
  </si>
  <si>
    <t>稻香里</t>
    <phoneticPr fontId="1" type="noConversion"/>
  </si>
  <si>
    <t>桃源里</t>
    <phoneticPr fontId="1" type="noConversion"/>
  </si>
  <si>
    <t>建民里</t>
    <phoneticPr fontId="1" type="noConversion"/>
  </si>
  <si>
    <t>文林里</t>
    <phoneticPr fontId="1" type="noConversion"/>
  </si>
  <si>
    <t>石牌里</t>
    <phoneticPr fontId="1" type="noConversion"/>
  </si>
  <si>
    <t>榮光里</t>
    <phoneticPr fontId="1" type="noConversion"/>
  </si>
  <si>
    <t>吉慶里</t>
    <phoneticPr fontId="1" type="noConversion"/>
  </si>
  <si>
    <t>立賢里</t>
    <phoneticPr fontId="1" type="noConversion"/>
  </si>
  <si>
    <t>洲美里</t>
    <phoneticPr fontId="1" type="noConversion"/>
  </si>
  <si>
    <t>關渡里</t>
    <phoneticPr fontId="1" type="noConversion"/>
  </si>
  <si>
    <t>北投區</t>
    <phoneticPr fontId="1" type="noConversion"/>
  </si>
  <si>
    <t>中山區</t>
    <phoneticPr fontId="1" type="noConversion"/>
  </si>
  <si>
    <t>中正區</t>
    <phoneticPr fontId="1" type="noConversion"/>
  </si>
  <si>
    <t>臺北盆地</t>
    <phoneticPr fontId="18" type="noConversion"/>
  </si>
  <si>
    <r>
      <t>S</t>
    </r>
    <r>
      <rPr>
        <vertAlign val="subscript"/>
        <sz val="12"/>
        <rFont val="華康仿宋體W6(P)"/>
        <family val="1"/>
        <charset val="136"/>
      </rPr>
      <t>DS</t>
    </r>
    <phoneticPr fontId="1" type="noConversion"/>
  </si>
  <si>
    <r>
      <t>S</t>
    </r>
    <r>
      <rPr>
        <vertAlign val="subscript"/>
        <sz val="12"/>
        <rFont val="華康仿宋體W6(P)"/>
        <family val="1"/>
        <charset val="136"/>
      </rPr>
      <t>MS</t>
    </r>
    <phoneticPr fontId="1" type="noConversion"/>
  </si>
  <si>
    <t>微分區</t>
    <phoneticPr fontId="1" type="noConversion"/>
  </si>
  <si>
    <t>里</t>
    <phoneticPr fontId="7" type="noConversion"/>
  </si>
  <si>
    <t>景行里</t>
    <phoneticPr fontId="1" type="noConversion"/>
  </si>
  <si>
    <t>景東里</t>
    <phoneticPr fontId="1" type="noConversion"/>
  </si>
  <si>
    <t>景美里</t>
    <phoneticPr fontId="1" type="noConversion"/>
  </si>
  <si>
    <t>景慶里</t>
    <phoneticPr fontId="1" type="noConversion"/>
  </si>
  <si>
    <t>景仁里</t>
    <phoneticPr fontId="1" type="noConversion"/>
  </si>
  <si>
    <t>景華里</t>
    <phoneticPr fontId="1" type="noConversion"/>
  </si>
  <si>
    <t>萬有里</t>
    <phoneticPr fontId="1" type="noConversion"/>
  </si>
  <si>
    <t>萬祥里</t>
    <phoneticPr fontId="1" type="noConversion"/>
  </si>
  <si>
    <t>萬隆里</t>
    <phoneticPr fontId="1" type="noConversion"/>
  </si>
  <si>
    <t>萬年里</t>
    <phoneticPr fontId="1" type="noConversion"/>
  </si>
  <si>
    <t>萬和里</t>
    <phoneticPr fontId="1" type="noConversion"/>
  </si>
  <si>
    <t>萬盛里</t>
    <phoneticPr fontId="1" type="noConversion"/>
  </si>
  <si>
    <t>興豐里</t>
    <phoneticPr fontId="1" type="noConversion"/>
  </si>
  <si>
    <t>興光里</t>
    <phoneticPr fontId="1" type="noConversion"/>
  </si>
  <si>
    <t>興家里</t>
    <phoneticPr fontId="1" type="noConversion"/>
  </si>
  <si>
    <t>興得里</t>
    <phoneticPr fontId="1" type="noConversion"/>
  </si>
  <si>
    <t>興業里</t>
    <phoneticPr fontId="1" type="noConversion"/>
  </si>
  <si>
    <t>興安里</t>
    <phoneticPr fontId="1" type="noConversion"/>
  </si>
  <si>
    <t>興福里</t>
    <phoneticPr fontId="1" type="noConversion"/>
  </si>
  <si>
    <t>興旺里</t>
    <phoneticPr fontId="1" type="noConversion"/>
  </si>
  <si>
    <t>興泰里</t>
    <phoneticPr fontId="1" type="noConversion"/>
  </si>
  <si>
    <t>興昌里</t>
    <phoneticPr fontId="1" type="noConversion"/>
  </si>
  <si>
    <t>試院里</t>
    <phoneticPr fontId="1" type="noConversion"/>
  </si>
  <si>
    <t>華興里</t>
    <phoneticPr fontId="1" type="noConversion"/>
  </si>
  <si>
    <t>明義里</t>
    <phoneticPr fontId="1" type="noConversion"/>
  </si>
  <si>
    <t>明興里</t>
    <phoneticPr fontId="1" type="noConversion"/>
  </si>
  <si>
    <t>木柵里</t>
    <phoneticPr fontId="1" type="noConversion"/>
  </si>
  <si>
    <t>木新里</t>
    <phoneticPr fontId="1" type="noConversion"/>
  </si>
  <si>
    <t>順興里</t>
    <phoneticPr fontId="1" type="noConversion"/>
  </si>
  <si>
    <t>樟林里</t>
    <phoneticPr fontId="1" type="noConversion"/>
  </si>
  <si>
    <t>樟新里</t>
    <phoneticPr fontId="1" type="noConversion"/>
  </si>
  <si>
    <t>樟腳里</t>
    <phoneticPr fontId="1" type="noConversion"/>
  </si>
  <si>
    <t>萬興里</t>
    <phoneticPr fontId="1" type="noConversion"/>
  </si>
  <si>
    <t>忠順里</t>
    <phoneticPr fontId="1" type="noConversion"/>
  </si>
  <si>
    <t>大同區</t>
    <phoneticPr fontId="7" type="noConversion"/>
  </si>
  <si>
    <t>臺北市　</t>
    <phoneticPr fontId="1" type="noConversion"/>
  </si>
  <si>
    <t>所有里</t>
    <phoneticPr fontId="1" type="noConversion"/>
  </si>
  <si>
    <t>精忠里</t>
    <phoneticPr fontId="1" type="noConversion"/>
  </si>
  <si>
    <t>龍田里</t>
    <phoneticPr fontId="1" type="noConversion"/>
  </si>
  <si>
    <t>東昌里</t>
    <phoneticPr fontId="1" type="noConversion"/>
  </si>
  <si>
    <t>東勢里</t>
    <phoneticPr fontId="1" type="noConversion"/>
  </si>
  <si>
    <t>中華里</t>
    <phoneticPr fontId="1" type="noConversion"/>
  </si>
  <si>
    <t>民有里</t>
    <phoneticPr fontId="1" type="noConversion"/>
  </si>
  <si>
    <t>民福里</t>
    <phoneticPr fontId="1" type="noConversion"/>
  </si>
  <si>
    <t>中正里</t>
    <phoneticPr fontId="1" type="noConversion"/>
  </si>
  <si>
    <t>中崙里</t>
    <phoneticPr fontId="1" type="noConversion"/>
  </si>
  <si>
    <t>美仁里</t>
    <phoneticPr fontId="1" type="noConversion"/>
  </si>
  <si>
    <t>吉仁里</t>
    <phoneticPr fontId="1" type="noConversion"/>
  </si>
  <si>
    <t>敦化里</t>
    <phoneticPr fontId="1" type="noConversion"/>
  </si>
  <si>
    <t>福成里</t>
    <phoneticPr fontId="1" type="noConversion"/>
  </si>
  <si>
    <t>松基里</t>
    <phoneticPr fontId="1" type="noConversion"/>
  </si>
  <si>
    <r>
      <rPr>
        <b/>
        <sz val="12"/>
        <rFont val="新細明體"/>
        <family val="1"/>
        <charset val="136"/>
      </rPr>
      <t>松山區</t>
    </r>
    <phoneticPr fontId="1" type="noConversion"/>
  </si>
  <si>
    <r>
      <rPr>
        <b/>
        <sz val="12"/>
        <rFont val="新細明體"/>
        <family val="1"/>
        <charset val="136"/>
      </rPr>
      <t>萬華區</t>
    </r>
    <phoneticPr fontId="1" type="noConversion"/>
  </si>
  <si>
    <r>
      <rPr>
        <b/>
        <sz val="12"/>
        <rFont val="新細明體"/>
        <family val="1"/>
        <charset val="136"/>
      </rPr>
      <t>大安區</t>
    </r>
    <phoneticPr fontId="1" type="noConversion"/>
  </si>
  <si>
    <t>莊敬里</t>
    <phoneticPr fontId="1" type="noConversion"/>
  </si>
  <si>
    <t>東榮里</t>
    <phoneticPr fontId="1" type="noConversion"/>
  </si>
  <si>
    <t>三民里</t>
    <phoneticPr fontId="1" type="noConversion"/>
  </si>
  <si>
    <t>新益里</t>
    <phoneticPr fontId="1" type="noConversion"/>
  </si>
  <si>
    <t>富錦里</t>
    <phoneticPr fontId="1" type="noConversion"/>
  </si>
  <si>
    <t>新東里</t>
    <phoneticPr fontId="1" type="noConversion"/>
  </si>
  <si>
    <t>富泰里</t>
    <phoneticPr fontId="1" type="noConversion"/>
  </si>
  <si>
    <t>介壽里</t>
    <phoneticPr fontId="1" type="noConversion"/>
  </si>
  <si>
    <t>東光里</t>
    <phoneticPr fontId="1" type="noConversion"/>
  </si>
  <si>
    <t>安平里</t>
    <phoneticPr fontId="1" type="noConversion"/>
  </si>
  <si>
    <t>鵬程里</t>
    <phoneticPr fontId="1" type="noConversion"/>
  </si>
  <si>
    <t>自強里</t>
    <phoneticPr fontId="1" type="noConversion"/>
  </si>
  <si>
    <t>吉祥里</t>
    <phoneticPr fontId="1" type="noConversion"/>
  </si>
  <si>
    <t>新聚里</t>
    <phoneticPr fontId="1" type="noConversion"/>
  </si>
  <si>
    <t>復盛里</t>
    <phoneticPr fontId="1" type="noConversion"/>
  </si>
  <si>
    <t>復源里</t>
    <phoneticPr fontId="1" type="noConversion"/>
  </si>
  <si>
    <t>復建里</t>
    <phoneticPr fontId="1" type="noConversion"/>
  </si>
  <si>
    <t>復勢里</t>
    <phoneticPr fontId="1" type="noConversion"/>
  </si>
  <si>
    <t>慈祐里</t>
    <phoneticPr fontId="1" type="noConversion"/>
  </si>
  <si>
    <t>德安里</t>
    <phoneticPr fontId="1" type="noConversion"/>
  </si>
  <si>
    <t>仁慈里</t>
    <phoneticPr fontId="1" type="noConversion"/>
  </si>
  <si>
    <t>和安里</t>
    <phoneticPr fontId="1" type="noConversion"/>
  </si>
  <si>
    <t>民炤里</t>
    <phoneticPr fontId="1" type="noConversion"/>
  </si>
  <si>
    <t>仁愛里</t>
    <phoneticPr fontId="1" type="noConversion"/>
  </si>
  <si>
    <t>義村里</t>
    <phoneticPr fontId="1" type="noConversion"/>
  </si>
  <si>
    <t>民輝里</t>
    <phoneticPr fontId="1" type="noConversion"/>
  </si>
  <si>
    <t>昌隆里</t>
    <phoneticPr fontId="1" type="noConversion"/>
  </si>
  <si>
    <t>誠安里</t>
    <phoneticPr fontId="1" type="noConversion"/>
  </si>
  <si>
    <t>光武里</t>
    <phoneticPr fontId="1" type="noConversion"/>
  </si>
  <si>
    <t>龍圖里</t>
    <phoneticPr fontId="1" type="noConversion"/>
  </si>
  <si>
    <t>住安里</t>
    <phoneticPr fontId="1" type="noConversion"/>
  </si>
  <si>
    <t>建安里</t>
    <phoneticPr fontId="1" type="noConversion"/>
  </si>
  <si>
    <t>建倫里</t>
    <phoneticPr fontId="1" type="noConversion"/>
  </si>
  <si>
    <t>龍坡里</t>
    <phoneticPr fontId="1" type="noConversion"/>
  </si>
  <si>
    <t>龍泉里</t>
    <phoneticPr fontId="1" type="noConversion"/>
  </si>
  <si>
    <t>古風里</t>
    <phoneticPr fontId="1" type="noConversion"/>
  </si>
  <si>
    <t>古莊里</t>
    <phoneticPr fontId="1" type="noConversion"/>
  </si>
  <si>
    <t>龍安里</t>
    <phoneticPr fontId="1" type="noConversion"/>
  </si>
  <si>
    <t>錦安里</t>
    <phoneticPr fontId="1" type="noConversion"/>
  </si>
  <si>
    <t>福住里</t>
    <phoneticPr fontId="1" type="noConversion"/>
  </si>
  <si>
    <t>永康里</t>
    <phoneticPr fontId="1" type="noConversion"/>
  </si>
  <si>
    <t>光明里</t>
    <phoneticPr fontId="1" type="noConversion"/>
  </si>
  <si>
    <t>錦泰里</t>
    <phoneticPr fontId="1" type="noConversion"/>
  </si>
  <si>
    <t>錦華里</t>
    <phoneticPr fontId="1" type="noConversion"/>
  </si>
  <si>
    <t>新龍里</t>
    <phoneticPr fontId="1" type="noConversion"/>
  </si>
  <si>
    <t>龍陣里</t>
    <phoneticPr fontId="1" type="noConversion"/>
  </si>
  <si>
    <t>龍雲里</t>
    <phoneticPr fontId="1" type="noConversion"/>
  </si>
  <si>
    <t>龍生里</t>
    <phoneticPr fontId="1" type="noConversion"/>
  </si>
  <si>
    <t>義安里</t>
    <phoneticPr fontId="1" type="noConversion"/>
  </si>
  <si>
    <t>通化里</t>
    <phoneticPr fontId="1" type="noConversion"/>
  </si>
  <si>
    <t>通安里</t>
    <phoneticPr fontId="1" type="noConversion"/>
  </si>
  <si>
    <t>臨江里</t>
    <phoneticPr fontId="1" type="noConversion"/>
  </si>
  <si>
    <t>法治里</t>
    <phoneticPr fontId="1" type="noConversion"/>
  </si>
  <si>
    <t>全安里</t>
    <phoneticPr fontId="1" type="noConversion"/>
  </si>
  <si>
    <t>群賢里</t>
    <phoneticPr fontId="1" type="noConversion"/>
  </si>
  <si>
    <t>群英里</t>
    <phoneticPr fontId="1" type="noConversion"/>
  </si>
  <si>
    <t>虎嘯里</t>
    <phoneticPr fontId="1" type="noConversion"/>
  </si>
  <si>
    <t>臥龍里</t>
    <phoneticPr fontId="1" type="noConversion"/>
  </si>
  <si>
    <t>龍淵里</t>
    <phoneticPr fontId="1" type="noConversion"/>
  </si>
  <si>
    <t>龍門里</t>
    <phoneticPr fontId="1" type="noConversion"/>
  </si>
  <si>
    <t>大學里</t>
    <phoneticPr fontId="1" type="noConversion"/>
  </si>
  <si>
    <t>芳和里</t>
    <phoneticPr fontId="1" type="noConversion"/>
  </si>
  <si>
    <t>敦安里</t>
    <phoneticPr fontId="1" type="noConversion"/>
  </si>
  <si>
    <t>正聲里</t>
    <phoneticPr fontId="1" type="noConversion"/>
  </si>
  <si>
    <t>敦煌里</t>
    <phoneticPr fontId="1" type="noConversion"/>
  </si>
  <si>
    <t>華聲里</t>
    <phoneticPr fontId="1" type="noConversion"/>
  </si>
  <si>
    <t>車層里</t>
    <phoneticPr fontId="1" type="noConversion"/>
  </si>
  <si>
    <t>光信里</t>
    <phoneticPr fontId="1" type="noConversion"/>
  </si>
  <si>
    <t>學府里</t>
    <phoneticPr fontId="1" type="noConversion"/>
  </si>
  <si>
    <t>台北市</t>
    <phoneticPr fontId="1" type="noConversion"/>
  </si>
  <si>
    <t>新北市</t>
    <phoneticPr fontId="1" type="noConversion"/>
  </si>
  <si>
    <t>松山區</t>
    <phoneticPr fontId="1" type="noConversion"/>
  </si>
  <si>
    <t>萬華區</t>
    <phoneticPr fontId="1" type="noConversion"/>
  </si>
  <si>
    <t>信義區</t>
    <phoneticPr fontId="1" type="noConversion"/>
  </si>
  <si>
    <t>士林區</t>
    <phoneticPr fontId="7" type="noConversion"/>
  </si>
  <si>
    <t>北投區</t>
    <phoneticPr fontId="7" type="noConversion"/>
  </si>
  <si>
    <t>文山區</t>
    <phoneticPr fontId="1" type="noConversion"/>
  </si>
  <si>
    <t>黎元里</t>
    <phoneticPr fontId="1" type="noConversion"/>
  </si>
  <si>
    <t>黎孝里</t>
    <phoneticPr fontId="1" type="noConversion"/>
  </si>
  <si>
    <t>黎和里</t>
    <phoneticPr fontId="1" type="noConversion"/>
  </si>
  <si>
    <t>興雅里</t>
    <phoneticPr fontId="1" type="noConversion"/>
  </si>
  <si>
    <t>敦厚里</t>
    <phoneticPr fontId="1" type="noConversion"/>
  </si>
  <si>
    <t>廣居里</t>
    <phoneticPr fontId="1" type="noConversion"/>
  </si>
  <si>
    <t>安康里</t>
    <phoneticPr fontId="1" type="noConversion"/>
  </si>
  <si>
    <t>六藝里</t>
    <phoneticPr fontId="1" type="noConversion"/>
  </si>
  <si>
    <t>雅祥里</t>
    <phoneticPr fontId="1" type="noConversion"/>
  </si>
  <si>
    <t>五常里</t>
    <phoneticPr fontId="1" type="noConversion"/>
  </si>
  <si>
    <t>五全里</t>
    <phoneticPr fontId="1" type="noConversion"/>
  </si>
  <si>
    <t>永吉里</t>
    <phoneticPr fontId="1" type="noConversion"/>
  </si>
  <si>
    <t>長春里</t>
    <phoneticPr fontId="1" type="noConversion"/>
  </si>
  <si>
    <t>四育里</t>
    <phoneticPr fontId="1" type="noConversion"/>
  </si>
  <si>
    <t>四維里</t>
    <phoneticPr fontId="1" type="noConversion"/>
  </si>
  <si>
    <t>永春里</t>
    <phoneticPr fontId="1" type="noConversion"/>
  </si>
  <si>
    <t>富臺里</t>
    <phoneticPr fontId="1" type="noConversion"/>
  </si>
  <si>
    <t>國業里</t>
    <phoneticPr fontId="1" type="noConversion"/>
  </si>
  <si>
    <t>松隆里</t>
    <phoneticPr fontId="1" type="noConversion"/>
  </si>
  <si>
    <t>松友里</t>
    <phoneticPr fontId="1" type="noConversion"/>
  </si>
  <si>
    <t>松光里</t>
    <phoneticPr fontId="1" type="noConversion"/>
  </si>
  <si>
    <t>中坡里</t>
    <phoneticPr fontId="1" type="noConversion"/>
  </si>
  <si>
    <t>中行里</t>
    <phoneticPr fontId="1" type="noConversion"/>
  </si>
  <si>
    <t>大道里</t>
    <phoneticPr fontId="1" type="noConversion"/>
  </si>
  <si>
    <t>大仁里</t>
    <phoneticPr fontId="1" type="noConversion"/>
  </si>
  <si>
    <t>惠安里</t>
    <phoneticPr fontId="1" type="noConversion"/>
  </si>
  <si>
    <t>三犁里</t>
    <phoneticPr fontId="1" type="noConversion"/>
  </si>
  <si>
    <t>黎忠里</t>
    <phoneticPr fontId="1" type="noConversion"/>
  </si>
  <si>
    <t>六合里</t>
    <phoneticPr fontId="1" type="noConversion"/>
  </si>
  <si>
    <t>泰和里</t>
    <phoneticPr fontId="1" type="noConversion"/>
  </si>
  <si>
    <t>黎安里</t>
    <phoneticPr fontId="1" type="noConversion"/>
  </si>
  <si>
    <t>西村里</t>
    <phoneticPr fontId="1" type="noConversion"/>
  </si>
  <si>
    <t>正和里</t>
    <phoneticPr fontId="1" type="noConversion"/>
  </si>
  <si>
    <t>興隆里</t>
    <phoneticPr fontId="1" type="noConversion"/>
  </si>
  <si>
    <t>中興里</t>
    <phoneticPr fontId="1" type="noConversion"/>
  </si>
  <si>
    <t>新仁里</t>
    <phoneticPr fontId="1" type="noConversion"/>
  </si>
  <si>
    <t>景新里</t>
    <phoneticPr fontId="1" type="noConversion"/>
  </si>
  <si>
    <t>景聯里</t>
    <phoneticPr fontId="1" type="noConversion"/>
  </si>
  <si>
    <t>景勤里</t>
    <phoneticPr fontId="1" type="noConversion"/>
  </si>
  <si>
    <t>嘉興里</t>
    <phoneticPr fontId="1" type="noConversion"/>
  </si>
  <si>
    <t>黎順里</t>
    <phoneticPr fontId="1" type="noConversion"/>
  </si>
  <si>
    <t>黎平里</t>
    <phoneticPr fontId="1" type="noConversion"/>
  </si>
  <si>
    <t>三張里</t>
    <phoneticPr fontId="1" type="noConversion"/>
  </si>
  <si>
    <t>雙和里</t>
    <phoneticPr fontId="1" type="noConversion"/>
  </si>
  <si>
    <r>
      <rPr>
        <b/>
        <sz val="12"/>
        <rFont val="新細明體"/>
        <family val="1"/>
        <charset val="136"/>
      </rPr>
      <t>信義區</t>
    </r>
    <phoneticPr fontId="1" type="noConversion"/>
  </si>
  <si>
    <t>南港里</t>
    <phoneticPr fontId="1" type="noConversion"/>
  </si>
  <si>
    <t>中南里</t>
    <phoneticPr fontId="1" type="noConversion"/>
  </si>
  <si>
    <t>新富里</t>
    <phoneticPr fontId="1" type="noConversion"/>
  </si>
  <si>
    <t>三重里</t>
    <phoneticPr fontId="1" type="noConversion"/>
  </si>
  <si>
    <t>東新里</t>
    <phoneticPr fontId="1" type="noConversion"/>
  </si>
  <si>
    <t>新光里</t>
    <phoneticPr fontId="1" type="noConversion"/>
  </si>
  <si>
    <t>東明里</t>
    <phoneticPr fontId="1" type="noConversion"/>
  </si>
  <si>
    <t>西新里</t>
    <phoneticPr fontId="1" type="noConversion"/>
  </si>
  <si>
    <t>玉成里</t>
    <phoneticPr fontId="1" type="noConversion"/>
  </si>
  <si>
    <t>合成里</t>
    <phoneticPr fontId="1" type="noConversion"/>
  </si>
  <si>
    <t>成福里</t>
    <phoneticPr fontId="1" type="noConversion"/>
  </si>
  <si>
    <t>萬福里</t>
    <phoneticPr fontId="1" type="noConversion"/>
  </si>
  <si>
    <t>鴻福里</t>
    <phoneticPr fontId="1" type="noConversion"/>
  </si>
  <si>
    <t>百福里</t>
    <phoneticPr fontId="1" type="noConversion"/>
  </si>
  <si>
    <t>聯成里</t>
    <phoneticPr fontId="1" type="noConversion"/>
  </si>
  <si>
    <t>中研里</t>
    <phoneticPr fontId="1" type="noConversion"/>
  </si>
  <si>
    <t>仁福里</t>
    <phoneticPr fontId="1" type="noConversion"/>
  </si>
  <si>
    <r>
      <rPr>
        <b/>
        <sz val="12"/>
        <rFont val="新細明體"/>
        <family val="1"/>
        <charset val="136"/>
      </rPr>
      <t>士林區</t>
    </r>
    <phoneticPr fontId="1" type="noConversion"/>
  </si>
  <si>
    <t>社新里</t>
    <phoneticPr fontId="1" type="noConversion"/>
  </si>
  <si>
    <t>社園里</t>
    <phoneticPr fontId="1" type="noConversion"/>
  </si>
  <si>
    <t>永倫里</t>
    <phoneticPr fontId="1" type="noConversion"/>
  </si>
  <si>
    <t>福安里</t>
    <phoneticPr fontId="1" type="noConversion"/>
  </si>
  <si>
    <t>富洲里</t>
    <phoneticPr fontId="1" type="noConversion"/>
  </si>
  <si>
    <t>仁勇里</t>
    <phoneticPr fontId="1" type="noConversion"/>
  </si>
  <si>
    <t>義信里</t>
    <phoneticPr fontId="1" type="noConversion"/>
  </si>
  <si>
    <t>福林里</t>
    <phoneticPr fontId="1" type="noConversion"/>
  </si>
  <si>
    <t>福志里</t>
    <phoneticPr fontId="1" type="noConversion"/>
  </si>
  <si>
    <t>舊佳里</t>
    <phoneticPr fontId="1" type="noConversion"/>
  </si>
  <si>
    <t>福佳里</t>
    <phoneticPr fontId="1" type="noConversion"/>
  </si>
  <si>
    <t>後港里</t>
    <phoneticPr fontId="1" type="noConversion"/>
  </si>
  <si>
    <t>福中里</t>
    <phoneticPr fontId="1" type="noConversion"/>
  </si>
  <si>
    <t>前港里</t>
    <phoneticPr fontId="1" type="noConversion"/>
  </si>
  <si>
    <t>百齡里</t>
    <phoneticPr fontId="1" type="noConversion"/>
  </si>
  <si>
    <t>承德里</t>
    <phoneticPr fontId="1" type="noConversion"/>
  </si>
  <si>
    <t>福華里</t>
    <phoneticPr fontId="1" type="noConversion"/>
  </si>
  <si>
    <t>明勝里</t>
    <phoneticPr fontId="1" type="noConversion"/>
  </si>
  <si>
    <t>福順里</t>
    <phoneticPr fontId="1" type="noConversion"/>
  </si>
  <si>
    <t>富光里</t>
    <phoneticPr fontId="1" type="noConversion"/>
  </si>
  <si>
    <t>葫蘆里</t>
    <phoneticPr fontId="1" type="noConversion"/>
  </si>
  <si>
    <t>葫東里</t>
    <phoneticPr fontId="1" type="noConversion"/>
  </si>
  <si>
    <t>社子里</t>
    <phoneticPr fontId="1" type="noConversion"/>
  </si>
  <si>
    <t>岩山里</t>
    <phoneticPr fontId="1" type="noConversion"/>
  </si>
  <si>
    <t>名山里</t>
    <phoneticPr fontId="1" type="noConversion"/>
  </si>
  <si>
    <t>德行里</t>
    <phoneticPr fontId="1" type="noConversion"/>
  </si>
  <si>
    <t>德華里</t>
    <phoneticPr fontId="1" type="noConversion"/>
  </si>
  <si>
    <t>聖山里</t>
    <phoneticPr fontId="1" type="noConversion"/>
  </si>
  <si>
    <t>忠誠里</t>
    <phoneticPr fontId="1" type="noConversion"/>
  </si>
  <si>
    <t>芝山里</t>
    <phoneticPr fontId="1" type="noConversion"/>
  </si>
  <si>
    <t>東山里</t>
    <phoneticPr fontId="1" type="noConversion"/>
  </si>
  <si>
    <t>三玉里</t>
    <phoneticPr fontId="1" type="noConversion"/>
  </si>
  <si>
    <t>蘭雅里</t>
    <phoneticPr fontId="1" type="noConversion"/>
  </si>
  <si>
    <t>蘭興里</t>
    <phoneticPr fontId="1" type="noConversion"/>
  </si>
  <si>
    <t>天福里</t>
    <phoneticPr fontId="1" type="noConversion"/>
  </si>
  <si>
    <t>天祿里</t>
    <phoneticPr fontId="1" type="noConversion"/>
  </si>
  <si>
    <t>天壽里</t>
    <phoneticPr fontId="1" type="noConversion"/>
  </si>
  <si>
    <t>天和里</t>
    <phoneticPr fontId="1" type="noConversion"/>
  </si>
  <si>
    <t>天山里</t>
    <phoneticPr fontId="1" type="noConversion"/>
  </si>
  <si>
    <t>天玉里</t>
    <phoneticPr fontId="1" type="noConversion"/>
  </si>
  <si>
    <t>臨溪里</t>
    <phoneticPr fontId="1" type="noConversion"/>
  </si>
  <si>
    <t>西湖里</t>
    <phoneticPr fontId="1" type="noConversion"/>
  </si>
  <si>
    <t>西康里</t>
    <phoneticPr fontId="1" type="noConversion"/>
  </si>
  <si>
    <t>西安里</t>
    <phoneticPr fontId="1" type="noConversion"/>
  </si>
  <si>
    <t>港墘里</t>
  </si>
  <si>
    <t>港都里</t>
  </si>
  <si>
    <t>港富里</t>
  </si>
  <si>
    <t>港華里</t>
  </si>
  <si>
    <t>內湖里</t>
  </si>
  <si>
    <t>湖濱里</t>
  </si>
  <si>
    <t>紫星里</t>
  </si>
  <si>
    <t>金龍里</t>
  </si>
  <si>
    <t>紫雲里</t>
  </si>
  <si>
    <t>清白里</t>
  </si>
  <si>
    <t>葫洲里</t>
  </si>
  <si>
    <t>紫陽里</t>
  </si>
  <si>
    <t>瑞陽里</t>
  </si>
  <si>
    <t>瑞光里</t>
  </si>
  <si>
    <t>五分里</t>
  </si>
  <si>
    <t>東湖里</t>
  </si>
  <si>
    <t>樂康里</t>
  </si>
  <si>
    <t>週美里</t>
  </si>
  <si>
    <t>行善里</t>
  </si>
  <si>
    <t>石潭里</t>
  </si>
  <si>
    <t>湖興里</t>
  </si>
  <si>
    <t>湖元里</t>
  </si>
  <si>
    <t>安湖里</t>
  </si>
  <si>
    <t>金湖里</t>
  </si>
  <si>
    <t>康寧里</t>
  </si>
  <si>
    <t>明湖里</t>
  </si>
  <si>
    <t>蘆洲里</t>
  </si>
  <si>
    <t>麗山里</t>
  </si>
  <si>
    <r>
      <rPr>
        <b/>
        <sz val="12"/>
        <rFont val="新細明體"/>
        <family val="1"/>
        <charset val="136"/>
      </rPr>
      <t>臺北市</t>
    </r>
    <phoneticPr fontId="1" type="noConversion"/>
  </si>
  <si>
    <r>
      <rPr>
        <b/>
        <sz val="12"/>
        <rFont val="新細明體"/>
        <family val="1"/>
        <charset val="136"/>
      </rPr>
      <t>臺北市</t>
    </r>
    <phoneticPr fontId="1" type="noConversion"/>
  </si>
  <si>
    <t>臺北市</t>
    <phoneticPr fontId="1" type="noConversion"/>
  </si>
  <si>
    <t>文山區</t>
  </si>
  <si>
    <t>南港區</t>
  </si>
  <si>
    <t>內湖區</t>
    <phoneticPr fontId="18" type="noConversion"/>
  </si>
  <si>
    <t>士林區</t>
    <phoneticPr fontId="18" type="noConversion"/>
  </si>
  <si>
    <t>北投區</t>
    <phoneticPr fontId="18" type="noConversion"/>
  </si>
  <si>
    <t>中和區</t>
    <phoneticPr fontId="18" type="noConversion"/>
  </si>
  <si>
    <t>新店區</t>
    <phoneticPr fontId="18" type="noConversion"/>
  </si>
  <si>
    <t>土城區</t>
    <phoneticPr fontId="18" type="noConversion"/>
  </si>
  <si>
    <t>樹林區</t>
    <phoneticPr fontId="18" type="noConversion"/>
  </si>
  <si>
    <t>五股區</t>
    <phoneticPr fontId="18" type="noConversion"/>
  </si>
  <si>
    <t>泰山區</t>
    <phoneticPr fontId="18" type="noConversion"/>
  </si>
  <si>
    <t>山腳里</t>
    <phoneticPr fontId="1" type="noConversion"/>
  </si>
  <si>
    <t>福泰里</t>
    <phoneticPr fontId="1" type="noConversion"/>
  </si>
  <si>
    <t>楓樹里</t>
    <phoneticPr fontId="1" type="noConversion"/>
  </si>
  <si>
    <t>同榮里</t>
    <phoneticPr fontId="1" type="noConversion"/>
  </si>
  <si>
    <t>義學里</t>
    <phoneticPr fontId="1" type="noConversion"/>
  </si>
  <si>
    <t>明志里</t>
    <phoneticPr fontId="1" type="noConversion"/>
  </si>
  <si>
    <t>貴子里</t>
    <phoneticPr fontId="1" type="noConversion"/>
  </si>
  <si>
    <t>貴和里</t>
    <phoneticPr fontId="1" type="noConversion"/>
  </si>
  <si>
    <t>同興里</t>
    <phoneticPr fontId="1" type="noConversion"/>
  </si>
  <si>
    <t>義仁里</t>
    <phoneticPr fontId="1" type="noConversion"/>
  </si>
  <si>
    <t>泰友里</t>
    <phoneticPr fontId="1" type="noConversion"/>
  </si>
  <si>
    <t>新明里</t>
    <phoneticPr fontId="1" type="noConversion"/>
  </si>
  <si>
    <t>貴賢里</t>
    <phoneticPr fontId="1" type="noConversion"/>
  </si>
  <si>
    <t>埤塘里</t>
    <phoneticPr fontId="1" type="noConversion"/>
  </si>
  <si>
    <t>土城里</t>
    <phoneticPr fontId="1" type="noConversion"/>
  </si>
  <si>
    <t>員林里</t>
    <phoneticPr fontId="1" type="noConversion"/>
  </si>
  <si>
    <t>員仁里</t>
    <phoneticPr fontId="1" type="noConversion"/>
  </si>
  <si>
    <t>長風里</t>
    <phoneticPr fontId="1" type="noConversion"/>
  </si>
  <si>
    <t>日新里</t>
    <phoneticPr fontId="1" type="noConversion"/>
  </si>
  <si>
    <t>日和里</t>
    <phoneticPr fontId="1" type="noConversion"/>
  </si>
  <si>
    <t>貨饒里</t>
    <phoneticPr fontId="1" type="noConversion"/>
  </si>
  <si>
    <t>柑林里</t>
    <phoneticPr fontId="1" type="noConversion"/>
  </si>
  <si>
    <t>埤林里</t>
    <phoneticPr fontId="1" type="noConversion"/>
  </si>
  <si>
    <t>瑞興里</t>
    <phoneticPr fontId="1" type="noConversion"/>
  </si>
  <si>
    <t>清水里</t>
    <phoneticPr fontId="1" type="noConversion"/>
  </si>
  <si>
    <t>清和里</t>
    <phoneticPr fontId="1" type="noConversion"/>
  </si>
  <si>
    <t>永豐里</t>
    <phoneticPr fontId="1" type="noConversion"/>
  </si>
  <si>
    <t>清溪里</t>
    <phoneticPr fontId="1" type="noConversion"/>
  </si>
  <si>
    <t>峰廷里</t>
    <phoneticPr fontId="1" type="noConversion"/>
  </si>
  <si>
    <t>平和里</t>
    <phoneticPr fontId="1" type="noConversion"/>
  </si>
  <si>
    <t>廷寮里</t>
    <phoneticPr fontId="1" type="noConversion"/>
  </si>
  <si>
    <t>大安里</t>
    <phoneticPr fontId="1" type="noConversion"/>
  </si>
  <si>
    <t>永寧里</t>
    <phoneticPr fontId="1" type="noConversion"/>
  </si>
  <si>
    <t>沛陂里</t>
    <phoneticPr fontId="1" type="noConversion"/>
  </si>
  <si>
    <t>頂埔里</t>
    <phoneticPr fontId="1" type="noConversion"/>
  </si>
  <si>
    <t>頂福里</t>
    <phoneticPr fontId="1" type="noConversion"/>
  </si>
  <si>
    <t>頂新里</t>
    <phoneticPr fontId="1" type="noConversion"/>
  </si>
  <si>
    <t>樂利里</t>
    <phoneticPr fontId="1" type="noConversion"/>
  </si>
  <si>
    <t>廣福里</t>
    <phoneticPr fontId="1" type="noConversion"/>
  </si>
  <si>
    <t>學府里</t>
    <phoneticPr fontId="1" type="noConversion"/>
  </si>
  <si>
    <t>延壽里</t>
    <phoneticPr fontId="1" type="noConversion"/>
  </si>
  <si>
    <t>安和里</t>
    <phoneticPr fontId="1" type="noConversion"/>
  </si>
  <si>
    <t>青雲里</t>
    <phoneticPr fontId="1" type="noConversion"/>
  </si>
  <si>
    <t>員福里</t>
    <phoneticPr fontId="1" type="noConversion"/>
  </si>
  <si>
    <t>延吉里</t>
    <phoneticPr fontId="1" type="noConversion"/>
  </si>
  <si>
    <t>復興里</t>
    <phoneticPr fontId="1" type="noConversion"/>
  </si>
  <si>
    <t>裕生里</t>
    <phoneticPr fontId="1" type="noConversion"/>
  </si>
  <si>
    <t>員信里</t>
    <phoneticPr fontId="1" type="noConversion"/>
  </si>
  <si>
    <t>永富里</t>
    <phoneticPr fontId="1" type="noConversion"/>
  </si>
  <si>
    <t>學成里</t>
    <phoneticPr fontId="1" type="noConversion"/>
  </si>
  <si>
    <t>延和里</t>
    <phoneticPr fontId="1" type="noConversion"/>
  </si>
  <si>
    <t>海山里</t>
    <phoneticPr fontId="1" type="noConversion"/>
  </si>
  <si>
    <t>頭前里</t>
    <phoneticPr fontId="1" type="noConversion"/>
  </si>
  <si>
    <t>國泰里</t>
    <phoneticPr fontId="1" type="noConversion"/>
  </si>
  <si>
    <t>全安里</t>
    <phoneticPr fontId="1" type="noConversion"/>
  </si>
  <si>
    <t>福基里</t>
    <phoneticPr fontId="1" type="noConversion"/>
  </si>
  <si>
    <t>豐年里</t>
    <phoneticPr fontId="1" type="noConversion"/>
  </si>
  <si>
    <t>忠孝里</t>
    <phoneticPr fontId="1" type="noConversion"/>
  </si>
  <si>
    <t>恆安里</t>
    <phoneticPr fontId="1" type="noConversion"/>
  </si>
  <si>
    <t>後港里</t>
    <phoneticPr fontId="1" type="noConversion"/>
  </si>
  <si>
    <t>文衡里</t>
    <phoneticPr fontId="1" type="noConversion"/>
  </si>
  <si>
    <t>中美里</t>
    <phoneticPr fontId="1" type="noConversion"/>
  </si>
  <si>
    <t>興漢里</t>
    <phoneticPr fontId="1" type="noConversion"/>
  </si>
  <si>
    <t>中和里</t>
    <phoneticPr fontId="1" type="noConversion"/>
  </si>
  <si>
    <t>榮和里</t>
    <phoneticPr fontId="1" type="noConversion"/>
  </si>
  <si>
    <t>中泰里</t>
    <phoneticPr fontId="1" type="noConversion"/>
  </si>
  <si>
    <t>瓊林里</t>
    <phoneticPr fontId="1" type="noConversion"/>
  </si>
  <si>
    <t>文德里</t>
    <phoneticPr fontId="1" type="noConversion"/>
  </si>
  <si>
    <t>中誠里</t>
    <phoneticPr fontId="1" type="noConversion"/>
  </si>
  <si>
    <t>文明里</t>
    <phoneticPr fontId="1" type="noConversion"/>
  </si>
  <si>
    <t>中港里</t>
    <phoneticPr fontId="1" type="noConversion"/>
  </si>
  <si>
    <t>思源里</t>
    <phoneticPr fontId="1" type="noConversion"/>
  </si>
  <si>
    <t>立人里</t>
    <phoneticPr fontId="1" type="noConversion"/>
  </si>
  <si>
    <t>仁愛里</t>
    <phoneticPr fontId="1" type="noConversion"/>
  </si>
  <si>
    <t>立德里</t>
    <phoneticPr fontId="1" type="noConversion"/>
  </si>
  <si>
    <t>信義里</t>
    <phoneticPr fontId="1" type="noConversion"/>
  </si>
  <si>
    <t>立言里</t>
    <phoneticPr fontId="1" type="noConversion"/>
  </si>
  <si>
    <t>和平里</t>
    <phoneticPr fontId="1" type="noConversion"/>
  </si>
  <si>
    <t>立功里</t>
    <phoneticPr fontId="1" type="noConversion"/>
  </si>
  <si>
    <t>化成里</t>
    <phoneticPr fontId="1" type="noConversion"/>
  </si>
  <si>
    <t>立志里</t>
    <phoneticPr fontId="1" type="noConversion"/>
  </si>
  <si>
    <t>思賢里</t>
    <phoneticPr fontId="1" type="noConversion"/>
  </si>
  <si>
    <t>營盤里</t>
    <phoneticPr fontId="1" type="noConversion"/>
  </si>
  <si>
    <t>自強里</t>
    <phoneticPr fontId="1" type="noConversion"/>
  </si>
  <si>
    <t>自立里</t>
    <phoneticPr fontId="1" type="noConversion"/>
  </si>
  <si>
    <t>幸福里</t>
    <phoneticPr fontId="1" type="noConversion"/>
  </si>
  <si>
    <t>自信里</t>
    <phoneticPr fontId="1" type="noConversion"/>
  </si>
  <si>
    <t>中華里</t>
    <phoneticPr fontId="1" type="noConversion"/>
  </si>
  <si>
    <t>中隆里</t>
    <phoneticPr fontId="1" type="noConversion"/>
  </si>
  <si>
    <t>中原里</t>
    <phoneticPr fontId="1" type="noConversion"/>
  </si>
  <si>
    <t>中信里</t>
    <phoneticPr fontId="1" type="noConversion"/>
  </si>
  <si>
    <t>建福里</t>
    <phoneticPr fontId="1" type="noConversion"/>
  </si>
  <si>
    <t>中宏里</t>
    <phoneticPr fontId="1" type="noConversion"/>
  </si>
  <si>
    <t>中全里</t>
    <phoneticPr fontId="1" type="noConversion"/>
  </si>
  <si>
    <t>立泰里</t>
    <phoneticPr fontId="1" type="noConversion"/>
  </si>
  <si>
    <t>全泰里</t>
    <phoneticPr fontId="1" type="noConversion"/>
  </si>
  <si>
    <t>仁義里</t>
    <phoneticPr fontId="1" type="noConversion"/>
  </si>
  <si>
    <t>立基里</t>
    <phoneticPr fontId="1" type="noConversion"/>
  </si>
  <si>
    <t>昌明里</t>
    <phoneticPr fontId="1" type="noConversion"/>
  </si>
  <si>
    <t>昌平里</t>
    <phoneticPr fontId="1" type="noConversion"/>
  </si>
  <si>
    <t>文聖里</t>
    <phoneticPr fontId="1" type="noConversion"/>
  </si>
  <si>
    <t>福營里</t>
    <phoneticPr fontId="1" type="noConversion"/>
  </si>
  <si>
    <t>後德里</t>
    <phoneticPr fontId="1" type="noConversion"/>
  </si>
  <si>
    <t>建安里</t>
    <phoneticPr fontId="1" type="noConversion"/>
  </si>
  <si>
    <t>八德里</t>
    <phoneticPr fontId="1" type="noConversion"/>
  </si>
  <si>
    <t>西盛里</t>
    <phoneticPr fontId="1" type="noConversion"/>
  </si>
  <si>
    <t>裕民里</t>
    <phoneticPr fontId="1" type="noConversion"/>
  </si>
  <si>
    <t>富國里</t>
    <phoneticPr fontId="1" type="noConversion"/>
  </si>
  <si>
    <t>南港里</t>
    <phoneticPr fontId="1" type="noConversion"/>
  </si>
  <si>
    <t>民安里</t>
    <phoneticPr fontId="1" type="noConversion"/>
  </si>
  <si>
    <t>民本里</t>
    <phoneticPr fontId="1" type="noConversion"/>
  </si>
  <si>
    <t>光華里</t>
    <phoneticPr fontId="1" type="noConversion"/>
  </si>
  <si>
    <t>光榮里</t>
    <phoneticPr fontId="1" type="noConversion"/>
  </si>
  <si>
    <t>丹鳳里</t>
    <phoneticPr fontId="1" type="noConversion"/>
  </si>
  <si>
    <t>光明里</t>
    <phoneticPr fontId="1" type="noConversion"/>
  </si>
  <si>
    <t>合鳳里</t>
    <phoneticPr fontId="1" type="noConversion"/>
  </si>
  <si>
    <t>雙鳳里</t>
    <phoneticPr fontId="1" type="noConversion"/>
  </si>
  <si>
    <t>龍鳳里</t>
    <phoneticPr fontId="1" type="noConversion"/>
  </si>
  <si>
    <t>四維里</t>
    <phoneticPr fontId="1" type="noConversion"/>
  </si>
  <si>
    <t>萬安里</t>
    <phoneticPr fontId="1" type="noConversion"/>
  </si>
  <si>
    <t>龍安里</t>
    <phoneticPr fontId="1" type="noConversion"/>
  </si>
  <si>
    <t>成德里</t>
    <phoneticPr fontId="1" type="noConversion"/>
  </si>
  <si>
    <t>樹德里</t>
    <phoneticPr fontId="1" type="noConversion"/>
  </si>
  <si>
    <t>樹西里</t>
    <phoneticPr fontId="1" type="noConversion"/>
  </si>
  <si>
    <t>樹南里</t>
    <phoneticPr fontId="1" type="noConversion"/>
  </si>
  <si>
    <t>樹人里</t>
    <phoneticPr fontId="1" type="noConversion"/>
  </si>
  <si>
    <t>坡內里</t>
    <phoneticPr fontId="1" type="noConversion"/>
  </si>
  <si>
    <t>樹東里</t>
    <phoneticPr fontId="1" type="noConversion"/>
  </si>
  <si>
    <t>大同里</t>
    <phoneticPr fontId="1" type="noConversion"/>
  </si>
  <si>
    <t>彭厝里</t>
    <phoneticPr fontId="1" type="noConversion"/>
  </si>
  <si>
    <t>彭福里</t>
    <phoneticPr fontId="1" type="noConversion"/>
  </si>
  <si>
    <t>東山里</t>
    <phoneticPr fontId="1" type="noConversion"/>
  </si>
  <si>
    <t>東陽里</t>
    <phoneticPr fontId="1" type="noConversion"/>
  </si>
  <si>
    <t>東昇里</t>
    <phoneticPr fontId="1" type="noConversion"/>
  </si>
  <si>
    <t>樹北里</t>
    <phoneticPr fontId="1" type="noConversion"/>
  </si>
  <si>
    <t>樹興里</t>
    <phoneticPr fontId="1" type="noConversion"/>
  </si>
  <si>
    <t>樹福里</t>
    <phoneticPr fontId="1" type="noConversion"/>
  </si>
  <si>
    <t>彭興里</t>
    <phoneticPr fontId="1" type="noConversion"/>
  </si>
  <si>
    <t>山佳里</t>
    <phoneticPr fontId="1" type="noConversion"/>
  </si>
  <si>
    <t>育英里</t>
    <phoneticPr fontId="1" type="noConversion"/>
  </si>
  <si>
    <t>三多里</t>
    <phoneticPr fontId="1" type="noConversion"/>
  </si>
  <si>
    <t>三福里</t>
    <phoneticPr fontId="1" type="noConversion"/>
  </si>
  <si>
    <t>圳安里</t>
    <phoneticPr fontId="1" type="noConversion"/>
  </si>
  <si>
    <t>保安里</t>
    <phoneticPr fontId="1" type="noConversion"/>
  </si>
  <si>
    <t>潭底里</t>
    <phoneticPr fontId="1" type="noConversion"/>
  </si>
  <si>
    <t>羌寮里</t>
    <phoneticPr fontId="1" type="noConversion"/>
  </si>
  <si>
    <t>圳福里</t>
    <phoneticPr fontId="1" type="noConversion"/>
  </si>
  <si>
    <t>光興里</t>
    <phoneticPr fontId="1" type="noConversion"/>
  </si>
  <si>
    <t>金寮里</t>
    <phoneticPr fontId="1" type="noConversion"/>
  </si>
  <si>
    <t>文林里</t>
    <phoneticPr fontId="1" type="noConversion"/>
  </si>
  <si>
    <t>板橋區</t>
    <phoneticPr fontId="1" type="noConversion"/>
  </si>
  <si>
    <t>淡水區</t>
    <phoneticPr fontId="1" type="noConversion"/>
  </si>
  <si>
    <t>八里區</t>
    <phoneticPr fontId="1" type="noConversion"/>
  </si>
  <si>
    <t>汐止區</t>
    <phoneticPr fontId="1" type="noConversion"/>
  </si>
  <si>
    <t>中正里</t>
    <phoneticPr fontId="1" type="noConversion"/>
  </si>
  <si>
    <t>江翠里</t>
    <phoneticPr fontId="1" type="noConversion"/>
  </si>
  <si>
    <t>純翠里</t>
    <phoneticPr fontId="1" type="noConversion"/>
  </si>
  <si>
    <t>溪頭里</t>
    <phoneticPr fontId="1" type="noConversion"/>
  </si>
  <si>
    <t>宏翠里</t>
    <phoneticPr fontId="1" type="noConversion"/>
  </si>
  <si>
    <t>仁翠里</t>
    <phoneticPr fontId="1" type="noConversion"/>
  </si>
  <si>
    <t>吉翠里</t>
    <phoneticPr fontId="1" type="noConversion"/>
  </si>
  <si>
    <t>德翠里</t>
    <phoneticPr fontId="1" type="noConversion"/>
  </si>
  <si>
    <t>滿翠里</t>
    <phoneticPr fontId="1" type="noConversion"/>
  </si>
  <si>
    <t>松翠里</t>
    <phoneticPr fontId="1" type="noConversion"/>
  </si>
  <si>
    <t>柏翠里</t>
    <phoneticPr fontId="1" type="noConversion"/>
  </si>
  <si>
    <t>龍翠里</t>
    <phoneticPr fontId="1" type="noConversion"/>
  </si>
  <si>
    <t>華翠里</t>
    <phoneticPr fontId="1" type="noConversion"/>
  </si>
  <si>
    <t>忠翠里</t>
    <phoneticPr fontId="1" type="noConversion"/>
  </si>
  <si>
    <t>嵐翠里</t>
    <phoneticPr fontId="1" type="noConversion"/>
  </si>
  <si>
    <t>文翠里</t>
    <phoneticPr fontId="1" type="noConversion"/>
  </si>
  <si>
    <t>青翠里</t>
    <phoneticPr fontId="1" type="noConversion"/>
  </si>
  <si>
    <t>懷翠里</t>
    <phoneticPr fontId="1" type="noConversion"/>
  </si>
  <si>
    <t>福翠里</t>
    <phoneticPr fontId="1" type="noConversion"/>
  </si>
  <si>
    <t>港嘴里</t>
    <phoneticPr fontId="1" type="noConversion"/>
  </si>
  <si>
    <t>振興里</t>
    <phoneticPr fontId="1" type="noConversion"/>
  </si>
  <si>
    <t>振義里</t>
    <phoneticPr fontId="1" type="noConversion"/>
  </si>
  <si>
    <t>光復里</t>
    <phoneticPr fontId="1" type="noConversion"/>
  </si>
  <si>
    <t>埔墘里</t>
    <phoneticPr fontId="1" type="noConversion"/>
  </si>
  <si>
    <t>長壽里</t>
    <phoneticPr fontId="1" type="noConversion"/>
  </si>
  <si>
    <t>九如里</t>
    <phoneticPr fontId="1" type="noConversion"/>
  </si>
  <si>
    <t>光仁里</t>
    <phoneticPr fontId="1" type="noConversion"/>
  </si>
  <si>
    <t>埤墘里</t>
    <phoneticPr fontId="1" type="noConversion"/>
  </si>
  <si>
    <t>永安里</t>
    <phoneticPr fontId="1" type="noConversion"/>
  </si>
  <si>
    <t>雙玉里</t>
    <phoneticPr fontId="1" type="noConversion"/>
  </si>
  <si>
    <t>廣新里</t>
    <phoneticPr fontId="1" type="noConversion"/>
  </si>
  <si>
    <t>東丘里</t>
    <phoneticPr fontId="1" type="noConversion"/>
  </si>
  <si>
    <t>文化里</t>
    <phoneticPr fontId="1" type="noConversion"/>
  </si>
  <si>
    <t>新海里</t>
    <phoneticPr fontId="1" type="noConversion"/>
  </si>
  <si>
    <t>富貴里</t>
    <phoneticPr fontId="1" type="noConversion"/>
  </si>
  <si>
    <t>正泰里</t>
    <phoneticPr fontId="1" type="noConversion"/>
  </si>
  <si>
    <t>松柏里</t>
    <phoneticPr fontId="1" type="noConversion"/>
  </si>
  <si>
    <t>留侯里</t>
    <phoneticPr fontId="1" type="noConversion"/>
  </si>
  <si>
    <t>流芳里</t>
    <phoneticPr fontId="1" type="noConversion"/>
  </si>
  <si>
    <t>赤松里</t>
    <phoneticPr fontId="1" type="noConversion"/>
  </si>
  <si>
    <t>黃石里</t>
    <phoneticPr fontId="1" type="noConversion"/>
  </si>
  <si>
    <t>挹秀里</t>
    <phoneticPr fontId="1" type="noConversion"/>
  </si>
  <si>
    <t>湳興里</t>
    <phoneticPr fontId="1" type="noConversion"/>
  </si>
  <si>
    <t>新興里</t>
    <phoneticPr fontId="1" type="noConversion"/>
  </si>
  <si>
    <t>社後里</t>
    <phoneticPr fontId="1" type="noConversion"/>
  </si>
  <si>
    <t>香社里</t>
    <phoneticPr fontId="1" type="noConversion"/>
  </si>
  <si>
    <t>國光里</t>
    <phoneticPr fontId="1" type="noConversion"/>
  </si>
  <si>
    <t>港尾里</t>
    <phoneticPr fontId="1" type="noConversion"/>
  </si>
  <si>
    <t>金華里</t>
    <phoneticPr fontId="1" type="noConversion"/>
  </si>
  <si>
    <t>港德里</t>
    <phoneticPr fontId="1" type="noConversion"/>
  </si>
  <si>
    <t>民權里</t>
    <phoneticPr fontId="1" type="noConversion"/>
  </si>
  <si>
    <t>建國里</t>
    <phoneticPr fontId="1" type="noConversion"/>
  </si>
  <si>
    <t>漢生里</t>
    <phoneticPr fontId="1" type="noConversion"/>
  </si>
  <si>
    <t>公館里</t>
    <phoneticPr fontId="1" type="noConversion"/>
  </si>
  <si>
    <t>新民里</t>
    <phoneticPr fontId="1" type="noConversion"/>
  </si>
  <si>
    <t>忠誠里</t>
    <phoneticPr fontId="1" type="noConversion"/>
  </si>
  <si>
    <t>百壽里</t>
    <phoneticPr fontId="1" type="noConversion"/>
  </si>
  <si>
    <t>介壽里</t>
    <phoneticPr fontId="1" type="noConversion"/>
  </si>
  <si>
    <t>新埔里</t>
    <phoneticPr fontId="1" type="noConversion"/>
  </si>
  <si>
    <t>華江里</t>
    <phoneticPr fontId="1" type="noConversion"/>
  </si>
  <si>
    <t>聯翠里</t>
    <phoneticPr fontId="1" type="noConversion"/>
  </si>
  <si>
    <t>新翠里</t>
    <phoneticPr fontId="1" type="noConversion"/>
  </si>
  <si>
    <t>明翠里</t>
    <phoneticPr fontId="1" type="noConversion"/>
  </si>
  <si>
    <t>福壽里</t>
    <phoneticPr fontId="1" type="noConversion"/>
  </si>
  <si>
    <t>玉光里</t>
    <phoneticPr fontId="1" type="noConversion"/>
  </si>
  <si>
    <t>深丘里</t>
    <phoneticPr fontId="1" type="noConversion"/>
  </si>
  <si>
    <t>香丘里</t>
    <phoneticPr fontId="1" type="noConversion"/>
  </si>
  <si>
    <t>西安里</t>
    <phoneticPr fontId="1" type="noConversion"/>
  </si>
  <si>
    <t>長安里</t>
    <phoneticPr fontId="1" type="noConversion"/>
  </si>
  <si>
    <t>福丘里</t>
    <phoneticPr fontId="1" type="noConversion"/>
  </si>
  <si>
    <t>福祿里</t>
    <phoneticPr fontId="1" type="noConversion"/>
  </si>
  <si>
    <t>民族里</t>
    <phoneticPr fontId="1" type="noConversion"/>
  </si>
  <si>
    <t>福德里</t>
    <phoneticPr fontId="1" type="noConversion"/>
  </si>
  <si>
    <t>景星里</t>
    <phoneticPr fontId="1" type="noConversion"/>
  </si>
  <si>
    <t>福星里</t>
    <phoneticPr fontId="1" type="noConversion"/>
  </si>
  <si>
    <t>鄉雲里</t>
    <phoneticPr fontId="1" type="noConversion"/>
  </si>
  <si>
    <t>廣德里</t>
    <phoneticPr fontId="1" type="noConversion"/>
  </si>
  <si>
    <t>大豐里</t>
    <phoneticPr fontId="1" type="noConversion"/>
  </si>
  <si>
    <t>華興里</t>
    <phoneticPr fontId="1" type="noConversion"/>
  </si>
  <si>
    <t>華貴里</t>
    <phoneticPr fontId="1" type="noConversion"/>
  </si>
  <si>
    <t>華東里</t>
    <phoneticPr fontId="1" type="noConversion"/>
  </si>
  <si>
    <t>浮洲里</t>
    <phoneticPr fontId="1" type="noConversion"/>
  </si>
  <si>
    <t>華中里</t>
    <phoneticPr fontId="1" type="noConversion"/>
  </si>
  <si>
    <t>僑中里</t>
    <phoneticPr fontId="1" type="noConversion"/>
  </si>
  <si>
    <t>中山里</t>
    <phoneticPr fontId="1" type="noConversion"/>
  </si>
  <si>
    <t>福安里</t>
    <phoneticPr fontId="1" type="noConversion"/>
  </si>
  <si>
    <t>聚安里</t>
    <phoneticPr fontId="1" type="noConversion"/>
  </si>
  <si>
    <t>崑崙里</t>
    <phoneticPr fontId="1" type="noConversion"/>
  </si>
  <si>
    <t>香雅里</t>
    <phoneticPr fontId="1" type="noConversion"/>
  </si>
  <si>
    <t>新生里</t>
    <phoneticPr fontId="1" type="noConversion"/>
  </si>
  <si>
    <t>莒光里</t>
    <phoneticPr fontId="1" type="noConversion"/>
  </si>
  <si>
    <t>民生里</t>
    <phoneticPr fontId="1" type="noConversion"/>
  </si>
  <si>
    <t>後埔里</t>
    <phoneticPr fontId="1" type="noConversion"/>
  </si>
  <si>
    <t>華福里</t>
    <phoneticPr fontId="1" type="noConversion"/>
  </si>
  <si>
    <t>成和里</t>
    <phoneticPr fontId="1" type="noConversion"/>
  </si>
  <si>
    <t>陽明里</t>
    <phoneticPr fontId="1" type="noConversion"/>
  </si>
  <si>
    <t>朝陽里</t>
    <phoneticPr fontId="1" type="noConversion"/>
  </si>
  <si>
    <t>居仁里</t>
    <phoneticPr fontId="1" type="noConversion"/>
  </si>
  <si>
    <t>莊敬里</t>
    <phoneticPr fontId="1" type="noConversion"/>
  </si>
  <si>
    <t>東安里</t>
    <phoneticPr fontId="1" type="noConversion"/>
  </si>
  <si>
    <t>大觀里</t>
    <phoneticPr fontId="1" type="noConversion"/>
  </si>
  <si>
    <t>歡園里</t>
    <phoneticPr fontId="1" type="noConversion"/>
  </si>
  <si>
    <t>重慶里</t>
    <phoneticPr fontId="1" type="noConversion"/>
  </si>
  <si>
    <t>華德里</t>
    <phoneticPr fontId="1" type="noConversion"/>
  </si>
  <si>
    <t>溪洲里</t>
    <phoneticPr fontId="1" type="noConversion"/>
  </si>
  <si>
    <t>溪北里</t>
    <phoneticPr fontId="1" type="noConversion"/>
  </si>
  <si>
    <t>堂春里</t>
    <phoneticPr fontId="1" type="noConversion"/>
  </si>
  <si>
    <t>五權里</t>
    <phoneticPr fontId="1" type="noConversion"/>
  </si>
  <si>
    <t>溪福里</t>
    <phoneticPr fontId="1" type="noConversion"/>
  </si>
  <si>
    <t>平河里</t>
    <phoneticPr fontId="1" type="noConversion"/>
  </si>
  <si>
    <t>信和里</t>
    <phoneticPr fontId="1" type="noConversion"/>
  </si>
  <si>
    <t>仁和里</t>
    <phoneticPr fontId="1" type="noConversion"/>
  </si>
  <si>
    <t>建和里</t>
    <phoneticPr fontId="1" type="noConversion"/>
  </si>
  <si>
    <t>連和里</t>
    <phoneticPr fontId="1" type="noConversion"/>
  </si>
  <si>
    <t>連城里</t>
    <phoneticPr fontId="1" type="noConversion"/>
  </si>
  <si>
    <t>力行里</t>
    <phoneticPr fontId="1" type="noConversion"/>
  </si>
  <si>
    <t>枋寮里</t>
    <phoneticPr fontId="1" type="noConversion"/>
  </si>
  <si>
    <t>漳和里</t>
    <phoneticPr fontId="1" type="noConversion"/>
  </si>
  <si>
    <t>廟美里</t>
    <phoneticPr fontId="1" type="noConversion"/>
  </si>
  <si>
    <t>福真里</t>
    <phoneticPr fontId="1" type="noConversion"/>
  </si>
  <si>
    <t>福善里</t>
    <phoneticPr fontId="1" type="noConversion"/>
  </si>
  <si>
    <t>福美里</t>
    <phoneticPr fontId="1" type="noConversion"/>
  </si>
  <si>
    <t>福祥里</t>
    <phoneticPr fontId="1" type="noConversion"/>
  </si>
  <si>
    <t>瓦瓦里</t>
    <phoneticPr fontId="1" type="noConversion"/>
  </si>
  <si>
    <t>福和里</t>
    <phoneticPr fontId="1" type="noConversion"/>
  </si>
  <si>
    <t>佳和里</t>
    <phoneticPr fontId="1" type="noConversion"/>
  </si>
  <si>
    <t>泰安里</t>
    <phoneticPr fontId="1" type="noConversion"/>
  </si>
  <si>
    <t>新南里</t>
    <phoneticPr fontId="1" type="noConversion"/>
  </si>
  <si>
    <t>南山里</t>
    <phoneticPr fontId="1" type="noConversion"/>
  </si>
  <si>
    <t>秀景里</t>
    <phoneticPr fontId="1" type="noConversion"/>
  </si>
  <si>
    <t>秀峰里</t>
    <phoneticPr fontId="1" type="noConversion"/>
  </si>
  <si>
    <t>頂南里</t>
    <phoneticPr fontId="1" type="noConversion"/>
  </si>
  <si>
    <t>華新里</t>
    <phoneticPr fontId="1" type="noConversion"/>
  </si>
  <si>
    <t>東南里</t>
    <phoneticPr fontId="1" type="noConversion"/>
  </si>
  <si>
    <t>華南里</t>
    <phoneticPr fontId="1" type="noConversion"/>
  </si>
  <si>
    <t>崇南里</t>
    <phoneticPr fontId="1" type="noConversion"/>
  </si>
  <si>
    <t>景南里</t>
    <phoneticPr fontId="1" type="noConversion"/>
  </si>
  <si>
    <t>壽南里</t>
    <phoneticPr fontId="1" type="noConversion"/>
  </si>
  <si>
    <t>外南里</t>
    <phoneticPr fontId="1" type="noConversion"/>
  </si>
  <si>
    <t>和興里</t>
    <phoneticPr fontId="1" type="noConversion"/>
  </si>
  <si>
    <t>景平里</t>
    <phoneticPr fontId="1" type="noConversion"/>
  </si>
  <si>
    <t>景新里</t>
    <phoneticPr fontId="1" type="noConversion"/>
  </si>
  <si>
    <t>景福里</t>
    <phoneticPr fontId="1" type="noConversion"/>
  </si>
  <si>
    <t>景安里</t>
    <phoneticPr fontId="1" type="noConversion"/>
  </si>
  <si>
    <t>景文里</t>
    <phoneticPr fontId="1" type="noConversion"/>
  </si>
  <si>
    <t>錦和里</t>
    <phoneticPr fontId="1" type="noConversion"/>
  </si>
  <si>
    <t>錦昌里</t>
    <phoneticPr fontId="1" type="noConversion"/>
  </si>
  <si>
    <t>積穗里</t>
    <phoneticPr fontId="1" type="noConversion"/>
  </si>
  <si>
    <t>民享里</t>
    <phoneticPr fontId="1" type="noConversion"/>
  </si>
  <si>
    <t>員山里</t>
    <phoneticPr fontId="1" type="noConversion"/>
  </si>
  <si>
    <t>嘉穗里</t>
    <phoneticPr fontId="1" type="noConversion"/>
  </si>
  <si>
    <t>文元里</t>
    <phoneticPr fontId="1" type="noConversion"/>
  </si>
  <si>
    <t>嘉新里</t>
    <phoneticPr fontId="1" type="noConversion"/>
  </si>
  <si>
    <t>安穗里</t>
    <phoneticPr fontId="1" type="noConversion"/>
  </si>
  <si>
    <t>瑞穗里</t>
    <phoneticPr fontId="1" type="noConversion"/>
  </si>
  <si>
    <t>德穗里</t>
    <phoneticPr fontId="1" type="noConversion"/>
  </si>
  <si>
    <t>德行里</t>
    <phoneticPr fontId="1" type="noConversion"/>
  </si>
  <si>
    <t>秀士里</t>
    <phoneticPr fontId="1" type="noConversion"/>
  </si>
  <si>
    <t>興南里</t>
    <phoneticPr fontId="1" type="noConversion"/>
  </si>
  <si>
    <t>景本里</t>
    <phoneticPr fontId="1" type="noConversion"/>
  </si>
  <si>
    <t>福南里</t>
    <phoneticPr fontId="1" type="noConversion"/>
  </si>
  <si>
    <t>中興里</t>
    <phoneticPr fontId="1" type="noConversion"/>
  </si>
  <si>
    <t>吉興里</t>
    <phoneticPr fontId="1" type="noConversion"/>
  </si>
  <si>
    <t>碧河里</t>
    <phoneticPr fontId="1" type="noConversion"/>
  </si>
  <si>
    <t>錦中里</t>
    <phoneticPr fontId="1" type="noConversion"/>
  </si>
  <si>
    <t>錦盛里</t>
    <phoneticPr fontId="1" type="noConversion"/>
  </si>
  <si>
    <t>民有里</t>
    <phoneticPr fontId="1" type="noConversion"/>
  </si>
  <si>
    <t>員富里</t>
    <phoneticPr fontId="1" type="noConversion"/>
  </si>
  <si>
    <t>冠穗里</t>
    <phoneticPr fontId="1" type="noConversion"/>
  </si>
  <si>
    <t>國華里</t>
    <phoneticPr fontId="1" type="noConversion"/>
  </si>
  <si>
    <t>正南里</t>
    <phoneticPr fontId="1" type="noConversion"/>
  </si>
  <si>
    <t>正行里</t>
    <phoneticPr fontId="1" type="noConversion"/>
  </si>
  <si>
    <t>安樂里</t>
    <phoneticPr fontId="1" type="noConversion"/>
  </si>
  <si>
    <t>安平里</t>
    <phoneticPr fontId="1" type="noConversion"/>
  </si>
  <si>
    <t>中安里</t>
    <phoneticPr fontId="1" type="noConversion"/>
  </si>
  <si>
    <t>秀山里</t>
    <phoneticPr fontId="1" type="noConversion"/>
  </si>
  <si>
    <t>秀成里</t>
    <phoneticPr fontId="1" type="noConversion"/>
  </si>
  <si>
    <t>秀福里</t>
    <phoneticPr fontId="1" type="noConversion"/>
  </si>
  <si>
    <t>秀明里</t>
    <phoneticPr fontId="1" type="noConversion"/>
  </si>
  <si>
    <t>秀仁里</t>
    <phoneticPr fontId="1" type="noConversion"/>
  </si>
  <si>
    <t>秀水里</t>
    <phoneticPr fontId="1" type="noConversion"/>
  </si>
  <si>
    <t>宜安里</t>
    <phoneticPr fontId="1" type="noConversion"/>
  </si>
  <si>
    <t>安順里</t>
    <phoneticPr fontId="1" type="noConversion"/>
  </si>
  <si>
    <t>秀義里</t>
    <phoneticPr fontId="1" type="noConversion"/>
  </si>
  <si>
    <t>灰灰里</t>
    <phoneticPr fontId="1" type="noConversion"/>
  </si>
  <si>
    <t>明穗里</t>
    <phoneticPr fontId="1" type="noConversion"/>
  </si>
  <si>
    <t>清穗里</t>
    <phoneticPr fontId="1" type="noConversion"/>
  </si>
  <si>
    <t>壽德里</t>
    <phoneticPr fontId="1" type="noConversion"/>
  </si>
  <si>
    <t>明德里</t>
    <phoneticPr fontId="1" type="noConversion"/>
  </si>
  <si>
    <t>嘉慶里</t>
    <phoneticPr fontId="1" type="noConversion"/>
  </si>
  <si>
    <t>國豐里</t>
    <phoneticPr fontId="1" type="noConversion"/>
  </si>
  <si>
    <t>江陵里</t>
    <phoneticPr fontId="1" type="noConversion"/>
  </si>
  <si>
    <t>寶興里</t>
    <phoneticPr fontId="1" type="noConversion"/>
  </si>
  <si>
    <t>寶安里</t>
    <phoneticPr fontId="1" type="noConversion"/>
  </si>
  <si>
    <t>大鵬里</t>
    <phoneticPr fontId="1" type="noConversion"/>
  </si>
  <si>
    <t>頂城里</t>
    <phoneticPr fontId="1" type="noConversion"/>
  </si>
  <si>
    <t>下城里</t>
    <phoneticPr fontId="1" type="noConversion"/>
  </si>
  <si>
    <t>公崙里</t>
    <phoneticPr fontId="1" type="noConversion"/>
  </si>
  <si>
    <t>張北里</t>
    <phoneticPr fontId="1" type="noConversion"/>
  </si>
  <si>
    <t>新安里</t>
    <phoneticPr fontId="1" type="noConversion"/>
  </si>
  <si>
    <t>百忍里</t>
    <phoneticPr fontId="1" type="noConversion"/>
  </si>
  <si>
    <t>百和里</t>
    <phoneticPr fontId="1" type="noConversion"/>
  </si>
  <si>
    <t>百福里</t>
    <phoneticPr fontId="1" type="noConversion"/>
  </si>
  <si>
    <t>福民里</t>
    <phoneticPr fontId="1" type="noConversion"/>
  </si>
  <si>
    <t>中央里</t>
    <phoneticPr fontId="1" type="noConversion"/>
  </si>
  <si>
    <t>竹圍里</t>
    <phoneticPr fontId="1" type="noConversion"/>
  </si>
  <si>
    <t>八勢里</t>
    <phoneticPr fontId="1" type="noConversion"/>
  </si>
  <si>
    <t>竿蓁里</t>
    <phoneticPr fontId="1" type="noConversion"/>
  </si>
  <si>
    <t>鄧公里</t>
    <phoneticPr fontId="1" type="noConversion"/>
  </si>
  <si>
    <t>長庚里</t>
    <phoneticPr fontId="1" type="noConversion"/>
  </si>
  <si>
    <t>清文里</t>
    <phoneticPr fontId="1" type="noConversion"/>
  </si>
  <si>
    <t>草東里</t>
    <phoneticPr fontId="1" type="noConversion"/>
  </si>
  <si>
    <t>永吉里</t>
    <phoneticPr fontId="1" type="noConversion"/>
  </si>
  <si>
    <t>油車里</t>
    <phoneticPr fontId="1" type="noConversion"/>
  </si>
  <si>
    <t>沙崙里</t>
    <phoneticPr fontId="1" type="noConversion"/>
  </si>
  <si>
    <t>龍源里</t>
    <phoneticPr fontId="1" type="noConversion"/>
  </si>
  <si>
    <t>米倉里</t>
    <phoneticPr fontId="1" type="noConversion"/>
  </si>
  <si>
    <t>大崁里</t>
    <phoneticPr fontId="1" type="noConversion"/>
  </si>
  <si>
    <t>埤頭里</t>
    <phoneticPr fontId="1" type="noConversion"/>
  </si>
  <si>
    <t>頂罟里</t>
    <phoneticPr fontId="1" type="noConversion"/>
  </si>
  <si>
    <t>舊城里</t>
    <phoneticPr fontId="1" type="noConversion"/>
  </si>
  <si>
    <t>訊塘里</t>
    <phoneticPr fontId="1" type="noConversion"/>
  </si>
  <si>
    <t>荖阡里</t>
    <phoneticPr fontId="1" type="noConversion"/>
  </si>
  <si>
    <t>下罟里</t>
    <phoneticPr fontId="1" type="noConversion"/>
  </si>
  <si>
    <t>義民里</t>
    <phoneticPr fontId="1" type="noConversion"/>
  </si>
  <si>
    <t>禮門里</t>
    <phoneticPr fontId="1" type="noConversion"/>
  </si>
  <si>
    <t>智慧里</t>
    <phoneticPr fontId="1" type="noConversion"/>
  </si>
  <si>
    <t>信望里</t>
    <phoneticPr fontId="1" type="noConversion"/>
  </si>
  <si>
    <t>橋東里</t>
    <phoneticPr fontId="1" type="noConversion"/>
  </si>
  <si>
    <t>新昌里</t>
    <phoneticPr fontId="1" type="noConversion"/>
  </si>
  <si>
    <t>鄉長里</t>
    <phoneticPr fontId="1" type="noConversion"/>
  </si>
  <si>
    <t>江北里</t>
    <phoneticPr fontId="1" type="noConversion"/>
  </si>
  <si>
    <t>樟樹里</t>
    <phoneticPr fontId="1" type="noConversion"/>
  </si>
  <si>
    <t>北峰里</t>
    <phoneticPr fontId="1" type="noConversion"/>
  </si>
  <si>
    <t>北山里</t>
    <phoneticPr fontId="1" type="noConversion"/>
  </si>
  <si>
    <t>橫科里</t>
    <phoneticPr fontId="1" type="noConversion"/>
  </si>
  <si>
    <t>福山里</t>
    <phoneticPr fontId="1" type="noConversion"/>
  </si>
  <si>
    <t>宜興里</t>
    <phoneticPr fontId="1" type="noConversion"/>
  </si>
  <si>
    <t>湖光里</t>
    <phoneticPr fontId="1" type="noConversion"/>
  </si>
  <si>
    <t>仁德里</t>
    <phoneticPr fontId="1" type="noConversion"/>
  </si>
  <si>
    <t>厚德里</t>
    <phoneticPr fontId="1" type="noConversion"/>
  </si>
  <si>
    <r>
      <t>V</t>
    </r>
    <r>
      <rPr>
        <vertAlign val="subscript"/>
        <sz val="12"/>
        <color theme="1"/>
        <rFont val="新細明體"/>
        <family val="1"/>
        <charset val="136"/>
        <scheme val="minor"/>
      </rPr>
      <t>D</t>
    </r>
    <phoneticPr fontId="1" type="noConversion"/>
  </si>
  <si>
    <t>最小設計水平總橫力</t>
    <phoneticPr fontId="1" type="noConversion"/>
  </si>
  <si>
    <t>避免中小度地震下降伏之設計地震力</t>
    <phoneticPr fontId="1" type="noConversion"/>
  </si>
  <si>
    <t>避免最大考量地震下崩塌之設計地震力</t>
    <phoneticPr fontId="1" type="noConversion"/>
  </si>
  <si>
    <t>V* =</t>
    <phoneticPr fontId="1" type="noConversion"/>
  </si>
  <si>
    <t>LF</t>
    <phoneticPr fontId="4" type="noConversion"/>
  </si>
  <si>
    <t>Loading</t>
    <phoneticPr fontId="4" type="noConversion"/>
  </si>
  <si>
    <t>Factor</t>
    <phoneticPr fontId="4" type="noConversion"/>
  </si>
  <si>
    <t>避免中小度地震下降伏</t>
    <phoneticPr fontId="4" type="noConversion"/>
  </si>
  <si>
    <t>避免最大考量地震下崩塌</t>
    <phoneticPr fontId="4" type="noConversion"/>
  </si>
  <si>
    <t>W</t>
    <phoneticPr fontId="4" type="noConversion"/>
  </si>
  <si>
    <t>RC</t>
  </si>
  <si>
    <t>臺南市</t>
  </si>
  <si>
    <t>新化斷層</t>
  </si>
  <si>
    <t>1/8T^1/2</t>
    <phoneticPr fontId="4" type="noConversion"/>
  </si>
  <si>
    <t>C/Fu=</t>
    <phoneticPr fontId="4" type="noConversion"/>
  </si>
  <si>
    <t>(C/Fu)m=</t>
    <phoneticPr fontId="7" type="noConversion"/>
  </si>
  <si>
    <t>g</t>
    <phoneticPr fontId="7" type="noConversion"/>
  </si>
  <si>
    <t>台北盆地</t>
    <phoneticPr fontId="7" type="noConversion"/>
  </si>
  <si>
    <t>第一類</t>
    <phoneticPr fontId="7" type="noConversion"/>
  </si>
  <si>
    <t>第二類</t>
    <phoneticPr fontId="7" type="noConversion"/>
  </si>
  <si>
    <t>第三類</t>
    <phoneticPr fontId="7" type="noConversion"/>
  </si>
  <si>
    <t>Z</t>
    <phoneticPr fontId="7" type="noConversion"/>
  </si>
  <si>
    <t>六甲斷層</t>
    <phoneticPr fontId="18" type="noConversion"/>
  </si>
  <si>
    <t>斷層名稱</t>
  </si>
  <si>
    <t>新城斷層</t>
  </si>
  <si>
    <t>獅潭斷層</t>
    <phoneticPr fontId="7" type="noConversion"/>
  </si>
  <si>
    <t>三義斷層</t>
  </si>
  <si>
    <t>大甲斷層全段
鐵砧山斷層
彰化斷層</t>
    <phoneticPr fontId="7" type="noConversion"/>
  </si>
  <si>
    <t>屯子腳斷層</t>
  </si>
  <si>
    <t>車籠埔斷層全段</t>
    <phoneticPr fontId="7" type="noConversion"/>
  </si>
  <si>
    <t>六甲斷層</t>
    <phoneticPr fontId="7" type="noConversion"/>
  </si>
  <si>
    <t>大尖山斷層
觸口斷層</t>
    <phoneticPr fontId="7" type="noConversion"/>
  </si>
  <si>
    <t>[嘉義縣] 水上鄉、阿里山鄉</t>
    <phoneticPr fontId="7" type="noConversion"/>
  </si>
  <si>
    <t>[臺南市] 新化區、新市區、山上區、左鎮區、永康區</t>
    <phoneticPr fontId="7" type="noConversion"/>
  </si>
  <si>
    <t>[臺南市] 大內區、善化區、歸仁區、關廟區</t>
    <phoneticPr fontId="7" type="noConversion"/>
  </si>
  <si>
    <t>[臺南市] 白河區、柳營區、東山區、六甲區、官田區</t>
    <phoneticPr fontId="7" type="noConversion"/>
  </si>
  <si>
    <t>白河區</t>
  </si>
  <si>
    <t>新化區</t>
  </si>
  <si>
    <t>大內區</t>
  </si>
  <si>
    <t>柳營區</t>
  </si>
  <si>
    <t>東山區</t>
  </si>
  <si>
    <t>六甲區</t>
  </si>
  <si>
    <t>官田區</t>
  </si>
  <si>
    <t>新市區</t>
  </si>
  <si>
    <t>山上區</t>
  </si>
  <si>
    <t>左鎮區</t>
  </si>
  <si>
    <t>永康區</t>
  </si>
  <si>
    <t>嘉義縣</t>
  </si>
  <si>
    <t>水上鄉</t>
  </si>
  <si>
    <t>阿里山鄉</t>
  </si>
  <si>
    <t>南投縣</t>
  </si>
  <si>
    <t>竹山鎮</t>
  </si>
  <si>
    <t>鹿谷鄉</t>
  </si>
  <si>
    <t>雲林縣</t>
  </si>
  <si>
    <t>斗六市</t>
  </si>
  <si>
    <t>林內鄉</t>
  </si>
  <si>
    <t>古坑鄉</t>
  </si>
  <si>
    <t>大林鎮</t>
  </si>
  <si>
    <t>民雄鄉</t>
  </si>
  <si>
    <t>中埔鄉</t>
  </si>
  <si>
    <t>竹崎鄉</t>
  </si>
  <si>
    <t>梅山鄉</t>
  </si>
  <si>
    <t>番路鄉</t>
  </si>
  <si>
    <t>大埔鄉</t>
  </si>
  <si>
    <t>[南投縣] 竹山鎮、鹿谷鄉 [雲林縣] 斗六市、林內鄉、古坑鄉 [嘉義縣] 大林鎮、民雄鄉、中埔鄉、竹崎鄉、梅山鄉、番路鄉、大埔鄉 [臺南市] 白河區、東山區</t>
    <phoneticPr fontId="7" type="noConversion"/>
  </si>
  <si>
    <t>善化區</t>
  </si>
  <si>
    <t>歸仁區</t>
  </si>
  <si>
    <t>關廟區</t>
  </si>
  <si>
    <t>苗栗縣</t>
  </si>
  <si>
    <t>通霄鎮</t>
  </si>
  <si>
    <t>苑裡鎮</t>
  </si>
  <si>
    <t>新竹縣</t>
  </si>
  <si>
    <t>竹東鎮</t>
  </si>
  <si>
    <t>桃園市</t>
  </si>
  <si>
    <t>龍潭區</t>
  </si>
  <si>
    <t>寶山鄉</t>
  </si>
  <si>
    <t>旗山斷層</t>
  </si>
  <si>
    <t>工址與斷層距離r</t>
    <phoneticPr fontId="7" type="noConversion"/>
  </si>
  <si>
    <t>斷層距離(km)</t>
    <phoneticPr fontId="4" type="noConversion"/>
  </si>
  <si>
    <r>
      <t>Na</t>
    </r>
    <r>
      <rPr>
        <vertAlign val="superscript"/>
        <sz val="12"/>
        <color indexed="8"/>
        <rFont val="微軟正黑體"/>
        <family val="2"/>
        <charset val="136"/>
      </rPr>
      <t>D</t>
    </r>
    <phoneticPr fontId="1" type="noConversion"/>
  </si>
  <si>
    <r>
      <t>Nv</t>
    </r>
    <r>
      <rPr>
        <vertAlign val="superscript"/>
        <sz val="12"/>
        <color indexed="8"/>
        <rFont val="微軟正黑體"/>
        <family val="2"/>
        <charset val="136"/>
      </rPr>
      <t>D</t>
    </r>
    <phoneticPr fontId="1" type="noConversion"/>
  </si>
  <si>
    <r>
      <t>Na</t>
    </r>
    <r>
      <rPr>
        <vertAlign val="superscript"/>
        <sz val="12"/>
        <color indexed="8"/>
        <rFont val="微軟正黑體"/>
        <family val="2"/>
        <charset val="136"/>
      </rPr>
      <t>M</t>
    </r>
    <phoneticPr fontId="1" type="noConversion"/>
  </si>
  <si>
    <r>
      <t>Nv</t>
    </r>
    <r>
      <rPr>
        <vertAlign val="superscript"/>
        <sz val="12"/>
        <color indexed="8"/>
        <rFont val="微軟正黑體"/>
        <family val="2"/>
        <charset val="136"/>
      </rPr>
      <t>M</t>
    </r>
    <phoneticPr fontId="1" type="noConversion"/>
  </si>
  <si>
    <t>111年10月1日</t>
    <phoneticPr fontId="7" type="noConversion"/>
  </si>
  <si>
    <r>
      <rPr>
        <b/>
        <sz val="12"/>
        <color indexed="8"/>
        <rFont val="微軟正黑體"/>
        <family val="2"/>
        <charset val="136"/>
      </rPr>
      <t>地震分區</t>
    </r>
    <phoneticPr fontId="1" type="noConversion"/>
  </si>
  <si>
    <r>
      <t>α</t>
    </r>
    <r>
      <rPr>
        <vertAlign val="subscript"/>
        <sz val="12"/>
        <rFont val="微軟正黑體"/>
        <family val="2"/>
        <charset val="136"/>
      </rPr>
      <t>y</t>
    </r>
    <r>
      <rPr>
        <sz val="12"/>
        <rFont val="微軟正黑體"/>
        <family val="2"/>
        <charset val="136"/>
      </rPr>
      <t xml:space="preserve"> =</t>
    </r>
    <phoneticPr fontId="4" type="noConversion"/>
  </si>
  <si>
    <t xml:space="preserve">最小總橫力係數 </t>
    <phoneticPr fontId="7" type="noConversion"/>
  </si>
  <si>
    <r>
      <t>R</t>
    </r>
    <r>
      <rPr>
        <vertAlign val="subscript"/>
        <sz val="12"/>
        <rFont val="微軟正黑體"/>
        <family val="2"/>
        <charset val="136"/>
      </rPr>
      <t>a</t>
    </r>
    <r>
      <rPr>
        <sz val="12"/>
        <rFont val="微軟正黑體"/>
        <family val="2"/>
        <charset val="136"/>
      </rPr>
      <t xml:space="preserve"> =</t>
    </r>
    <phoneticPr fontId="4" type="noConversion"/>
  </si>
  <si>
    <r>
      <rPr>
        <sz val="12"/>
        <color indexed="8"/>
        <rFont val="微軟正黑體"/>
        <family val="2"/>
        <charset val="136"/>
      </rPr>
      <t>屋頂面高度 h</t>
    </r>
    <r>
      <rPr>
        <vertAlign val="subscript"/>
        <sz val="12"/>
        <color indexed="8"/>
        <rFont val="微軟正黑體"/>
        <family val="2"/>
        <charset val="136"/>
      </rPr>
      <t>n</t>
    </r>
    <r>
      <rPr>
        <sz val="12"/>
        <color indexed="8"/>
        <rFont val="微軟正黑體"/>
        <family val="2"/>
        <charset val="136"/>
      </rPr>
      <t>(m)</t>
    </r>
    <phoneticPr fontId="1" type="noConversion"/>
  </si>
  <si>
    <r>
      <t>F</t>
    </r>
    <r>
      <rPr>
        <vertAlign val="subscript"/>
        <sz val="12"/>
        <rFont val="微軟正黑體"/>
        <family val="2"/>
        <charset val="136"/>
      </rPr>
      <t xml:space="preserve">u </t>
    </r>
    <r>
      <rPr>
        <sz val="12"/>
        <rFont val="微軟正黑體"/>
        <family val="2"/>
        <charset val="136"/>
      </rPr>
      <t>=</t>
    </r>
    <phoneticPr fontId="4" type="noConversion"/>
  </si>
  <si>
    <t>系統韌性容量 R</t>
    <phoneticPr fontId="1" type="noConversion"/>
  </si>
  <si>
    <r>
      <t>容許韌性容量 R</t>
    </r>
    <r>
      <rPr>
        <vertAlign val="subscript"/>
        <sz val="12"/>
        <color indexed="8"/>
        <rFont val="微軟正黑體"/>
        <family val="2"/>
        <charset val="136"/>
      </rPr>
      <t>a</t>
    </r>
    <phoneticPr fontId="1" type="noConversion"/>
  </si>
  <si>
    <r>
      <t>S</t>
    </r>
    <r>
      <rPr>
        <vertAlign val="subscript"/>
        <sz val="12"/>
        <rFont val="微軟正黑體"/>
        <family val="2"/>
        <charset val="136"/>
      </rPr>
      <t>DS</t>
    </r>
    <phoneticPr fontId="1" type="noConversion"/>
  </si>
  <si>
    <r>
      <t>S</t>
    </r>
    <r>
      <rPr>
        <vertAlign val="subscript"/>
        <sz val="12"/>
        <rFont val="微軟正黑體"/>
        <family val="2"/>
        <charset val="136"/>
      </rPr>
      <t>D1</t>
    </r>
    <phoneticPr fontId="1" type="noConversion"/>
  </si>
  <si>
    <r>
      <t>T</t>
    </r>
    <r>
      <rPr>
        <vertAlign val="subscript"/>
        <sz val="12"/>
        <color indexed="8"/>
        <rFont val="微軟正黑體"/>
        <family val="2"/>
        <charset val="136"/>
      </rPr>
      <t>0</t>
    </r>
    <r>
      <rPr>
        <vertAlign val="superscript"/>
        <sz val="12"/>
        <color indexed="8"/>
        <rFont val="微軟正黑體"/>
        <family val="2"/>
        <charset val="136"/>
      </rPr>
      <t>D</t>
    </r>
    <phoneticPr fontId="1" type="noConversion"/>
  </si>
  <si>
    <r>
      <t>0.2T</t>
    </r>
    <r>
      <rPr>
        <vertAlign val="subscript"/>
        <sz val="12"/>
        <rFont val="微軟正黑體"/>
        <family val="2"/>
        <charset val="136"/>
      </rPr>
      <t>0</t>
    </r>
    <r>
      <rPr>
        <vertAlign val="superscript"/>
        <sz val="12"/>
        <rFont val="微軟正黑體"/>
        <family val="2"/>
        <charset val="136"/>
      </rPr>
      <t>D</t>
    </r>
    <phoneticPr fontId="1" type="noConversion"/>
  </si>
  <si>
    <r>
      <t>0.6T</t>
    </r>
    <r>
      <rPr>
        <vertAlign val="subscript"/>
        <sz val="12"/>
        <rFont val="微軟正黑體"/>
        <family val="2"/>
        <charset val="136"/>
      </rPr>
      <t>0</t>
    </r>
    <r>
      <rPr>
        <vertAlign val="superscript"/>
        <sz val="12"/>
        <rFont val="微軟正黑體"/>
        <family val="2"/>
        <charset val="136"/>
      </rPr>
      <t>D</t>
    </r>
    <phoneticPr fontId="1" type="noConversion"/>
  </si>
  <si>
    <r>
      <t>2.5T</t>
    </r>
    <r>
      <rPr>
        <vertAlign val="subscript"/>
        <sz val="12"/>
        <rFont val="微軟正黑體"/>
        <family val="2"/>
        <charset val="136"/>
      </rPr>
      <t>0</t>
    </r>
    <r>
      <rPr>
        <vertAlign val="superscript"/>
        <sz val="12"/>
        <rFont val="微軟正黑體"/>
        <family val="2"/>
        <charset val="136"/>
      </rPr>
      <t>D</t>
    </r>
    <phoneticPr fontId="1" type="noConversion"/>
  </si>
  <si>
    <r>
      <t>S</t>
    </r>
    <r>
      <rPr>
        <vertAlign val="subscript"/>
        <sz val="12"/>
        <rFont val="微軟正黑體"/>
        <family val="2"/>
        <charset val="136"/>
      </rPr>
      <t>DS</t>
    </r>
    <r>
      <rPr>
        <sz val="12"/>
        <rFont val="微軟正黑體"/>
        <family val="2"/>
        <charset val="136"/>
      </rPr>
      <t>*</t>
    </r>
    <phoneticPr fontId="1" type="noConversion"/>
  </si>
  <si>
    <r>
      <t>S</t>
    </r>
    <r>
      <rPr>
        <vertAlign val="subscript"/>
        <sz val="12"/>
        <rFont val="微軟正黑體"/>
        <family val="2"/>
        <charset val="136"/>
      </rPr>
      <t>D1</t>
    </r>
    <r>
      <rPr>
        <sz val="12"/>
        <rFont val="微軟正黑體"/>
        <family val="2"/>
        <charset val="136"/>
      </rPr>
      <t>*</t>
    </r>
    <phoneticPr fontId="1" type="noConversion"/>
  </si>
  <si>
    <r>
      <t>S</t>
    </r>
    <r>
      <rPr>
        <vertAlign val="subscript"/>
        <sz val="12"/>
        <color indexed="8"/>
        <rFont val="微軟正黑體"/>
        <family val="2"/>
        <charset val="136"/>
      </rPr>
      <t>MS</t>
    </r>
    <phoneticPr fontId="1" type="noConversion"/>
  </si>
  <si>
    <r>
      <t>S</t>
    </r>
    <r>
      <rPr>
        <vertAlign val="subscript"/>
        <sz val="12"/>
        <rFont val="微軟正黑體"/>
        <family val="2"/>
        <charset val="136"/>
      </rPr>
      <t>M1</t>
    </r>
    <phoneticPr fontId="1" type="noConversion"/>
  </si>
  <si>
    <r>
      <t>T</t>
    </r>
    <r>
      <rPr>
        <vertAlign val="subscript"/>
        <sz val="12"/>
        <color indexed="8"/>
        <rFont val="微軟正黑體"/>
        <family val="2"/>
        <charset val="136"/>
      </rPr>
      <t>0</t>
    </r>
    <r>
      <rPr>
        <vertAlign val="superscript"/>
        <sz val="12"/>
        <color indexed="8"/>
        <rFont val="微軟正黑體"/>
        <family val="2"/>
        <charset val="136"/>
      </rPr>
      <t>M</t>
    </r>
    <phoneticPr fontId="1" type="noConversion"/>
  </si>
  <si>
    <r>
      <t>0.2T</t>
    </r>
    <r>
      <rPr>
        <vertAlign val="subscript"/>
        <sz val="12"/>
        <rFont val="微軟正黑體"/>
        <family val="2"/>
        <charset val="136"/>
      </rPr>
      <t>0</t>
    </r>
    <r>
      <rPr>
        <vertAlign val="superscript"/>
        <sz val="12"/>
        <rFont val="微軟正黑體"/>
        <family val="2"/>
        <charset val="136"/>
      </rPr>
      <t>M</t>
    </r>
    <phoneticPr fontId="1" type="noConversion"/>
  </si>
  <si>
    <r>
      <t>0.6T</t>
    </r>
    <r>
      <rPr>
        <vertAlign val="subscript"/>
        <sz val="12"/>
        <rFont val="微軟正黑體"/>
        <family val="2"/>
        <charset val="136"/>
      </rPr>
      <t>0</t>
    </r>
    <r>
      <rPr>
        <vertAlign val="superscript"/>
        <sz val="12"/>
        <rFont val="微軟正黑體"/>
        <family val="2"/>
        <charset val="136"/>
      </rPr>
      <t>M</t>
    </r>
    <phoneticPr fontId="1" type="noConversion"/>
  </si>
  <si>
    <r>
      <t>S</t>
    </r>
    <r>
      <rPr>
        <vertAlign val="subscript"/>
        <sz val="12"/>
        <color indexed="8"/>
        <rFont val="微軟正黑體"/>
        <family val="2"/>
        <charset val="136"/>
      </rPr>
      <t>aD</t>
    </r>
    <phoneticPr fontId="1" type="noConversion"/>
  </si>
  <si>
    <r>
      <t>F</t>
    </r>
    <r>
      <rPr>
        <vertAlign val="subscript"/>
        <sz val="12"/>
        <color indexed="8"/>
        <rFont val="微軟正黑體"/>
        <family val="2"/>
        <charset val="136"/>
      </rPr>
      <t>u</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</si>
  <si>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</si>
  <si>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r>
      <rPr>
        <sz val="12"/>
        <color indexed="8"/>
        <rFont val="微軟正黑體"/>
        <family val="2"/>
        <charset val="136"/>
      </rPr>
      <t>)</t>
    </r>
    <r>
      <rPr>
        <vertAlign val="subscript"/>
        <sz val="12"/>
        <color indexed="8"/>
        <rFont val="微軟正黑體"/>
        <family val="2"/>
        <charset val="136"/>
      </rPr>
      <t>m</t>
    </r>
    <phoneticPr fontId="1" type="noConversion"/>
  </si>
  <si>
    <r>
      <t>S</t>
    </r>
    <r>
      <rPr>
        <vertAlign val="subscript"/>
        <sz val="12"/>
        <color indexed="8"/>
        <rFont val="微軟正黑體"/>
        <family val="2"/>
        <charset val="136"/>
      </rPr>
      <t>aD</t>
    </r>
    <r>
      <rPr>
        <sz val="12"/>
        <color indexed="8"/>
        <rFont val="微軟正黑體"/>
        <family val="2"/>
        <charset val="136"/>
      </rPr>
      <t>*</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</si>
  <si>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</si>
  <si>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r>
      <rPr>
        <sz val="12"/>
        <color indexed="8"/>
        <rFont val="微軟正黑體"/>
        <family val="2"/>
        <charset val="136"/>
      </rPr>
      <t>)</t>
    </r>
    <r>
      <rPr>
        <vertAlign val="subscript"/>
        <sz val="12"/>
        <color indexed="8"/>
        <rFont val="微軟正黑體"/>
        <family val="2"/>
        <charset val="136"/>
      </rPr>
      <t>m</t>
    </r>
    <phoneticPr fontId="1" type="noConversion"/>
  </si>
  <si>
    <r>
      <t>S</t>
    </r>
    <r>
      <rPr>
        <vertAlign val="subscript"/>
        <sz val="12"/>
        <color indexed="8"/>
        <rFont val="微軟正黑體"/>
        <family val="2"/>
        <charset val="136"/>
      </rPr>
      <t>aM</t>
    </r>
    <phoneticPr fontId="1" type="noConversion"/>
  </si>
  <si>
    <r>
      <t>F</t>
    </r>
    <r>
      <rPr>
        <vertAlign val="subscript"/>
        <sz val="12"/>
        <color indexed="8"/>
        <rFont val="微軟正黑體"/>
        <family val="2"/>
        <charset val="136"/>
      </rPr>
      <t>uM</t>
    </r>
    <phoneticPr fontId="1" type="noConversion"/>
  </si>
  <si>
    <r>
      <t>S</t>
    </r>
    <r>
      <rPr>
        <vertAlign val="subscript"/>
        <sz val="12"/>
        <color indexed="8"/>
        <rFont val="微軟正黑體"/>
        <family val="2"/>
        <charset val="136"/>
      </rPr>
      <t>aM</t>
    </r>
    <r>
      <rPr>
        <sz val="12"/>
        <color indexed="8"/>
        <rFont val="微軟正黑體"/>
        <family val="2"/>
        <charset val="136"/>
      </rPr>
      <t>/F</t>
    </r>
    <r>
      <rPr>
        <vertAlign val="subscript"/>
        <sz val="12"/>
        <color indexed="8"/>
        <rFont val="微軟正黑體"/>
        <family val="2"/>
        <charset val="136"/>
      </rPr>
      <t>uM</t>
    </r>
    <phoneticPr fontId="1" type="noConversion"/>
  </si>
  <si>
    <r>
      <t>(S</t>
    </r>
    <r>
      <rPr>
        <vertAlign val="subscript"/>
        <sz val="12"/>
        <color indexed="8"/>
        <rFont val="微軟正黑體"/>
        <family val="2"/>
        <charset val="136"/>
      </rPr>
      <t>aM</t>
    </r>
    <r>
      <rPr>
        <sz val="12"/>
        <color indexed="8"/>
        <rFont val="微軟正黑體"/>
        <family val="2"/>
        <charset val="136"/>
      </rPr>
      <t>/F</t>
    </r>
    <r>
      <rPr>
        <vertAlign val="subscript"/>
        <sz val="12"/>
        <color indexed="8"/>
        <rFont val="微軟正黑體"/>
        <family val="2"/>
        <charset val="136"/>
      </rPr>
      <t>uM</t>
    </r>
    <r>
      <rPr>
        <sz val="12"/>
        <color indexed="8"/>
        <rFont val="微軟正黑體"/>
        <family val="2"/>
        <charset val="136"/>
      </rPr>
      <t>)</t>
    </r>
    <r>
      <rPr>
        <vertAlign val="subscript"/>
        <sz val="12"/>
        <color indexed="8"/>
        <rFont val="微軟正黑體"/>
        <family val="2"/>
        <charset val="136"/>
      </rPr>
      <t>m</t>
    </r>
    <phoneticPr fontId="1" type="noConversion"/>
  </si>
  <si>
    <r>
      <t>V</t>
    </r>
    <r>
      <rPr>
        <vertAlign val="subscript"/>
        <sz val="12"/>
        <rFont val="微軟正黑體"/>
        <family val="2"/>
        <charset val="136"/>
      </rPr>
      <t>D</t>
    </r>
    <r>
      <rPr>
        <sz val="12"/>
        <rFont val="微軟正黑體"/>
        <family val="2"/>
        <charset val="136"/>
      </rPr>
      <t xml:space="preserve"> =</t>
    </r>
    <phoneticPr fontId="1" type="noConversion"/>
  </si>
  <si>
    <r>
      <t>Cs</t>
    </r>
    <r>
      <rPr>
        <vertAlign val="subscript"/>
        <sz val="12"/>
        <rFont val="微軟正黑體"/>
        <family val="2"/>
        <charset val="136"/>
      </rPr>
      <t>D</t>
    </r>
    <r>
      <rPr>
        <sz val="12"/>
        <rFont val="微軟正黑體"/>
        <family val="2"/>
        <charset val="136"/>
      </rPr>
      <t>=I(S</t>
    </r>
    <r>
      <rPr>
        <vertAlign val="subscript"/>
        <sz val="12"/>
        <rFont val="微軟正黑體"/>
        <family val="2"/>
        <charset val="136"/>
      </rPr>
      <t>aD</t>
    </r>
    <r>
      <rPr>
        <sz val="12"/>
        <rFont val="微軟正黑體"/>
        <family val="2"/>
        <charset val="136"/>
      </rPr>
      <t>/F</t>
    </r>
    <r>
      <rPr>
        <vertAlign val="subscript"/>
        <sz val="12"/>
        <rFont val="微軟正黑體"/>
        <family val="2"/>
        <charset val="136"/>
      </rPr>
      <t>uD</t>
    </r>
    <r>
      <rPr>
        <sz val="12"/>
        <rFont val="微軟正黑體"/>
        <family val="2"/>
        <charset val="136"/>
      </rPr>
      <t>)</t>
    </r>
    <r>
      <rPr>
        <vertAlign val="subscript"/>
        <sz val="12"/>
        <rFont val="微軟正黑體"/>
        <family val="2"/>
        <charset val="136"/>
      </rPr>
      <t>m</t>
    </r>
    <r>
      <rPr>
        <sz val="12"/>
        <rFont val="微軟正黑體"/>
        <family val="2"/>
        <charset val="136"/>
      </rPr>
      <t>/(1.4α</t>
    </r>
    <r>
      <rPr>
        <vertAlign val="subscript"/>
        <sz val="12"/>
        <rFont val="微軟正黑體"/>
        <family val="2"/>
        <charset val="136"/>
      </rPr>
      <t>y</t>
    </r>
    <r>
      <rPr>
        <sz val="12"/>
        <rFont val="微軟正黑體"/>
        <family val="2"/>
        <charset val="136"/>
      </rPr>
      <t>)</t>
    </r>
    <phoneticPr fontId="1" type="noConversion"/>
  </si>
  <si>
    <r>
      <t>Cs*=I(F</t>
    </r>
    <r>
      <rPr>
        <vertAlign val="subscript"/>
        <sz val="12"/>
        <rFont val="微軟正黑體"/>
        <family val="2"/>
        <charset val="136"/>
      </rPr>
      <t>uD</t>
    </r>
    <r>
      <rPr>
        <sz val="12"/>
        <rFont val="微軟正黑體"/>
        <family val="2"/>
        <charset val="136"/>
      </rPr>
      <t>/4.2)(S</t>
    </r>
    <r>
      <rPr>
        <vertAlign val="subscript"/>
        <sz val="12"/>
        <rFont val="微軟正黑體"/>
        <family val="2"/>
        <charset val="136"/>
      </rPr>
      <t>aD</t>
    </r>
    <r>
      <rPr>
        <sz val="12"/>
        <rFont val="微軟正黑體"/>
        <family val="2"/>
        <charset val="136"/>
      </rPr>
      <t>*/F</t>
    </r>
    <r>
      <rPr>
        <vertAlign val="subscript"/>
        <sz val="12"/>
        <rFont val="微軟正黑體"/>
        <family val="2"/>
        <charset val="136"/>
      </rPr>
      <t>uD</t>
    </r>
    <r>
      <rPr>
        <sz val="12"/>
        <rFont val="微軟正黑體"/>
        <family val="2"/>
        <charset val="136"/>
      </rPr>
      <t>)</t>
    </r>
    <r>
      <rPr>
        <vertAlign val="subscript"/>
        <sz val="12"/>
        <rFont val="微軟正黑體"/>
        <family val="2"/>
        <charset val="136"/>
      </rPr>
      <t>m</t>
    </r>
    <r>
      <rPr>
        <sz val="12"/>
        <rFont val="微軟正黑體"/>
        <family val="2"/>
        <charset val="136"/>
      </rPr>
      <t>/α</t>
    </r>
    <r>
      <rPr>
        <vertAlign val="subscript"/>
        <sz val="12"/>
        <rFont val="微軟正黑體"/>
        <family val="2"/>
        <charset val="136"/>
      </rPr>
      <t>y</t>
    </r>
    <phoneticPr fontId="1" type="noConversion"/>
  </si>
  <si>
    <r>
      <t>V</t>
    </r>
    <r>
      <rPr>
        <vertAlign val="subscript"/>
        <sz val="12"/>
        <rFont val="微軟正黑體"/>
        <family val="2"/>
        <charset val="136"/>
      </rPr>
      <t>M</t>
    </r>
    <r>
      <rPr>
        <sz val="12"/>
        <rFont val="微軟正黑體"/>
        <family val="2"/>
        <charset val="136"/>
      </rPr>
      <t xml:space="preserve"> =</t>
    </r>
    <phoneticPr fontId="1" type="noConversion"/>
  </si>
  <si>
    <r>
      <t>Cs</t>
    </r>
    <r>
      <rPr>
        <vertAlign val="subscript"/>
        <sz val="12"/>
        <rFont val="微軟正黑體"/>
        <family val="2"/>
        <charset val="136"/>
      </rPr>
      <t>M</t>
    </r>
    <r>
      <rPr>
        <sz val="12"/>
        <rFont val="微軟正黑體"/>
        <family val="2"/>
        <charset val="136"/>
      </rPr>
      <t>=I(S</t>
    </r>
    <r>
      <rPr>
        <vertAlign val="subscript"/>
        <sz val="12"/>
        <rFont val="微軟正黑體"/>
        <family val="2"/>
        <charset val="136"/>
      </rPr>
      <t>aM</t>
    </r>
    <r>
      <rPr>
        <sz val="12"/>
        <rFont val="微軟正黑體"/>
        <family val="2"/>
        <charset val="136"/>
      </rPr>
      <t>/F</t>
    </r>
    <r>
      <rPr>
        <vertAlign val="subscript"/>
        <sz val="12"/>
        <rFont val="微軟正黑體"/>
        <family val="2"/>
        <charset val="136"/>
      </rPr>
      <t>uM</t>
    </r>
    <r>
      <rPr>
        <sz val="12"/>
        <rFont val="微軟正黑體"/>
        <family val="2"/>
        <charset val="136"/>
      </rPr>
      <t>)</t>
    </r>
    <r>
      <rPr>
        <vertAlign val="subscript"/>
        <sz val="12"/>
        <rFont val="微軟正黑體"/>
        <family val="2"/>
        <charset val="136"/>
      </rPr>
      <t>m</t>
    </r>
    <r>
      <rPr>
        <sz val="12"/>
        <rFont val="微軟正黑體"/>
        <family val="2"/>
        <charset val="136"/>
      </rPr>
      <t>/(1.4α</t>
    </r>
    <r>
      <rPr>
        <vertAlign val="subscript"/>
        <sz val="12"/>
        <rFont val="微軟正黑體"/>
        <family val="2"/>
        <charset val="136"/>
      </rPr>
      <t>y</t>
    </r>
    <r>
      <rPr>
        <sz val="12"/>
        <rFont val="微軟正黑體"/>
        <family val="2"/>
        <charset val="136"/>
      </rPr>
      <t>)</t>
    </r>
    <phoneticPr fontId="1" type="noConversion"/>
  </si>
  <si>
    <r>
      <t>地震力係數 C</t>
    </r>
    <r>
      <rPr>
        <b/>
        <vertAlign val="subscript"/>
        <sz val="12"/>
        <color theme="1"/>
        <rFont val="微軟正黑體"/>
        <family val="2"/>
        <charset val="136"/>
      </rPr>
      <t>S</t>
    </r>
    <r>
      <rPr>
        <b/>
        <sz val="12"/>
        <color theme="1"/>
        <rFont val="微軟正黑體"/>
        <family val="2"/>
        <charset val="136"/>
      </rPr>
      <t xml:space="preserve"> =</t>
    </r>
    <phoneticPr fontId="1" type="noConversion"/>
  </si>
  <si>
    <r>
      <t>設計V</t>
    </r>
    <r>
      <rPr>
        <b/>
        <vertAlign val="subscript"/>
        <sz val="12"/>
        <rFont val="微軟正黑體"/>
        <family val="2"/>
        <charset val="136"/>
      </rPr>
      <t>D</t>
    </r>
    <phoneticPr fontId="4" type="noConversion"/>
  </si>
  <si>
    <t>中小V*</t>
    <phoneticPr fontId="1" type="noConversion"/>
  </si>
  <si>
    <r>
      <t>最大V</t>
    </r>
    <r>
      <rPr>
        <vertAlign val="subscript"/>
        <sz val="12"/>
        <rFont val="微軟正黑體"/>
        <family val="2"/>
        <charset val="136"/>
      </rPr>
      <t>M</t>
    </r>
    <phoneticPr fontId="1" type="noConversion"/>
  </si>
  <si>
    <r>
      <t>F</t>
    </r>
    <r>
      <rPr>
        <vertAlign val="subscript"/>
        <sz val="12"/>
        <rFont val="微軟正黑體"/>
        <family val="2"/>
        <charset val="136"/>
      </rPr>
      <t>uD</t>
    </r>
    <phoneticPr fontId="1" type="noConversion"/>
  </si>
  <si>
    <r>
      <t>S</t>
    </r>
    <r>
      <rPr>
        <vertAlign val="subscript"/>
        <sz val="12"/>
        <rFont val="微軟正黑體"/>
        <family val="2"/>
        <charset val="136"/>
      </rPr>
      <t>aD</t>
    </r>
    <phoneticPr fontId="1" type="noConversion"/>
  </si>
  <si>
    <r>
      <t>S</t>
    </r>
    <r>
      <rPr>
        <vertAlign val="subscript"/>
        <sz val="12"/>
        <rFont val="微軟正黑體"/>
        <family val="2"/>
        <charset val="136"/>
      </rPr>
      <t>aD</t>
    </r>
    <r>
      <rPr>
        <sz val="12"/>
        <rFont val="微軟正黑體"/>
        <family val="2"/>
        <charset val="136"/>
      </rPr>
      <t>/F</t>
    </r>
    <r>
      <rPr>
        <vertAlign val="subscript"/>
        <sz val="12"/>
        <rFont val="微軟正黑體"/>
        <family val="2"/>
        <charset val="136"/>
      </rPr>
      <t>uD</t>
    </r>
    <phoneticPr fontId="1" type="noConversion"/>
  </si>
  <si>
    <r>
      <t>(S</t>
    </r>
    <r>
      <rPr>
        <vertAlign val="subscript"/>
        <sz val="12"/>
        <rFont val="微軟正黑體"/>
        <family val="2"/>
        <charset val="136"/>
      </rPr>
      <t>aD</t>
    </r>
    <r>
      <rPr>
        <sz val="12"/>
        <rFont val="微軟正黑體"/>
        <family val="2"/>
        <charset val="136"/>
      </rPr>
      <t>/F</t>
    </r>
    <r>
      <rPr>
        <vertAlign val="subscript"/>
        <sz val="12"/>
        <rFont val="微軟正黑體"/>
        <family val="2"/>
        <charset val="136"/>
      </rPr>
      <t>uD</t>
    </r>
    <r>
      <rPr>
        <sz val="12"/>
        <rFont val="微軟正黑體"/>
        <family val="2"/>
        <charset val="136"/>
      </rPr>
      <t>)</t>
    </r>
    <r>
      <rPr>
        <vertAlign val="subscript"/>
        <sz val="12"/>
        <rFont val="微軟正黑體"/>
        <family val="2"/>
        <charset val="136"/>
      </rPr>
      <t>m</t>
    </r>
    <phoneticPr fontId="1" type="noConversion"/>
  </si>
  <si>
    <r>
      <t>S</t>
    </r>
    <r>
      <rPr>
        <vertAlign val="subscript"/>
        <sz val="12"/>
        <rFont val="微軟正黑體"/>
        <family val="2"/>
        <charset val="136"/>
      </rPr>
      <t>aD</t>
    </r>
    <r>
      <rPr>
        <sz val="12"/>
        <rFont val="微軟正黑體"/>
        <family val="2"/>
        <charset val="136"/>
      </rPr>
      <t>*</t>
    </r>
    <phoneticPr fontId="1" type="noConversion"/>
  </si>
  <si>
    <r>
      <t>S</t>
    </r>
    <r>
      <rPr>
        <vertAlign val="subscript"/>
        <sz val="12"/>
        <rFont val="微軟正黑體"/>
        <family val="2"/>
        <charset val="136"/>
      </rPr>
      <t>aD</t>
    </r>
    <r>
      <rPr>
        <sz val="12"/>
        <rFont val="微軟正黑體"/>
        <family val="2"/>
        <charset val="136"/>
      </rPr>
      <t>*/F</t>
    </r>
    <r>
      <rPr>
        <vertAlign val="subscript"/>
        <sz val="12"/>
        <rFont val="微軟正黑體"/>
        <family val="2"/>
        <charset val="136"/>
      </rPr>
      <t>uD</t>
    </r>
    <r>
      <rPr>
        <sz val="12"/>
        <rFont val="微軟正黑體"/>
        <family val="2"/>
        <charset val="136"/>
      </rPr>
      <t>*</t>
    </r>
    <phoneticPr fontId="1" type="noConversion"/>
  </si>
  <si>
    <r>
      <t>F</t>
    </r>
    <r>
      <rPr>
        <vertAlign val="subscript"/>
        <sz val="12"/>
        <rFont val="微軟正黑體"/>
        <family val="2"/>
        <charset val="136"/>
      </rPr>
      <t>uM</t>
    </r>
    <phoneticPr fontId="1" type="noConversion"/>
  </si>
  <si>
    <r>
      <t>S</t>
    </r>
    <r>
      <rPr>
        <vertAlign val="subscript"/>
        <sz val="12"/>
        <rFont val="微軟正黑體"/>
        <family val="2"/>
        <charset val="136"/>
      </rPr>
      <t>aM</t>
    </r>
    <phoneticPr fontId="1" type="noConversion"/>
  </si>
  <si>
    <r>
      <t>S</t>
    </r>
    <r>
      <rPr>
        <vertAlign val="subscript"/>
        <sz val="12"/>
        <rFont val="微軟正黑體"/>
        <family val="2"/>
        <charset val="136"/>
      </rPr>
      <t>aM</t>
    </r>
    <r>
      <rPr>
        <sz val="12"/>
        <rFont val="微軟正黑體"/>
        <family val="2"/>
        <charset val="136"/>
      </rPr>
      <t>/F</t>
    </r>
    <r>
      <rPr>
        <vertAlign val="subscript"/>
        <sz val="12"/>
        <rFont val="微軟正黑體"/>
        <family val="2"/>
        <charset val="136"/>
      </rPr>
      <t>uM</t>
    </r>
    <phoneticPr fontId="1" type="noConversion"/>
  </si>
  <si>
    <r>
      <t>(S</t>
    </r>
    <r>
      <rPr>
        <vertAlign val="subscript"/>
        <sz val="12"/>
        <rFont val="微軟正黑體"/>
        <family val="2"/>
        <charset val="136"/>
      </rPr>
      <t>aM</t>
    </r>
    <r>
      <rPr>
        <sz val="12"/>
        <rFont val="微軟正黑體"/>
        <family val="2"/>
        <charset val="136"/>
      </rPr>
      <t>/F</t>
    </r>
    <r>
      <rPr>
        <vertAlign val="subscript"/>
        <sz val="12"/>
        <rFont val="微軟正黑體"/>
        <family val="2"/>
        <charset val="136"/>
      </rPr>
      <t>uM</t>
    </r>
    <r>
      <rPr>
        <sz val="12"/>
        <rFont val="微軟正黑體"/>
        <family val="2"/>
        <charset val="136"/>
      </rPr>
      <t>)</t>
    </r>
    <r>
      <rPr>
        <vertAlign val="subscript"/>
        <sz val="12"/>
        <rFont val="微軟正黑體"/>
        <family val="2"/>
        <charset val="136"/>
      </rPr>
      <t>m</t>
    </r>
    <phoneticPr fontId="1" type="noConversion"/>
  </si>
  <si>
    <r>
      <t>C</t>
    </r>
    <r>
      <rPr>
        <vertAlign val="subscript"/>
        <sz val="12"/>
        <rFont val="微軟正黑體"/>
        <family val="2"/>
        <charset val="136"/>
      </rPr>
      <t>S</t>
    </r>
    <phoneticPr fontId="1" type="noConversion"/>
  </si>
  <si>
    <r>
      <t>cm/sec</t>
    </r>
    <r>
      <rPr>
        <vertAlign val="superscript"/>
        <sz val="12"/>
        <rFont val="微軟正黑體"/>
        <family val="2"/>
        <charset val="136"/>
      </rPr>
      <t>2</t>
    </r>
    <phoneticPr fontId="7" type="noConversion"/>
  </si>
  <si>
    <r>
      <t>C</t>
    </r>
    <r>
      <rPr>
        <vertAlign val="subscript"/>
        <sz val="12"/>
        <rFont val="微軟正黑體"/>
        <family val="2"/>
        <charset val="136"/>
      </rPr>
      <t>S</t>
    </r>
    <r>
      <rPr>
        <sz val="12"/>
        <rFont val="微軟正黑體"/>
        <family val="2"/>
        <charset val="136"/>
      </rPr>
      <t>*LF</t>
    </r>
    <phoneticPr fontId="1" type="noConversion"/>
  </si>
  <si>
    <r>
      <t>T</t>
    </r>
    <r>
      <rPr>
        <vertAlign val="subscript"/>
        <sz val="12"/>
        <rFont val="微軟正黑體"/>
        <family val="2"/>
        <charset val="136"/>
      </rPr>
      <t>0</t>
    </r>
    <r>
      <rPr>
        <vertAlign val="superscript"/>
        <sz val="12"/>
        <rFont val="微軟正黑體"/>
        <family val="2"/>
        <charset val="136"/>
      </rPr>
      <t>D</t>
    </r>
    <phoneticPr fontId="1" type="noConversion"/>
  </si>
  <si>
    <r>
      <t>A</t>
    </r>
    <r>
      <rPr>
        <vertAlign val="subscript"/>
        <sz val="12"/>
        <rFont val="微軟正黑體"/>
        <family val="2"/>
        <charset val="136"/>
      </rPr>
      <t xml:space="preserve">T </t>
    </r>
    <r>
      <rPr>
        <sz val="12"/>
        <rFont val="微軟正黑體"/>
        <family val="2"/>
        <charset val="136"/>
      </rPr>
      <t>=</t>
    </r>
    <phoneticPr fontId="4" type="noConversion"/>
  </si>
  <si>
    <r>
      <t>S</t>
    </r>
    <r>
      <rPr>
        <vertAlign val="subscript"/>
        <sz val="12"/>
        <rFont val="微軟正黑體"/>
        <family val="2"/>
        <charset val="136"/>
      </rPr>
      <t>DS</t>
    </r>
    <r>
      <rPr>
        <sz val="12"/>
        <rFont val="微軟正黑體"/>
        <family val="2"/>
        <charset val="136"/>
      </rPr>
      <t>=S</t>
    </r>
    <r>
      <rPr>
        <vertAlign val="subscript"/>
        <sz val="12"/>
        <rFont val="微軟正黑體"/>
        <family val="2"/>
        <charset val="136"/>
      </rPr>
      <t>S</t>
    </r>
    <r>
      <rPr>
        <vertAlign val="superscript"/>
        <sz val="12"/>
        <rFont val="微軟正黑體"/>
        <family val="2"/>
        <charset val="136"/>
      </rPr>
      <t>D</t>
    </r>
    <r>
      <rPr>
        <sz val="12"/>
        <rFont val="微軟正黑體"/>
        <family val="2"/>
        <charset val="136"/>
      </rPr>
      <t>*F</t>
    </r>
    <r>
      <rPr>
        <vertAlign val="subscript"/>
        <sz val="12"/>
        <rFont val="微軟正黑體"/>
        <family val="2"/>
        <charset val="136"/>
      </rPr>
      <t>a</t>
    </r>
    <r>
      <rPr>
        <vertAlign val="superscript"/>
        <sz val="12"/>
        <rFont val="微軟正黑體"/>
        <family val="2"/>
        <charset val="136"/>
      </rPr>
      <t>D</t>
    </r>
    <phoneticPr fontId="1" type="noConversion"/>
  </si>
  <si>
    <r>
      <t>S</t>
    </r>
    <r>
      <rPr>
        <vertAlign val="subscript"/>
        <sz val="12"/>
        <rFont val="微軟正黑體"/>
        <family val="2"/>
        <charset val="136"/>
      </rPr>
      <t>D1</t>
    </r>
    <r>
      <rPr>
        <sz val="12"/>
        <rFont val="微軟正黑體"/>
        <family val="2"/>
        <charset val="136"/>
      </rPr>
      <t>=S</t>
    </r>
    <r>
      <rPr>
        <vertAlign val="subscript"/>
        <sz val="12"/>
        <rFont val="微軟正黑體"/>
        <family val="2"/>
        <charset val="136"/>
      </rPr>
      <t>1</t>
    </r>
    <r>
      <rPr>
        <vertAlign val="superscript"/>
        <sz val="12"/>
        <rFont val="微軟正黑體"/>
        <family val="2"/>
        <charset val="136"/>
      </rPr>
      <t>D</t>
    </r>
    <r>
      <rPr>
        <sz val="12"/>
        <rFont val="微軟正黑體"/>
        <family val="2"/>
        <charset val="136"/>
      </rPr>
      <t>*F</t>
    </r>
    <r>
      <rPr>
        <vertAlign val="subscript"/>
        <sz val="12"/>
        <rFont val="微軟正黑體"/>
        <family val="2"/>
        <charset val="136"/>
      </rPr>
      <t>v</t>
    </r>
    <r>
      <rPr>
        <vertAlign val="superscript"/>
        <sz val="12"/>
        <rFont val="微軟正黑體"/>
        <family val="2"/>
        <charset val="136"/>
      </rPr>
      <t>D</t>
    </r>
    <phoneticPr fontId="1" type="noConversion"/>
  </si>
  <si>
    <r>
      <t>S</t>
    </r>
    <r>
      <rPr>
        <vertAlign val="subscript"/>
        <sz val="12"/>
        <rFont val="微軟正黑體"/>
        <family val="2"/>
        <charset val="136"/>
      </rPr>
      <t>MS</t>
    </r>
    <r>
      <rPr>
        <sz val="12"/>
        <rFont val="微軟正黑體"/>
        <family val="2"/>
        <charset val="136"/>
      </rPr>
      <t>=S</t>
    </r>
    <r>
      <rPr>
        <vertAlign val="subscript"/>
        <sz val="12"/>
        <rFont val="微軟正黑體"/>
        <family val="2"/>
        <charset val="136"/>
      </rPr>
      <t>S</t>
    </r>
    <r>
      <rPr>
        <vertAlign val="superscript"/>
        <sz val="12"/>
        <rFont val="微軟正黑體"/>
        <family val="2"/>
        <charset val="136"/>
      </rPr>
      <t>M</t>
    </r>
    <r>
      <rPr>
        <sz val="12"/>
        <rFont val="微軟正黑體"/>
        <family val="2"/>
        <charset val="136"/>
      </rPr>
      <t>*F</t>
    </r>
    <r>
      <rPr>
        <vertAlign val="subscript"/>
        <sz val="12"/>
        <rFont val="微軟正黑體"/>
        <family val="2"/>
        <charset val="136"/>
      </rPr>
      <t>a</t>
    </r>
    <r>
      <rPr>
        <vertAlign val="superscript"/>
        <sz val="12"/>
        <rFont val="微軟正黑體"/>
        <family val="2"/>
        <charset val="136"/>
      </rPr>
      <t>M</t>
    </r>
    <phoneticPr fontId="1" type="noConversion"/>
  </si>
  <si>
    <r>
      <t>S</t>
    </r>
    <r>
      <rPr>
        <vertAlign val="subscript"/>
        <sz val="12"/>
        <rFont val="微軟正黑體"/>
        <family val="2"/>
        <charset val="136"/>
      </rPr>
      <t>M1</t>
    </r>
    <r>
      <rPr>
        <sz val="12"/>
        <rFont val="微軟正黑體"/>
        <family val="2"/>
        <charset val="136"/>
      </rPr>
      <t>=S</t>
    </r>
    <r>
      <rPr>
        <vertAlign val="subscript"/>
        <sz val="12"/>
        <rFont val="微軟正黑體"/>
        <family val="2"/>
        <charset val="136"/>
      </rPr>
      <t>1</t>
    </r>
    <r>
      <rPr>
        <vertAlign val="superscript"/>
        <sz val="12"/>
        <rFont val="微軟正黑體"/>
        <family val="2"/>
        <charset val="136"/>
      </rPr>
      <t>M</t>
    </r>
    <r>
      <rPr>
        <sz val="12"/>
        <rFont val="微軟正黑體"/>
        <family val="2"/>
        <charset val="136"/>
      </rPr>
      <t>*F</t>
    </r>
    <r>
      <rPr>
        <vertAlign val="subscript"/>
        <sz val="12"/>
        <rFont val="微軟正黑體"/>
        <family val="2"/>
        <charset val="136"/>
      </rPr>
      <t>v</t>
    </r>
    <r>
      <rPr>
        <vertAlign val="superscript"/>
        <sz val="12"/>
        <rFont val="微軟正黑體"/>
        <family val="2"/>
        <charset val="136"/>
      </rPr>
      <t>M</t>
    </r>
    <phoneticPr fontId="1" type="noConversion"/>
  </si>
  <si>
    <t>V* / V =</t>
    <phoneticPr fontId="7" type="noConversion"/>
  </si>
  <si>
    <t>經驗公式構造分類</t>
    <phoneticPr fontId="1" type="noConversion"/>
  </si>
  <si>
    <t>內政部94.12.21台內營字第0940087319號令修正「建築物耐震設計規範及解說」，並自中華民國九十五年一月一日生效</t>
  </si>
  <si>
    <t>內政部100.1.19台內營字第0990810250號令修正「建築物耐震設計規範及解說」部分規定，自中華民國一百年七月一日生效</t>
  </si>
  <si>
    <t>內政部111.6.14台內營字第1110810765號令修正「建築物耐震設計規範及解說」部分規定，自中華民國一百十一年十月一日生效</t>
  </si>
  <si>
    <t>100年7月1日</t>
    <phoneticPr fontId="7" type="noConversion"/>
  </si>
  <si>
    <t>三義鄉</t>
  </si>
  <si>
    <t>臺中市</t>
  </si>
  <si>
    <t>中區</t>
  </si>
  <si>
    <t>西區</t>
  </si>
  <si>
    <t>南區</t>
  </si>
  <si>
    <t>北區</t>
  </si>
  <si>
    <t>西屯區</t>
  </si>
  <si>
    <t>北屯區</t>
  </si>
  <si>
    <t>南屯區</t>
  </si>
  <si>
    <t>豐原區</t>
  </si>
  <si>
    <t>大甲區</t>
  </si>
  <si>
    <t>后里區</t>
  </si>
  <si>
    <t>清水區</t>
  </si>
  <si>
    <t>沙鹿區</t>
  </si>
  <si>
    <t>梧棲區</t>
  </si>
  <si>
    <t>潭子區</t>
  </si>
  <si>
    <t>大雅區</t>
  </si>
  <si>
    <t>外埔區</t>
  </si>
  <si>
    <t>大安區</t>
  </si>
  <si>
    <t>烏日區</t>
  </si>
  <si>
    <t>大肚區</t>
  </si>
  <si>
    <t>龍井區</t>
  </si>
  <si>
    <t>霧峰區</t>
  </si>
  <si>
    <t>大里區</t>
    <phoneticPr fontId="7" type="noConversion"/>
  </si>
  <si>
    <t>彰化縣</t>
  </si>
  <si>
    <t>彰化市</t>
  </si>
  <si>
    <t>和美鎮</t>
  </si>
  <si>
    <t>北斗鎮</t>
  </si>
  <si>
    <t>員林市</t>
  </si>
  <si>
    <t>田中鎮</t>
    <phoneticPr fontId="7" type="noConversion"/>
  </si>
  <si>
    <t>秀水鄉</t>
    <phoneticPr fontId="7" type="noConversion"/>
  </si>
  <si>
    <t>花壇鄉</t>
    <phoneticPr fontId="7" type="noConversion"/>
  </si>
  <si>
    <t>芬園鄉</t>
    <phoneticPr fontId="7" type="noConversion"/>
  </si>
  <si>
    <t>大村鄉</t>
    <phoneticPr fontId="7" type="noConversion"/>
  </si>
  <si>
    <t>埔心鄉</t>
    <phoneticPr fontId="7" type="noConversion"/>
  </si>
  <si>
    <t>永靖鄉</t>
    <phoneticPr fontId="7" type="noConversion"/>
  </si>
  <si>
    <t>社頭鄉</t>
    <phoneticPr fontId="7" type="noConversion"/>
  </si>
  <si>
    <t>二水鄉</t>
    <phoneticPr fontId="7" type="noConversion"/>
  </si>
  <si>
    <t>田尾鄉</t>
    <phoneticPr fontId="7" type="noConversion"/>
  </si>
  <si>
    <t>溪州鄉</t>
    <phoneticPr fontId="7" type="noConversion"/>
  </si>
  <si>
    <t>線西鄉</t>
    <phoneticPr fontId="7" type="noConversion"/>
  </si>
  <si>
    <t>伸港鄉</t>
    <phoneticPr fontId="7" type="noConversion"/>
  </si>
  <si>
    <t>南投市</t>
    <phoneticPr fontId="7" type="noConversion"/>
  </si>
  <si>
    <t>草屯鎮</t>
    <phoneticPr fontId="7" type="noConversion"/>
  </si>
  <si>
    <t>竹山鎮</t>
    <phoneticPr fontId="7" type="noConversion"/>
  </si>
  <si>
    <t>名間鄉</t>
    <phoneticPr fontId="7" type="noConversion"/>
  </si>
  <si>
    <t>中寮鄉</t>
    <phoneticPr fontId="7" type="noConversion"/>
  </si>
  <si>
    <t>斗六市</t>
    <phoneticPr fontId="7" type="noConversion"/>
  </si>
  <si>
    <t>莿桐鄉</t>
    <phoneticPr fontId="7" type="noConversion"/>
  </si>
  <si>
    <t>林內鄉</t>
    <phoneticPr fontId="7" type="noConversion"/>
  </si>
  <si>
    <t>米崙斷層
嶺頂斷層
瑞穗斷層
玉里斷層
池上斷層
鹿野斷層
利吉斷層</t>
    <phoneticPr fontId="7" type="noConversion"/>
  </si>
  <si>
    <t>鹿港鎮</t>
  </si>
  <si>
    <t>溪湖鎮</t>
    <phoneticPr fontId="7" type="noConversion"/>
  </si>
  <si>
    <t>福興鄉</t>
    <phoneticPr fontId="7" type="noConversion"/>
  </si>
  <si>
    <t>埔鹽鄉</t>
    <phoneticPr fontId="7" type="noConversion"/>
  </si>
  <si>
    <t>埤頭鄉</t>
    <phoneticPr fontId="7" type="noConversion"/>
  </si>
  <si>
    <t>西螺鎮</t>
  </si>
  <si>
    <t>銅鑼鄉</t>
    <phoneticPr fontId="7" type="noConversion"/>
  </si>
  <si>
    <t>三義鄉</t>
    <phoneticPr fontId="7" type="noConversion"/>
  </si>
  <si>
    <t>大湖鄉</t>
    <phoneticPr fontId="7" type="noConversion"/>
  </si>
  <si>
    <t>東勢區</t>
  </si>
  <si>
    <t>新社區</t>
  </si>
  <si>
    <t>石岡區</t>
  </si>
  <si>
    <t>太平區</t>
  </si>
  <si>
    <t>卓蘭鎮</t>
  </si>
  <si>
    <t>卓蘭鎮</t>
    <phoneticPr fontId="7" type="noConversion"/>
  </si>
  <si>
    <t>新社區</t>
    <phoneticPr fontId="7" type="noConversion"/>
  </si>
  <si>
    <t>石岡區</t>
    <phoneticPr fontId="7" type="noConversion"/>
  </si>
  <si>
    <t>臺中市</t>
    <phoneticPr fontId="7" type="noConversion"/>
  </si>
  <si>
    <t>和平區</t>
    <phoneticPr fontId="7" type="noConversion"/>
  </si>
  <si>
    <t>苗栗縣</t>
    <phoneticPr fontId="7" type="noConversion"/>
  </si>
  <si>
    <t>泰安鄉</t>
  </si>
  <si>
    <t>泰安鄉</t>
    <phoneticPr fontId="7" type="noConversion"/>
  </si>
  <si>
    <t>集集鎮</t>
    <phoneticPr fontId="7" type="noConversion"/>
  </si>
  <si>
    <t>鹿谷鄉</t>
    <phoneticPr fontId="7" type="noConversion"/>
  </si>
  <si>
    <t>國姓鄉</t>
    <phoneticPr fontId="7" type="noConversion"/>
  </si>
  <si>
    <t>東區</t>
  </si>
  <si>
    <t>梅山斷層</t>
  </si>
  <si>
    <t>斗南鎮</t>
    <phoneticPr fontId="7" type="noConversion"/>
  </si>
  <si>
    <t>大埤鄉</t>
  </si>
  <si>
    <t>新港鄉</t>
    <phoneticPr fontId="7" type="noConversion"/>
  </si>
  <si>
    <t>太保市</t>
    <phoneticPr fontId="7" type="noConversion"/>
  </si>
  <si>
    <t>民雄鄉</t>
    <phoneticPr fontId="7" type="noConversion"/>
  </si>
  <si>
    <t>溪口鄉</t>
    <phoneticPr fontId="7" type="noConversion"/>
  </si>
  <si>
    <t>竹崎鄉</t>
    <phoneticPr fontId="7" type="noConversion"/>
  </si>
  <si>
    <t>梅山鄉</t>
    <phoneticPr fontId="7" type="noConversion"/>
  </si>
  <si>
    <t>嘉義市</t>
  </si>
  <si>
    <t>埔里鎮</t>
    <phoneticPr fontId="7" type="noConversion"/>
  </si>
  <si>
    <t>魚池鄉</t>
    <phoneticPr fontId="7" type="noConversion"/>
  </si>
  <si>
    <t>信義鄉</t>
    <phoneticPr fontId="7" type="noConversion"/>
  </si>
  <si>
    <t>苗栗市</t>
  </si>
  <si>
    <t>北埔鄉</t>
    <phoneticPr fontId="7" type="noConversion"/>
  </si>
  <si>
    <t>峨眉鄉</t>
    <phoneticPr fontId="7" type="noConversion"/>
  </si>
  <si>
    <t>頭屋鄉</t>
    <phoneticPr fontId="7" type="noConversion"/>
  </si>
  <si>
    <t>頭份市</t>
    <phoneticPr fontId="7" type="noConversion"/>
  </si>
  <si>
    <t>造橋鄉</t>
    <phoneticPr fontId="7" type="noConversion"/>
  </si>
  <si>
    <t>三灣鄉</t>
    <phoneticPr fontId="7" type="noConversion"/>
  </si>
  <si>
    <t>南庄鄉</t>
    <phoneticPr fontId="7" type="noConversion"/>
  </si>
  <si>
    <t>獅潭鄉</t>
    <phoneticPr fontId="7" type="noConversion"/>
  </si>
  <si>
    <t>關西鎮</t>
    <phoneticPr fontId="7" type="noConversion"/>
  </si>
  <si>
    <t>新埔鎮</t>
    <phoneticPr fontId="7" type="noConversion"/>
  </si>
  <si>
    <t>竹北市</t>
    <phoneticPr fontId="7" type="noConversion"/>
  </si>
  <si>
    <t>橫山鄉</t>
    <phoneticPr fontId="7" type="noConversion"/>
  </si>
  <si>
    <t>芎林鄉</t>
    <phoneticPr fontId="7" type="noConversion"/>
  </si>
  <si>
    <t>寶山鄉</t>
    <phoneticPr fontId="7" type="noConversion"/>
  </si>
  <si>
    <t>竹南鎮</t>
    <phoneticPr fontId="7" type="noConversion"/>
  </si>
  <si>
    <t>新竹市</t>
  </si>
  <si>
    <r>
      <rPr>
        <sz val="11"/>
        <rFont val="新細明體"/>
        <family val="1"/>
        <charset val="136"/>
      </rPr>
      <t>東區</t>
    </r>
    <phoneticPr fontId="1" type="noConversion"/>
  </si>
  <si>
    <r>
      <rPr>
        <sz val="11"/>
        <rFont val="新細明體"/>
        <family val="1"/>
        <charset val="136"/>
      </rPr>
      <t>北區</t>
    </r>
    <phoneticPr fontId="1" type="noConversion"/>
  </si>
  <si>
    <r>
      <rPr>
        <sz val="11"/>
        <rFont val="新細明體"/>
        <family val="1"/>
        <charset val="136"/>
      </rPr>
      <t>香山區</t>
    </r>
    <phoneticPr fontId="1" type="noConversion"/>
  </si>
  <si>
    <t>楠梓區</t>
  </si>
  <si>
    <t>高雄市</t>
  </si>
  <si>
    <t>大社區</t>
    <phoneticPr fontId="7" type="noConversion"/>
  </si>
  <si>
    <t>橋頭區</t>
    <phoneticPr fontId="7" type="noConversion"/>
  </si>
  <si>
    <t>旗山區</t>
    <phoneticPr fontId="7" type="noConversion"/>
  </si>
  <si>
    <t>田寮區</t>
    <phoneticPr fontId="7" type="noConversion"/>
  </si>
  <si>
    <t>燕巢區</t>
    <phoneticPr fontId="7" type="noConversion"/>
  </si>
  <si>
    <t>仁武區</t>
    <phoneticPr fontId="7" type="noConversion"/>
  </si>
  <si>
    <t>左營區</t>
    <phoneticPr fontId="7" type="noConversion"/>
  </si>
  <si>
    <t>三民區</t>
    <phoneticPr fontId="7" type="noConversion"/>
  </si>
  <si>
    <t>大樹區</t>
    <phoneticPr fontId="7" type="noConversion"/>
  </si>
  <si>
    <t>岡山區</t>
    <phoneticPr fontId="7" type="noConversion"/>
  </si>
  <si>
    <t>鳥松區</t>
    <phoneticPr fontId="7" type="noConversion"/>
  </si>
  <si>
    <t>美濃區</t>
    <phoneticPr fontId="7" type="noConversion"/>
  </si>
  <si>
    <t>杉林區</t>
    <phoneticPr fontId="7" type="noConversion"/>
  </si>
  <si>
    <t>內門區</t>
    <phoneticPr fontId="7" type="noConversion"/>
  </si>
  <si>
    <t>里港鄉</t>
  </si>
  <si>
    <t>屏東縣</t>
  </si>
  <si>
    <t>臺東縣</t>
    <phoneticPr fontId="7" type="noConversion"/>
  </si>
  <si>
    <t>臺東市</t>
    <phoneticPr fontId="7" type="noConversion"/>
  </si>
  <si>
    <t>成功鎮</t>
    <phoneticPr fontId="7" type="noConversion"/>
  </si>
  <si>
    <t>關山鎮</t>
    <phoneticPr fontId="7" type="noConversion"/>
  </si>
  <si>
    <t>卑南鄉</t>
    <phoneticPr fontId="7" type="noConversion"/>
  </si>
  <si>
    <t>東河鄉</t>
    <phoneticPr fontId="7" type="noConversion"/>
  </si>
  <si>
    <t>長濱鄉</t>
    <phoneticPr fontId="7" type="noConversion"/>
  </si>
  <si>
    <t>鹿野鄉</t>
    <phoneticPr fontId="7" type="noConversion"/>
  </si>
  <si>
    <t>池上鄉</t>
    <phoneticPr fontId="7" type="noConversion"/>
  </si>
  <si>
    <t>延平鄉</t>
    <phoneticPr fontId="7" type="noConversion"/>
  </si>
  <si>
    <t>海端鄉</t>
    <phoneticPr fontId="7" type="noConversion"/>
  </si>
  <si>
    <r>
      <rPr>
        <sz val="11"/>
        <rFont val="新細明體"/>
        <family val="1"/>
        <charset val="136"/>
      </rPr>
      <t>花蓮縣</t>
    </r>
    <phoneticPr fontId="1" type="noConversion"/>
  </si>
  <si>
    <r>
      <rPr>
        <sz val="11"/>
        <rFont val="新細明體"/>
        <family val="1"/>
        <charset val="136"/>
      </rPr>
      <t>花蓮市</t>
    </r>
    <phoneticPr fontId="1" type="noConversion"/>
  </si>
  <si>
    <r>
      <rPr>
        <sz val="11"/>
        <rFont val="新細明體"/>
        <family val="1"/>
        <charset val="136"/>
      </rPr>
      <t>新城鄉</t>
    </r>
    <phoneticPr fontId="1" type="noConversion"/>
  </si>
  <si>
    <r>
      <rPr>
        <sz val="11"/>
        <rFont val="新細明體"/>
        <family val="1"/>
        <charset val="136"/>
      </rPr>
      <t>秀林鄉</t>
    </r>
    <phoneticPr fontId="1" type="noConversion"/>
  </si>
  <si>
    <r>
      <rPr>
        <sz val="11"/>
        <rFont val="新細明體"/>
        <family val="1"/>
        <charset val="136"/>
      </rPr>
      <t>吉安鄉</t>
    </r>
    <phoneticPr fontId="1" type="noConversion"/>
  </si>
  <si>
    <r>
      <rPr>
        <sz val="11"/>
        <rFont val="新細明體"/>
        <family val="1"/>
        <charset val="136"/>
      </rPr>
      <t>壽豐鄉</t>
    </r>
    <phoneticPr fontId="1" type="noConversion"/>
  </si>
  <si>
    <r>
      <rPr>
        <sz val="11"/>
        <rFont val="新細明體"/>
        <family val="1"/>
        <charset val="136"/>
      </rPr>
      <t>鳳林鎮</t>
    </r>
    <phoneticPr fontId="1" type="noConversion"/>
  </si>
  <si>
    <r>
      <rPr>
        <sz val="11"/>
        <rFont val="新細明體"/>
        <family val="1"/>
        <charset val="136"/>
      </rPr>
      <t>光復鄉</t>
    </r>
    <phoneticPr fontId="1" type="noConversion"/>
  </si>
  <si>
    <r>
      <rPr>
        <sz val="11"/>
        <rFont val="新細明體"/>
        <family val="1"/>
        <charset val="136"/>
      </rPr>
      <t>豐濱鄉</t>
    </r>
    <phoneticPr fontId="1" type="noConversion"/>
  </si>
  <si>
    <r>
      <rPr>
        <sz val="11"/>
        <rFont val="新細明體"/>
        <family val="1"/>
        <charset val="136"/>
      </rPr>
      <t>瑞穗鄉</t>
    </r>
    <phoneticPr fontId="1" type="noConversion"/>
  </si>
  <si>
    <r>
      <rPr>
        <sz val="11"/>
        <rFont val="新細明體"/>
        <family val="1"/>
        <charset val="136"/>
      </rPr>
      <t>萬榮鄉</t>
    </r>
    <phoneticPr fontId="1" type="noConversion"/>
  </si>
  <si>
    <r>
      <rPr>
        <sz val="11"/>
        <rFont val="新細明體"/>
        <family val="1"/>
        <charset val="136"/>
      </rPr>
      <t>玉里鎮</t>
    </r>
    <phoneticPr fontId="1" type="noConversion"/>
  </si>
  <si>
    <r>
      <rPr>
        <sz val="11"/>
        <rFont val="新細明體"/>
        <family val="1"/>
        <charset val="136"/>
      </rPr>
      <t>卓溪鄉</t>
    </r>
    <phoneticPr fontId="1" type="noConversion"/>
  </si>
  <si>
    <r>
      <rPr>
        <sz val="11"/>
        <rFont val="新細明體"/>
        <family val="1"/>
        <charset val="136"/>
      </rPr>
      <t>富里鄉</t>
    </r>
    <phoneticPr fontId="1" type="noConversion"/>
  </si>
  <si>
    <r>
      <t>I(S</t>
    </r>
    <r>
      <rPr>
        <vertAlign val="subscript"/>
        <sz val="12"/>
        <rFont val="微軟正黑體"/>
        <family val="2"/>
        <charset val="136"/>
      </rPr>
      <t>aD</t>
    </r>
    <r>
      <rPr>
        <sz val="12"/>
        <rFont val="微軟正黑體"/>
        <family val="2"/>
        <charset val="136"/>
      </rPr>
      <t>/F</t>
    </r>
    <r>
      <rPr>
        <vertAlign val="subscript"/>
        <sz val="12"/>
        <rFont val="微軟正黑體"/>
        <family val="2"/>
        <charset val="136"/>
      </rPr>
      <t>uD</t>
    </r>
    <r>
      <rPr>
        <sz val="12"/>
        <rFont val="微軟正黑體"/>
        <family val="2"/>
        <charset val="136"/>
      </rPr>
      <t>)</t>
    </r>
    <r>
      <rPr>
        <vertAlign val="subscript"/>
        <sz val="12"/>
        <rFont val="微軟正黑體"/>
        <family val="2"/>
        <charset val="136"/>
      </rPr>
      <t>m</t>
    </r>
    <r>
      <rPr>
        <sz val="12"/>
        <rFont val="微軟正黑體"/>
        <family val="2"/>
        <charset val="136"/>
      </rPr>
      <t>/1.4α</t>
    </r>
    <r>
      <rPr>
        <vertAlign val="subscript"/>
        <sz val="12"/>
        <rFont val="微軟正黑體"/>
        <family val="2"/>
        <charset val="136"/>
      </rPr>
      <t>y</t>
    </r>
    <phoneticPr fontId="1" type="noConversion"/>
  </si>
  <si>
    <t>I(SaM/FuM)m/1.4αy</t>
    <phoneticPr fontId="1" type="noConversion"/>
  </si>
  <si>
    <t>避免中小度地震下降伏</t>
    <phoneticPr fontId="1" type="noConversion"/>
  </si>
  <si>
    <t>避免最大考量地震下崩塌</t>
    <phoneticPr fontId="1" type="noConversion"/>
  </si>
  <si>
    <t>屯子腳斷層</t>
    <phoneticPr fontId="7" type="noConversion"/>
  </si>
  <si>
    <t>梅山斷層</t>
    <phoneticPr fontId="7" type="noConversion"/>
  </si>
  <si>
    <t>米崙斷層、嶺頂斷層、瑞穗斷層、玉里斷層、池上斷層、鹿野斷層、利吉斷層</t>
    <phoneticPr fontId="7" type="noConversion"/>
  </si>
  <si>
    <t>大尖山斷層、觸口斷層</t>
    <phoneticPr fontId="7" type="noConversion"/>
  </si>
  <si>
    <t>大甲斷層全段、鐵砧山斷層、彰化斷層</t>
    <phoneticPr fontId="7" type="noConversion"/>
  </si>
  <si>
    <t>大茅埔－雙冬斷層</t>
    <phoneticPr fontId="7" type="noConversion"/>
  </si>
  <si>
    <t>大尖山斷層、觸口斷層</t>
  </si>
  <si>
    <t>大尖山斷層、觸口斷層</t>
    <phoneticPr fontId="18" type="noConversion"/>
  </si>
  <si>
    <t>行政區</t>
    <phoneticPr fontId="1" type="noConversion"/>
  </si>
  <si>
    <r>
      <t>V</t>
    </r>
    <r>
      <rPr>
        <vertAlign val="subscript"/>
        <sz val="12"/>
        <rFont val="微軟正黑體"/>
        <family val="2"/>
        <charset val="136"/>
      </rPr>
      <t>10</t>
    </r>
    <r>
      <rPr>
        <sz val="12"/>
        <rFont val="微軟正黑體"/>
        <family val="2"/>
        <charset val="136"/>
      </rPr>
      <t>(C)</t>
    </r>
    <phoneticPr fontId="1" type="noConversion"/>
  </si>
  <si>
    <t>郵遞區號</t>
    <phoneticPr fontId="1" type="noConversion"/>
  </si>
  <si>
    <r>
      <t>S</t>
    </r>
    <r>
      <rPr>
        <vertAlign val="superscript"/>
        <sz val="12"/>
        <rFont val="微軟正黑體"/>
        <family val="2"/>
        <charset val="136"/>
      </rPr>
      <t>D</t>
    </r>
    <r>
      <rPr>
        <vertAlign val="subscript"/>
        <sz val="12"/>
        <rFont val="微軟正黑體"/>
        <family val="2"/>
        <charset val="136"/>
      </rPr>
      <t>S</t>
    </r>
    <phoneticPr fontId="1" type="noConversion"/>
  </si>
  <si>
    <r>
      <t>S</t>
    </r>
    <r>
      <rPr>
        <vertAlign val="superscript"/>
        <sz val="12"/>
        <rFont val="微軟正黑體"/>
        <family val="2"/>
        <charset val="136"/>
      </rPr>
      <t>D</t>
    </r>
    <r>
      <rPr>
        <vertAlign val="subscript"/>
        <sz val="12"/>
        <rFont val="微軟正黑體"/>
        <family val="2"/>
        <charset val="136"/>
      </rPr>
      <t>1</t>
    </r>
    <phoneticPr fontId="1" type="noConversion"/>
  </si>
  <si>
    <r>
      <t>S</t>
    </r>
    <r>
      <rPr>
        <vertAlign val="superscript"/>
        <sz val="12"/>
        <rFont val="微軟正黑體"/>
        <family val="2"/>
        <charset val="136"/>
      </rPr>
      <t>M</t>
    </r>
    <r>
      <rPr>
        <vertAlign val="subscript"/>
        <sz val="12"/>
        <rFont val="微軟正黑體"/>
        <family val="2"/>
        <charset val="136"/>
      </rPr>
      <t>S</t>
    </r>
    <phoneticPr fontId="1" type="noConversion"/>
  </si>
  <si>
    <r>
      <t>S</t>
    </r>
    <r>
      <rPr>
        <vertAlign val="superscript"/>
        <sz val="12"/>
        <rFont val="微軟正黑體"/>
        <family val="2"/>
        <charset val="136"/>
      </rPr>
      <t>M</t>
    </r>
    <r>
      <rPr>
        <vertAlign val="subscript"/>
        <sz val="12"/>
        <rFont val="微軟正黑體"/>
        <family val="2"/>
        <charset val="136"/>
      </rPr>
      <t>1</t>
    </r>
    <phoneticPr fontId="1" type="noConversion"/>
  </si>
  <si>
    <t>新竹市</t>
    <phoneticPr fontId="1" type="noConversion"/>
  </si>
  <si>
    <t>桃園市</t>
    <phoneticPr fontId="1" type="noConversion"/>
  </si>
  <si>
    <t>臺中市</t>
    <phoneticPr fontId="1" type="noConversion"/>
  </si>
  <si>
    <t>彭佳嶼</t>
    <phoneticPr fontId="1" type="noConversion"/>
  </si>
  <si>
    <t>臺南市</t>
    <phoneticPr fontId="1" type="noConversion"/>
  </si>
  <si>
    <t>臺東縣</t>
    <phoneticPr fontId="1" type="noConversion"/>
  </si>
  <si>
    <t>南海諸島</t>
    <phoneticPr fontId="1" type="noConversion"/>
  </si>
  <si>
    <t>鶯歌區</t>
    <phoneticPr fontId="1" type="noConversion"/>
  </si>
  <si>
    <t>三峽區</t>
    <phoneticPr fontId="1" type="noConversion"/>
  </si>
  <si>
    <t>瑞芳區</t>
    <phoneticPr fontId="1" type="noConversion"/>
  </si>
  <si>
    <t>林口區</t>
    <phoneticPr fontId="1" type="noConversion"/>
  </si>
  <si>
    <t>深坑區</t>
    <phoneticPr fontId="1" type="noConversion"/>
  </si>
  <si>
    <t>石碇區</t>
    <phoneticPr fontId="1" type="noConversion"/>
  </si>
  <si>
    <t>坪林區</t>
    <phoneticPr fontId="1" type="noConversion"/>
  </si>
  <si>
    <t>三芝區</t>
    <phoneticPr fontId="1" type="noConversion"/>
  </si>
  <si>
    <t>石門區</t>
    <phoneticPr fontId="1" type="noConversion"/>
  </si>
  <si>
    <t>平溪區</t>
    <phoneticPr fontId="1" type="noConversion"/>
  </si>
  <si>
    <t>雙溪區</t>
    <phoneticPr fontId="1" type="noConversion"/>
  </si>
  <si>
    <t>貢寮區</t>
    <phoneticPr fontId="1" type="noConversion"/>
  </si>
  <si>
    <t>金山區</t>
    <phoneticPr fontId="1" type="noConversion"/>
  </si>
  <si>
    <t>萬里區</t>
    <phoneticPr fontId="1" type="noConversion"/>
  </si>
  <si>
    <t>烏來區</t>
    <phoneticPr fontId="1" type="noConversion"/>
  </si>
  <si>
    <t>釣魚臺列嶼</t>
    <phoneticPr fontId="1" type="noConversion"/>
  </si>
  <si>
    <t>東區</t>
    <phoneticPr fontId="1" type="noConversion"/>
  </si>
  <si>
    <t>北區</t>
    <phoneticPr fontId="1" type="noConversion"/>
  </si>
  <si>
    <t>香山區</t>
    <phoneticPr fontId="1" type="noConversion"/>
  </si>
  <si>
    <t>中壢區</t>
    <phoneticPr fontId="1" type="noConversion"/>
  </si>
  <si>
    <t>平鎮區</t>
    <phoneticPr fontId="1" type="noConversion"/>
  </si>
  <si>
    <t>龍潭區</t>
    <phoneticPr fontId="1" type="noConversion"/>
  </si>
  <si>
    <t>楊梅區</t>
    <phoneticPr fontId="1" type="noConversion"/>
  </si>
  <si>
    <t>新屋區</t>
    <phoneticPr fontId="1" type="noConversion"/>
  </si>
  <si>
    <t>觀音區</t>
    <phoneticPr fontId="1" type="noConversion"/>
  </si>
  <si>
    <t>桃園區</t>
    <phoneticPr fontId="1" type="noConversion"/>
  </si>
  <si>
    <t>龜山區</t>
    <phoneticPr fontId="1" type="noConversion"/>
  </si>
  <si>
    <t>八德區</t>
    <phoneticPr fontId="1" type="noConversion"/>
  </si>
  <si>
    <t>大溪區</t>
    <phoneticPr fontId="1" type="noConversion"/>
  </si>
  <si>
    <t>復興區</t>
    <phoneticPr fontId="1" type="noConversion"/>
  </si>
  <si>
    <t>大園區</t>
    <phoneticPr fontId="1" type="noConversion"/>
  </si>
  <si>
    <t>蘆竹區</t>
    <phoneticPr fontId="1" type="noConversion"/>
  </si>
  <si>
    <t>通霄鎮</t>
    <phoneticPr fontId="1" type="noConversion"/>
  </si>
  <si>
    <t>南區</t>
    <phoneticPr fontId="1" type="noConversion"/>
  </si>
  <si>
    <t>西區</t>
    <phoneticPr fontId="1" type="noConversion"/>
  </si>
  <si>
    <t>臺西鄉</t>
    <phoneticPr fontId="1" type="noConversion"/>
  </si>
  <si>
    <t>臺東市</t>
    <phoneticPr fontId="1" type="noConversion"/>
  </si>
  <si>
    <t>東吉島</t>
    <phoneticPr fontId="1" type="noConversion"/>
  </si>
  <si>
    <t>七美鄉</t>
    <phoneticPr fontId="1" type="noConversion"/>
  </si>
  <si>
    <t>金沙鎮</t>
    <phoneticPr fontId="1" type="noConversion"/>
  </si>
  <si>
    <t>金湖鎮</t>
    <phoneticPr fontId="1" type="noConversion"/>
  </si>
  <si>
    <t>金寧鄉</t>
    <phoneticPr fontId="1" type="noConversion"/>
  </si>
  <si>
    <t>金城鎮</t>
    <phoneticPr fontId="1" type="noConversion"/>
  </si>
  <si>
    <t>烈嶼鄉</t>
    <phoneticPr fontId="1" type="noConversion"/>
  </si>
  <si>
    <t>烏坵鄉</t>
    <phoneticPr fontId="1" type="noConversion"/>
  </si>
  <si>
    <t>東沙</t>
    <phoneticPr fontId="1" type="noConversion"/>
  </si>
  <si>
    <t>南沙</t>
    <phoneticPr fontId="1" type="noConversion"/>
  </si>
  <si>
    <t>車籠埔斷層全段</t>
    <phoneticPr fontId="1" type="noConversion"/>
  </si>
  <si>
    <t>梅山斷層</t>
    <phoneticPr fontId="18" type="noConversion"/>
  </si>
  <si>
    <t>車籠埔斷層全段</t>
    <phoneticPr fontId="18" type="noConversion"/>
  </si>
  <si>
    <t>水里鄉</t>
    <phoneticPr fontId="7" type="noConversion"/>
  </si>
  <si>
    <r>
      <t>S</t>
    </r>
    <r>
      <rPr>
        <vertAlign val="subscript"/>
        <sz val="12"/>
        <color indexed="8"/>
        <rFont val="微軟正黑體"/>
        <family val="2"/>
        <charset val="136"/>
      </rPr>
      <t>aD</t>
    </r>
    <r>
      <rPr>
        <sz val="12"/>
        <color theme="1"/>
        <rFont val="微軟正黑體"/>
        <family val="2"/>
        <charset val="136"/>
      </rPr>
      <t>,</t>
    </r>
    <r>
      <rPr>
        <vertAlign val="subscript"/>
        <sz val="12"/>
        <color theme="1"/>
        <rFont val="微軟正黑體"/>
        <family val="2"/>
        <charset val="136"/>
      </rPr>
      <t>V</t>
    </r>
    <phoneticPr fontId="1" type="noConversion"/>
  </si>
  <si>
    <r>
      <t>F</t>
    </r>
    <r>
      <rPr>
        <vertAlign val="subscript"/>
        <sz val="12"/>
        <color indexed="8"/>
        <rFont val="微軟正黑體"/>
        <family val="2"/>
        <charset val="136"/>
      </rPr>
      <t>u</t>
    </r>
    <r>
      <rPr>
        <vertAlign val="subscript"/>
        <sz val="12"/>
        <color theme="1"/>
        <rFont val="微軟正黑體"/>
        <family val="2"/>
        <charset val="136"/>
      </rPr>
      <t>V</t>
    </r>
    <phoneticPr fontId="1" type="noConversion"/>
  </si>
  <si>
    <r>
      <t>S</t>
    </r>
    <r>
      <rPr>
        <vertAlign val="subscript"/>
        <sz val="12"/>
        <color indexed="8"/>
        <rFont val="微軟正黑體"/>
        <family val="2"/>
        <charset val="136"/>
      </rPr>
      <t>aD,V</t>
    </r>
    <r>
      <rPr>
        <sz val="12"/>
        <color indexed="8"/>
        <rFont val="微軟正黑體"/>
        <family val="2"/>
        <charset val="136"/>
      </rPr>
      <t>/F</t>
    </r>
    <r>
      <rPr>
        <vertAlign val="subscript"/>
        <sz val="12"/>
        <color indexed="8"/>
        <rFont val="微軟正黑體"/>
        <family val="2"/>
        <charset val="136"/>
      </rPr>
      <t>u</t>
    </r>
    <r>
      <rPr>
        <vertAlign val="subscript"/>
        <sz val="12"/>
        <color theme="1"/>
        <rFont val="微軟正黑體"/>
        <family val="2"/>
        <charset val="136"/>
      </rPr>
      <t>V</t>
    </r>
    <phoneticPr fontId="1" type="noConversion"/>
  </si>
  <si>
    <r>
      <t>(S</t>
    </r>
    <r>
      <rPr>
        <vertAlign val="subscript"/>
        <sz val="12"/>
        <color indexed="8"/>
        <rFont val="微軟正黑體"/>
        <family val="2"/>
        <charset val="136"/>
      </rPr>
      <t>aD,V</t>
    </r>
    <r>
      <rPr>
        <sz val="12"/>
        <color indexed="8"/>
        <rFont val="微軟正黑體"/>
        <family val="2"/>
        <charset val="136"/>
      </rPr>
      <t>/F</t>
    </r>
    <r>
      <rPr>
        <vertAlign val="subscript"/>
        <sz val="12"/>
        <color indexed="8"/>
        <rFont val="微軟正黑體"/>
        <family val="2"/>
        <charset val="136"/>
      </rPr>
      <t>uV</t>
    </r>
    <r>
      <rPr>
        <sz val="12"/>
        <color indexed="8"/>
        <rFont val="微軟正黑體"/>
        <family val="2"/>
        <charset val="136"/>
      </rPr>
      <t>)</t>
    </r>
    <r>
      <rPr>
        <vertAlign val="subscript"/>
        <sz val="12"/>
        <color indexed="8"/>
        <rFont val="微軟正黑體"/>
        <family val="2"/>
        <charset val="136"/>
      </rPr>
      <t>m</t>
    </r>
    <phoneticPr fontId="1" type="noConversion"/>
  </si>
  <si>
    <r>
      <t>地震力係數 C</t>
    </r>
    <r>
      <rPr>
        <b/>
        <vertAlign val="subscript"/>
        <sz val="12"/>
        <color theme="1"/>
        <rFont val="微軟正黑體"/>
        <family val="2"/>
        <charset val="136"/>
      </rPr>
      <t>SV</t>
    </r>
    <r>
      <rPr>
        <b/>
        <sz val="12"/>
        <color theme="1"/>
        <rFont val="微軟正黑體"/>
        <family val="2"/>
        <charset val="136"/>
      </rPr>
      <t xml:space="preserve"> =</t>
    </r>
    <phoneticPr fontId="1" type="noConversion"/>
  </si>
  <si>
    <r>
      <t>V</t>
    </r>
    <r>
      <rPr>
        <vertAlign val="subscript"/>
        <sz val="12"/>
        <rFont val="微軟正黑體"/>
        <family val="2"/>
        <charset val="136"/>
      </rPr>
      <t>MV</t>
    </r>
    <r>
      <rPr>
        <sz val="12"/>
        <rFont val="微軟正黑體"/>
        <family val="2"/>
        <charset val="136"/>
      </rPr>
      <t xml:space="preserve"> =</t>
    </r>
    <phoneticPr fontId="1" type="noConversion"/>
  </si>
  <si>
    <r>
      <t>V</t>
    </r>
    <r>
      <rPr>
        <vertAlign val="subscript"/>
        <sz val="12"/>
        <rFont val="微軟正黑體"/>
        <family val="2"/>
        <charset val="136"/>
      </rPr>
      <t>DV</t>
    </r>
    <r>
      <rPr>
        <sz val="12"/>
        <rFont val="微軟正黑體"/>
        <family val="2"/>
        <charset val="136"/>
      </rPr>
      <t xml:space="preserve"> =</t>
    </r>
    <phoneticPr fontId="1" type="noConversion"/>
  </si>
  <si>
    <r>
      <t>V</t>
    </r>
    <r>
      <rPr>
        <vertAlign val="subscript"/>
        <sz val="12"/>
        <rFont val="微軟正黑體"/>
        <family val="2"/>
        <charset val="136"/>
      </rPr>
      <t>V</t>
    </r>
    <r>
      <rPr>
        <sz val="12"/>
        <rFont val="微軟正黑體"/>
        <family val="2"/>
        <charset val="136"/>
      </rPr>
      <t>* =</t>
    </r>
    <phoneticPr fontId="1" type="noConversion"/>
  </si>
  <si>
    <t>大甲斷層全段、鐵砧山斷層、彰化斷層</t>
  </si>
  <si>
    <t>大茅埔−雙冬斷層</t>
  </si>
  <si>
    <t>神岡區</t>
  </si>
  <si>
    <t>屯子腳斷層</t>
    <phoneticPr fontId="18" type="noConversion"/>
  </si>
  <si>
    <t>三義斷層</t>
    <phoneticPr fontId="18" type="noConversion"/>
  </si>
  <si>
    <t>臺中市</t>
    <phoneticPr fontId="7" type="noConversion"/>
  </si>
  <si>
    <t>潭子區</t>
    <phoneticPr fontId="7" type="noConversion"/>
  </si>
  <si>
    <t>神岡區</t>
    <phoneticPr fontId="18" type="noConversion"/>
  </si>
  <si>
    <t>獅潭斷層</t>
  </si>
  <si>
    <t>新城斷層</t>
    <phoneticPr fontId="18" type="noConversion"/>
  </si>
  <si>
    <t>新城斷層</t>
    <phoneticPr fontId="1" type="noConversion"/>
  </si>
  <si>
    <t>獅潭斷層</t>
    <phoneticPr fontId="18" type="noConversion"/>
  </si>
  <si>
    <t>旗山斷層</t>
    <phoneticPr fontId="18" type="noConversion"/>
  </si>
  <si>
    <t>南竿鄉</t>
    <phoneticPr fontId="1" type="noConversion"/>
  </si>
  <si>
    <t>北竿鄉</t>
    <phoneticPr fontId="1" type="noConversion"/>
  </si>
  <si>
    <t>莒光鄉</t>
    <phoneticPr fontId="1" type="noConversion"/>
  </si>
  <si>
    <t>東引鄉</t>
    <phoneticPr fontId="1" type="noConversion"/>
  </si>
  <si>
    <t>東區</t>
    <phoneticPr fontId="7" type="noConversion"/>
  </si>
  <si>
    <t>-</t>
    <phoneticPr fontId="4" type="noConversion"/>
  </si>
  <si>
    <r>
      <t>起始降伏地震力放大倍數α</t>
    </r>
    <r>
      <rPr>
        <vertAlign val="subscript"/>
        <sz val="12"/>
        <color theme="1"/>
        <rFont val="微軟正黑體"/>
        <family val="2"/>
        <charset val="136"/>
      </rPr>
      <t>y</t>
    </r>
    <phoneticPr fontId="1" type="noConversion"/>
  </si>
  <si>
    <t>車籠埔斷層</t>
  </si>
  <si>
    <t>第一類</t>
  </si>
  <si>
    <t>屯子腳斷層</t>
    <phoneticPr fontId="18" type="noConversion"/>
  </si>
  <si>
    <t>無</t>
    <phoneticPr fontId="7" type="noConversion"/>
  </si>
  <si>
    <t>km</t>
    <phoneticPr fontId="1" type="noConversion"/>
  </si>
  <si>
    <r>
      <t>S</t>
    </r>
    <r>
      <rPr>
        <vertAlign val="subscript"/>
        <sz val="14"/>
        <rFont val="微軟正黑體"/>
        <family val="2"/>
        <charset val="136"/>
      </rPr>
      <t>S</t>
    </r>
    <r>
      <rPr>
        <vertAlign val="superscript"/>
        <sz val="14"/>
        <rFont val="微軟正黑體"/>
        <family val="2"/>
        <charset val="136"/>
      </rPr>
      <t>D</t>
    </r>
    <phoneticPr fontId="4" type="noConversion"/>
  </si>
  <si>
    <r>
      <t>S</t>
    </r>
    <r>
      <rPr>
        <vertAlign val="subscript"/>
        <sz val="14"/>
        <rFont val="微軟正黑體"/>
        <family val="2"/>
        <charset val="136"/>
      </rPr>
      <t>1</t>
    </r>
    <r>
      <rPr>
        <vertAlign val="superscript"/>
        <sz val="14"/>
        <rFont val="微軟正黑體"/>
        <family val="2"/>
        <charset val="136"/>
      </rPr>
      <t>D</t>
    </r>
    <phoneticPr fontId="4" type="noConversion"/>
  </si>
  <si>
    <r>
      <t>S</t>
    </r>
    <r>
      <rPr>
        <vertAlign val="subscript"/>
        <sz val="14"/>
        <rFont val="微軟正黑體"/>
        <family val="2"/>
        <charset val="136"/>
      </rPr>
      <t>S</t>
    </r>
    <r>
      <rPr>
        <vertAlign val="superscript"/>
        <sz val="14"/>
        <rFont val="微軟正黑體"/>
        <family val="2"/>
        <charset val="136"/>
      </rPr>
      <t>M</t>
    </r>
    <phoneticPr fontId="4" type="noConversion"/>
  </si>
  <si>
    <r>
      <t>S</t>
    </r>
    <r>
      <rPr>
        <vertAlign val="subscript"/>
        <sz val="14"/>
        <rFont val="微軟正黑體"/>
        <family val="2"/>
        <charset val="136"/>
      </rPr>
      <t>1</t>
    </r>
    <r>
      <rPr>
        <vertAlign val="superscript"/>
        <sz val="14"/>
        <rFont val="微軟正黑體"/>
        <family val="2"/>
        <charset val="136"/>
      </rPr>
      <t>M</t>
    </r>
    <phoneticPr fontId="4" type="noConversion"/>
  </si>
  <si>
    <r>
      <t>F*</t>
    </r>
    <r>
      <rPr>
        <vertAlign val="subscript"/>
        <sz val="14"/>
        <rFont val="微軟正黑體"/>
        <family val="2"/>
        <charset val="136"/>
      </rPr>
      <t>a</t>
    </r>
    <r>
      <rPr>
        <vertAlign val="superscript"/>
        <sz val="14"/>
        <rFont val="微軟正黑體"/>
        <family val="2"/>
        <charset val="136"/>
      </rPr>
      <t>D</t>
    </r>
    <phoneticPr fontId="1" type="noConversion"/>
  </si>
  <si>
    <r>
      <t>F*</t>
    </r>
    <r>
      <rPr>
        <vertAlign val="subscript"/>
        <sz val="14"/>
        <rFont val="微軟正黑體"/>
        <family val="2"/>
        <charset val="136"/>
      </rPr>
      <t>v</t>
    </r>
    <r>
      <rPr>
        <vertAlign val="superscript"/>
        <sz val="14"/>
        <rFont val="微軟正黑體"/>
        <family val="2"/>
        <charset val="136"/>
      </rPr>
      <t>D</t>
    </r>
    <phoneticPr fontId="1" type="noConversion"/>
  </si>
  <si>
    <r>
      <t>F</t>
    </r>
    <r>
      <rPr>
        <vertAlign val="subscript"/>
        <sz val="14"/>
        <rFont val="微軟正黑體"/>
        <family val="2"/>
        <charset val="136"/>
      </rPr>
      <t>a</t>
    </r>
    <r>
      <rPr>
        <vertAlign val="superscript"/>
        <sz val="14"/>
        <rFont val="微軟正黑體"/>
        <family val="2"/>
        <charset val="136"/>
      </rPr>
      <t>M</t>
    </r>
    <phoneticPr fontId="1" type="noConversion"/>
  </si>
  <si>
    <r>
      <t>F</t>
    </r>
    <r>
      <rPr>
        <vertAlign val="subscript"/>
        <sz val="14"/>
        <rFont val="微軟正黑體"/>
        <family val="2"/>
        <charset val="136"/>
      </rPr>
      <t>v</t>
    </r>
    <r>
      <rPr>
        <vertAlign val="superscript"/>
        <sz val="14"/>
        <rFont val="微軟正黑體"/>
        <family val="2"/>
        <charset val="136"/>
      </rPr>
      <t>M</t>
    </r>
    <phoneticPr fontId="1" type="noConversion"/>
  </si>
  <si>
    <r>
      <t>S</t>
    </r>
    <r>
      <rPr>
        <b/>
        <vertAlign val="subscript"/>
        <sz val="14"/>
        <rFont val="微軟正黑體"/>
        <family val="2"/>
        <charset val="136"/>
      </rPr>
      <t>S</t>
    </r>
    <r>
      <rPr>
        <b/>
        <vertAlign val="superscript"/>
        <sz val="14"/>
        <rFont val="微軟正黑體"/>
        <family val="2"/>
        <charset val="136"/>
      </rPr>
      <t>D</t>
    </r>
    <phoneticPr fontId="4" type="noConversion"/>
  </si>
  <si>
    <r>
      <t>S</t>
    </r>
    <r>
      <rPr>
        <b/>
        <vertAlign val="subscript"/>
        <sz val="14"/>
        <rFont val="微軟正黑體"/>
        <family val="2"/>
        <charset val="136"/>
      </rPr>
      <t>1</t>
    </r>
    <r>
      <rPr>
        <b/>
        <vertAlign val="superscript"/>
        <sz val="14"/>
        <rFont val="微軟正黑體"/>
        <family val="2"/>
        <charset val="136"/>
      </rPr>
      <t>D</t>
    </r>
    <phoneticPr fontId="4" type="noConversion"/>
  </si>
  <si>
    <r>
      <t>S</t>
    </r>
    <r>
      <rPr>
        <b/>
        <vertAlign val="subscript"/>
        <sz val="14"/>
        <rFont val="微軟正黑體"/>
        <family val="2"/>
        <charset val="136"/>
      </rPr>
      <t>S</t>
    </r>
    <r>
      <rPr>
        <b/>
        <vertAlign val="superscript"/>
        <sz val="14"/>
        <rFont val="微軟正黑體"/>
        <family val="2"/>
        <charset val="136"/>
      </rPr>
      <t>M</t>
    </r>
    <phoneticPr fontId="4" type="noConversion"/>
  </si>
  <si>
    <r>
      <t>S</t>
    </r>
    <r>
      <rPr>
        <b/>
        <vertAlign val="subscript"/>
        <sz val="14"/>
        <rFont val="微軟正黑體"/>
        <family val="2"/>
        <charset val="136"/>
      </rPr>
      <t>1</t>
    </r>
    <r>
      <rPr>
        <b/>
        <vertAlign val="superscript"/>
        <sz val="14"/>
        <rFont val="微軟正黑體"/>
        <family val="2"/>
        <charset val="136"/>
      </rPr>
      <t>M</t>
    </r>
    <phoneticPr fontId="4" type="noConversion"/>
  </si>
  <si>
    <r>
      <t>F</t>
    </r>
    <r>
      <rPr>
        <vertAlign val="subscript"/>
        <sz val="14"/>
        <rFont val="微軟正黑體"/>
        <family val="2"/>
        <charset val="136"/>
      </rPr>
      <t>a</t>
    </r>
    <r>
      <rPr>
        <vertAlign val="superscript"/>
        <sz val="14"/>
        <rFont val="微軟正黑體"/>
        <family val="2"/>
        <charset val="136"/>
      </rPr>
      <t>D</t>
    </r>
    <phoneticPr fontId="1" type="noConversion"/>
  </si>
  <si>
    <r>
      <t>F</t>
    </r>
    <r>
      <rPr>
        <vertAlign val="subscript"/>
        <sz val="14"/>
        <rFont val="微軟正黑體"/>
        <family val="2"/>
        <charset val="136"/>
      </rPr>
      <t>v</t>
    </r>
    <r>
      <rPr>
        <vertAlign val="superscript"/>
        <sz val="14"/>
        <rFont val="微軟正黑體"/>
        <family val="2"/>
        <charset val="136"/>
      </rPr>
      <t>D</t>
    </r>
    <phoneticPr fontId="1" type="noConversion"/>
  </si>
  <si>
    <r>
      <t>N</t>
    </r>
    <r>
      <rPr>
        <vertAlign val="subscript"/>
        <sz val="14"/>
        <rFont val="微軟正黑體"/>
        <family val="2"/>
        <charset val="136"/>
      </rPr>
      <t>A</t>
    </r>
    <r>
      <rPr>
        <vertAlign val="superscript"/>
        <sz val="14"/>
        <rFont val="微軟正黑體"/>
        <family val="2"/>
        <charset val="136"/>
      </rPr>
      <t>D</t>
    </r>
    <phoneticPr fontId="1" type="noConversion"/>
  </si>
  <si>
    <r>
      <t>N</t>
    </r>
    <r>
      <rPr>
        <vertAlign val="subscript"/>
        <sz val="14"/>
        <rFont val="微軟正黑體"/>
        <family val="2"/>
        <charset val="136"/>
      </rPr>
      <t>V</t>
    </r>
    <r>
      <rPr>
        <vertAlign val="superscript"/>
        <sz val="14"/>
        <rFont val="微軟正黑體"/>
        <family val="2"/>
        <charset val="136"/>
      </rPr>
      <t>D</t>
    </r>
    <phoneticPr fontId="1" type="noConversion"/>
  </si>
  <si>
    <r>
      <t>N</t>
    </r>
    <r>
      <rPr>
        <vertAlign val="subscript"/>
        <sz val="14"/>
        <rFont val="微軟正黑體"/>
        <family val="2"/>
        <charset val="136"/>
      </rPr>
      <t>A</t>
    </r>
    <r>
      <rPr>
        <vertAlign val="superscript"/>
        <sz val="14"/>
        <rFont val="微軟正黑體"/>
        <family val="2"/>
        <charset val="136"/>
      </rPr>
      <t>M</t>
    </r>
    <phoneticPr fontId="1" type="noConversion"/>
  </si>
  <si>
    <r>
      <t>N</t>
    </r>
    <r>
      <rPr>
        <vertAlign val="subscript"/>
        <sz val="14"/>
        <rFont val="微軟正黑體"/>
        <family val="2"/>
        <charset val="136"/>
      </rPr>
      <t>V</t>
    </r>
    <r>
      <rPr>
        <vertAlign val="superscript"/>
        <sz val="14"/>
        <rFont val="微軟正黑體"/>
        <family val="2"/>
        <charset val="136"/>
      </rPr>
      <t>M</t>
    </r>
    <phoneticPr fontId="1" type="noConversion"/>
  </si>
  <si>
    <r>
      <t>S</t>
    </r>
    <r>
      <rPr>
        <vertAlign val="subscript"/>
        <sz val="14"/>
        <rFont val="微軟正黑體"/>
        <family val="2"/>
        <charset val="136"/>
      </rPr>
      <t>S</t>
    </r>
    <r>
      <rPr>
        <vertAlign val="superscript"/>
        <sz val="14"/>
        <rFont val="微軟正黑體"/>
        <family val="2"/>
        <charset val="136"/>
      </rPr>
      <t>D</t>
    </r>
    <r>
      <rPr>
        <sz val="14"/>
        <rFont val="微軟正黑體"/>
        <family val="2"/>
        <charset val="136"/>
      </rPr>
      <t>*N</t>
    </r>
    <r>
      <rPr>
        <vertAlign val="subscript"/>
        <sz val="14"/>
        <rFont val="微軟正黑體"/>
        <family val="2"/>
        <charset val="136"/>
      </rPr>
      <t>A</t>
    </r>
    <r>
      <rPr>
        <vertAlign val="superscript"/>
        <sz val="14"/>
        <rFont val="微軟正黑體"/>
        <family val="2"/>
        <charset val="136"/>
      </rPr>
      <t>D</t>
    </r>
    <phoneticPr fontId="1" type="noConversion"/>
  </si>
  <si>
    <r>
      <t>S</t>
    </r>
    <r>
      <rPr>
        <vertAlign val="subscript"/>
        <sz val="14"/>
        <rFont val="微軟正黑體"/>
        <family val="2"/>
        <charset val="136"/>
      </rPr>
      <t>1</t>
    </r>
    <r>
      <rPr>
        <vertAlign val="superscript"/>
        <sz val="14"/>
        <rFont val="微軟正黑體"/>
        <family val="2"/>
        <charset val="136"/>
      </rPr>
      <t>D</t>
    </r>
    <r>
      <rPr>
        <sz val="14"/>
        <rFont val="微軟正黑體"/>
        <family val="2"/>
        <charset val="136"/>
      </rPr>
      <t>*N</t>
    </r>
    <r>
      <rPr>
        <vertAlign val="subscript"/>
        <sz val="14"/>
        <rFont val="微軟正黑體"/>
        <family val="2"/>
        <charset val="136"/>
      </rPr>
      <t>V</t>
    </r>
    <r>
      <rPr>
        <vertAlign val="superscript"/>
        <sz val="14"/>
        <rFont val="微軟正黑體"/>
        <family val="2"/>
        <charset val="136"/>
      </rPr>
      <t>D</t>
    </r>
    <phoneticPr fontId="1" type="noConversion"/>
  </si>
  <si>
    <r>
      <t>S</t>
    </r>
    <r>
      <rPr>
        <vertAlign val="subscript"/>
        <sz val="14"/>
        <rFont val="微軟正黑體"/>
        <family val="2"/>
        <charset val="136"/>
      </rPr>
      <t>S</t>
    </r>
    <r>
      <rPr>
        <vertAlign val="superscript"/>
        <sz val="14"/>
        <rFont val="微軟正黑體"/>
        <family val="2"/>
        <charset val="136"/>
      </rPr>
      <t>M</t>
    </r>
    <r>
      <rPr>
        <sz val="14"/>
        <rFont val="微軟正黑體"/>
        <family val="2"/>
        <charset val="136"/>
      </rPr>
      <t>*N</t>
    </r>
    <r>
      <rPr>
        <vertAlign val="subscript"/>
        <sz val="14"/>
        <rFont val="微軟正黑體"/>
        <family val="2"/>
        <charset val="136"/>
      </rPr>
      <t>A</t>
    </r>
    <r>
      <rPr>
        <vertAlign val="superscript"/>
        <sz val="14"/>
        <rFont val="微軟正黑體"/>
        <family val="2"/>
        <charset val="136"/>
      </rPr>
      <t>M</t>
    </r>
    <phoneticPr fontId="1" type="noConversion"/>
  </si>
  <si>
    <r>
      <t>S</t>
    </r>
    <r>
      <rPr>
        <vertAlign val="subscript"/>
        <sz val="14"/>
        <rFont val="微軟正黑體"/>
        <family val="2"/>
        <charset val="136"/>
      </rPr>
      <t>1</t>
    </r>
    <r>
      <rPr>
        <vertAlign val="superscript"/>
        <sz val="14"/>
        <rFont val="微軟正黑體"/>
        <family val="2"/>
        <charset val="136"/>
      </rPr>
      <t>M</t>
    </r>
    <r>
      <rPr>
        <sz val="14"/>
        <rFont val="微軟正黑體"/>
        <family val="2"/>
        <charset val="136"/>
      </rPr>
      <t>*N</t>
    </r>
    <r>
      <rPr>
        <vertAlign val="subscript"/>
        <sz val="14"/>
        <rFont val="微軟正黑體"/>
        <family val="2"/>
        <charset val="136"/>
      </rPr>
      <t>V</t>
    </r>
    <r>
      <rPr>
        <vertAlign val="superscript"/>
        <sz val="14"/>
        <rFont val="微軟正黑體"/>
        <family val="2"/>
        <charset val="136"/>
      </rPr>
      <t>M</t>
    </r>
    <phoneticPr fontId="1" type="noConversion"/>
  </si>
  <si>
    <r>
      <t>F</t>
    </r>
    <r>
      <rPr>
        <vertAlign val="subscript"/>
        <sz val="14"/>
        <rFont val="微軟正黑體"/>
        <family val="2"/>
        <charset val="136"/>
      </rPr>
      <t>a</t>
    </r>
    <r>
      <rPr>
        <vertAlign val="superscript"/>
        <sz val="14"/>
        <rFont val="微軟正黑體"/>
        <family val="2"/>
        <charset val="136"/>
      </rPr>
      <t>D</t>
    </r>
    <r>
      <rPr>
        <sz val="14"/>
        <rFont val="微軟正黑體"/>
        <family val="2"/>
        <charset val="136"/>
      </rPr>
      <t>*</t>
    </r>
    <phoneticPr fontId="1" type="noConversion"/>
  </si>
  <si>
    <r>
      <t>F</t>
    </r>
    <r>
      <rPr>
        <vertAlign val="subscript"/>
        <sz val="14"/>
        <rFont val="微軟正黑體"/>
        <family val="2"/>
        <charset val="136"/>
      </rPr>
      <t>v</t>
    </r>
    <r>
      <rPr>
        <vertAlign val="superscript"/>
        <sz val="14"/>
        <rFont val="微軟正黑體"/>
        <family val="2"/>
        <charset val="136"/>
      </rPr>
      <t>D</t>
    </r>
    <r>
      <rPr>
        <sz val="14"/>
        <rFont val="微軟正黑體"/>
        <family val="2"/>
        <charset val="136"/>
      </rPr>
      <t>*</t>
    </r>
    <phoneticPr fontId="1" type="noConversion"/>
  </si>
  <si>
    <r>
      <t>F</t>
    </r>
    <r>
      <rPr>
        <vertAlign val="subscript"/>
        <sz val="14"/>
        <rFont val="微軟正黑體"/>
        <family val="2"/>
        <charset val="136"/>
      </rPr>
      <t>a</t>
    </r>
    <r>
      <rPr>
        <vertAlign val="superscript"/>
        <sz val="14"/>
        <rFont val="微軟正黑體"/>
        <family val="2"/>
        <charset val="136"/>
      </rPr>
      <t>M</t>
    </r>
    <r>
      <rPr>
        <sz val="14"/>
        <rFont val="微軟正黑體"/>
        <family val="2"/>
        <charset val="136"/>
      </rPr>
      <t>*</t>
    </r>
    <phoneticPr fontId="1" type="noConversion"/>
  </si>
  <si>
    <r>
      <t>F</t>
    </r>
    <r>
      <rPr>
        <vertAlign val="subscript"/>
        <sz val="14"/>
        <rFont val="微軟正黑體"/>
        <family val="2"/>
        <charset val="136"/>
      </rPr>
      <t>v</t>
    </r>
    <r>
      <rPr>
        <vertAlign val="superscript"/>
        <sz val="14"/>
        <rFont val="微軟正黑體"/>
        <family val="2"/>
        <charset val="136"/>
      </rPr>
      <t>M</t>
    </r>
    <r>
      <rPr>
        <sz val="14"/>
        <rFont val="微軟正黑體"/>
        <family val="2"/>
        <charset val="136"/>
      </rPr>
      <t>*</t>
    </r>
    <phoneticPr fontId="1" type="noConversion"/>
  </si>
  <si>
    <t>大尖山與觸口斷層</t>
    <phoneticPr fontId="1" type="noConversion"/>
  </si>
  <si>
    <r>
      <t>T</t>
    </r>
    <r>
      <rPr>
        <vertAlign val="subscript"/>
        <sz val="12"/>
        <color theme="1"/>
        <rFont val="微軟正黑體"/>
        <family val="2"/>
        <charset val="136"/>
      </rPr>
      <t>dyn</t>
    </r>
    <r>
      <rPr>
        <sz val="12"/>
        <color theme="1"/>
        <rFont val="微軟正黑體"/>
        <family val="2"/>
        <charset val="136"/>
      </rPr>
      <t>(sec)</t>
    </r>
    <phoneticPr fontId="1" type="noConversion"/>
  </si>
  <si>
    <r>
      <t>T</t>
    </r>
    <r>
      <rPr>
        <vertAlign val="subscript"/>
        <sz val="12"/>
        <color rgb="FF000000"/>
        <rFont val="微軟正黑體"/>
        <family val="2"/>
        <charset val="136"/>
      </rPr>
      <t>code</t>
    </r>
    <phoneticPr fontId="1" type="noConversion"/>
  </si>
  <si>
    <r>
      <t>T</t>
    </r>
    <r>
      <rPr>
        <vertAlign val="subscript"/>
        <sz val="12"/>
        <color rgb="FF000000"/>
        <rFont val="微軟正黑體"/>
        <family val="2"/>
        <charset val="136"/>
      </rPr>
      <t>code</t>
    </r>
    <r>
      <rPr>
        <sz val="12"/>
        <color indexed="8"/>
        <rFont val="微軟正黑體"/>
        <family val="2"/>
        <charset val="136"/>
      </rPr>
      <t>(sec)</t>
    </r>
    <phoneticPr fontId="1" type="noConversion"/>
  </si>
  <si>
    <r>
      <t>1.4T</t>
    </r>
    <r>
      <rPr>
        <vertAlign val="subscript"/>
        <sz val="12"/>
        <color rgb="FF000000"/>
        <rFont val="微軟正黑體"/>
        <family val="2"/>
        <charset val="136"/>
      </rPr>
      <t>code</t>
    </r>
    <phoneticPr fontId="1" type="noConversion"/>
  </si>
  <si>
    <r>
      <t>T</t>
    </r>
    <r>
      <rPr>
        <vertAlign val="subscript"/>
        <sz val="12"/>
        <color rgb="FF000000"/>
        <rFont val="微軟正黑體"/>
        <family val="2"/>
        <charset val="136"/>
      </rPr>
      <t>dyn</t>
    </r>
    <phoneticPr fontId="1" type="noConversion"/>
  </si>
  <si>
    <t xml:space="preserve"> T (sec)</t>
    <phoneticPr fontId="1" type="noConversion"/>
  </si>
  <si>
    <t>√(2R-1)</t>
    <phoneticPr fontId="1" type="noConversion"/>
  </si>
  <si>
    <r>
      <t>√(2R</t>
    </r>
    <r>
      <rPr>
        <vertAlign val="subscript"/>
        <sz val="14"/>
        <rFont val="微軟正黑體"/>
        <family val="2"/>
        <charset val="136"/>
      </rPr>
      <t>a</t>
    </r>
    <r>
      <rPr>
        <sz val="14"/>
        <rFont val="微軟正黑體"/>
        <family val="2"/>
        <charset val="136"/>
      </rPr>
      <t>-1)</t>
    </r>
    <phoneticPr fontId="1" type="noConversion"/>
  </si>
  <si>
    <t>工址放大係數</t>
    <phoneticPr fontId="1" type="noConversion"/>
  </si>
  <si>
    <t>100年7月1日設計地震力係數 v20220910 版權所有：施忠賢結構技師事務所，使用者應註明來源並自行驗算正確性。</t>
    <phoneticPr fontId="4" type="noConversion"/>
  </si>
  <si>
    <r>
      <t>S</t>
    </r>
    <r>
      <rPr>
        <vertAlign val="subscript"/>
        <sz val="12"/>
        <rFont val="微軟正黑體"/>
        <family val="2"/>
        <charset val="136"/>
      </rPr>
      <t>aD,v</t>
    </r>
    <phoneticPr fontId="1" type="noConversion"/>
  </si>
  <si>
    <r>
      <t xml:space="preserve"> T</t>
    </r>
    <r>
      <rPr>
        <vertAlign val="subscript"/>
        <sz val="12"/>
        <color rgb="FF000000"/>
        <rFont val="微軟正黑體"/>
        <family val="2"/>
        <charset val="136"/>
      </rPr>
      <t>z</t>
    </r>
    <r>
      <rPr>
        <sz val="12"/>
        <color indexed="8"/>
        <rFont val="微軟正黑體"/>
        <family val="2"/>
        <charset val="136"/>
      </rPr>
      <t xml:space="preserve"> (sec)</t>
    </r>
    <phoneticPr fontId="1" type="noConversion"/>
  </si>
  <si>
    <t>Rz</t>
    <phoneticPr fontId="1" type="noConversion"/>
  </si>
  <si>
    <r>
      <t>Rz</t>
    </r>
    <r>
      <rPr>
        <vertAlign val="subscript"/>
        <sz val="14"/>
        <rFont val="微軟正黑體"/>
        <family val="2"/>
        <charset val="136"/>
      </rPr>
      <t>a</t>
    </r>
    <phoneticPr fontId="1" type="noConversion"/>
  </si>
  <si>
    <r>
      <t>√(2Rz</t>
    </r>
    <r>
      <rPr>
        <vertAlign val="subscript"/>
        <sz val="14"/>
        <rFont val="微軟正黑體"/>
        <family val="2"/>
        <charset val="136"/>
      </rPr>
      <t>a</t>
    </r>
    <r>
      <rPr>
        <sz val="14"/>
        <rFont val="微軟正黑體"/>
        <family val="2"/>
        <charset val="136"/>
      </rPr>
      <t>-1)</t>
    </r>
    <phoneticPr fontId="1" type="noConversion"/>
  </si>
  <si>
    <t>W</t>
    <phoneticPr fontId="7" type="noConversion"/>
  </si>
  <si>
    <r>
      <rPr>
        <sz val="12"/>
        <color indexed="8"/>
        <rFont val="微軟正黑體"/>
        <family val="2"/>
        <charset val="136"/>
      </rPr>
      <t>基地位置</t>
    </r>
    <phoneticPr fontId="1" type="noConversion"/>
  </si>
  <si>
    <r>
      <t>S</t>
    </r>
    <r>
      <rPr>
        <vertAlign val="subscript"/>
        <sz val="12"/>
        <color indexed="8"/>
        <rFont val="微軟正黑體"/>
        <family val="2"/>
        <charset val="136"/>
      </rPr>
      <t>DS</t>
    </r>
    <phoneticPr fontId="1" type="noConversion"/>
  </si>
  <si>
    <r>
      <rPr>
        <sz val="12"/>
        <color indexed="8"/>
        <rFont val="微軟正黑體"/>
        <family val="2"/>
        <charset val="136"/>
      </rPr>
      <t>基本振動週期T</t>
    </r>
    <phoneticPr fontId="1" type="noConversion"/>
  </si>
  <si>
    <r>
      <rPr>
        <sz val="12"/>
        <color indexed="8"/>
        <rFont val="微軟正黑體"/>
        <family val="2"/>
        <charset val="136"/>
      </rPr>
      <t>容許韌性容量R</t>
    </r>
    <r>
      <rPr>
        <vertAlign val="subscript"/>
        <sz val="12"/>
        <color indexed="8"/>
        <rFont val="微軟正黑體"/>
        <family val="2"/>
        <charset val="136"/>
      </rPr>
      <t>a</t>
    </r>
    <phoneticPr fontId="1" type="noConversion"/>
  </si>
  <si>
    <r>
      <t>起始降伏地震力放大倍數α</t>
    </r>
    <r>
      <rPr>
        <vertAlign val="subscript"/>
        <sz val="12"/>
        <color indexed="8"/>
        <rFont val="微軟正黑體"/>
        <family val="2"/>
        <charset val="136"/>
      </rPr>
      <t>y</t>
    </r>
    <phoneticPr fontId="1" type="noConversion"/>
  </si>
  <si>
    <r>
      <t>避免最大考量地震下崩塌之設計地震力 V</t>
    </r>
    <r>
      <rPr>
        <vertAlign val="subscript"/>
        <sz val="12"/>
        <color indexed="8"/>
        <rFont val="微軟正黑體"/>
        <family val="2"/>
        <charset val="136"/>
      </rPr>
      <t>M</t>
    </r>
    <phoneticPr fontId="1" type="noConversion"/>
  </si>
  <si>
    <r>
      <rPr>
        <sz val="12"/>
        <color indexed="8"/>
        <rFont val="微軟正黑體"/>
        <family val="2"/>
        <charset val="136"/>
      </rPr>
      <t>組構係數K</t>
    </r>
    <phoneticPr fontId="1" type="noConversion"/>
  </si>
  <si>
    <r>
      <rPr>
        <sz val="12"/>
        <color indexed="8"/>
        <rFont val="微軟正黑體"/>
        <family val="2"/>
        <charset val="136"/>
      </rPr>
      <t>地震分區</t>
    </r>
    <phoneticPr fontId="1" type="noConversion"/>
  </si>
  <si>
    <r>
      <t>地震力係數 C</t>
    </r>
    <r>
      <rPr>
        <vertAlign val="subscript"/>
        <sz val="12"/>
        <color theme="1"/>
        <rFont val="微軟正黑體"/>
        <family val="2"/>
        <charset val="136"/>
      </rPr>
      <t>S</t>
    </r>
    <r>
      <rPr>
        <sz val="12"/>
        <color theme="1"/>
        <rFont val="微軟正黑體"/>
        <family val="2"/>
        <charset val="136"/>
      </rPr>
      <t xml:space="preserve"> =</t>
    </r>
    <phoneticPr fontId="1" type="noConversion"/>
  </si>
  <si>
    <t>新店區</t>
  </si>
  <si>
    <t>新北市微分區　</t>
  </si>
  <si>
    <t>新北市微分區　</t>
    <phoneticPr fontId="1" type="noConversion"/>
  </si>
  <si>
    <t>明德里</t>
  </si>
  <si>
    <r>
      <rPr>
        <sz val="12"/>
        <color indexed="8"/>
        <rFont val="微軟正黑體"/>
        <family val="2"/>
        <charset val="136"/>
      </rPr>
      <t>基本振動週期T</t>
    </r>
    <r>
      <rPr>
        <sz val="12"/>
        <color theme="1"/>
        <rFont val="微軟正黑體"/>
        <family val="2"/>
        <charset val="136"/>
      </rPr>
      <t>(sec)</t>
    </r>
    <phoneticPr fontId="1" type="noConversion"/>
  </si>
  <si>
    <r>
      <t>T</t>
    </r>
    <r>
      <rPr>
        <vertAlign val="subscript"/>
        <sz val="12"/>
        <color theme="1"/>
        <rFont val="微軟正黑體"/>
        <family val="2"/>
        <charset val="136"/>
      </rPr>
      <t>dyn</t>
    </r>
    <phoneticPr fontId="1" type="noConversion"/>
  </si>
  <si>
    <r>
      <t>最小設計水平總橫力 V</t>
    </r>
    <r>
      <rPr>
        <vertAlign val="subscript"/>
        <sz val="12"/>
        <color theme="1"/>
        <rFont val="微軟正黑體"/>
        <family val="2"/>
        <charset val="136"/>
      </rPr>
      <t>D</t>
    </r>
    <phoneticPr fontId="1" type="noConversion"/>
  </si>
  <si>
    <t>平行橫力方向造物之尺度</t>
    <phoneticPr fontId="1" type="noConversion"/>
  </si>
  <si>
    <r>
      <t>F</t>
    </r>
    <r>
      <rPr>
        <vertAlign val="subscript"/>
        <sz val="12"/>
        <rFont val="微軟正黑體"/>
        <family val="2"/>
        <charset val="136"/>
      </rPr>
      <t>u</t>
    </r>
    <r>
      <rPr>
        <sz val="12"/>
        <rFont val="微軟正黑體"/>
        <family val="2"/>
        <charset val="136"/>
      </rPr>
      <t>*</t>
    </r>
    <phoneticPr fontId="1" type="noConversion"/>
  </si>
  <si>
    <r>
      <t>(S</t>
    </r>
    <r>
      <rPr>
        <vertAlign val="subscript"/>
        <sz val="12"/>
        <rFont val="微軟正黑體"/>
        <family val="2"/>
        <charset val="136"/>
      </rPr>
      <t>aD</t>
    </r>
    <r>
      <rPr>
        <sz val="12"/>
        <rFont val="微軟正黑體"/>
        <family val="2"/>
        <charset val="136"/>
      </rPr>
      <t>*/F</t>
    </r>
    <r>
      <rPr>
        <vertAlign val="subscript"/>
        <sz val="12"/>
        <rFont val="微軟正黑體"/>
        <family val="2"/>
        <charset val="136"/>
      </rPr>
      <t>u</t>
    </r>
    <r>
      <rPr>
        <sz val="12"/>
        <rFont val="微軟正黑體"/>
        <family val="2"/>
        <charset val="136"/>
      </rPr>
      <t>*)</t>
    </r>
    <r>
      <rPr>
        <vertAlign val="subscript"/>
        <sz val="12"/>
        <rFont val="微軟正黑體"/>
        <family val="2"/>
        <charset val="136"/>
      </rPr>
      <t>m</t>
    </r>
    <phoneticPr fontId="1" type="noConversion"/>
  </si>
  <si>
    <r>
      <t>IFu*(S</t>
    </r>
    <r>
      <rPr>
        <vertAlign val="subscript"/>
        <sz val="12"/>
        <rFont val="微軟正黑體"/>
        <family val="2"/>
        <charset val="136"/>
      </rPr>
      <t>aD</t>
    </r>
    <r>
      <rPr>
        <vertAlign val="superscript"/>
        <sz val="12"/>
        <rFont val="微軟正黑體"/>
        <family val="2"/>
        <charset val="136"/>
      </rPr>
      <t>*</t>
    </r>
    <r>
      <rPr>
        <sz val="12"/>
        <rFont val="微軟正黑體"/>
        <family val="2"/>
        <charset val="136"/>
      </rPr>
      <t>/F</t>
    </r>
    <r>
      <rPr>
        <vertAlign val="subscript"/>
        <sz val="12"/>
        <rFont val="微軟正黑體"/>
        <family val="2"/>
        <charset val="136"/>
      </rPr>
      <t>uD</t>
    </r>
    <r>
      <rPr>
        <sz val="12"/>
        <rFont val="微軟正黑體"/>
        <family val="2"/>
        <charset val="136"/>
      </rPr>
      <t>*)</t>
    </r>
    <r>
      <rPr>
        <vertAlign val="subscript"/>
        <sz val="12"/>
        <rFont val="微軟正黑體"/>
        <family val="2"/>
        <charset val="136"/>
      </rPr>
      <t>m</t>
    </r>
    <r>
      <rPr>
        <sz val="12"/>
        <rFont val="微軟正黑體"/>
        <family val="2"/>
        <charset val="136"/>
      </rPr>
      <t>/4.2α</t>
    </r>
    <r>
      <rPr>
        <vertAlign val="subscript"/>
        <sz val="12"/>
        <rFont val="微軟正黑體"/>
        <family val="2"/>
        <charset val="136"/>
      </rPr>
      <t>y</t>
    </r>
    <phoneticPr fontId="1" type="noConversion"/>
  </si>
  <si>
    <r>
      <t>C</t>
    </r>
    <r>
      <rPr>
        <vertAlign val="subscript"/>
        <sz val="12"/>
        <rFont val="微軟正黑體"/>
        <family val="2"/>
        <charset val="136"/>
      </rPr>
      <t>sM</t>
    </r>
    <phoneticPr fontId="1" type="noConversion"/>
  </si>
  <si>
    <t>員林市</t>
    <phoneticPr fontId="1" type="noConversion"/>
  </si>
  <si>
    <t>111年10月1日設計地震力係數 v202210223 版權所有：施忠賢結構技師事務所，使用者應註明來源並自行驗算正確性。</t>
    <phoneticPr fontId="4" type="noConversion"/>
  </si>
  <si>
    <r>
      <t>F</t>
    </r>
    <r>
      <rPr>
        <vertAlign val="subscript"/>
        <sz val="12"/>
        <color indexed="8"/>
        <rFont val="微軟正黑體"/>
        <family val="2"/>
        <charset val="136"/>
      </rPr>
      <t>u</t>
    </r>
    <r>
      <rPr>
        <vertAlign val="subscript"/>
        <sz val="12"/>
        <color theme="1"/>
        <rFont val="微軟正黑體"/>
        <family val="2"/>
        <charset val="136"/>
      </rPr>
      <t>v</t>
    </r>
    <phoneticPr fontId="1" type="noConversion"/>
  </si>
  <si>
    <t>Tz (sec)</t>
    <phoneticPr fontId="1" type="noConversion"/>
  </si>
  <si>
    <t xml:space="preserve">垂直向梁版 </t>
    <phoneticPr fontId="1" type="noConversion"/>
  </si>
  <si>
    <r>
      <t>S</t>
    </r>
    <r>
      <rPr>
        <vertAlign val="subscript"/>
        <sz val="12"/>
        <color indexed="8"/>
        <rFont val="微軟正黑體"/>
        <family val="2"/>
        <charset val="136"/>
      </rPr>
      <t>aD,v</t>
    </r>
    <r>
      <rPr>
        <sz val="12"/>
        <color indexed="8"/>
        <rFont val="微軟正黑體"/>
        <family val="2"/>
        <charset val="136"/>
      </rPr>
      <t>*</t>
    </r>
    <phoneticPr fontId="1" type="noConversion"/>
  </si>
  <si>
    <r>
      <t>S</t>
    </r>
    <r>
      <rPr>
        <vertAlign val="subscript"/>
        <sz val="12"/>
        <color indexed="8"/>
        <rFont val="微軟正黑體"/>
        <family val="2"/>
        <charset val="136"/>
      </rPr>
      <t>aM</t>
    </r>
    <r>
      <rPr>
        <sz val="12"/>
        <color theme="1"/>
        <rFont val="微軟正黑體"/>
        <family val="2"/>
        <charset val="136"/>
      </rPr>
      <t>,v</t>
    </r>
    <phoneticPr fontId="1" type="noConversion"/>
  </si>
  <si>
    <r>
      <t>S</t>
    </r>
    <r>
      <rPr>
        <vertAlign val="subscript"/>
        <sz val="12"/>
        <color indexed="8"/>
        <rFont val="微軟正黑體"/>
        <family val="2"/>
        <charset val="136"/>
      </rPr>
      <t>aD,v</t>
    </r>
    <r>
      <rPr>
        <sz val="12"/>
        <color indexed="8"/>
        <rFont val="微軟正黑體"/>
        <family val="2"/>
        <charset val="136"/>
      </rPr>
      <t>/F</t>
    </r>
    <r>
      <rPr>
        <vertAlign val="subscript"/>
        <sz val="12"/>
        <color indexed="8"/>
        <rFont val="微軟正黑體"/>
        <family val="2"/>
        <charset val="136"/>
      </rPr>
      <t>uv</t>
    </r>
    <phoneticPr fontId="1" type="noConversion"/>
  </si>
  <si>
    <r>
      <t>S</t>
    </r>
    <r>
      <rPr>
        <vertAlign val="subscript"/>
        <sz val="12"/>
        <color indexed="8"/>
        <rFont val="微軟正黑體"/>
        <family val="2"/>
        <charset val="136"/>
      </rPr>
      <t>aD,v</t>
    </r>
    <r>
      <rPr>
        <sz val="12"/>
        <color indexed="8"/>
        <rFont val="微軟正黑體"/>
        <family val="2"/>
        <charset val="136"/>
      </rPr>
      <t>*/F</t>
    </r>
    <r>
      <rPr>
        <vertAlign val="subscript"/>
        <sz val="12"/>
        <color indexed="8"/>
        <rFont val="微軟正黑體"/>
        <family val="2"/>
        <charset val="136"/>
      </rPr>
      <t>uv</t>
    </r>
    <phoneticPr fontId="1" type="noConversion"/>
  </si>
  <si>
    <r>
      <t>S</t>
    </r>
    <r>
      <rPr>
        <vertAlign val="subscript"/>
        <sz val="12"/>
        <color indexed="8"/>
        <rFont val="微軟正黑體"/>
        <family val="2"/>
        <charset val="136"/>
      </rPr>
      <t>aM,v</t>
    </r>
    <r>
      <rPr>
        <sz val="12"/>
        <color indexed="8"/>
        <rFont val="微軟正黑體"/>
        <family val="2"/>
        <charset val="136"/>
      </rPr>
      <t>/F</t>
    </r>
    <r>
      <rPr>
        <vertAlign val="subscript"/>
        <sz val="12"/>
        <color indexed="8"/>
        <rFont val="微軟正黑體"/>
        <family val="2"/>
        <charset val="136"/>
      </rPr>
      <t>uvM</t>
    </r>
    <phoneticPr fontId="1" type="noConversion"/>
  </si>
  <si>
    <r>
      <t>(S</t>
    </r>
    <r>
      <rPr>
        <vertAlign val="subscript"/>
        <sz val="12"/>
        <color indexed="8"/>
        <rFont val="微軟正黑體"/>
        <family val="2"/>
        <charset val="136"/>
      </rPr>
      <t>aD,v</t>
    </r>
    <r>
      <rPr>
        <sz val="12"/>
        <color indexed="8"/>
        <rFont val="微軟正黑體"/>
        <family val="2"/>
        <charset val="136"/>
      </rPr>
      <t>/F</t>
    </r>
    <r>
      <rPr>
        <vertAlign val="subscript"/>
        <sz val="12"/>
        <color indexed="8"/>
        <rFont val="微軟正黑體"/>
        <family val="2"/>
        <charset val="136"/>
      </rPr>
      <t>uv</t>
    </r>
    <r>
      <rPr>
        <sz val="12"/>
        <color indexed="8"/>
        <rFont val="微軟正黑體"/>
        <family val="2"/>
        <charset val="136"/>
      </rPr>
      <t>)</t>
    </r>
    <r>
      <rPr>
        <vertAlign val="subscript"/>
        <sz val="12"/>
        <color indexed="8"/>
        <rFont val="微軟正黑體"/>
        <family val="2"/>
        <charset val="136"/>
      </rPr>
      <t>m</t>
    </r>
    <phoneticPr fontId="1" type="noConversion"/>
  </si>
  <si>
    <r>
      <t>(S</t>
    </r>
    <r>
      <rPr>
        <vertAlign val="subscript"/>
        <sz val="12"/>
        <color indexed="8"/>
        <rFont val="微軟正黑體"/>
        <family val="2"/>
        <charset val="136"/>
      </rPr>
      <t>aD,v</t>
    </r>
    <r>
      <rPr>
        <sz val="12"/>
        <color indexed="8"/>
        <rFont val="微軟正黑體"/>
        <family val="2"/>
        <charset val="136"/>
      </rPr>
      <t>*/F</t>
    </r>
    <r>
      <rPr>
        <vertAlign val="subscript"/>
        <sz val="12"/>
        <color indexed="8"/>
        <rFont val="微軟正黑體"/>
        <family val="2"/>
        <charset val="136"/>
      </rPr>
      <t>uv</t>
    </r>
    <r>
      <rPr>
        <sz val="12"/>
        <color indexed="8"/>
        <rFont val="微軟正黑體"/>
        <family val="2"/>
        <charset val="136"/>
      </rPr>
      <t>)</t>
    </r>
    <r>
      <rPr>
        <vertAlign val="subscript"/>
        <sz val="12"/>
        <color indexed="8"/>
        <rFont val="微軟正黑體"/>
        <family val="2"/>
        <charset val="136"/>
      </rPr>
      <t>m</t>
    </r>
    <phoneticPr fontId="1" type="noConversion"/>
  </si>
  <si>
    <r>
      <t>(S</t>
    </r>
    <r>
      <rPr>
        <vertAlign val="subscript"/>
        <sz val="12"/>
        <color indexed="8"/>
        <rFont val="微軟正黑體"/>
        <family val="2"/>
        <charset val="136"/>
      </rPr>
      <t>aM,v</t>
    </r>
    <r>
      <rPr>
        <sz val="12"/>
        <color indexed="8"/>
        <rFont val="微軟正黑體"/>
        <family val="2"/>
        <charset val="136"/>
      </rPr>
      <t>/F</t>
    </r>
    <r>
      <rPr>
        <vertAlign val="subscript"/>
        <sz val="12"/>
        <color indexed="8"/>
        <rFont val="微軟正黑體"/>
        <family val="2"/>
        <charset val="136"/>
      </rPr>
      <t>uvM</t>
    </r>
    <r>
      <rPr>
        <sz val="12"/>
        <color indexed="8"/>
        <rFont val="微軟正黑體"/>
        <family val="2"/>
        <charset val="136"/>
      </rPr>
      <t>)</t>
    </r>
    <r>
      <rPr>
        <vertAlign val="subscript"/>
        <sz val="12"/>
        <color indexed="8"/>
        <rFont val="微軟正黑體"/>
        <family val="2"/>
        <charset val="136"/>
      </rPr>
      <t>m</t>
    </r>
    <phoneticPr fontId="1" type="noConversion"/>
  </si>
  <si>
    <r>
      <t>F</t>
    </r>
    <r>
      <rPr>
        <vertAlign val="subscript"/>
        <sz val="12"/>
        <color indexed="8"/>
        <rFont val="微軟正黑體"/>
        <family val="2"/>
        <charset val="136"/>
      </rPr>
      <t>uvM</t>
    </r>
    <phoneticPr fontId="1" type="noConversion"/>
  </si>
  <si>
    <t>Kz</t>
    <phoneticPr fontId="1" type="noConversion"/>
  </si>
  <si>
    <t>柱</t>
    <phoneticPr fontId="1" type="noConversion"/>
  </si>
  <si>
    <t xml:space="preserve">梁版 </t>
    <phoneticPr fontId="1" type="noConversion"/>
  </si>
  <si>
    <t>動力分析之調整係數</t>
    <phoneticPr fontId="1" type="noConversion"/>
  </si>
  <si>
    <t>加速度反應譜係數</t>
    <phoneticPr fontId="1" type="noConversion"/>
  </si>
  <si>
    <t>修正111年新版反應譜</t>
    <phoneticPr fontId="1" type="noConversion"/>
  </si>
  <si>
    <t>修正垂直地震力係數Kz</t>
    <phoneticPr fontId="1" type="noConversion"/>
  </si>
  <si>
    <t>111年10月1日設計地震力係數 v20221024 版權所有：施忠賢結構技師事務所，使用者應註明來源並自行驗算正確性。</t>
    <phoneticPr fontId="4" type="noConversion"/>
  </si>
  <si>
    <t>苗栗縣</t>
  </si>
  <si>
    <t>頭份市</t>
  </si>
  <si>
    <t>頭份市</t>
    <phoneticPr fontId="1" type="noConversion"/>
  </si>
  <si>
    <t>獅潭與神卓山斷層</t>
  </si>
  <si>
    <t>修正彰化縣員林鎮為彰化縣員林市</t>
    <phoneticPr fontId="1" type="noConversion"/>
  </si>
  <si>
    <t>修正苗栗縣頭份鎮為苗栗縣頭份市</t>
    <phoneticPr fontId="1" type="noConversion"/>
  </si>
  <si>
    <t>卓蘭鎮</t>
    <phoneticPr fontId="7" type="noConversion"/>
  </si>
  <si>
    <t>公館鄉</t>
    <phoneticPr fontId="7" type="noConversion"/>
  </si>
  <si>
    <t>五峰鄉</t>
    <phoneticPr fontId="7" type="noConversion"/>
  </si>
  <si>
    <r>
      <t>T</t>
    </r>
    <r>
      <rPr>
        <vertAlign val="subscript"/>
        <sz val="12"/>
        <color indexed="8"/>
        <rFont val="微軟正黑體"/>
        <family val="2"/>
        <charset val="136"/>
      </rPr>
      <t>0</t>
    </r>
    <r>
      <rPr>
        <vertAlign val="superscript"/>
        <sz val="12"/>
        <color indexed="8"/>
        <rFont val="微軟正黑體"/>
        <family val="2"/>
        <charset val="136"/>
      </rPr>
      <t>*</t>
    </r>
    <phoneticPr fontId="1" type="noConversion"/>
  </si>
  <si>
    <r>
      <t>0.2T</t>
    </r>
    <r>
      <rPr>
        <vertAlign val="subscript"/>
        <sz val="12"/>
        <rFont val="微軟正黑體"/>
        <family val="2"/>
        <charset val="136"/>
      </rPr>
      <t>0</t>
    </r>
    <r>
      <rPr>
        <vertAlign val="superscript"/>
        <sz val="12"/>
        <rFont val="微軟正黑體"/>
        <family val="2"/>
        <charset val="136"/>
      </rPr>
      <t>*</t>
    </r>
    <phoneticPr fontId="1" type="noConversion"/>
  </si>
  <si>
    <r>
      <t>0.6T</t>
    </r>
    <r>
      <rPr>
        <vertAlign val="subscript"/>
        <sz val="12"/>
        <rFont val="微軟正黑體"/>
        <family val="2"/>
        <charset val="136"/>
      </rPr>
      <t>0</t>
    </r>
    <r>
      <rPr>
        <vertAlign val="superscript"/>
        <sz val="12"/>
        <rFont val="微軟正黑體"/>
        <family val="2"/>
        <charset val="136"/>
      </rPr>
      <t>*</t>
    </r>
    <phoneticPr fontId="1" type="noConversion"/>
  </si>
  <si>
    <r>
      <t>F</t>
    </r>
    <r>
      <rPr>
        <vertAlign val="subscript"/>
        <sz val="12"/>
        <color indexed="8"/>
        <rFont val="微軟正黑體"/>
        <family val="2"/>
        <charset val="136"/>
      </rPr>
      <t>u</t>
    </r>
    <r>
      <rPr>
        <vertAlign val="subscript"/>
        <sz val="12"/>
        <color theme="1"/>
        <rFont val="微軟正黑體"/>
        <family val="2"/>
        <charset val="136"/>
      </rPr>
      <t>D</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</si>
  <si>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r>
      <rPr>
        <vertAlign val="subscript"/>
        <sz val="12"/>
        <color theme="1"/>
        <rFont val="微軟正黑體"/>
        <family val="2"/>
        <charset val="136"/>
      </rPr>
      <t>D</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</si>
  <si>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uD</t>
    </r>
    <r>
      <rPr>
        <sz val="12"/>
        <color indexed="8"/>
        <rFont val="微軟正黑體"/>
        <family val="2"/>
        <charset val="136"/>
      </rPr>
      <t>)</t>
    </r>
    <r>
      <rPr>
        <vertAlign val="subscript"/>
        <sz val="12"/>
        <color indexed="8"/>
        <rFont val="微軟正黑體"/>
        <family val="2"/>
        <charset val="136"/>
      </rPr>
      <t>m</t>
    </r>
    <phoneticPr fontId="1" type="noConversion"/>
  </si>
  <si>
    <r>
      <t>F</t>
    </r>
    <r>
      <rPr>
        <vertAlign val="subscript"/>
        <sz val="12"/>
        <color indexed="8"/>
        <rFont val="微軟正黑體"/>
        <family val="2"/>
        <charset val="136"/>
      </rPr>
      <t>u</t>
    </r>
    <r>
      <rPr>
        <sz val="12"/>
        <color theme="1"/>
        <rFont val="微軟正黑體"/>
        <family val="2"/>
        <charset val="136"/>
      </rPr>
      <t>*</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</si>
  <si>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r>
      <rPr>
        <sz val="12"/>
        <color theme="1"/>
        <rFont val="微軟正黑體"/>
        <family val="2"/>
        <charset val="136"/>
      </rPr>
      <t>*</t>
    </r>
    <phoneticPr fontId="1" type="noConversion"/>
  </si>
  <si>
    <r>
      <t>(S</t>
    </r>
    <r>
      <rPr>
        <vertAlign val="subscript"/>
        <sz val="12"/>
        <color indexed="8"/>
        <rFont val="微軟正黑體"/>
        <family val="2"/>
        <charset val="136"/>
      </rPr>
      <t>aD</t>
    </r>
    <r>
      <rPr>
        <sz val="12"/>
        <color indexed="8"/>
        <rFont val="微軟正黑體"/>
        <family val="2"/>
        <charset val="136"/>
      </rPr>
      <t>*/F</t>
    </r>
    <r>
      <rPr>
        <vertAlign val="subscript"/>
        <sz val="12"/>
        <color indexed="8"/>
        <rFont val="微軟正黑體"/>
        <family val="2"/>
        <charset val="136"/>
      </rPr>
      <t>u</t>
    </r>
    <r>
      <rPr>
        <sz val="12"/>
        <color rgb="FF000000"/>
        <rFont val="微軟正黑體"/>
        <family val="2"/>
        <charset val="136"/>
      </rPr>
      <t>*</t>
    </r>
    <r>
      <rPr>
        <sz val="12"/>
        <color indexed="8"/>
        <rFont val="微軟正黑體"/>
        <family val="2"/>
        <charset val="136"/>
      </rPr>
      <t>)</t>
    </r>
    <r>
      <rPr>
        <vertAlign val="subscript"/>
        <sz val="12"/>
        <color indexed="8"/>
        <rFont val="微軟正黑體"/>
        <family val="2"/>
        <charset val="136"/>
      </rPr>
      <t>m</t>
    </r>
    <phoneticPr fontId="1" type="noConversion"/>
  </si>
  <si>
    <t>斷層1</t>
    <phoneticPr fontId="1" type="noConversion"/>
  </si>
  <si>
    <t>斷層2</t>
  </si>
  <si>
    <t>斷層3</t>
  </si>
  <si>
    <t>斷層4</t>
  </si>
  <si>
    <t>斷層5</t>
  </si>
  <si>
    <t>車籠埔斷層全段</t>
    <phoneticPr fontId="7" type="noConversion"/>
  </si>
  <si>
    <t>大茅埔一雙冬斷層</t>
    <phoneticPr fontId="7" type="noConversion"/>
  </si>
  <si>
    <t>三義斷層</t>
    <phoneticPr fontId="7" type="noConversion"/>
  </si>
  <si>
    <t>米崙斷層、嶺頂斷層、瑞穗斷層、玉里斷層、池上斷層、鹿野斷層、利吉斷層</t>
    <phoneticPr fontId="7" type="noConversion"/>
  </si>
  <si>
    <t>縣市行政區</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</si>
</sst>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00_);_(* \(#,##0.00\);_(* &quot;-&quot;??_);_(@_)"/>
    <numFmt numFmtId="177" formatCode="0.0_ "/>
    <numFmt numFmtId="178" formatCode="0.00_ "/>
    <numFmt numFmtId="179" formatCode="0.000_ "/>
    <numFmt numFmtId="180" formatCode="0.0000_ "/>
    <numFmt numFmtId="181" formatCode="0.00_);[Red]\(0.00\)"/>
    <numFmt numFmtId="182" formatCode="0.0_);[Red]\(0.0\)"/>
    <numFmt numFmtId="183" formatCode="&quot;$&quot;#,##0\ ;\(&quot;$&quot;#,##0\)"/>
    <numFmt numFmtId="184" formatCode="0.0000"/>
    <numFmt numFmtId="185" formatCode="_-* #,##0_-;\-* #,##0_-;_-* &quot;-&quot;??_-;_-@_-"/>
    <numFmt numFmtId="186" formatCode="0.0000_);[Red]\(0.0000\)"/>
    <numFmt numFmtId="187" formatCode="0.0"/>
    <numFmt numFmtId="188" formatCode="0.0###"/>
  </numFmts>
  <fonts count="77">
    <font>
      <sz val="12"/>
      <color theme="1"/>
      <name val="新細明體"/>
      <family val="1"/>
      <charset val="136"/>
      <scheme val="minor"/>
    </font>
    <font>
      <sz val="9"/>
      <name val="新細明體"/>
      <family val="1"/>
      <charset val="136"/>
    </font>
    <font>
      <sz val="12"/>
      <name val="新細明體"/>
      <family val="1"/>
      <charset val="136"/>
    </font>
    <font>
      <b/>
      <sz val="12"/>
      <name val="新細明體"/>
      <family val="1"/>
      <charset val="136"/>
    </font>
    <font>
      <sz val="9"/>
      <name val="新細明體"/>
      <family val="1"/>
      <charset val="136"/>
    </font>
    <font>
      <sz val="12"/>
      <color theme="1"/>
      <name val="新細明體"/>
      <family val="1"/>
      <charset val="136"/>
      <scheme val="minor"/>
    </font>
    <font>
      <sz val="12"/>
      <name val="新細明體"/>
      <family val="1"/>
      <charset val="136"/>
      <scheme val="minor"/>
    </font>
    <font>
      <sz val="9"/>
      <name val="新細明體"/>
      <family val="1"/>
      <charset val="136"/>
      <scheme val="minor"/>
    </font>
    <font>
      <sz val="12"/>
      <name val="Times New Roman"/>
      <family val="1"/>
    </font>
    <font>
      <b/>
      <sz val="12"/>
      <name val="Times New Roman"/>
      <family val="1"/>
    </font>
    <font>
      <sz val="10"/>
      <name val="Arial"/>
      <family val="2"/>
    </font>
    <font>
      <sz val="12"/>
      <name val="Arial"/>
      <family val="2"/>
    </font>
    <font>
      <vertAlign val="subscript"/>
      <sz val="12"/>
      <name val="Times New Roman"/>
      <family val="1"/>
    </font>
    <font>
      <sz val="12"/>
      <color theme="1"/>
      <name val="Times New Roman"/>
      <family val="1"/>
    </font>
    <font>
      <sz val="10"/>
      <color indexed="24"/>
      <name val="Arial"/>
      <family val="2"/>
    </font>
    <font>
      <sz val="10"/>
      <name val="Arial"/>
      <family val="2"/>
    </font>
    <font>
      <sz val="12"/>
      <name val="華康仿宋體W6(P)"/>
      <family val="1"/>
      <charset val="136"/>
    </font>
    <font>
      <vertAlign val="subscript"/>
      <sz val="12"/>
      <name val="華康仿宋體W6(P)"/>
      <family val="1"/>
      <charset val="136"/>
    </font>
    <font>
      <sz val="9"/>
      <name val="細明體"/>
      <family val="3"/>
      <charset val="136"/>
    </font>
    <font>
      <sz val="12"/>
      <name val="細明體"/>
      <family val="3"/>
      <charset val="136"/>
    </font>
    <font>
      <vertAlign val="superscript"/>
      <sz val="12"/>
      <name val="Times New Roman"/>
      <family val="1"/>
    </font>
    <font>
      <b/>
      <sz val="12"/>
      <name val="細明體"/>
      <family val="3"/>
      <charset val="136"/>
    </font>
    <font>
      <sz val="8"/>
      <color theme="0" tint="-0.249977111117893"/>
      <name val="Times New Roman"/>
      <family val="1"/>
    </font>
    <font>
      <vertAlign val="subscript"/>
      <sz val="12"/>
      <color indexed="8"/>
      <name val="新細明體"/>
      <family val="1"/>
      <charset val="136"/>
    </font>
    <font>
      <b/>
      <sz val="12"/>
      <color theme="1"/>
      <name val="新細明體"/>
      <family val="1"/>
      <charset val="136"/>
      <scheme val="minor"/>
    </font>
    <font>
      <sz val="9"/>
      <color indexed="81"/>
      <name val="細明體"/>
      <family val="3"/>
      <charset val="136"/>
    </font>
    <font>
      <sz val="9"/>
      <color indexed="81"/>
      <name val="Tahoma"/>
      <family val="2"/>
    </font>
    <font>
      <sz val="12"/>
      <color theme="0" tint="-0.249977111117893"/>
      <name val="細明體"/>
      <family val="3"/>
      <charset val="136"/>
    </font>
    <font>
      <sz val="11"/>
      <name val="Times New Roman"/>
      <family val="1"/>
    </font>
    <font>
      <b/>
      <sz val="12"/>
      <name val="華康仿宋體W6(P)"/>
      <family val="1"/>
      <charset val="136"/>
    </font>
    <font>
      <vertAlign val="subscript"/>
      <sz val="12"/>
      <color theme="1"/>
      <name val="新細明體"/>
      <family val="1"/>
      <charset val="136"/>
      <scheme val="minor"/>
    </font>
    <font>
      <sz val="12"/>
      <color theme="1"/>
      <name val="微軟正黑體"/>
      <family val="2"/>
      <charset val="136"/>
    </font>
    <font>
      <b/>
      <sz val="12"/>
      <color theme="1"/>
      <name val="微軟正黑體"/>
      <family val="2"/>
      <charset val="136"/>
    </font>
    <font>
      <sz val="12"/>
      <name val="微軟正黑體"/>
      <family val="2"/>
      <charset val="136"/>
    </font>
    <font>
      <vertAlign val="superscript"/>
      <sz val="12"/>
      <color indexed="8"/>
      <name val="微軟正黑體"/>
      <family val="2"/>
      <charset val="136"/>
    </font>
    <font>
      <sz val="12"/>
      <color indexed="12"/>
      <name val="微軟正黑體"/>
      <family val="2"/>
      <charset val="136"/>
    </font>
    <font>
      <b/>
      <sz val="12"/>
      <color indexed="8"/>
      <name val="微軟正黑體"/>
      <family val="2"/>
      <charset val="136"/>
    </font>
    <font>
      <sz val="14"/>
      <name val="微軟正黑體"/>
      <family val="2"/>
      <charset val="136"/>
    </font>
    <font>
      <b/>
      <sz val="12"/>
      <name val="微軟正黑體"/>
      <family val="2"/>
      <charset val="136"/>
    </font>
    <font>
      <vertAlign val="subscript"/>
      <sz val="12"/>
      <name val="微軟正黑體"/>
      <family val="2"/>
      <charset val="136"/>
    </font>
    <font>
      <b/>
      <sz val="12"/>
      <color rgb="FFC00000"/>
      <name val="微軟正黑體"/>
      <family val="2"/>
      <charset val="136"/>
    </font>
    <font>
      <sz val="12"/>
      <color indexed="8"/>
      <name val="微軟正黑體"/>
      <family val="2"/>
      <charset val="136"/>
    </font>
    <font>
      <vertAlign val="subscript"/>
      <sz val="12"/>
      <color indexed="8"/>
      <name val="微軟正黑體"/>
      <family val="2"/>
      <charset val="136"/>
    </font>
    <font>
      <vertAlign val="superscript"/>
      <sz val="12"/>
      <name val="微軟正黑體"/>
      <family val="2"/>
      <charset val="136"/>
    </font>
    <font>
      <sz val="12"/>
      <color theme="0" tint="-0.249977111117893"/>
      <name val="微軟正黑體"/>
      <family val="2"/>
      <charset val="136"/>
    </font>
    <font>
      <b/>
      <vertAlign val="subscript"/>
      <sz val="12"/>
      <color theme="1"/>
      <name val="微軟正黑體"/>
      <family val="2"/>
      <charset val="136"/>
    </font>
    <font>
      <b/>
      <vertAlign val="subscript"/>
      <sz val="12"/>
      <name val="微軟正黑體"/>
      <family val="2"/>
      <charset val="136"/>
    </font>
    <font>
      <b/>
      <sz val="12"/>
      <color theme="6" tint="-0.249977111117893"/>
      <name val="微軟正黑體"/>
      <family val="2"/>
      <charset val="136"/>
    </font>
    <font>
      <b/>
      <sz val="12"/>
      <color rgb="FF7030A0"/>
      <name val="微軟正黑體"/>
      <family val="2"/>
      <charset val="136"/>
    </font>
    <font>
      <b/>
      <sz val="12"/>
      <color rgb="FFFF0000"/>
      <name val="微軟正黑體"/>
      <family val="2"/>
      <charset val="136"/>
    </font>
    <font>
      <sz val="12"/>
      <color rgb="FFC00000"/>
      <name val="微軟正黑體"/>
      <family val="2"/>
      <charset val="136"/>
    </font>
    <font>
      <sz val="10"/>
      <color rgb="FF333333"/>
      <name val="Arial"/>
      <family val="2"/>
    </font>
    <font>
      <sz val="11"/>
      <name val="新細明體"/>
      <family val="1"/>
      <charset val="136"/>
    </font>
    <font>
      <sz val="10"/>
      <color rgb="FFFF0000"/>
      <name val="微軟正黑體"/>
      <family val="2"/>
      <charset val="136"/>
    </font>
    <font>
      <sz val="10"/>
      <color rgb="FFFF0000"/>
      <name val="新細明體"/>
      <family val="1"/>
      <charset val="136"/>
      <scheme val="minor"/>
    </font>
    <font>
      <b/>
      <sz val="11"/>
      <name val="微軟正黑體"/>
      <family val="2"/>
      <charset val="136"/>
    </font>
    <font>
      <sz val="11"/>
      <name val="微軟正黑體"/>
      <family val="2"/>
      <charset val="136"/>
    </font>
    <font>
      <b/>
      <sz val="11"/>
      <color rgb="FFFF0000"/>
      <name val="微軟正黑體"/>
      <family val="2"/>
      <charset val="136"/>
    </font>
    <font>
      <sz val="12"/>
      <color rgb="FFFF0000"/>
      <name val="微軟正黑體"/>
      <family val="2"/>
      <charset val="136"/>
    </font>
    <font>
      <vertAlign val="subscript"/>
      <sz val="12"/>
      <color theme="1"/>
      <name val="微軟正黑體"/>
      <family val="2"/>
      <charset val="136"/>
    </font>
    <font>
      <sz val="11"/>
      <color rgb="FFFF0000"/>
      <name val="微軟正黑體"/>
      <family val="2"/>
      <charset val="136"/>
    </font>
    <font>
      <sz val="14"/>
      <color indexed="12"/>
      <name val="微軟正黑體"/>
      <family val="2"/>
      <charset val="136"/>
    </font>
    <font>
      <b/>
      <sz val="14"/>
      <color theme="1"/>
      <name val="微軟正黑體"/>
      <family val="2"/>
      <charset val="136"/>
    </font>
    <font>
      <b/>
      <sz val="14"/>
      <name val="微軟正黑體"/>
      <family val="2"/>
      <charset val="136"/>
    </font>
    <font>
      <vertAlign val="subscript"/>
      <sz val="14"/>
      <name val="微軟正黑體"/>
      <family val="2"/>
      <charset val="136"/>
    </font>
    <font>
      <vertAlign val="superscript"/>
      <sz val="14"/>
      <name val="微軟正黑體"/>
      <family val="2"/>
      <charset val="136"/>
    </font>
    <font>
      <b/>
      <vertAlign val="subscript"/>
      <sz val="14"/>
      <name val="微軟正黑體"/>
      <family val="2"/>
      <charset val="136"/>
    </font>
    <font>
      <b/>
      <vertAlign val="superscript"/>
      <sz val="14"/>
      <name val="微軟正黑體"/>
      <family val="2"/>
      <charset val="136"/>
    </font>
    <font>
      <vertAlign val="subscript"/>
      <sz val="12"/>
      <color rgb="FF000000"/>
      <name val="微軟正黑體"/>
      <family val="2"/>
      <charset val="136"/>
    </font>
    <font>
      <sz val="6"/>
      <color rgb="FF333333"/>
      <name val="Microsoft YaHei"/>
      <family val="2"/>
      <charset val="134"/>
    </font>
    <font>
      <sz val="12"/>
      <color rgb="FF333333"/>
      <name val="Microsoft YaHei"/>
      <family val="2"/>
      <charset val="134"/>
    </font>
    <font>
      <sz val="12"/>
      <color rgb="FF000000"/>
      <name val="微軟正黑體"/>
      <family val="2"/>
      <charset val="136"/>
    </font>
    <font>
      <sz val="14"/>
      <color rgb="FF000000"/>
      <name val="Times New Roman"/>
      <family val="1"/>
    </font>
    <font>
      <b/>
      <sz val="12"/>
      <color theme="1"/>
      <name val="Times New Roman"/>
      <family val="1"/>
    </font>
    <font>
      <sz val="12"/>
      <color theme="8" tint="-0.249977111117893"/>
      <name val="微軟正黑體"/>
      <family val="2"/>
      <charset val="136"/>
    </font>
    <font>
      <b/>
      <sz val="12"/>
      <color theme="4"/>
      <name val="微軟正黑體"/>
      <family val="2"/>
      <charset val="136"/>
    </font>
    <font>
      <sz val="12"/>
      <color theme="4"/>
      <name val="微軟正黑體"/>
      <family val="2"/>
      <charset val="136"/>
    </font>
  </fonts>
  <fills count="1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FFC000"/>
        <bgColor indexed="64"/>
      </patternFill>
    </fill>
    <fill>
      <patternFill patternType="solid">
        <fgColor theme="9" tint="0.59999389629810485"/>
        <bgColor indexed="64"/>
      </patternFill>
    </fill>
  </fills>
  <borders count="63">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dotted">
        <color indexed="64"/>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diagonal/>
    </border>
    <border>
      <left/>
      <right style="double">
        <color auto="1"/>
      </right>
      <top style="double">
        <color auto="1"/>
      </top>
      <bottom/>
      <diagonal/>
    </border>
    <border>
      <left style="double">
        <color auto="1"/>
      </left>
      <right style="thin">
        <color auto="1"/>
      </right>
      <top/>
      <bottom style="thin">
        <color auto="1"/>
      </bottom>
      <diagonal/>
    </border>
    <border>
      <left/>
      <right style="double">
        <color auto="1"/>
      </right>
      <top/>
      <bottom/>
      <diagonal/>
    </border>
    <border>
      <left style="double">
        <color auto="1"/>
      </left>
      <right style="thin">
        <color auto="1"/>
      </right>
      <top style="thin">
        <color auto="1"/>
      </top>
      <bottom/>
      <diagonal/>
    </border>
    <border>
      <left style="double">
        <color auto="1"/>
      </left>
      <right/>
      <top/>
      <bottom/>
      <diagonal/>
    </border>
    <border>
      <left/>
      <right/>
      <top/>
      <bottom style="double">
        <color auto="1"/>
      </bottom>
      <diagonal/>
    </border>
    <border>
      <left/>
      <right style="double">
        <color auto="1"/>
      </right>
      <top/>
      <bottom style="double">
        <color auto="1"/>
      </bottom>
      <diagonal/>
    </border>
    <border>
      <left style="double">
        <color auto="1"/>
      </left>
      <right/>
      <top style="thin">
        <color auto="1"/>
      </top>
      <bottom style="thin">
        <color auto="1"/>
      </bottom>
      <diagonal/>
    </border>
    <border>
      <left style="double">
        <color auto="1"/>
      </left>
      <right/>
      <top/>
      <bottom style="double">
        <color auto="1"/>
      </bottom>
      <diagonal/>
    </border>
    <border>
      <left style="double">
        <color auto="1"/>
      </left>
      <right/>
      <top/>
      <bottom style="thin">
        <color auto="1"/>
      </bottom>
      <diagonal/>
    </border>
    <border>
      <left style="double">
        <color auto="1"/>
      </left>
      <right/>
      <top style="thin">
        <color auto="1"/>
      </top>
      <bottom/>
      <diagonal/>
    </border>
    <border>
      <left/>
      <right style="double">
        <color auto="1"/>
      </right>
      <top style="thin">
        <color auto="1"/>
      </top>
      <bottom style="thin">
        <color auto="1"/>
      </bottom>
      <diagonal/>
    </border>
    <border>
      <left/>
      <right/>
      <top style="double">
        <color auto="1"/>
      </top>
      <bottom/>
      <diagonal/>
    </border>
    <border>
      <left style="double">
        <color auto="1"/>
      </left>
      <right style="double">
        <color auto="1"/>
      </right>
      <top style="thin">
        <color auto="1"/>
      </top>
      <bottom style="thin">
        <color auto="1"/>
      </bottom>
      <diagonal/>
    </border>
    <border>
      <left style="double">
        <color auto="1"/>
      </left>
      <right style="double">
        <color auto="1"/>
      </right>
      <top/>
      <bottom/>
      <diagonal/>
    </border>
    <border>
      <left style="dotted">
        <color indexed="64"/>
      </left>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176" fontId="5" fillId="0" borderId="0" applyFont="0" applyFill="0" applyBorder="0" applyAlignment="0" applyProtection="0">
      <alignment vertical="center"/>
    </xf>
    <xf numFmtId="0" fontId="10" fillId="0" borderId="0"/>
    <xf numFmtId="3" fontId="14" fillId="0" borderId="0" applyFont="0" applyFill="0" applyBorder="0" applyAlignment="0" applyProtection="0"/>
    <xf numFmtId="183" fontId="14" fillId="0" borderId="0" applyFont="0" applyFill="0" applyBorder="0" applyAlignment="0" applyProtection="0"/>
    <xf numFmtId="0" fontId="14" fillId="0" borderId="0" applyFont="0" applyFill="0" applyBorder="0" applyAlignment="0" applyProtection="0"/>
    <xf numFmtId="2" fontId="14" fillId="0" borderId="0" applyFont="0" applyFill="0" applyBorder="0" applyAlignment="0" applyProtection="0"/>
    <xf numFmtId="0" fontId="15" fillId="0" borderId="0"/>
    <xf numFmtId="0" fontId="15" fillId="0" borderId="0"/>
  </cellStyleXfs>
  <cellXfs count="414">
    <xf numFmtId="0" fontId="0" fillId="0" borderId="0" xfId="0">
      <alignment vertical="center"/>
    </xf>
    <xf numFmtId="0" fontId="6" fillId="0" borderId="0" xfId="0" applyFont="1" applyAlignment="1">
      <alignment horizontal="center" vertical="center"/>
    </xf>
    <xf numFmtId="0" fontId="0" fillId="0" borderId="0" xfId="0" applyAlignment="1">
      <alignment horizontal="center" vertical="center"/>
    </xf>
    <xf numFmtId="0" fontId="8" fillId="0" borderId="0" xfId="7" applyFont="1"/>
    <xf numFmtId="0" fontId="8" fillId="0" borderId="0" xfId="1" applyFont="1" applyAlignment="1">
      <alignment horizontal="center" vertical="center"/>
    </xf>
    <xf numFmtId="0" fontId="8" fillId="0" borderId="0" xfId="7" applyFont="1" applyAlignment="1">
      <alignment horizontal="center"/>
    </xf>
    <xf numFmtId="0" fontId="13" fillId="0" borderId="0" xfId="1" applyFont="1" applyAlignment="1">
      <alignment horizontal="center" vertical="center"/>
    </xf>
    <xf numFmtId="0" fontId="16" fillId="0" borderId="0" xfId="0" applyFont="1" applyAlignment="1">
      <alignment horizontal="center" vertical="center"/>
    </xf>
    <xf numFmtId="178" fontId="16" fillId="3" borderId="0" xfId="0" applyNumberFormat="1" applyFont="1" applyFill="1" applyAlignment="1">
      <alignment horizontal="right" vertical="center"/>
    </xf>
    <xf numFmtId="178" fontId="16" fillId="4" borderId="0" xfId="0" applyNumberFormat="1" applyFont="1" applyFill="1" applyAlignment="1">
      <alignment horizontal="right" vertical="center"/>
    </xf>
    <xf numFmtId="0" fontId="19" fillId="0" borderId="0" xfId="7" applyFont="1"/>
    <xf numFmtId="0" fontId="8" fillId="0" borderId="20" xfId="5" applyFont="1" applyBorder="1" applyAlignment="1">
      <alignment horizontal="center" vertical="center"/>
    </xf>
    <xf numFmtId="179" fontId="22" fillId="0" borderId="25" xfId="0" applyNumberFormat="1" applyFont="1" applyBorder="1" applyAlignment="1">
      <alignment horizontal="center" vertical="center"/>
    </xf>
    <xf numFmtId="0" fontId="16" fillId="3" borderId="0" xfId="0" applyFont="1" applyFill="1" applyAlignment="1">
      <alignment horizontal="center" vertical="center"/>
    </xf>
    <xf numFmtId="0" fontId="16" fillId="2" borderId="0" xfId="0" applyFont="1" applyFill="1" applyAlignment="1">
      <alignment horizontal="center" vertical="center"/>
    </xf>
    <xf numFmtId="0" fontId="0" fillId="6" borderId="0" xfId="0" applyFill="1">
      <alignment vertical="center"/>
    </xf>
    <xf numFmtId="179" fontId="0" fillId="0" borderId="0" xfId="0" applyNumberFormat="1">
      <alignment vertical="center"/>
    </xf>
    <xf numFmtId="0" fontId="16" fillId="7" borderId="0" xfId="0" applyFont="1" applyFill="1" applyAlignment="1">
      <alignment horizontal="center" vertical="center"/>
    </xf>
    <xf numFmtId="0" fontId="16" fillId="8" borderId="0" xfId="0" applyFont="1" applyFill="1" applyAlignment="1">
      <alignment horizontal="center" vertical="center"/>
    </xf>
    <xf numFmtId="0" fontId="16" fillId="9" borderId="0" xfId="0" applyFont="1" applyFill="1" applyAlignment="1">
      <alignment horizontal="center" vertical="center"/>
    </xf>
    <xf numFmtId="0" fontId="3" fillId="0" borderId="0" xfId="7" applyFont="1" applyAlignment="1">
      <alignment horizontal="left"/>
    </xf>
    <xf numFmtId="0" fontId="9" fillId="10" borderId="0" xfId="7" applyFont="1" applyFill="1" applyAlignment="1">
      <alignment horizontal="center"/>
    </xf>
    <xf numFmtId="0" fontId="8" fillId="0" borderId="0" xfId="7" applyFont="1" applyAlignment="1">
      <alignment horizontal="center" vertical="center"/>
    </xf>
    <xf numFmtId="0" fontId="19" fillId="0" borderId="0" xfId="7" applyFont="1" applyAlignment="1">
      <alignment horizontal="center" vertical="center"/>
    </xf>
    <xf numFmtId="179" fontId="27" fillId="0" borderId="25" xfId="0" applyNumberFormat="1" applyFont="1" applyBorder="1" applyAlignment="1">
      <alignment horizontal="center" vertical="center"/>
    </xf>
    <xf numFmtId="0" fontId="9" fillId="11" borderId="0" xfId="7" applyFont="1" applyFill="1" applyAlignment="1">
      <alignment horizontal="center"/>
    </xf>
    <xf numFmtId="0" fontId="9" fillId="9" borderId="0" xfId="7" applyFont="1" applyFill="1" applyAlignment="1">
      <alignment horizontal="center"/>
    </xf>
    <xf numFmtId="0" fontId="29" fillId="7" borderId="0" xfId="0" applyFont="1" applyFill="1" applyAlignment="1">
      <alignment horizontal="center" vertical="center"/>
    </xf>
    <xf numFmtId="0" fontId="21" fillId="11" borderId="0" xfId="7" applyFont="1" applyFill="1" applyAlignment="1">
      <alignment horizontal="center"/>
    </xf>
    <xf numFmtId="0" fontId="24" fillId="0" borderId="0" xfId="0" applyFont="1" applyAlignment="1">
      <alignment horizontal="center" vertical="center"/>
    </xf>
    <xf numFmtId="2" fontId="24" fillId="0" borderId="0" xfId="0" applyNumberFormat="1" applyFont="1" applyAlignment="1">
      <alignment horizontal="center" vertical="center"/>
    </xf>
    <xf numFmtId="12" fontId="0" fillId="0" borderId="0" xfId="0" applyNumberFormat="1" applyAlignment="1">
      <alignment horizontal="center" vertical="center"/>
    </xf>
    <xf numFmtId="0" fontId="31" fillId="0" borderId="0" xfId="0" applyFont="1">
      <alignment vertical="center"/>
    </xf>
    <xf numFmtId="0" fontId="31" fillId="0" borderId="0" xfId="0" applyFont="1" applyAlignment="1">
      <alignment vertical="center" wrapText="1"/>
    </xf>
    <xf numFmtId="0" fontId="32" fillId="0" borderId="0" xfId="0" applyFont="1">
      <alignment vertical="center"/>
    </xf>
    <xf numFmtId="0" fontId="31" fillId="0" borderId="0" xfId="0" applyFont="1" applyAlignment="1">
      <alignment horizontal="center" vertical="center"/>
    </xf>
    <xf numFmtId="187" fontId="33" fillId="0" borderId="0" xfId="5" applyNumberFormat="1" applyFont="1">
      <alignment vertical="center"/>
    </xf>
    <xf numFmtId="179" fontId="33" fillId="0" borderId="0" xfId="0" applyNumberFormat="1" applyFont="1" applyAlignment="1">
      <alignment horizontal="center" vertical="center"/>
    </xf>
    <xf numFmtId="179" fontId="33" fillId="0" borderId="21" xfId="0" applyNumberFormat="1" applyFont="1" applyBorder="1" applyAlignment="1">
      <alignment horizontal="center" vertical="center"/>
    </xf>
    <xf numFmtId="0" fontId="33" fillId="0" borderId="0" xfId="5" applyFont="1" applyAlignment="1">
      <alignment horizontal="center" vertical="center"/>
    </xf>
    <xf numFmtId="0" fontId="33" fillId="0" borderId="0" xfId="7" applyFont="1" applyAlignment="1">
      <alignment horizontal="center"/>
    </xf>
    <xf numFmtId="0" fontId="33" fillId="0" borderId="0" xfId="7" applyFont="1"/>
    <xf numFmtId="12" fontId="33" fillId="0" borderId="0" xfId="5" applyNumberFormat="1" applyFont="1" applyAlignment="1">
      <alignment horizontal="center" vertical="center"/>
    </xf>
    <xf numFmtId="0" fontId="35" fillId="0" borderId="0" xfId="0" applyFont="1" applyAlignment="1" applyProtection="1">
      <alignment horizontal="center" vertical="center"/>
      <protection hidden="1"/>
    </xf>
    <xf numFmtId="0" fontId="33" fillId="0" borderId="0" xfId="5" applyFont="1" applyAlignment="1">
      <alignment horizontal="right" vertical="center"/>
    </xf>
    <xf numFmtId="0" fontId="38" fillId="0" borderId="0" xfId="5" applyFont="1" applyAlignment="1">
      <alignment horizontal="center" vertical="center"/>
    </xf>
    <xf numFmtId="0" fontId="33" fillId="0" borderId="0" xfId="5" applyFont="1" applyAlignment="1">
      <alignment horizontal="right" vertical="center" wrapText="1"/>
    </xf>
    <xf numFmtId="0" fontId="33" fillId="12" borderId="20" xfId="5" applyFont="1" applyFill="1" applyBorder="1" applyAlignment="1">
      <alignment horizontal="center" vertical="center" wrapText="1"/>
    </xf>
    <xf numFmtId="180" fontId="40" fillId="0" borderId="0" xfId="5" applyNumberFormat="1" applyFont="1" applyAlignment="1">
      <alignment horizontal="center" vertical="center"/>
    </xf>
    <xf numFmtId="180" fontId="33" fillId="0" borderId="0" xfId="5" applyNumberFormat="1" applyFont="1" applyAlignment="1">
      <alignment horizontal="center" vertical="center"/>
    </xf>
    <xf numFmtId="181" fontId="33" fillId="0" borderId="0" xfId="5" applyNumberFormat="1" applyFont="1" applyAlignment="1">
      <alignment horizontal="right" vertical="center" wrapText="1"/>
    </xf>
    <xf numFmtId="180" fontId="38" fillId="0" borderId="0" xfId="5" applyNumberFormat="1" applyFont="1" applyAlignment="1">
      <alignment horizontal="center" vertical="center"/>
    </xf>
    <xf numFmtId="184" fontId="31" fillId="0" borderId="0" xfId="0" applyNumberFormat="1" applyFont="1" applyAlignment="1">
      <alignment horizontal="center" vertical="center"/>
    </xf>
    <xf numFmtId="180" fontId="33" fillId="0" borderId="20" xfId="5" applyNumberFormat="1" applyFont="1" applyBorder="1" applyAlignment="1">
      <alignment horizontal="center" vertical="center"/>
    </xf>
    <xf numFmtId="179" fontId="33" fillId="0" borderId="0" xfId="5" applyNumberFormat="1" applyFont="1" applyAlignment="1">
      <alignment horizontal="center" vertical="center"/>
    </xf>
    <xf numFmtId="0" fontId="33" fillId="0" borderId="20" xfId="5" applyFont="1" applyBorder="1" applyAlignment="1">
      <alignment horizontal="center" vertical="center"/>
    </xf>
    <xf numFmtId="180" fontId="33" fillId="0" borderId="23" xfId="5" applyNumberFormat="1" applyFont="1" applyBorder="1" applyAlignment="1">
      <alignment horizontal="center" vertical="center"/>
    </xf>
    <xf numFmtId="179" fontId="31" fillId="0" borderId="0" xfId="0" applyNumberFormat="1" applyFont="1" applyAlignment="1">
      <alignment horizontal="center" vertical="center"/>
    </xf>
    <xf numFmtId="0" fontId="38" fillId="0" borderId="0" xfId="5" applyFont="1" applyAlignment="1">
      <alignment horizontal="right" vertical="center"/>
    </xf>
    <xf numFmtId="180" fontId="33" fillId="0" borderId="0" xfId="5" applyNumberFormat="1" applyFont="1">
      <alignment vertical="center"/>
    </xf>
    <xf numFmtId="179" fontId="38" fillId="0" borderId="0" xfId="5" applyNumberFormat="1" applyFont="1" applyAlignment="1">
      <alignment horizontal="center" vertical="center"/>
    </xf>
    <xf numFmtId="179" fontId="38" fillId="0" borderId="0" xfId="5" applyNumberFormat="1" applyFont="1">
      <alignment vertical="center"/>
    </xf>
    <xf numFmtId="0" fontId="33" fillId="0" borderId="5" xfId="5" applyFont="1" applyBorder="1" applyAlignment="1">
      <alignment horizontal="center" vertical="center"/>
    </xf>
    <xf numFmtId="178" fontId="33" fillId="0" borderId="0" xfId="5" applyNumberFormat="1" applyFont="1">
      <alignment vertical="center"/>
    </xf>
    <xf numFmtId="179" fontId="38" fillId="0" borderId="2" xfId="5" applyNumberFormat="1" applyFont="1" applyBorder="1">
      <alignment vertical="center"/>
    </xf>
    <xf numFmtId="180" fontId="38" fillId="0" borderId="2" xfId="5" applyNumberFormat="1" applyFont="1" applyBorder="1">
      <alignment vertical="center"/>
    </xf>
    <xf numFmtId="180" fontId="47" fillId="0" borderId="2" xfId="5" applyNumberFormat="1" applyFont="1" applyBorder="1">
      <alignment vertical="center"/>
    </xf>
    <xf numFmtId="179" fontId="47" fillId="0" borderId="2" xfId="5" applyNumberFormat="1" applyFont="1" applyBorder="1">
      <alignment vertical="center"/>
    </xf>
    <xf numFmtId="179" fontId="47" fillId="0" borderId="0" xfId="5" applyNumberFormat="1" applyFont="1">
      <alignment vertical="center"/>
    </xf>
    <xf numFmtId="179" fontId="48" fillId="0" borderId="2" xfId="5" applyNumberFormat="1" applyFont="1" applyBorder="1">
      <alignment vertical="center"/>
    </xf>
    <xf numFmtId="180" fontId="48" fillId="0" borderId="2" xfId="5" applyNumberFormat="1" applyFont="1" applyBorder="1">
      <alignment vertical="center"/>
    </xf>
    <xf numFmtId="179" fontId="49" fillId="0" borderId="2" xfId="5" applyNumberFormat="1" applyFont="1" applyBorder="1">
      <alignment vertical="center"/>
    </xf>
    <xf numFmtId="179" fontId="49" fillId="0" borderId="1" xfId="5" applyNumberFormat="1" applyFont="1" applyBorder="1">
      <alignment vertical="center"/>
    </xf>
    <xf numFmtId="180" fontId="49" fillId="0" borderId="2" xfId="5" applyNumberFormat="1" applyFont="1" applyBorder="1">
      <alignment vertical="center"/>
    </xf>
    <xf numFmtId="179" fontId="48" fillId="0" borderId="8" xfId="5" applyNumberFormat="1" applyFont="1" applyBorder="1">
      <alignment vertical="center"/>
    </xf>
    <xf numFmtId="179" fontId="48" fillId="0" borderId="9" xfId="5" applyNumberFormat="1" applyFont="1" applyBorder="1">
      <alignment vertical="center"/>
    </xf>
    <xf numFmtId="179" fontId="48" fillId="0" borderId="10" xfId="5" applyNumberFormat="1" applyFont="1" applyBorder="1">
      <alignment vertical="center"/>
    </xf>
    <xf numFmtId="179" fontId="48" fillId="0" borderId="11" xfId="5" applyNumberFormat="1" applyFont="1" applyBorder="1">
      <alignment vertical="center"/>
    </xf>
    <xf numFmtId="179" fontId="49" fillId="0" borderId="12" xfId="5" applyNumberFormat="1" applyFont="1" applyBorder="1">
      <alignment vertical="center"/>
    </xf>
    <xf numFmtId="179" fontId="49" fillId="0" borderId="7" xfId="5" applyNumberFormat="1" applyFont="1" applyBorder="1">
      <alignment vertical="center"/>
    </xf>
    <xf numFmtId="179" fontId="49" fillId="0" borderId="13" xfId="5" applyNumberFormat="1" applyFont="1" applyBorder="1">
      <alignment vertical="center"/>
    </xf>
    <xf numFmtId="179" fontId="47" fillId="0" borderId="14" xfId="5" applyNumberFormat="1" applyFont="1" applyBorder="1">
      <alignment vertical="center"/>
    </xf>
    <xf numFmtId="179" fontId="47" fillId="0" borderId="6" xfId="5" applyNumberFormat="1" applyFont="1" applyBorder="1">
      <alignment vertical="center"/>
    </xf>
    <xf numFmtId="179" fontId="47" fillId="0" borderId="15" xfId="5" applyNumberFormat="1" applyFont="1" applyBorder="1">
      <alignment vertical="center"/>
    </xf>
    <xf numFmtId="179" fontId="48" fillId="0" borderId="16" xfId="5" applyNumberFormat="1" applyFont="1" applyBorder="1">
      <alignment vertical="center"/>
    </xf>
    <xf numFmtId="179" fontId="48" fillId="0" borderId="17" xfId="5" applyNumberFormat="1" applyFont="1" applyBorder="1">
      <alignment vertical="center"/>
    </xf>
    <xf numFmtId="179" fontId="48" fillId="0" borderId="18" xfId="5" applyNumberFormat="1" applyFont="1" applyBorder="1">
      <alignment vertical="center"/>
    </xf>
    <xf numFmtId="179" fontId="48" fillId="0" borderId="19" xfId="5" applyNumberFormat="1" applyFont="1" applyBorder="1">
      <alignment vertical="center"/>
    </xf>
    <xf numFmtId="179" fontId="49" fillId="0" borderId="0" xfId="5" applyNumberFormat="1" applyFont="1">
      <alignment vertical="center"/>
    </xf>
    <xf numFmtId="179" fontId="38" fillId="0" borderId="3" xfId="5" applyNumberFormat="1" applyFont="1" applyBorder="1">
      <alignment vertical="center"/>
    </xf>
    <xf numFmtId="179" fontId="33" fillId="0" borderId="2" xfId="5" applyNumberFormat="1" applyFont="1" applyBorder="1">
      <alignment vertical="center"/>
    </xf>
    <xf numFmtId="179" fontId="33" fillId="0" borderId="0" xfId="5" applyNumberFormat="1" applyFont="1">
      <alignment vertical="center"/>
    </xf>
    <xf numFmtId="179" fontId="33" fillId="0" borderId="3" xfId="5" applyNumberFormat="1" applyFont="1" applyBorder="1">
      <alignment vertical="center"/>
    </xf>
    <xf numFmtId="180" fontId="33" fillId="0" borderId="2" xfId="5" applyNumberFormat="1" applyFont="1" applyBorder="1">
      <alignment vertical="center"/>
    </xf>
    <xf numFmtId="179" fontId="50" fillId="0" borderId="3" xfId="5" applyNumberFormat="1" applyFont="1" applyBorder="1">
      <alignment vertical="center"/>
    </xf>
    <xf numFmtId="180" fontId="50" fillId="0" borderId="2" xfId="5" applyNumberFormat="1" applyFont="1" applyBorder="1">
      <alignment vertical="center"/>
    </xf>
    <xf numFmtId="179" fontId="50" fillId="0" borderId="2" xfId="5" applyNumberFormat="1" applyFont="1" applyBorder="1">
      <alignment vertical="center"/>
    </xf>
    <xf numFmtId="0" fontId="50" fillId="0" borderId="0" xfId="5" applyFont="1">
      <alignment vertical="center"/>
    </xf>
    <xf numFmtId="182" fontId="33" fillId="0" borderId="20" xfId="5" applyNumberFormat="1" applyFont="1" applyBorder="1" applyAlignment="1">
      <alignment horizontal="center" vertical="center" wrapText="1"/>
    </xf>
    <xf numFmtId="0" fontId="33" fillId="0" borderId="0" xfId="5" applyFont="1" applyAlignment="1">
      <alignment horizontal="center" vertical="center" wrapText="1"/>
    </xf>
    <xf numFmtId="179" fontId="50" fillId="0" borderId="0" xfId="5" applyNumberFormat="1" applyFont="1">
      <alignment vertical="center"/>
    </xf>
    <xf numFmtId="180" fontId="50" fillId="0" borderId="0" xfId="5" applyNumberFormat="1" applyFont="1">
      <alignment vertical="center"/>
    </xf>
    <xf numFmtId="180" fontId="40" fillId="0" borderId="0" xfId="5" applyNumberFormat="1" applyFont="1">
      <alignment vertical="center"/>
    </xf>
    <xf numFmtId="179" fontId="40" fillId="0" borderId="3" xfId="5" applyNumberFormat="1" applyFont="1" applyBorder="1">
      <alignment vertical="center"/>
    </xf>
    <xf numFmtId="0" fontId="41" fillId="0" borderId="20" xfId="0" applyFont="1" applyBorder="1" applyAlignment="1">
      <alignment horizontal="center" vertical="center"/>
    </xf>
    <xf numFmtId="0" fontId="31" fillId="0" borderId="20" xfId="0" applyFont="1" applyBorder="1">
      <alignment vertical="center"/>
    </xf>
    <xf numFmtId="0" fontId="32" fillId="0" borderId="20" xfId="0" applyFont="1" applyBorder="1">
      <alignment vertical="center"/>
    </xf>
    <xf numFmtId="0" fontId="33" fillId="0" borderId="23" xfId="5" applyFont="1" applyBorder="1" applyAlignment="1">
      <alignment horizontal="center" vertical="center"/>
    </xf>
    <xf numFmtId="0" fontId="31" fillId="0" borderId="23" xfId="0" applyFont="1" applyBorder="1" applyAlignment="1">
      <alignment horizontal="center" vertical="center"/>
    </xf>
    <xf numFmtId="0" fontId="51" fillId="0" borderId="0" xfId="0" applyFont="1">
      <alignment vertical="center"/>
    </xf>
    <xf numFmtId="0" fontId="8" fillId="0" borderId="0" xfId="7" applyFont="1" applyAlignment="1">
      <alignment vertical="center"/>
    </xf>
    <xf numFmtId="0" fontId="28" fillId="0" borderId="0" xfId="7" applyFont="1" applyAlignment="1">
      <alignment horizontal="left" vertical="center"/>
    </xf>
    <xf numFmtId="2" fontId="31" fillId="0" borderId="0" xfId="0" applyNumberFormat="1" applyFont="1">
      <alignment vertical="center"/>
    </xf>
    <xf numFmtId="2" fontId="32" fillId="0" borderId="0" xfId="0" applyNumberFormat="1" applyFont="1">
      <alignment vertical="center"/>
    </xf>
    <xf numFmtId="2" fontId="32" fillId="0" borderId="20" xfId="0" applyNumberFormat="1" applyFont="1" applyBorder="1">
      <alignment vertical="center"/>
    </xf>
    <xf numFmtId="2" fontId="31" fillId="0" borderId="20" xfId="0" applyNumberFormat="1" applyFont="1" applyBorder="1">
      <alignment vertical="center"/>
    </xf>
    <xf numFmtId="0" fontId="31" fillId="0" borderId="22" xfId="0" applyFont="1" applyBorder="1">
      <alignment vertical="center"/>
    </xf>
    <xf numFmtId="2" fontId="32" fillId="0" borderId="22" xfId="0" applyNumberFormat="1" applyFont="1" applyBorder="1">
      <alignment vertical="center"/>
    </xf>
    <xf numFmtId="2" fontId="31" fillId="0" borderId="22" xfId="0" applyNumberFormat="1" applyFont="1" applyBorder="1">
      <alignment vertical="center"/>
    </xf>
    <xf numFmtId="0" fontId="31" fillId="0" borderId="35" xfId="0" applyFont="1" applyBorder="1">
      <alignment vertical="center"/>
    </xf>
    <xf numFmtId="0" fontId="31" fillId="0" borderId="36" xfId="0" applyFont="1" applyBorder="1">
      <alignment vertical="center"/>
    </xf>
    <xf numFmtId="2" fontId="31" fillId="0" borderId="35" xfId="0" applyNumberFormat="1" applyFont="1" applyBorder="1">
      <alignment vertical="center"/>
    </xf>
    <xf numFmtId="2" fontId="31" fillId="0" borderId="36" xfId="0" applyNumberFormat="1" applyFont="1" applyBorder="1">
      <alignment vertical="center"/>
    </xf>
    <xf numFmtId="2" fontId="32" fillId="0" borderId="36" xfId="0" applyNumberFormat="1" applyFont="1" applyBorder="1">
      <alignment vertical="center"/>
    </xf>
    <xf numFmtId="0" fontId="31" fillId="0" borderId="37" xfId="0" applyFont="1" applyBorder="1">
      <alignment vertical="center"/>
    </xf>
    <xf numFmtId="0" fontId="31" fillId="0" borderId="38" xfId="0" applyFont="1" applyBorder="1">
      <alignment vertical="center"/>
    </xf>
    <xf numFmtId="2" fontId="31" fillId="0" borderId="38" xfId="0" applyNumberFormat="1" applyFont="1" applyBorder="1">
      <alignment vertical="center"/>
    </xf>
    <xf numFmtId="2" fontId="31" fillId="0" borderId="39" xfId="0" applyNumberFormat="1" applyFont="1" applyBorder="1">
      <alignment vertical="center"/>
    </xf>
    <xf numFmtId="0" fontId="32" fillId="0" borderId="36" xfId="0" applyFont="1" applyBorder="1">
      <alignment vertical="center"/>
    </xf>
    <xf numFmtId="0" fontId="31" fillId="0" borderId="39" xfId="0" applyFont="1" applyBorder="1">
      <alignment vertical="center"/>
    </xf>
    <xf numFmtId="2" fontId="31" fillId="0" borderId="29" xfId="0" applyNumberFormat="1" applyFont="1" applyBorder="1">
      <alignment vertical="center"/>
    </xf>
    <xf numFmtId="2" fontId="31" fillId="0" borderId="2" xfId="0" applyNumberFormat="1" applyFont="1" applyBorder="1">
      <alignment vertical="center"/>
    </xf>
    <xf numFmtId="2" fontId="31" fillId="0" borderId="3" xfId="0" applyNumberFormat="1" applyFont="1" applyBorder="1">
      <alignment vertical="center"/>
    </xf>
    <xf numFmtId="2" fontId="31" fillId="0" borderId="5" xfId="0" applyNumberFormat="1" applyFont="1" applyBorder="1">
      <alignment vertical="center"/>
    </xf>
    <xf numFmtId="2" fontId="31" fillId="0" borderId="6" xfId="0" applyNumberFormat="1" applyFont="1" applyBorder="1">
      <alignment vertical="center"/>
    </xf>
    <xf numFmtId="2" fontId="31" fillId="0" borderId="4" xfId="0" applyNumberFormat="1" applyFont="1" applyBorder="1">
      <alignment vertical="center"/>
    </xf>
    <xf numFmtId="2" fontId="31" fillId="0" borderId="30" xfId="0" applyNumberFormat="1" applyFont="1" applyBorder="1">
      <alignment vertical="center"/>
    </xf>
    <xf numFmtId="2" fontId="32" fillId="0" borderId="6" xfId="0" applyNumberFormat="1" applyFont="1" applyBorder="1">
      <alignment vertical="center"/>
    </xf>
    <xf numFmtId="2" fontId="32" fillId="0" borderId="30" xfId="0" applyNumberFormat="1" applyFont="1" applyBorder="1">
      <alignment vertical="center"/>
    </xf>
    <xf numFmtId="2" fontId="32" fillId="0" borderId="31" xfId="0" applyNumberFormat="1" applyFont="1" applyBorder="1">
      <alignment vertical="center"/>
    </xf>
    <xf numFmtId="0" fontId="33" fillId="0" borderId="23" xfId="5" applyFont="1" applyBorder="1" applyAlignment="1">
      <alignment horizontal="center" vertical="center" wrapText="1"/>
    </xf>
    <xf numFmtId="0" fontId="32" fillId="0" borderId="40" xfId="0" applyFont="1" applyBorder="1">
      <alignment vertical="center"/>
    </xf>
    <xf numFmtId="0" fontId="31" fillId="0" borderId="42" xfId="0" applyFont="1" applyBorder="1">
      <alignment vertical="center"/>
    </xf>
    <xf numFmtId="0" fontId="32" fillId="0" borderId="44" xfId="0" applyFont="1" applyBorder="1">
      <alignment vertical="center"/>
    </xf>
    <xf numFmtId="0" fontId="32" fillId="0" borderId="42" xfId="0" applyFont="1" applyBorder="1">
      <alignment vertical="center"/>
    </xf>
    <xf numFmtId="0" fontId="33" fillId="0" borderId="42" xfId="5" applyFont="1" applyBorder="1" applyAlignment="1">
      <alignment horizontal="right" vertical="center" wrapText="1"/>
    </xf>
    <xf numFmtId="0" fontId="31" fillId="0" borderId="35" xfId="0" applyFont="1" applyBorder="1" applyAlignment="1">
      <alignment horizontal="left" vertical="center"/>
    </xf>
    <xf numFmtId="0" fontId="31" fillId="0" borderId="35" xfId="0" applyFont="1" applyBorder="1" applyAlignment="1">
      <alignment horizontal="left" vertical="center" wrapText="1"/>
    </xf>
    <xf numFmtId="0" fontId="33" fillId="0" borderId="43" xfId="5" applyFont="1" applyBorder="1">
      <alignment vertical="center"/>
    </xf>
    <xf numFmtId="0" fontId="31" fillId="0" borderId="44" xfId="0" applyFont="1" applyBorder="1">
      <alignment vertical="center"/>
    </xf>
    <xf numFmtId="0" fontId="33" fillId="0" borderId="36" xfId="5" applyFont="1" applyBorder="1" applyAlignment="1">
      <alignment horizontal="center" vertical="center"/>
    </xf>
    <xf numFmtId="180" fontId="38" fillId="0" borderId="43" xfId="5" applyNumberFormat="1" applyFont="1" applyBorder="1" applyAlignment="1">
      <alignment horizontal="center" vertical="center"/>
    </xf>
    <xf numFmtId="0" fontId="44" fillId="0" borderId="43" xfId="0" applyFont="1" applyBorder="1">
      <alignment vertical="center"/>
    </xf>
    <xf numFmtId="0" fontId="33" fillId="0" borderId="45" xfId="5" applyFont="1" applyBorder="1" applyAlignment="1">
      <alignment horizontal="right" vertical="center"/>
    </xf>
    <xf numFmtId="179" fontId="31" fillId="0" borderId="43" xfId="0" applyNumberFormat="1" applyFont="1" applyBorder="1" applyAlignment="1">
      <alignment horizontal="left" vertical="center"/>
    </xf>
    <xf numFmtId="0" fontId="32" fillId="0" borderId="45" xfId="0" applyFont="1" applyBorder="1" applyAlignment="1">
      <alignment horizontal="right" vertical="center"/>
    </xf>
    <xf numFmtId="0" fontId="31" fillId="0" borderId="47" xfId="0" applyFont="1" applyBorder="1">
      <alignment vertical="center"/>
    </xf>
    <xf numFmtId="0" fontId="33" fillId="0" borderId="41" xfId="5" applyFont="1" applyBorder="1" applyAlignment="1">
      <alignment horizontal="center" vertical="center" wrapText="1"/>
    </xf>
    <xf numFmtId="178" fontId="33" fillId="0" borderId="43" xfId="5" applyNumberFormat="1" applyFont="1" applyBorder="1" applyAlignment="1">
      <alignment horizontal="center" vertical="center" wrapText="1"/>
    </xf>
    <xf numFmtId="0" fontId="33" fillId="0" borderId="43" xfId="5" applyFont="1" applyBorder="1" applyAlignment="1">
      <alignment horizontal="center" vertical="center" wrapText="1"/>
    </xf>
    <xf numFmtId="182" fontId="33" fillId="0" borderId="43" xfId="5" applyNumberFormat="1" applyFont="1" applyBorder="1" applyAlignment="1">
      <alignment horizontal="center" vertical="center" wrapText="1"/>
    </xf>
    <xf numFmtId="0" fontId="33" fillId="0" borderId="43" xfId="5" applyFont="1" applyBorder="1" applyAlignment="1">
      <alignment horizontal="center" vertical="center"/>
    </xf>
    <xf numFmtId="0" fontId="31" fillId="0" borderId="35" xfId="0" applyFont="1" applyBorder="1" applyAlignment="1">
      <alignment horizontal="center" vertical="center"/>
    </xf>
    <xf numFmtId="179" fontId="44" fillId="0" borderId="43" xfId="0" applyNumberFormat="1" applyFont="1" applyBorder="1" applyAlignment="1">
      <alignment horizontal="center" vertical="center"/>
    </xf>
    <xf numFmtId="0" fontId="33" fillId="0" borderId="46" xfId="5" applyFont="1" applyBorder="1" applyAlignment="1">
      <alignment horizontal="center" vertical="center"/>
    </xf>
    <xf numFmtId="180" fontId="33" fillId="0" borderId="36" xfId="5" applyNumberFormat="1" applyFont="1" applyBorder="1" applyAlignment="1">
      <alignment horizontal="center" vertical="center"/>
    </xf>
    <xf numFmtId="179" fontId="31" fillId="0" borderId="43" xfId="0" applyNumberFormat="1" applyFont="1" applyBorder="1" applyAlignment="1">
      <alignment horizontal="center" vertical="center"/>
    </xf>
    <xf numFmtId="185" fontId="33" fillId="0" borderId="0" xfId="5" applyNumberFormat="1" applyFont="1">
      <alignment vertical="center"/>
    </xf>
    <xf numFmtId="177" fontId="33" fillId="0" borderId="20" xfId="5" applyNumberFormat="1" applyFont="1" applyBorder="1" applyAlignment="1">
      <alignment horizontal="center" vertical="center" wrapText="1"/>
    </xf>
    <xf numFmtId="179" fontId="33" fillId="0" borderId="20" xfId="5" applyNumberFormat="1" applyFont="1" applyBorder="1" applyAlignment="1">
      <alignment horizontal="center" vertical="center" wrapText="1"/>
    </xf>
    <xf numFmtId="179" fontId="33" fillId="0" borderId="36" xfId="5" applyNumberFormat="1" applyFont="1" applyBorder="1" applyAlignment="1">
      <alignment horizontal="center" vertical="center" wrapText="1"/>
    </xf>
    <xf numFmtId="180" fontId="33" fillId="0" borderId="43" xfId="5" applyNumberFormat="1" applyFont="1" applyBorder="1" applyAlignment="1">
      <alignment horizontal="center" vertical="center"/>
    </xf>
    <xf numFmtId="184" fontId="33" fillId="0" borderId="43" xfId="5" applyNumberFormat="1" applyFont="1" applyBorder="1" applyAlignment="1">
      <alignment horizontal="center" vertical="center"/>
    </xf>
    <xf numFmtId="0" fontId="33" fillId="0" borderId="51" xfId="5" applyFont="1" applyBorder="1" applyAlignment="1">
      <alignment horizontal="right" vertical="center"/>
    </xf>
    <xf numFmtId="0" fontId="33" fillId="0" borderId="52" xfId="5" applyFont="1" applyBorder="1" applyAlignment="1">
      <alignment horizontal="center" vertical="center"/>
    </xf>
    <xf numFmtId="184" fontId="33" fillId="0" borderId="52" xfId="5" applyNumberFormat="1" applyFont="1" applyBorder="1" applyAlignment="1">
      <alignment horizontal="center" vertical="center"/>
    </xf>
    <xf numFmtId="14" fontId="0" fillId="0" borderId="0" xfId="0" applyNumberFormat="1" applyAlignment="1">
      <alignment horizontal="center" vertical="center"/>
    </xf>
    <xf numFmtId="181" fontId="33" fillId="0" borderId="43" xfId="5" applyNumberFormat="1" applyFont="1" applyBorder="1" applyAlignment="1">
      <alignment horizontal="center" vertical="center" wrapText="1"/>
    </xf>
    <xf numFmtId="0" fontId="38" fillId="0" borderId="43" xfId="5" applyFont="1" applyBorder="1" applyAlignment="1">
      <alignment horizontal="center" vertical="center" wrapText="1"/>
    </xf>
    <xf numFmtId="179" fontId="38" fillId="0" borderId="43" xfId="5" applyNumberFormat="1" applyFont="1" applyBorder="1" applyAlignment="1">
      <alignment horizontal="center" vertical="center" wrapText="1"/>
    </xf>
    <xf numFmtId="0" fontId="32" fillId="0" borderId="43" xfId="0" applyFont="1" applyBorder="1">
      <alignment vertical="center"/>
    </xf>
    <xf numFmtId="0" fontId="33" fillId="0" borderId="35" xfId="5" applyFont="1" applyBorder="1" applyAlignment="1">
      <alignment horizontal="right" vertical="center" wrapText="1"/>
    </xf>
    <xf numFmtId="181" fontId="33" fillId="0" borderId="53" xfId="5" applyNumberFormat="1" applyFont="1" applyBorder="1" applyAlignment="1">
      <alignment horizontal="center" vertical="center" wrapText="1"/>
    </xf>
    <xf numFmtId="179" fontId="33" fillId="0" borderId="0" xfId="5" applyNumberFormat="1" applyFont="1" applyAlignment="1">
      <alignment horizontal="center" vertical="center" wrapText="1"/>
    </xf>
    <xf numFmtId="0" fontId="31" fillId="0" borderId="53" xfId="0" applyFont="1" applyBorder="1">
      <alignment vertical="center"/>
    </xf>
    <xf numFmtId="0" fontId="33" fillId="0" borderId="0" xfId="7" applyFont="1" applyAlignment="1">
      <alignmen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0" xfId="1" applyFont="1" applyAlignment="1">
      <alignment horizontal="center" vertical="center"/>
    </xf>
    <xf numFmtId="0" fontId="33" fillId="0" borderId="0" xfId="7" applyFont="1" applyAlignment="1">
      <alignment horizontal="center" vertical="center"/>
    </xf>
    <xf numFmtId="0" fontId="55" fillId="0" borderId="0" xfId="7" applyFont="1" applyAlignment="1">
      <alignment horizontal="left" vertical="center"/>
    </xf>
    <xf numFmtId="0" fontId="31" fillId="0" borderId="0" xfId="1" applyFont="1" applyAlignment="1">
      <alignment horizontal="center" vertical="center"/>
    </xf>
    <xf numFmtId="178" fontId="33" fillId="0" borderId="0" xfId="0" applyNumberFormat="1" applyFont="1" applyAlignment="1">
      <alignment horizontal="right" vertical="center"/>
    </xf>
    <xf numFmtId="178" fontId="33" fillId="3" borderId="0" xfId="0" applyNumberFormat="1" applyFont="1" applyFill="1" applyAlignment="1">
      <alignment horizontal="right" vertical="center"/>
    </xf>
    <xf numFmtId="0" fontId="38" fillId="0" borderId="0" xfId="7" applyFont="1" applyAlignment="1">
      <alignment horizontal="left" vertical="center"/>
    </xf>
    <xf numFmtId="178" fontId="33" fillId="3" borderId="26" xfId="0" applyNumberFormat="1" applyFont="1" applyFill="1" applyBorder="1" applyAlignment="1">
      <alignment horizontal="right" vertical="center"/>
    </xf>
    <xf numFmtId="178" fontId="33" fillId="3" borderId="27" xfId="0" applyNumberFormat="1" applyFont="1" applyFill="1" applyBorder="1" applyAlignment="1">
      <alignment horizontal="right" vertical="center"/>
    </xf>
    <xf numFmtId="178" fontId="33" fillId="3" borderId="28" xfId="0" applyNumberFormat="1" applyFont="1" applyFill="1" applyBorder="1" applyAlignment="1">
      <alignment horizontal="right" vertical="center"/>
    </xf>
    <xf numFmtId="178" fontId="38" fillId="0" borderId="0" xfId="0" applyNumberFormat="1" applyFont="1" applyAlignment="1">
      <alignment horizontal="right" vertical="center"/>
    </xf>
    <xf numFmtId="0" fontId="38" fillId="0" borderId="0" xfId="7" applyFont="1" applyAlignment="1">
      <alignment horizontal="center" vertical="center"/>
    </xf>
    <xf numFmtId="178" fontId="33" fillId="4" borderId="0" xfId="0" applyNumberFormat="1" applyFont="1" applyFill="1" applyAlignment="1">
      <alignment horizontal="right" vertical="center"/>
    </xf>
    <xf numFmtId="0" fontId="55" fillId="0" borderId="0" xfId="7" applyFont="1" applyAlignment="1">
      <alignment vertical="center"/>
    </xf>
    <xf numFmtId="0" fontId="56" fillId="0" borderId="0" xfId="7" applyFont="1" applyAlignment="1">
      <alignment vertical="center"/>
    </xf>
    <xf numFmtId="178" fontId="33" fillId="5" borderId="0" xfId="0" applyNumberFormat="1" applyFont="1" applyFill="1" applyAlignment="1">
      <alignment horizontal="right" vertical="center"/>
    </xf>
    <xf numFmtId="0" fontId="57" fillId="0" borderId="0" xfId="7" applyFont="1" applyAlignment="1">
      <alignment horizontal="left" vertical="center"/>
    </xf>
    <xf numFmtId="0" fontId="38" fillId="0" borderId="0" xfId="0" applyFont="1" applyAlignment="1">
      <alignment horizontal="center" vertical="center" wrapText="1"/>
    </xf>
    <xf numFmtId="178" fontId="49" fillId="0" borderId="0" xfId="0" applyNumberFormat="1" applyFont="1" applyAlignment="1">
      <alignment horizontal="right" vertical="center"/>
    </xf>
    <xf numFmtId="0" fontId="49" fillId="0" borderId="0" xfId="0" applyFont="1" applyAlignment="1">
      <alignment horizontal="center" vertical="center" wrapText="1"/>
    </xf>
    <xf numFmtId="0" fontId="58" fillId="0" borderId="0" xfId="0" applyFont="1" applyAlignment="1">
      <alignment horizontal="center" vertical="center" wrapText="1"/>
    </xf>
    <xf numFmtId="0" fontId="33" fillId="0" borderId="0" xfId="0" applyFont="1" applyAlignment="1">
      <alignment horizontal="right" vertical="center"/>
    </xf>
    <xf numFmtId="0" fontId="49" fillId="0" borderId="0" xfId="0" applyFont="1" applyAlignment="1">
      <alignment horizontal="center" vertical="center"/>
    </xf>
    <xf numFmtId="12" fontId="38" fillId="0" borderId="43" xfId="5" applyNumberFormat="1" applyFont="1" applyBorder="1" applyAlignment="1">
      <alignment horizontal="center" vertical="center"/>
    </xf>
    <xf numFmtId="184" fontId="31" fillId="0" borderId="0" xfId="0" applyNumberFormat="1" applyFont="1">
      <alignment vertical="center"/>
    </xf>
    <xf numFmtId="0" fontId="31" fillId="0" borderId="36" xfId="0" applyFont="1" applyBorder="1" applyAlignment="1">
      <alignment horizontal="center" vertical="center"/>
    </xf>
    <xf numFmtId="0" fontId="31" fillId="0" borderId="54" xfId="0" applyFont="1" applyBorder="1" applyAlignment="1">
      <alignment horizontal="center" vertical="center"/>
    </xf>
    <xf numFmtId="180" fontId="33" fillId="0" borderId="54" xfId="5" applyNumberFormat="1" applyFont="1" applyBorder="1" applyAlignment="1">
      <alignment horizontal="center" vertical="center"/>
    </xf>
    <xf numFmtId="0" fontId="31" fillId="0" borderId="52" xfId="0" applyFont="1" applyBorder="1" applyAlignment="1">
      <alignment horizontal="center" vertical="center"/>
    </xf>
    <xf numFmtId="180" fontId="38" fillId="0" borderId="52" xfId="5" applyNumberFormat="1" applyFont="1" applyBorder="1" applyAlignment="1">
      <alignment horizontal="center" vertical="center"/>
    </xf>
    <xf numFmtId="0" fontId="33" fillId="0" borderId="55" xfId="5" applyFont="1" applyBorder="1" applyAlignment="1">
      <alignment horizontal="right" vertical="center"/>
    </xf>
    <xf numFmtId="0" fontId="31" fillId="0" borderId="55" xfId="0" applyFont="1" applyBorder="1">
      <alignment vertical="center"/>
    </xf>
    <xf numFmtId="0" fontId="32" fillId="0" borderId="55" xfId="0" applyFont="1" applyBorder="1" applyAlignment="1">
      <alignment horizontal="right" vertical="center"/>
    </xf>
    <xf numFmtId="178" fontId="58" fillId="0" borderId="0" xfId="0" applyNumberFormat="1" applyFont="1" applyAlignment="1">
      <alignment horizontal="right" vertical="center"/>
    </xf>
    <xf numFmtId="0" fontId="56" fillId="0" borderId="0" xfId="7" applyFont="1" applyAlignment="1">
      <alignment horizontal="left" vertical="center"/>
    </xf>
    <xf numFmtId="0" fontId="60" fillId="0" borderId="0" xfId="7" applyFont="1" applyAlignment="1">
      <alignment horizontal="left" vertical="center"/>
    </xf>
    <xf numFmtId="0" fontId="58" fillId="0" borderId="0" xfId="1" applyFont="1" applyAlignment="1">
      <alignment horizontal="center" vertical="center"/>
    </xf>
    <xf numFmtId="0" fontId="58" fillId="0" borderId="0" xfId="7" applyFont="1" applyAlignment="1">
      <alignment horizontal="center" vertical="center"/>
    </xf>
    <xf numFmtId="0" fontId="58" fillId="0" borderId="0" xfId="0" applyFont="1" applyAlignment="1">
      <alignment horizontal="center" vertical="center"/>
    </xf>
    <xf numFmtId="178" fontId="58" fillId="3" borderId="0" xfId="0" applyNumberFormat="1" applyFont="1" applyFill="1" applyAlignment="1">
      <alignment horizontal="right" vertical="center"/>
    </xf>
    <xf numFmtId="0" fontId="49" fillId="0" borderId="0" xfId="7" applyFont="1" applyAlignment="1">
      <alignment horizontal="left" vertical="center"/>
    </xf>
    <xf numFmtId="0" fontId="58" fillId="0" borderId="0" xfId="7" applyFont="1" applyAlignment="1">
      <alignment vertical="center"/>
    </xf>
    <xf numFmtId="0" fontId="60" fillId="0" borderId="0" xfId="7" applyFont="1" applyAlignment="1">
      <alignment vertical="center"/>
    </xf>
    <xf numFmtId="178" fontId="58" fillId="5" borderId="0" xfId="0" applyNumberFormat="1" applyFont="1" applyFill="1" applyAlignment="1">
      <alignment horizontal="right" vertical="center"/>
    </xf>
    <xf numFmtId="0" fontId="33" fillId="3" borderId="36" xfId="5" applyFont="1" applyFill="1" applyBorder="1" applyAlignment="1">
      <alignment horizontal="center" vertical="center" wrapText="1"/>
    </xf>
    <xf numFmtId="179" fontId="44" fillId="0" borderId="30" xfId="0" applyNumberFormat="1" applyFont="1" applyBorder="1" applyAlignment="1">
      <alignment horizontal="center" vertical="center"/>
    </xf>
    <xf numFmtId="0" fontId="61" fillId="12" borderId="20" xfId="0" applyFont="1" applyFill="1" applyBorder="1" applyAlignment="1" applyProtection="1">
      <alignment horizontal="center" vertical="center"/>
      <protection locked="0"/>
    </xf>
    <xf numFmtId="0" fontId="31" fillId="0" borderId="0" xfId="0" applyFont="1" applyAlignment="1">
      <alignment horizontal="left" vertical="center"/>
    </xf>
    <xf numFmtId="0" fontId="61" fillId="12" borderId="33" xfId="0" applyFont="1" applyFill="1" applyBorder="1" applyAlignment="1" applyProtection="1">
      <alignment horizontal="center" vertical="center"/>
      <protection locked="0"/>
    </xf>
    <xf numFmtId="0" fontId="61" fillId="12" borderId="32" xfId="0" applyFont="1" applyFill="1" applyBorder="1" applyAlignment="1" applyProtection="1">
      <alignment horizontal="center" vertical="center"/>
      <protection locked="0"/>
    </xf>
    <xf numFmtId="0" fontId="61" fillId="12" borderId="35" xfId="0" applyFont="1" applyFill="1" applyBorder="1" applyAlignment="1" applyProtection="1">
      <alignment horizontal="center" vertical="center"/>
      <protection locked="0"/>
    </xf>
    <xf numFmtId="0" fontId="33" fillId="0" borderId="0" xfId="0" applyFont="1" applyAlignment="1">
      <alignment horizontal="left" vertical="center"/>
    </xf>
    <xf numFmtId="0" fontId="0" fillId="0" borderId="0" xfId="0" applyAlignment="1">
      <alignment horizontal="left" vertical="center"/>
    </xf>
    <xf numFmtId="0" fontId="37" fillId="0" borderId="35" xfId="5" applyFont="1" applyBorder="1" applyAlignment="1">
      <alignment horizontal="center" vertical="center" wrapText="1"/>
    </xf>
    <xf numFmtId="0" fontId="37" fillId="12" borderId="35" xfId="5" applyFont="1" applyFill="1" applyBorder="1" applyAlignment="1">
      <alignment horizontal="center" vertical="center" wrapText="1"/>
    </xf>
    <xf numFmtId="0" fontId="37" fillId="12" borderId="20" xfId="5" applyFont="1" applyFill="1" applyBorder="1" applyAlignment="1">
      <alignment horizontal="center" vertical="center" wrapText="1"/>
    </xf>
    <xf numFmtId="187" fontId="62" fillId="12" borderId="20" xfId="0" applyNumberFormat="1" applyFont="1" applyFill="1" applyBorder="1" applyAlignment="1">
      <alignment horizontal="center" vertical="center"/>
    </xf>
    <xf numFmtId="0" fontId="63" fillId="12" borderId="23" xfId="5" applyFont="1" applyFill="1" applyBorder="1" applyAlignment="1">
      <alignment horizontal="center" vertical="center"/>
    </xf>
    <xf numFmtId="178" fontId="63" fillId="12" borderId="23" xfId="5" applyNumberFormat="1" applyFont="1" applyFill="1" applyBorder="1" applyAlignment="1">
      <alignment horizontal="center" vertical="center"/>
    </xf>
    <xf numFmtId="0" fontId="37" fillId="0" borderId="20" xfId="5" applyFont="1" applyBorder="1" applyAlignment="1">
      <alignment horizontal="center" vertical="center"/>
    </xf>
    <xf numFmtId="0" fontId="37" fillId="0" borderId="20" xfId="5" applyFont="1" applyBorder="1" applyAlignment="1">
      <alignment horizontal="center" vertical="center" wrapText="1"/>
    </xf>
    <xf numFmtId="0" fontId="31" fillId="0" borderId="1" xfId="0" applyFont="1" applyBorder="1" applyAlignment="1">
      <alignment horizontal="center" vertical="center"/>
    </xf>
    <xf numFmtId="2" fontId="33" fillId="3" borderId="33" xfId="5" applyNumberFormat="1" applyFont="1" applyFill="1" applyBorder="1" applyAlignment="1">
      <alignment horizontal="center" vertical="center" wrapText="1"/>
    </xf>
    <xf numFmtId="0" fontId="31" fillId="0" borderId="45" xfId="0" applyFont="1" applyBorder="1">
      <alignment vertical="center"/>
    </xf>
    <xf numFmtId="1" fontId="31" fillId="0" borderId="45" xfId="0" applyNumberFormat="1" applyFont="1" applyBorder="1">
      <alignment vertical="center"/>
    </xf>
    <xf numFmtId="0" fontId="31" fillId="0" borderId="49" xfId="0" applyFont="1" applyBorder="1">
      <alignment vertical="center"/>
    </xf>
    <xf numFmtId="179" fontId="33" fillId="0" borderId="56" xfId="0" applyNumberFormat="1" applyFont="1" applyBorder="1" applyAlignment="1">
      <alignment horizontal="center" vertical="center"/>
    </xf>
    <xf numFmtId="0" fontId="31" fillId="0" borderId="46" xfId="0" applyFont="1" applyBorder="1">
      <alignment vertical="center"/>
    </xf>
    <xf numFmtId="0" fontId="31" fillId="0" borderId="57" xfId="0" applyFont="1" applyBorder="1" applyAlignment="1">
      <alignment horizontal="righ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14" fontId="0" fillId="0" borderId="61" xfId="0" applyNumberForma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7" fillId="0" borderId="33" xfId="5" applyFont="1" applyBorder="1" applyAlignment="1">
      <alignment horizontal="center" vertical="center" wrapText="1"/>
    </xf>
    <xf numFmtId="0" fontId="37" fillId="0" borderId="34" xfId="5" applyFont="1" applyBorder="1" applyAlignment="1">
      <alignment horizontal="center" vertical="center" wrapText="1"/>
    </xf>
    <xf numFmtId="0" fontId="63" fillId="0" borderId="20" xfId="5" applyFont="1" applyBorder="1" applyAlignment="1">
      <alignment horizontal="center" vertical="center" wrapText="1"/>
    </xf>
    <xf numFmtId="0" fontId="63" fillId="0" borderId="36" xfId="5" applyFont="1" applyBorder="1" applyAlignment="1">
      <alignment horizontal="center" vertical="center" wrapText="1"/>
    </xf>
    <xf numFmtId="0" fontId="37" fillId="0" borderId="36" xfId="5" applyFont="1" applyBorder="1" applyAlignment="1">
      <alignment horizontal="center" vertical="center" wrapText="1"/>
    </xf>
    <xf numFmtId="0" fontId="33" fillId="0" borderId="46" xfId="0" applyFont="1" applyBorder="1" applyAlignment="1">
      <alignment horizontal="center" vertical="center"/>
    </xf>
    <xf numFmtId="2" fontId="31" fillId="0" borderId="46" xfId="0" applyNumberFormat="1" applyFont="1" applyBorder="1">
      <alignment vertical="center"/>
    </xf>
    <xf numFmtId="0" fontId="33" fillId="0" borderId="0" xfId="5" applyFont="1">
      <alignment vertical="center"/>
    </xf>
    <xf numFmtId="179" fontId="31" fillId="0" borderId="0" xfId="0" applyNumberFormat="1" applyFont="1" applyAlignment="1">
      <alignment horizontal="left" vertical="center"/>
    </xf>
    <xf numFmtId="0" fontId="31" fillId="0" borderId="43" xfId="0" applyFont="1" applyBorder="1">
      <alignment vertical="center"/>
    </xf>
    <xf numFmtId="0" fontId="54" fillId="0" borderId="47" xfId="0" applyFont="1" applyBorder="1" applyAlignment="1">
      <alignment horizontal="right"/>
    </xf>
    <xf numFmtId="0" fontId="31" fillId="0" borderId="20" xfId="0" applyFont="1" applyBorder="1" applyAlignment="1">
      <alignment horizontal="center" vertical="center"/>
    </xf>
    <xf numFmtId="180" fontId="37" fillId="0" borderId="36" xfId="5" applyNumberFormat="1" applyFont="1" applyBorder="1" applyAlignment="1">
      <alignment horizontal="center" vertical="center"/>
    </xf>
    <xf numFmtId="0" fontId="31" fillId="0" borderId="43" xfId="0" applyFont="1" applyBorder="1" applyAlignment="1">
      <alignment horizontal="center" vertical="center"/>
    </xf>
    <xf numFmtId="0" fontId="31" fillId="0" borderId="3" xfId="0" applyFont="1" applyBorder="1">
      <alignment vertical="center"/>
    </xf>
    <xf numFmtId="0" fontId="31" fillId="0" borderId="50" xfId="0" applyFont="1" applyBorder="1" applyAlignment="1">
      <alignment horizontal="left" vertical="center"/>
    </xf>
    <xf numFmtId="0" fontId="31" fillId="0" borderId="31" xfId="0" applyFont="1" applyBorder="1">
      <alignment vertical="center"/>
    </xf>
    <xf numFmtId="180" fontId="63" fillId="12" borderId="20" xfId="5" applyNumberFormat="1" applyFont="1" applyFill="1" applyBorder="1" applyAlignment="1">
      <alignment horizontal="center" vertical="center"/>
    </xf>
    <xf numFmtId="0" fontId="31" fillId="0" borderId="51" xfId="0" applyFont="1" applyBorder="1" applyAlignment="1">
      <alignment horizontal="right" vertical="center"/>
    </xf>
    <xf numFmtId="181" fontId="37" fillId="13" borderId="20" xfId="5" applyNumberFormat="1" applyFont="1" applyFill="1" applyBorder="1" applyAlignment="1">
      <alignment horizontal="center" vertical="center" wrapText="1"/>
    </xf>
    <xf numFmtId="181" fontId="37" fillId="13" borderId="36" xfId="5" applyNumberFormat="1" applyFont="1" applyFill="1" applyBorder="1" applyAlignment="1">
      <alignment horizontal="center" vertical="center" wrapText="1"/>
    </xf>
    <xf numFmtId="186" fontId="37" fillId="13" borderId="20" xfId="5" applyNumberFormat="1" applyFont="1" applyFill="1" applyBorder="1" applyAlignment="1">
      <alignment horizontal="center" vertical="center" wrapText="1"/>
    </xf>
    <xf numFmtId="186" fontId="37" fillId="13" borderId="36" xfId="5" applyNumberFormat="1" applyFont="1" applyFill="1" applyBorder="1" applyAlignment="1">
      <alignment horizontal="center" vertical="center" wrapText="1"/>
    </xf>
    <xf numFmtId="186" fontId="63" fillId="13" borderId="20" xfId="5" applyNumberFormat="1" applyFont="1" applyFill="1" applyBorder="1" applyAlignment="1">
      <alignment horizontal="center" vertical="center" wrapText="1"/>
    </xf>
    <xf numFmtId="181" fontId="33" fillId="13" borderId="20" xfId="5" applyNumberFormat="1" applyFont="1" applyFill="1" applyBorder="1" applyAlignment="1">
      <alignment horizontal="center" vertical="center" wrapText="1"/>
    </xf>
    <xf numFmtId="0" fontId="41" fillId="0" borderId="36" xfId="0" applyFont="1" applyBorder="1" applyAlignment="1">
      <alignment horizontal="center" vertical="center"/>
    </xf>
    <xf numFmtId="180" fontId="63" fillId="12" borderId="36" xfId="5" applyNumberFormat="1" applyFont="1" applyFill="1" applyBorder="1" applyAlignment="1">
      <alignment horizontal="center" vertical="center"/>
    </xf>
    <xf numFmtId="186" fontId="37" fillId="13" borderId="52" xfId="5" applyNumberFormat="1" applyFont="1" applyFill="1" applyBorder="1" applyAlignment="1">
      <alignment horizontal="center" vertical="center" wrapText="1"/>
    </xf>
    <xf numFmtId="180" fontId="37" fillId="0" borderId="32" xfId="5" applyNumberFormat="1" applyFont="1" applyBorder="1" applyAlignment="1">
      <alignment horizontal="center" vertical="center"/>
    </xf>
    <xf numFmtId="180" fontId="37" fillId="0" borderId="35" xfId="5" applyNumberFormat="1" applyFont="1" applyBorder="1" applyAlignment="1">
      <alignment horizontal="center" vertical="center"/>
    </xf>
    <xf numFmtId="0" fontId="37" fillId="0" borderId="37" xfId="5" applyFont="1" applyBorder="1" applyAlignment="1">
      <alignment horizontal="center" vertical="center"/>
    </xf>
    <xf numFmtId="186" fontId="37" fillId="13" borderId="39" xfId="5" applyNumberFormat="1" applyFont="1" applyFill="1" applyBorder="1" applyAlignment="1">
      <alignment horizontal="center" vertical="center" wrapText="1"/>
    </xf>
    <xf numFmtId="180" fontId="63" fillId="12" borderId="34" xfId="5" applyNumberFormat="1" applyFont="1" applyFill="1" applyBorder="1" applyAlignment="1">
      <alignment horizontal="center" vertical="center"/>
    </xf>
    <xf numFmtId="0" fontId="33" fillId="0" borderId="34" xfId="5" applyFont="1" applyBorder="1" applyAlignment="1">
      <alignment horizontal="center" vertical="center"/>
    </xf>
    <xf numFmtId="12" fontId="37" fillId="13" borderId="37" xfId="5" applyNumberFormat="1" applyFont="1" applyFill="1" applyBorder="1" applyAlignment="1">
      <alignment horizontal="center" vertical="center" wrapText="1"/>
    </xf>
    <xf numFmtId="179" fontId="44" fillId="0" borderId="25" xfId="0" applyNumberFormat="1" applyFont="1" applyBorder="1" applyAlignment="1">
      <alignment horizontal="center" vertical="center"/>
    </xf>
    <xf numFmtId="0" fontId="31" fillId="0" borderId="24" xfId="0" applyFont="1" applyBorder="1">
      <alignment vertical="center"/>
    </xf>
    <xf numFmtId="179" fontId="31" fillId="0" borderId="24" xfId="0" applyNumberFormat="1" applyFont="1" applyBorder="1" applyAlignment="1">
      <alignment horizontal="center" vertical="center"/>
    </xf>
    <xf numFmtId="0" fontId="31" fillId="0" borderId="24" xfId="0" applyFont="1" applyBorder="1" applyAlignment="1">
      <alignment horizontal="center" vertical="center"/>
    </xf>
    <xf numFmtId="0" fontId="41" fillId="0" borderId="24" xfId="0" applyFont="1" applyBorder="1">
      <alignment vertical="center"/>
    </xf>
    <xf numFmtId="186" fontId="38" fillId="13" borderId="20" xfId="5" applyNumberFormat="1" applyFont="1" applyFill="1" applyBorder="1" applyAlignment="1">
      <alignment horizontal="center" vertical="center" wrapText="1"/>
    </xf>
    <xf numFmtId="186" fontId="33" fillId="13" borderId="20" xfId="5" applyNumberFormat="1" applyFont="1" applyFill="1" applyBorder="1" applyAlignment="1">
      <alignment horizontal="center" vertical="center" wrapText="1"/>
    </xf>
    <xf numFmtId="178" fontId="33" fillId="12" borderId="23" xfId="5" applyNumberFormat="1" applyFont="1" applyFill="1" applyBorder="1" applyAlignment="1">
      <alignment horizontal="center" vertical="center"/>
    </xf>
    <xf numFmtId="179" fontId="44" fillId="0" borderId="0" xfId="0" applyNumberFormat="1" applyFont="1" applyAlignment="1">
      <alignment horizontal="center" vertical="center"/>
    </xf>
    <xf numFmtId="178" fontId="33" fillId="12" borderId="20" xfId="5" applyNumberFormat="1" applyFont="1" applyFill="1" applyBorder="1" applyAlignment="1">
      <alignment horizontal="center" vertical="center"/>
    </xf>
    <xf numFmtId="186" fontId="33" fillId="13" borderId="23" xfId="5" applyNumberFormat="1" applyFont="1" applyFill="1" applyBorder="1" applyAlignment="1">
      <alignment horizontal="center" vertical="center" wrapText="1"/>
    </xf>
    <xf numFmtId="178" fontId="38" fillId="12" borderId="20" xfId="5" applyNumberFormat="1" applyFont="1" applyFill="1" applyBorder="1" applyAlignment="1">
      <alignment horizontal="center" vertical="center"/>
    </xf>
    <xf numFmtId="180" fontId="38" fillId="12" borderId="23" xfId="5" applyNumberFormat="1" applyFont="1" applyFill="1" applyBorder="1" applyAlignment="1">
      <alignment horizontal="center" vertical="center"/>
    </xf>
    <xf numFmtId="0" fontId="41" fillId="0" borderId="24" xfId="0" applyFont="1" applyBorder="1" applyAlignment="1">
      <alignment horizontal="center" vertical="center" wrapText="1"/>
    </xf>
    <xf numFmtId="180" fontId="0" fillId="0" borderId="0" xfId="0" applyNumberFormat="1">
      <alignment vertical="center"/>
    </xf>
    <xf numFmtId="185" fontId="49" fillId="0" borderId="0" xfId="6" applyNumberFormat="1" applyFont="1" applyBorder="1">
      <alignment vertical="center"/>
    </xf>
    <xf numFmtId="185" fontId="49" fillId="0" borderId="0" xfId="5" applyNumberFormat="1" applyFont="1">
      <alignment vertical="center"/>
    </xf>
    <xf numFmtId="0" fontId="49" fillId="0" borderId="0" xfId="5" applyFont="1">
      <alignment vertical="center"/>
    </xf>
    <xf numFmtId="0" fontId="53" fillId="0" borderId="0" xfId="5" applyFont="1" applyAlignment="1">
      <alignment horizontal="right"/>
    </xf>
    <xf numFmtId="0" fontId="54" fillId="0" borderId="0" xfId="0" applyFont="1" applyAlignment="1">
      <alignment horizontal="right"/>
    </xf>
    <xf numFmtId="0" fontId="69" fillId="0" borderId="0" xfId="0" applyFont="1">
      <alignment vertical="center"/>
    </xf>
    <xf numFmtId="0" fontId="70" fillId="0" borderId="0" xfId="0" applyFont="1">
      <alignment vertical="center"/>
    </xf>
    <xf numFmtId="177" fontId="33" fillId="0" borderId="0" xfId="5" applyNumberFormat="1" applyFont="1" applyAlignment="1">
      <alignment horizontal="center" vertical="center"/>
    </xf>
    <xf numFmtId="186" fontId="63" fillId="13" borderId="39" xfId="5" applyNumberFormat="1" applyFont="1" applyFill="1" applyBorder="1" applyAlignment="1">
      <alignment horizontal="center" vertical="center" wrapText="1"/>
    </xf>
    <xf numFmtId="0" fontId="33" fillId="3" borderId="0" xfId="5" applyFont="1" applyFill="1" applyAlignment="1">
      <alignment horizontal="center" vertical="center" wrapText="1"/>
    </xf>
    <xf numFmtId="182" fontId="33" fillId="0" borderId="0" xfId="5" applyNumberFormat="1" applyFont="1" applyAlignment="1">
      <alignment horizontal="center" vertical="center" wrapText="1"/>
    </xf>
    <xf numFmtId="0" fontId="41" fillId="0" borderId="0" xfId="0" applyFont="1" applyAlignment="1">
      <alignment horizontal="center" vertical="center"/>
    </xf>
    <xf numFmtId="180" fontId="63" fillId="12" borderId="0" xfId="5" applyNumberFormat="1" applyFont="1" applyFill="1" applyAlignment="1">
      <alignment horizontal="center" vertical="center"/>
    </xf>
    <xf numFmtId="0" fontId="33" fillId="0" borderId="1" xfId="5" applyFont="1" applyBorder="1" applyAlignment="1">
      <alignment horizontal="center" vertical="center"/>
    </xf>
    <xf numFmtId="184" fontId="33" fillId="0" borderId="0" xfId="5" applyNumberFormat="1" applyFont="1" applyAlignment="1">
      <alignment horizontal="center" vertical="center"/>
    </xf>
    <xf numFmtId="12" fontId="38" fillId="0" borderId="0" xfId="5" applyNumberFormat="1" applyFont="1" applyAlignment="1">
      <alignment horizontal="center" vertical="center"/>
    </xf>
    <xf numFmtId="0" fontId="33" fillId="0" borderId="43" xfId="5" applyFont="1" applyBorder="1" applyAlignment="1">
      <alignment horizontal="right" vertical="center"/>
    </xf>
    <xf numFmtId="0" fontId="32" fillId="0" borderId="43" xfId="0" applyFont="1" applyBorder="1" applyAlignment="1">
      <alignment horizontal="right" vertical="center"/>
    </xf>
    <xf numFmtId="181" fontId="33" fillId="0" borderId="0" xfId="5" applyNumberFormat="1" applyFont="1" applyAlignment="1">
      <alignment horizontal="center" vertical="center" wrapText="1"/>
    </xf>
    <xf numFmtId="188" fontId="37" fillId="13" borderId="20" xfId="5" applyNumberFormat="1" applyFont="1" applyFill="1" applyBorder="1" applyAlignment="1">
      <alignment horizontal="center" vertical="center" wrapText="1"/>
    </xf>
    <xf numFmtId="0" fontId="37" fillId="14" borderId="20" xfId="5" applyFont="1" applyFill="1" applyBorder="1" applyAlignment="1">
      <alignment horizontal="center" vertical="center" wrapText="1"/>
    </xf>
    <xf numFmtId="181" fontId="37" fillId="14" borderId="20" xfId="5" applyNumberFormat="1" applyFont="1" applyFill="1" applyBorder="1" applyAlignment="1">
      <alignment horizontal="center" vertical="center" wrapText="1"/>
    </xf>
    <xf numFmtId="177" fontId="37" fillId="14" borderId="20" xfId="5" applyNumberFormat="1" applyFont="1" applyFill="1" applyBorder="1" applyAlignment="1">
      <alignment horizontal="center" vertical="center" wrapText="1"/>
    </xf>
    <xf numFmtId="0" fontId="37" fillId="13" borderId="36" xfId="5" applyFont="1" applyFill="1" applyBorder="1" applyAlignment="1">
      <alignment horizontal="center" vertical="center" wrapText="1"/>
    </xf>
    <xf numFmtId="0" fontId="37" fillId="14" borderId="33" xfId="5" applyFont="1" applyFill="1" applyBorder="1" applyAlignment="1">
      <alignment horizontal="center" vertical="center" wrapText="1"/>
    </xf>
    <xf numFmtId="180" fontId="38" fillId="14" borderId="2" xfId="5" applyNumberFormat="1" applyFont="1" applyFill="1" applyBorder="1">
      <alignment vertical="center"/>
    </xf>
    <xf numFmtId="180" fontId="38" fillId="12" borderId="2" xfId="5" applyNumberFormat="1" applyFont="1" applyFill="1" applyBorder="1">
      <alignment vertical="center"/>
    </xf>
    <xf numFmtId="180" fontId="47" fillId="12" borderId="2" xfId="5" applyNumberFormat="1" applyFont="1" applyFill="1" applyBorder="1">
      <alignment vertical="center"/>
    </xf>
    <xf numFmtId="180" fontId="48" fillId="12" borderId="2" xfId="5" applyNumberFormat="1" applyFont="1" applyFill="1" applyBorder="1">
      <alignment vertical="center"/>
    </xf>
    <xf numFmtId="180" fontId="49" fillId="12" borderId="2" xfId="5" applyNumberFormat="1" applyFont="1" applyFill="1" applyBorder="1">
      <alignment vertical="center"/>
    </xf>
    <xf numFmtId="186" fontId="37" fillId="14" borderId="36" xfId="5" applyNumberFormat="1" applyFont="1" applyFill="1" applyBorder="1" applyAlignment="1">
      <alignment horizontal="center" vertical="center" wrapText="1"/>
    </xf>
    <xf numFmtId="186" fontId="63" fillId="14" borderId="20" xfId="5" applyNumberFormat="1" applyFont="1" applyFill="1" applyBorder="1" applyAlignment="1">
      <alignment horizontal="center" vertical="center" wrapText="1"/>
    </xf>
    <xf numFmtId="186" fontId="37" fillId="14" borderId="20" xfId="5" applyNumberFormat="1" applyFont="1" applyFill="1" applyBorder="1" applyAlignment="1">
      <alignment horizontal="center" vertical="center" wrapText="1"/>
    </xf>
    <xf numFmtId="181" fontId="37" fillId="14" borderId="36" xfId="5" applyNumberFormat="1" applyFont="1" applyFill="1" applyBorder="1" applyAlignment="1">
      <alignment horizontal="center" vertical="center" wrapText="1"/>
    </xf>
    <xf numFmtId="0" fontId="37" fillId="14" borderId="36" xfId="5" applyFont="1" applyFill="1" applyBorder="1" applyAlignment="1">
      <alignment horizontal="center" vertical="center" wrapText="1"/>
    </xf>
    <xf numFmtId="0" fontId="63" fillId="12" borderId="36" xfId="5" applyFont="1" applyFill="1" applyBorder="1" applyAlignment="1">
      <alignment horizontal="center" vertical="center"/>
    </xf>
    <xf numFmtId="0" fontId="48" fillId="0" borderId="2" xfId="5" applyFont="1" applyBorder="1">
      <alignment vertical="center"/>
    </xf>
    <xf numFmtId="0" fontId="49" fillId="0" borderId="2" xfId="5" applyFont="1" applyBorder="1">
      <alignment vertical="center"/>
    </xf>
    <xf numFmtId="0" fontId="47" fillId="0" borderId="2" xfId="5" applyFont="1" applyBorder="1">
      <alignment vertical="center"/>
    </xf>
    <xf numFmtId="0" fontId="53" fillId="0" borderId="32" xfId="5" applyFont="1" applyBorder="1" applyAlignment="1">
      <alignment horizontal="right"/>
    </xf>
    <xf numFmtId="0" fontId="54" fillId="0" borderId="33" xfId="0" applyFont="1" applyBorder="1" applyAlignment="1">
      <alignment horizontal="right"/>
    </xf>
    <xf numFmtId="0" fontId="54" fillId="0" borderId="34" xfId="0" applyFont="1" applyBorder="1" applyAlignment="1">
      <alignment horizontal="right"/>
    </xf>
    <xf numFmtId="180" fontId="37" fillId="0" borderId="20" xfId="5" applyNumberFormat="1" applyFont="1" applyBorder="1" applyAlignment="1">
      <alignment horizontal="center" vertical="center"/>
    </xf>
    <xf numFmtId="0" fontId="54" fillId="0" borderId="20" xfId="0" applyFont="1" applyBorder="1" applyAlignment="1">
      <alignment horizontal="right"/>
    </xf>
    <xf numFmtId="0" fontId="54" fillId="0" borderId="36" xfId="0" applyFont="1" applyBorder="1" applyAlignment="1">
      <alignment horizontal="right"/>
    </xf>
    <xf numFmtId="0" fontId="53" fillId="0" borderId="35" xfId="5" applyFont="1" applyBorder="1" applyAlignment="1">
      <alignment horizontal="right"/>
    </xf>
    <xf numFmtId="0" fontId="63" fillId="12" borderId="20" xfId="5" applyFont="1" applyFill="1" applyBorder="1" applyAlignment="1">
      <alignment horizontal="center" vertical="center"/>
    </xf>
    <xf numFmtId="0" fontId="33" fillId="0" borderId="35" xfId="5" applyFont="1" applyBorder="1">
      <alignment vertical="center"/>
    </xf>
    <xf numFmtId="0" fontId="33" fillId="0" borderId="20" xfId="5" applyFont="1" applyBorder="1">
      <alignment vertical="center"/>
    </xf>
    <xf numFmtId="12" fontId="37" fillId="14" borderId="35" xfId="5" applyNumberFormat="1" applyFont="1" applyFill="1" applyBorder="1" applyAlignment="1">
      <alignment horizontal="center" vertical="center" wrapText="1"/>
    </xf>
    <xf numFmtId="186" fontId="63" fillId="14" borderId="36" xfId="5" applyNumberFormat="1" applyFont="1" applyFill="1" applyBorder="1" applyAlignment="1">
      <alignment horizontal="center" vertical="center" wrapText="1"/>
    </xf>
    <xf numFmtId="177" fontId="33" fillId="0" borderId="20" xfId="5" applyNumberFormat="1" applyFont="1" applyBorder="1" applyAlignment="1">
      <alignment horizontal="center" vertical="center"/>
    </xf>
    <xf numFmtId="14" fontId="33" fillId="0" borderId="0" xfId="5" applyNumberFormat="1" applyFont="1" applyAlignment="1">
      <alignment horizontal="left" vertical="center"/>
    </xf>
    <xf numFmtId="178" fontId="49" fillId="3" borderId="0" xfId="0" applyNumberFormat="1" applyFont="1" applyFill="1" applyAlignment="1">
      <alignment horizontal="right" vertical="center"/>
    </xf>
    <xf numFmtId="178" fontId="49" fillId="15" borderId="0" xfId="0" applyNumberFormat="1" applyFont="1" applyFill="1" applyAlignment="1">
      <alignment horizontal="right" vertical="center"/>
    </xf>
    <xf numFmtId="178" fontId="38" fillId="3" borderId="0" xfId="0" applyNumberFormat="1" applyFont="1" applyFill="1" applyAlignment="1">
      <alignment horizontal="right" vertical="center"/>
    </xf>
    <xf numFmtId="178" fontId="58" fillId="15" borderId="0" xfId="0" applyNumberFormat="1" applyFont="1" applyFill="1" applyAlignment="1">
      <alignment horizontal="right" vertical="center"/>
    </xf>
    <xf numFmtId="0" fontId="38" fillId="16" borderId="0" xfId="7" applyFont="1" applyFill="1" applyAlignment="1">
      <alignment horizontal="left" vertical="center"/>
    </xf>
    <xf numFmtId="0" fontId="8" fillId="12" borderId="0" xfId="7" applyFont="1" applyFill="1" applyAlignment="1">
      <alignment horizontal="center"/>
    </xf>
    <xf numFmtId="0" fontId="13" fillId="12" borderId="0" xfId="1" applyFont="1" applyFill="1" applyAlignment="1">
      <alignment horizontal="center" vertical="center"/>
    </xf>
    <xf numFmtId="0" fontId="72" fillId="12" borderId="0" xfId="0" applyFont="1" applyFill="1" applyAlignment="1">
      <alignment horizontal="center" vertical="center" wrapText="1"/>
    </xf>
    <xf numFmtId="0" fontId="73" fillId="12" borderId="0" xfId="1" applyFont="1" applyFill="1" applyAlignment="1">
      <alignment horizontal="center" vertical="center"/>
    </xf>
    <xf numFmtId="0" fontId="31" fillId="0" borderId="0" xfId="0" applyFont="1" applyAlignment="1">
      <alignment horizontal="center" vertical="center" wrapText="1"/>
    </xf>
    <xf numFmtId="0" fontId="74" fillId="0" borderId="0" xfId="0" applyFont="1" applyAlignment="1">
      <alignment horizontal="left" vertical="center" wrapText="1"/>
    </xf>
    <xf numFmtId="0" fontId="74" fillId="0" borderId="0" xfId="0" applyFont="1" applyAlignment="1">
      <alignment horizontal="center" vertical="center" wrapText="1"/>
    </xf>
    <xf numFmtId="0" fontId="75" fillId="0" borderId="0" xfId="0" applyFont="1" applyAlignment="1">
      <alignment horizontal="center" vertical="center" wrapText="1"/>
    </xf>
    <xf numFmtId="0" fontId="76" fillId="0" borderId="0" xfId="0" applyFont="1" applyAlignment="1">
      <alignment horizontal="center" vertical="center" wrapText="1"/>
    </xf>
    <xf numFmtId="0" fontId="33" fillId="12" borderId="0" xfId="7" applyFont="1" applyFill="1" applyAlignment="1">
      <alignment vertical="center"/>
    </xf>
    <xf numFmtId="0" fontId="53" fillId="0" borderId="49" xfId="5" applyFont="1" applyBorder="1" applyAlignment="1">
      <alignment horizontal="center"/>
    </xf>
    <xf numFmtId="0" fontId="54" fillId="0" borderId="46" xfId="0" applyFont="1" applyBorder="1" applyAlignment="1">
      <alignment horizontal="center"/>
    </xf>
    <xf numFmtId="0" fontId="54" fillId="0" borderId="47" xfId="0" applyFont="1" applyBorder="1" applyAlignment="1">
      <alignment horizontal="center"/>
    </xf>
    <xf numFmtId="0" fontId="32" fillId="0" borderId="45" xfId="0" applyFont="1" applyBorder="1">
      <alignment vertical="center"/>
    </xf>
    <xf numFmtId="0" fontId="31" fillId="0" borderId="0" xfId="0" applyFont="1">
      <alignment vertical="center"/>
    </xf>
    <xf numFmtId="0" fontId="33" fillId="0" borderId="0" xfId="5" applyFont="1">
      <alignment vertical="center"/>
    </xf>
    <xf numFmtId="0" fontId="32" fillId="0" borderId="48" xfId="0" applyFont="1" applyBorder="1">
      <alignment vertical="center"/>
    </xf>
    <xf numFmtId="0" fontId="31" fillId="0" borderId="1" xfId="0" applyFont="1" applyBorder="1">
      <alignment vertical="center"/>
    </xf>
    <xf numFmtId="0" fontId="32" fillId="0" borderId="50" xfId="0" applyFont="1" applyBorder="1">
      <alignment vertical="center"/>
    </xf>
    <xf numFmtId="0" fontId="31" fillId="0" borderId="30" xfId="0" applyFont="1" applyBorder="1">
      <alignment vertical="center"/>
    </xf>
    <xf numFmtId="0" fontId="32" fillId="0" borderId="50" xfId="0" applyFont="1" applyBorder="1" applyAlignment="1">
      <alignment horizontal="left" vertical="center"/>
    </xf>
    <xf numFmtId="186" fontId="37" fillId="13" borderId="22" xfId="5" applyNumberFormat="1" applyFont="1" applyFill="1" applyBorder="1" applyAlignment="1">
      <alignment horizontal="center" vertical="center" wrapText="1"/>
    </xf>
    <xf numFmtId="0" fontId="0" fillId="0" borderId="23" xfId="0" applyBorder="1" applyAlignment="1">
      <alignment horizontal="center" vertical="center" wrapText="1"/>
    </xf>
    <xf numFmtId="179" fontId="31" fillId="0" borderId="0" xfId="0" applyNumberFormat="1" applyFont="1" applyAlignment="1">
      <alignment horizontal="left" vertical="center"/>
    </xf>
    <xf numFmtId="0" fontId="31" fillId="0" borderId="43" xfId="0" applyFont="1" applyBorder="1">
      <alignment vertical="center"/>
    </xf>
    <xf numFmtId="0" fontId="31" fillId="0" borderId="0" xfId="0" applyFont="1" applyAlignment="1">
      <alignment horizontal="left" vertical="center"/>
    </xf>
    <xf numFmtId="0" fontId="33" fillId="0" borderId="0" xfId="5" applyFont="1" applyAlignment="1">
      <alignment horizontal="left" vertical="center"/>
    </xf>
    <xf numFmtId="0" fontId="53" fillId="0" borderId="49" xfId="5" applyFont="1" applyBorder="1" applyAlignment="1">
      <alignment horizontal="right"/>
    </xf>
    <xf numFmtId="0" fontId="54" fillId="0" borderId="46" xfId="0" applyFont="1" applyBorder="1" applyAlignment="1">
      <alignment horizontal="right"/>
    </xf>
    <xf numFmtId="0" fontId="54" fillId="0" borderId="47" xfId="0" applyFont="1" applyBorder="1" applyAlignment="1">
      <alignment horizontal="right"/>
    </xf>
    <xf numFmtId="0" fontId="31" fillId="0" borderId="0" xfId="0" applyFont="1" applyAlignment="1">
      <alignment horizontal="right" vertical="center"/>
    </xf>
    <xf numFmtId="0" fontId="31" fillId="0" borderId="6" xfId="0" applyFont="1" applyBorder="1" applyAlignment="1">
      <alignment horizontal="right" vertical="center"/>
    </xf>
    <xf numFmtId="0" fontId="31" fillId="0" borderId="2" xfId="0" applyFont="1" applyBorder="1">
      <alignment vertical="center"/>
    </xf>
    <xf numFmtId="0" fontId="31" fillId="0" borderId="6" xfId="0" applyFont="1" applyBorder="1">
      <alignment vertical="center"/>
    </xf>
    <xf numFmtId="14" fontId="33" fillId="0" borderId="0" xfId="0" applyNumberFormat="1"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31" fillId="0" borderId="20"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31" fillId="0" borderId="32"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cellXfs>
  <cellStyles count="14">
    <cellStyle name="Comma0" xfId="8" xr:uid="{00000000-0005-0000-0000-000000000000}"/>
    <cellStyle name="Currency0" xfId="9" xr:uid="{00000000-0005-0000-0000-000001000000}"/>
    <cellStyle name="Date" xfId="10" xr:uid="{00000000-0005-0000-0000-000002000000}"/>
    <cellStyle name="Fixed" xfId="11" xr:uid="{00000000-0005-0000-0000-000003000000}"/>
    <cellStyle name="Normal 2" xfId="12" xr:uid="{00000000-0005-0000-0000-000004000000}"/>
    <cellStyle name="Normal_CONNXJA-VERSION 1.0" xfId="13" xr:uid="{00000000-0005-0000-0000-000005000000}"/>
    <cellStyle name="一般" xfId="0" builtinId="0"/>
    <cellStyle name="一般 2" xfId="1" xr:uid="{00000000-0005-0000-0000-000007000000}"/>
    <cellStyle name="一般 3" xfId="2" xr:uid="{00000000-0005-0000-0000-000008000000}"/>
    <cellStyle name="一般 4" xfId="3" xr:uid="{00000000-0005-0000-0000-000009000000}"/>
    <cellStyle name="一般 5" xfId="4" xr:uid="{00000000-0005-0000-0000-00000A000000}"/>
    <cellStyle name="一般 6" xfId="5" xr:uid="{00000000-0005-0000-0000-00000B000000}"/>
    <cellStyle name="一般 7" xfId="7" xr:uid="{00000000-0005-0000-0000-00000C000000}"/>
    <cellStyle name="千分位" xfId="6" builtinId="3"/>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90001082270484E-2"/>
          <c:y val="4.743405641116788E-2"/>
          <c:w val="0.91757587346863712"/>
          <c:h val="0.82399368012808771"/>
        </c:manualLayout>
      </c:layout>
      <c:scatterChart>
        <c:scatterStyle val="lineMarker"/>
        <c:varyColors val="0"/>
        <c:ser>
          <c:idx val="0"/>
          <c:order val="0"/>
          <c:tx>
            <c:strRef>
              <c:f>一般工址Cs!$K$42</c:f>
              <c:strCache>
                <c:ptCount val="1"/>
                <c:pt idx="0">
                  <c:v>SaD</c:v>
                </c:pt>
              </c:strCache>
            </c:strRef>
          </c:tx>
          <c:spPr>
            <a:ln w="19050" cap="rnd" cmpd="sng" algn="ctr">
              <a:solidFill>
                <a:schemeClr val="accent1">
                  <a:shade val="95000"/>
                  <a:satMod val="105000"/>
                </a:schemeClr>
              </a:solidFill>
              <a:prstDash val="solid"/>
              <a:round/>
            </a:ln>
            <a:effectLst/>
          </c:spPr>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一般工址Cs!$K$43:$K$95</c:f>
              <c:numCache>
                <c:formatCode>0.000_ </c:formatCode>
                <c:ptCount val="53"/>
                <c:pt idx="0">
                  <c:v>0.36599999999999999</c:v>
                </c:pt>
                <c:pt idx="1">
                  <c:v>0.70699999999999996</c:v>
                </c:pt>
                <c:pt idx="2">
                  <c:v>0.8</c:v>
                </c:pt>
                <c:pt idx="3">
                  <c:v>0.80689999999999995</c:v>
                </c:pt>
                <c:pt idx="4">
                  <c:v>0.80689999999999995</c:v>
                </c:pt>
                <c:pt idx="5">
                  <c:v>0.80689999999999995</c:v>
                </c:pt>
                <c:pt idx="6">
                  <c:v>0.80689999999999995</c:v>
                </c:pt>
                <c:pt idx="7">
                  <c:v>0.80689999999999995</c:v>
                </c:pt>
                <c:pt idx="8">
                  <c:v>0.80689999999999995</c:v>
                </c:pt>
                <c:pt idx="9">
                  <c:v>0.80689999999999995</c:v>
                </c:pt>
                <c:pt idx="10">
                  <c:v>0.80689999999999995</c:v>
                </c:pt>
                <c:pt idx="11">
                  <c:v>0.80689999999999995</c:v>
                </c:pt>
                <c:pt idx="12">
                  <c:v>0.80689999999999995</c:v>
                </c:pt>
                <c:pt idx="13">
                  <c:v>0.80689999999999995</c:v>
                </c:pt>
                <c:pt idx="14">
                  <c:v>0.80689999999999995</c:v>
                </c:pt>
                <c:pt idx="15">
                  <c:v>0.80689999999999995</c:v>
                </c:pt>
                <c:pt idx="16">
                  <c:v>0.80604444444444445</c:v>
                </c:pt>
                <c:pt idx="17">
                  <c:v>0.73129032258064508</c:v>
                </c:pt>
                <c:pt idx="18">
                  <c:v>0.67671641791044768</c:v>
                </c:pt>
                <c:pt idx="19">
                  <c:v>0.62972222222222207</c:v>
                </c:pt>
                <c:pt idx="20">
                  <c:v>0.58883116883116871</c:v>
                </c:pt>
                <c:pt idx="21">
                  <c:v>0.55292682926829251</c:v>
                </c:pt>
                <c:pt idx="22">
                  <c:v>0.52114942528735619</c:v>
                </c:pt>
                <c:pt idx="23">
                  <c:v>0.49282608695652158</c:v>
                </c:pt>
                <c:pt idx="24">
                  <c:v>0.46742268041237095</c:v>
                </c:pt>
                <c:pt idx="25">
                  <c:v>0.44450980392156847</c:v>
                </c:pt>
                <c:pt idx="26">
                  <c:v>0.42373831775700915</c:v>
                </c:pt>
                <c:pt idx="27">
                  <c:v>0.40482142857142839</c:v>
                </c:pt>
                <c:pt idx="28">
                  <c:v>0.38752136752136734</c:v>
                </c:pt>
                <c:pt idx="29">
                  <c:v>0.37163934426229489</c:v>
                </c:pt>
                <c:pt idx="30">
                  <c:v>0.35700787401574785</c:v>
                </c:pt>
                <c:pt idx="31">
                  <c:v>0.34348484848484834</c:v>
                </c:pt>
                <c:pt idx="32">
                  <c:v>0.33094890510948888</c:v>
                </c:pt>
                <c:pt idx="33">
                  <c:v>0.32275999999999999</c:v>
                </c:pt>
                <c:pt idx="34">
                  <c:v>0.32275999999999999</c:v>
                </c:pt>
                <c:pt idx="35">
                  <c:v>0.32275999999999999</c:v>
                </c:pt>
                <c:pt idx="36">
                  <c:v>0.32275999999999999</c:v>
                </c:pt>
                <c:pt idx="37">
                  <c:v>0.32275999999999999</c:v>
                </c:pt>
                <c:pt idx="38">
                  <c:v>0.32275999999999999</c:v>
                </c:pt>
                <c:pt idx="39">
                  <c:v>0.32275999999999999</c:v>
                </c:pt>
                <c:pt idx="40">
                  <c:v>0.32275999999999999</c:v>
                </c:pt>
                <c:pt idx="41">
                  <c:v>0.32275999999999999</c:v>
                </c:pt>
                <c:pt idx="42">
                  <c:v>0.32275999999999999</c:v>
                </c:pt>
                <c:pt idx="43">
                  <c:v>0.32275999999999999</c:v>
                </c:pt>
                <c:pt idx="44">
                  <c:v>0.32275999999999999</c:v>
                </c:pt>
                <c:pt idx="45">
                  <c:v>0.32275999999999999</c:v>
                </c:pt>
                <c:pt idx="46">
                  <c:v>0.32275999999999999</c:v>
                </c:pt>
                <c:pt idx="47">
                  <c:v>0.32275999999999999</c:v>
                </c:pt>
                <c:pt idx="48">
                  <c:v>0.32275999999999999</c:v>
                </c:pt>
                <c:pt idx="49">
                  <c:v>0.32275999999999999</c:v>
                </c:pt>
                <c:pt idx="50">
                  <c:v>0.32275999999999999</c:v>
                </c:pt>
                <c:pt idx="51">
                  <c:v>0.32275999999999999</c:v>
                </c:pt>
                <c:pt idx="52">
                  <c:v>0.32275999999999999</c:v>
                </c:pt>
              </c:numCache>
            </c:numRef>
          </c:yVal>
          <c:smooth val="0"/>
          <c:extLst>
            <c:ext xmlns:c16="http://schemas.microsoft.com/office/drawing/2014/chart" uri="{C3380CC4-5D6E-409C-BE32-E72D297353CC}">
              <c16:uniqueId val="{00000000-3328-4EC7-B1B0-FA2C07C39623}"/>
            </c:ext>
          </c:extLst>
        </c:ser>
        <c:ser>
          <c:idx val="2"/>
          <c:order val="1"/>
          <c:tx>
            <c:strRef>
              <c:f>一般工址Cs!$P$42</c:f>
              <c:strCache>
                <c:ptCount val="1"/>
                <c:pt idx="0">
                  <c:v>SaD*</c:v>
                </c:pt>
              </c:strCache>
            </c:strRef>
          </c:tx>
          <c:spPr>
            <a:ln w="19050" cap="rnd" cmpd="sng" algn="ctr">
              <a:solidFill>
                <a:schemeClr val="accent3">
                  <a:shade val="95000"/>
                  <a:satMod val="105000"/>
                </a:schemeClr>
              </a:solidFill>
              <a:prstDash val="solid"/>
              <a:round/>
            </a:ln>
            <a:effectLst/>
          </c:spPr>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一般工址Cs!$P$43:$P$95</c:f>
              <c:numCache>
                <c:formatCode>0.000_ </c:formatCode>
                <c:ptCount val="53"/>
                <c:pt idx="0">
                  <c:v>0.36299999999999999</c:v>
                </c:pt>
                <c:pt idx="1">
                  <c:v>0.70099999999999996</c:v>
                </c:pt>
                <c:pt idx="2">
                  <c:v>0.79300000000000004</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0.72580645161290314</c:v>
                </c:pt>
                <c:pt idx="18">
                  <c:v>0.67164179104477595</c:v>
                </c:pt>
                <c:pt idx="19">
                  <c:v>0.62499999999999989</c:v>
                </c:pt>
                <c:pt idx="20">
                  <c:v>0.58441558441558428</c:v>
                </c:pt>
                <c:pt idx="21">
                  <c:v>0.54878048780487787</c:v>
                </c:pt>
                <c:pt idx="22">
                  <c:v>0.51724137931034464</c:v>
                </c:pt>
                <c:pt idx="23">
                  <c:v>0.48913043478260854</c:v>
                </c:pt>
                <c:pt idx="24">
                  <c:v>0.46391752577319567</c:v>
                </c:pt>
                <c:pt idx="25">
                  <c:v>0.44117647058823511</c:v>
                </c:pt>
                <c:pt idx="26">
                  <c:v>0.42056074766355123</c:v>
                </c:pt>
                <c:pt idx="27">
                  <c:v>0.40178571428571408</c:v>
                </c:pt>
                <c:pt idx="28">
                  <c:v>0.38461538461538441</c:v>
                </c:pt>
                <c:pt idx="29">
                  <c:v>0.36885245901639324</c:v>
                </c:pt>
                <c:pt idx="30">
                  <c:v>0.35433070866141714</c:v>
                </c:pt>
                <c:pt idx="31">
                  <c:v>0.34090909090909072</c:v>
                </c:pt>
                <c:pt idx="32">
                  <c:v>0.32846715328467135</c:v>
                </c:pt>
                <c:pt idx="33">
                  <c:v>0.32000000000000006</c:v>
                </c:pt>
                <c:pt idx="34">
                  <c:v>0.32000000000000006</c:v>
                </c:pt>
                <c:pt idx="35">
                  <c:v>0.32000000000000006</c:v>
                </c:pt>
                <c:pt idx="36">
                  <c:v>0.32000000000000006</c:v>
                </c:pt>
                <c:pt idx="37">
                  <c:v>0.32000000000000006</c:v>
                </c:pt>
                <c:pt idx="38">
                  <c:v>0.32000000000000006</c:v>
                </c:pt>
                <c:pt idx="39">
                  <c:v>0.32000000000000006</c:v>
                </c:pt>
                <c:pt idx="40">
                  <c:v>0.32000000000000006</c:v>
                </c:pt>
                <c:pt idx="41">
                  <c:v>0.32000000000000006</c:v>
                </c:pt>
                <c:pt idx="42">
                  <c:v>0.32000000000000006</c:v>
                </c:pt>
                <c:pt idx="43">
                  <c:v>0.32000000000000006</c:v>
                </c:pt>
                <c:pt idx="44">
                  <c:v>0.32000000000000006</c:v>
                </c:pt>
                <c:pt idx="45">
                  <c:v>0.32000000000000006</c:v>
                </c:pt>
                <c:pt idx="46">
                  <c:v>0.32000000000000006</c:v>
                </c:pt>
                <c:pt idx="47">
                  <c:v>0.32000000000000006</c:v>
                </c:pt>
                <c:pt idx="48">
                  <c:v>0.32000000000000006</c:v>
                </c:pt>
                <c:pt idx="49">
                  <c:v>0.32000000000000006</c:v>
                </c:pt>
                <c:pt idx="50">
                  <c:v>0.32000000000000006</c:v>
                </c:pt>
                <c:pt idx="51">
                  <c:v>0.32000000000000006</c:v>
                </c:pt>
                <c:pt idx="52">
                  <c:v>0.32000000000000006</c:v>
                </c:pt>
              </c:numCache>
            </c:numRef>
          </c:yVal>
          <c:smooth val="0"/>
          <c:extLst>
            <c:ext xmlns:c16="http://schemas.microsoft.com/office/drawing/2014/chart" uri="{C3380CC4-5D6E-409C-BE32-E72D297353CC}">
              <c16:uniqueId val="{00000002-3328-4EC7-B1B0-FA2C07C39623}"/>
            </c:ext>
          </c:extLst>
        </c:ser>
        <c:ser>
          <c:idx val="1"/>
          <c:order val="2"/>
          <c:tx>
            <c:strRef>
              <c:f>一般工址Cs!$U$42</c:f>
              <c:strCache>
                <c:ptCount val="1"/>
                <c:pt idx="0">
                  <c:v>SaM</c:v>
                </c:pt>
              </c:strCache>
            </c:strRef>
          </c:tx>
          <c:spPr>
            <a:ln w="19050" cap="rnd" cmpd="sng" algn="ctr">
              <a:solidFill>
                <a:schemeClr val="accent2">
                  <a:shade val="95000"/>
                  <a:satMod val="105000"/>
                </a:schemeClr>
              </a:solidFill>
              <a:prstDash val="solid"/>
              <a:round/>
            </a:ln>
            <a:effectLst/>
          </c:spPr>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一般工址Cs!$U$43:$U$95</c:f>
              <c:numCache>
                <c:formatCode>0.000_ </c:formatCode>
                <c:ptCount val="53"/>
                <c:pt idx="0">
                  <c:v>0.46200000000000002</c:v>
                </c:pt>
                <c:pt idx="1">
                  <c:v>0.89900000000000002</c:v>
                </c:pt>
                <c:pt idx="2">
                  <c:v>1.01715</c:v>
                </c:pt>
                <c:pt idx="3">
                  <c:v>1.01715</c:v>
                </c:pt>
                <c:pt idx="4">
                  <c:v>1.01715</c:v>
                </c:pt>
                <c:pt idx="5">
                  <c:v>1.01715</c:v>
                </c:pt>
                <c:pt idx="6">
                  <c:v>1.01715</c:v>
                </c:pt>
                <c:pt idx="7">
                  <c:v>1.01715</c:v>
                </c:pt>
                <c:pt idx="8">
                  <c:v>1.01715</c:v>
                </c:pt>
                <c:pt idx="9">
                  <c:v>1.01715</c:v>
                </c:pt>
                <c:pt idx="10">
                  <c:v>1.01715</c:v>
                </c:pt>
                <c:pt idx="11">
                  <c:v>1.01715</c:v>
                </c:pt>
                <c:pt idx="12">
                  <c:v>1.01715</c:v>
                </c:pt>
                <c:pt idx="13">
                  <c:v>1.01715</c:v>
                </c:pt>
                <c:pt idx="14">
                  <c:v>1.01715</c:v>
                </c:pt>
                <c:pt idx="15">
                  <c:v>1.003239010500089</c:v>
                </c:pt>
                <c:pt idx="16">
                  <c:v>1.0021688888888889</c:v>
                </c:pt>
                <c:pt idx="17">
                  <c:v>0.90922580645161277</c:v>
                </c:pt>
                <c:pt idx="18">
                  <c:v>0.84137313432835803</c:v>
                </c:pt>
                <c:pt idx="19">
                  <c:v>0.78294444444444422</c:v>
                </c:pt>
                <c:pt idx="20">
                  <c:v>0.73210389610389592</c:v>
                </c:pt>
                <c:pt idx="21">
                  <c:v>0.68746341463414606</c:v>
                </c:pt>
                <c:pt idx="22">
                  <c:v>0.64795402298850546</c:v>
                </c:pt>
                <c:pt idx="23">
                  <c:v>0.61273913043478234</c:v>
                </c:pt>
                <c:pt idx="24">
                  <c:v>0.58115463917525745</c:v>
                </c:pt>
                <c:pt idx="25">
                  <c:v>0.55266666666666642</c:v>
                </c:pt>
                <c:pt idx="26">
                  <c:v>0.5268411214953268</c:v>
                </c:pt>
                <c:pt idx="27">
                  <c:v>0.50332142857142836</c:v>
                </c:pt>
                <c:pt idx="28">
                  <c:v>0.48181196581196556</c:v>
                </c:pt>
                <c:pt idx="29">
                  <c:v>0.46206557377049157</c:v>
                </c:pt>
                <c:pt idx="30">
                  <c:v>0.44387401574803126</c:v>
                </c:pt>
                <c:pt idx="31">
                  <c:v>0.42706060606060581</c:v>
                </c:pt>
                <c:pt idx="32">
                  <c:v>0.4114744525547443</c:v>
                </c:pt>
                <c:pt idx="33">
                  <c:v>0.40686</c:v>
                </c:pt>
                <c:pt idx="34">
                  <c:v>0.40686</c:v>
                </c:pt>
                <c:pt idx="35">
                  <c:v>0.40686</c:v>
                </c:pt>
                <c:pt idx="36">
                  <c:v>0.40686</c:v>
                </c:pt>
                <c:pt idx="37">
                  <c:v>0.40686</c:v>
                </c:pt>
                <c:pt idx="38">
                  <c:v>0.40686</c:v>
                </c:pt>
                <c:pt idx="39">
                  <c:v>0.40686</c:v>
                </c:pt>
                <c:pt idx="40">
                  <c:v>0.40686</c:v>
                </c:pt>
                <c:pt idx="41">
                  <c:v>0.40686</c:v>
                </c:pt>
                <c:pt idx="42">
                  <c:v>0.40686</c:v>
                </c:pt>
                <c:pt idx="43">
                  <c:v>0.40686</c:v>
                </c:pt>
                <c:pt idx="44">
                  <c:v>0.40686</c:v>
                </c:pt>
                <c:pt idx="45">
                  <c:v>0.40686</c:v>
                </c:pt>
                <c:pt idx="46">
                  <c:v>0.40686</c:v>
                </c:pt>
                <c:pt idx="47">
                  <c:v>0.40686</c:v>
                </c:pt>
                <c:pt idx="48">
                  <c:v>0.40686</c:v>
                </c:pt>
                <c:pt idx="49">
                  <c:v>0.40686</c:v>
                </c:pt>
                <c:pt idx="50">
                  <c:v>0.40686</c:v>
                </c:pt>
                <c:pt idx="51">
                  <c:v>0.40686</c:v>
                </c:pt>
                <c:pt idx="52">
                  <c:v>0.40686</c:v>
                </c:pt>
              </c:numCache>
            </c:numRef>
          </c:yVal>
          <c:smooth val="0"/>
          <c:extLst>
            <c:ext xmlns:c16="http://schemas.microsoft.com/office/drawing/2014/chart" uri="{C3380CC4-5D6E-409C-BE32-E72D297353CC}">
              <c16:uniqueId val="{00000001-3328-4EC7-B1B0-FA2C07C39623}"/>
            </c:ext>
          </c:extLst>
        </c:ser>
        <c:ser>
          <c:idx val="3"/>
          <c:order val="3"/>
          <c:tx>
            <c:strRef>
              <c:f>一般工址Cs!$H$96:$J$96</c:f>
              <c:strCache>
                <c:ptCount val="1"/>
                <c:pt idx="0">
                  <c:v>基本振動週期T= 0.897  s</c:v>
                </c:pt>
              </c:strCache>
            </c:strRef>
          </c:tx>
          <c:spPr>
            <a:ln w="19050" cap="rnd" cmpd="sng" algn="ctr">
              <a:solidFill>
                <a:schemeClr val="bg1">
                  <a:lumMod val="50000"/>
                </a:schemeClr>
              </a:solidFill>
              <a:prstDash val="sysDot"/>
              <a:round/>
            </a:ln>
            <a:effectLst/>
          </c:spPr>
          <c:marker>
            <c:symbol val="none"/>
          </c:marker>
          <c:xVal>
            <c:numRef>
              <c:f>一般工址Cs!$I$97:$I$98</c:f>
              <c:numCache>
                <c:formatCode>0.000_ </c:formatCode>
                <c:ptCount val="2"/>
                <c:pt idx="0">
                  <c:v>0.89729999999999999</c:v>
                </c:pt>
                <c:pt idx="1">
                  <c:v>0.89729999999999999</c:v>
                </c:pt>
              </c:numCache>
            </c:numRef>
          </c:xVal>
          <c:yVal>
            <c:numRef>
              <c:f>一般工址Cs!$U$97:$U$98</c:f>
              <c:numCache>
                <c:formatCode>0.000_ </c:formatCode>
                <c:ptCount val="2"/>
                <c:pt idx="0">
                  <c:v>0</c:v>
                </c:pt>
                <c:pt idx="1">
                  <c:v>1.02</c:v>
                </c:pt>
              </c:numCache>
            </c:numRef>
          </c:yVal>
          <c:smooth val="0"/>
          <c:extLst>
            <c:ext xmlns:c16="http://schemas.microsoft.com/office/drawing/2014/chart" uri="{C3380CC4-5D6E-409C-BE32-E72D297353CC}">
              <c16:uniqueId val="{00000000-2C04-47BB-A88F-30551BF262E8}"/>
            </c:ext>
          </c:extLst>
        </c:ser>
        <c:dLbls>
          <c:showLegendKey val="0"/>
          <c:showVal val="0"/>
          <c:showCatName val="0"/>
          <c:showSerName val="0"/>
          <c:showPercent val="0"/>
          <c:showBubbleSize val="0"/>
        </c:dLbls>
        <c:axId val="145788928"/>
        <c:axId val="145790848"/>
      </c:scatterChart>
      <c:valAx>
        <c:axId val="145788928"/>
        <c:scaling>
          <c:orientation val="minMax"/>
          <c:max val="2.5"/>
        </c:scaling>
        <c:delete val="0"/>
        <c:axPos val="b"/>
        <c:minorGridlines>
          <c:spPr>
            <a:ln w="9525" cap="flat" cmpd="sng" algn="ctr">
              <a:solidFill>
                <a:schemeClr val="tx1">
                  <a:tint val="50000"/>
                  <a:shade val="95000"/>
                  <a:satMod val="105000"/>
                </a:schemeClr>
              </a:solidFill>
              <a:prstDash val="solid"/>
              <a:round/>
            </a:ln>
            <a:effectLst/>
          </c:spPr>
        </c:min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ltLang="en-US" sz="1400"/>
                  <a:t>T (sec)</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zh-TW"/>
            </a:p>
          </c:txPr>
        </c:title>
        <c:numFmt formatCode="0.0_ " sourceLinked="0"/>
        <c:majorTickMark val="out"/>
        <c:minorTickMark val="in"/>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新細明體"/>
                <a:ea typeface="新細明體"/>
                <a:cs typeface="新細明體"/>
              </a:defRPr>
            </a:pPr>
            <a:endParaRPr lang="zh-TW"/>
          </a:p>
        </c:txPr>
        <c:crossAx val="145790848"/>
        <c:crosses val="autoZero"/>
        <c:crossBetween val="midCat"/>
        <c:minorUnit val="0.1"/>
      </c:valAx>
      <c:valAx>
        <c:axId val="14579084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_ "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zh-TW"/>
          </a:p>
        </c:txPr>
        <c:crossAx val="145788928"/>
        <c:crosses val="autoZero"/>
        <c:crossBetween val="midCat"/>
      </c:valAx>
      <c:spPr>
        <a:solidFill>
          <a:schemeClr val="bg1"/>
        </a:solidFill>
        <a:ln>
          <a:noFill/>
        </a:ln>
        <a:effectLst/>
      </c:spPr>
    </c:plotArea>
    <c:legend>
      <c:legendPos val="r"/>
      <c:layout>
        <c:manualLayout>
          <c:xMode val="edge"/>
          <c:yMode val="edge"/>
          <c:x val="0.57410134142530211"/>
          <c:y val="4.8582489353410425E-2"/>
          <c:w val="0.38776958630016461"/>
          <c:h val="0.21897982924115855"/>
        </c:manualLayout>
      </c:layout>
      <c:overlay val="1"/>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zh-TW"/>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zh-TW"/>
    </a:p>
  </c:txPr>
  <c:printSettings>
    <c:headerFooter/>
    <c:pageMargins b="0.75000000000000433" l="0.70000000000000062" r="0.70000000000000062" t="0.750000000000004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'包絡線Cs (II)'!$N$42</c:f>
              <c:strCache>
                <c:ptCount val="1"/>
                <c:pt idx="0">
                  <c:v>I(SaD/FuD)m/1.4αy</c:v>
                </c:pt>
              </c:strCache>
            </c:strRef>
          </c:tx>
          <c:spPr>
            <a:ln w="19050"/>
          </c:spPr>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(II)'!$N$43:$N$95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6E42-4EE9-98CC-25B3D5F81BF1}"/>
            </c:ext>
          </c:extLst>
        </c:ser>
        <c:ser>
          <c:idx val="1"/>
          <c:order val="1"/>
          <c:tx>
            <c:strRef>
              <c:f>'包絡線Cs (II)'!$S$42</c:f>
              <c:strCache>
                <c:ptCount val="1"/>
                <c:pt idx="0">
                  <c:v>IFu*(SaD*/FuD*)m/4.2αy</c:v>
                </c:pt>
              </c:strCache>
            </c:strRef>
          </c:tx>
          <c:spPr>
            <a:ln w="19050"/>
          </c:spPr>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(II)'!$S$43:$S$95</c:f>
              <c:numCache>
                <c:formatCode>0.000_ </c:formatCode>
                <c:ptCount val="53"/>
                <c:pt idx="0">
                  <c:v>8.1000000000000003E-2</c:v>
                </c:pt>
                <c:pt idx="1">
                  <c:v>0.14000000000000001</c:v>
                </c:pt>
                <c:pt idx="2">
                  <c:v>0.156</c:v>
                </c:pt>
                <c:pt idx="3">
                  <c:v>0.157</c:v>
                </c:pt>
                <c:pt idx="4">
                  <c:v>0.157</c:v>
                </c:pt>
                <c:pt idx="5">
                  <c:v>0.157</c:v>
                </c:pt>
                <c:pt idx="6">
                  <c:v>0.157</c:v>
                </c:pt>
                <c:pt idx="7">
                  <c:v>0.157</c:v>
                </c:pt>
                <c:pt idx="8">
                  <c:v>0.157</c:v>
                </c:pt>
                <c:pt idx="9">
                  <c:v>0.157</c:v>
                </c:pt>
                <c:pt idx="10">
                  <c:v>0.157</c:v>
                </c:pt>
                <c:pt idx="11">
                  <c:v>0.159</c:v>
                </c:pt>
                <c:pt idx="12">
                  <c:v>0.161</c:v>
                </c:pt>
                <c:pt idx="13">
                  <c:v>0.16400000000000001</c:v>
                </c:pt>
                <c:pt idx="14">
                  <c:v>0.16500000000000001</c:v>
                </c:pt>
                <c:pt idx="15">
                  <c:v>0.16500000000000001</c:v>
                </c:pt>
                <c:pt idx="16">
                  <c:v>0.16500000000000001</c:v>
                </c:pt>
                <c:pt idx="17">
                  <c:v>0.156</c:v>
                </c:pt>
                <c:pt idx="18">
                  <c:v>0.15</c:v>
                </c:pt>
                <c:pt idx="19">
                  <c:v>0.14399999999999999</c:v>
                </c:pt>
                <c:pt idx="20">
                  <c:v>0.13900000000000001</c:v>
                </c:pt>
                <c:pt idx="21">
                  <c:v>0.13100000000000001</c:v>
                </c:pt>
                <c:pt idx="22">
                  <c:v>0.123</c:v>
                </c:pt>
                <c:pt idx="23">
                  <c:v>0.11600000000000001</c:v>
                </c:pt>
                <c:pt idx="24">
                  <c:v>0.11</c:v>
                </c:pt>
                <c:pt idx="25">
                  <c:v>0.105</c:v>
                </c:pt>
                <c:pt idx="26">
                  <c:v>0.1</c:v>
                </c:pt>
                <c:pt idx="27">
                  <c:v>9.6000000000000002E-2</c:v>
                </c:pt>
                <c:pt idx="28">
                  <c:v>9.1999999999999998E-2</c:v>
                </c:pt>
                <c:pt idx="29">
                  <c:v>8.7999999999999995E-2</c:v>
                </c:pt>
                <c:pt idx="30">
                  <c:v>8.4000000000000005E-2</c:v>
                </c:pt>
                <c:pt idx="31">
                  <c:v>8.1000000000000003E-2</c:v>
                </c:pt>
                <c:pt idx="32">
                  <c:v>7.8E-2</c:v>
                </c:pt>
                <c:pt idx="33">
                  <c:v>7.5999999999999998E-2</c:v>
                </c:pt>
                <c:pt idx="34">
                  <c:v>7.5999999999999998E-2</c:v>
                </c:pt>
                <c:pt idx="35">
                  <c:v>7.5999999999999998E-2</c:v>
                </c:pt>
                <c:pt idx="36">
                  <c:v>7.5999999999999998E-2</c:v>
                </c:pt>
                <c:pt idx="37">
                  <c:v>7.5999999999999998E-2</c:v>
                </c:pt>
                <c:pt idx="38">
                  <c:v>7.5999999999999998E-2</c:v>
                </c:pt>
                <c:pt idx="39">
                  <c:v>7.5999999999999998E-2</c:v>
                </c:pt>
                <c:pt idx="40">
                  <c:v>7.5999999999999998E-2</c:v>
                </c:pt>
                <c:pt idx="41">
                  <c:v>7.5999999999999998E-2</c:v>
                </c:pt>
                <c:pt idx="42">
                  <c:v>7.5999999999999998E-2</c:v>
                </c:pt>
                <c:pt idx="43">
                  <c:v>7.5999999999999998E-2</c:v>
                </c:pt>
                <c:pt idx="44">
                  <c:v>7.5999999999999998E-2</c:v>
                </c:pt>
                <c:pt idx="45">
                  <c:v>7.5999999999999998E-2</c:v>
                </c:pt>
                <c:pt idx="46">
                  <c:v>7.5999999999999998E-2</c:v>
                </c:pt>
                <c:pt idx="47">
                  <c:v>7.5999999999999998E-2</c:v>
                </c:pt>
                <c:pt idx="48">
                  <c:v>7.5999999999999998E-2</c:v>
                </c:pt>
                <c:pt idx="49">
                  <c:v>7.5999999999999998E-2</c:v>
                </c:pt>
                <c:pt idx="50">
                  <c:v>7.5999999999999998E-2</c:v>
                </c:pt>
                <c:pt idx="51">
                  <c:v>7.5999999999999998E-2</c:v>
                </c:pt>
                <c:pt idx="52">
                  <c:v>7.5999999999999998E-2</c:v>
                </c:pt>
              </c:numCache>
            </c:numRef>
          </c:yVal>
          <c:smooth val="0"/>
          <c:extLst>
            <c:ext xmlns:c16="http://schemas.microsoft.com/office/drawing/2014/chart" uri="{C3380CC4-5D6E-409C-BE32-E72D297353CC}">
              <c16:uniqueId val="{00000001-6E42-4EE9-98CC-25B3D5F81BF1}"/>
            </c:ext>
          </c:extLst>
        </c:ser>
        <c:ser>
          <c:idx val="2"/>
          <c:order val="2"/>
          <c:tx>
            <c:strRef>
              <c:f>'包絡線Cs (II)'!$X$42</c:f>
              <c:strCache>
                <c:ptCount val="1"/>
                <c:pt idx="0">
                  <c:v>I(SaM/FuM)m/1.4αy</c:v>
                </c:pt>
              </c:strCache>
            </c:strRef>
          </c:tx>
          <c:spPr>
            <a:ln w="19050"/>
          </c:spPr>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(II)'!$X$43:$X$95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2-6E42-4EE9-98CC-25B3D5F81BF1}"/>
            </c:ext>
          </c:extLst>
        </c:ser>
        <c:ser>
          <c:idx val="3"/>
          <c:order val="3"/>
          <c:tx>
            <c:strRef>
              <c:f>'包絡線Cs (II)'!$H$96:$J$96</c:f>
              <c:strCache>
                <c:ptCount val="1"/>
                <c:pt idx="0">
                  <c:v>基本振動週期T= 0.897  s</c:v>
                </c:pt>
              </c:strCache>
            </c:strRef>
          </c:tx>
          <c:spPr>
            <a:ln w="19050">
              <a:solidFill>
                <a:schemeClr val="bg1">
                  <a:lumMod val="50000"/>
                </a:schemeClr>
              </a:solidFill>
              <a:prstDash val="sysDot"/>
            </a:ln>
          </c:spPr>
          <c:marker>
            <c:symbol val="none"/>
          </c:marker>
          <c:xVal>
            <c:numRef>
              <c:f>'包絡線Cs (II)'!$I$97:$I$98</c:f>
              <c:numCache>
                <c:formatCode>0.000_ </c:formatCode>
                <c:ptCount val="2"/>
                <c:pt idx="0">
                  <c:v>0.89729999999999999</c:v>
                </c:pt>
                <c:pt idx="1">
                  <c:v>0.89729999999999999</c:v>
                </c:pt>
              </c:numCache>
            </c:numRef>
          </c:xVal>
          <c:yVal>
            <c:numRef>
              <c:f>'包絡線Cs (II)'!$X$97:$X$98</c:f>
              <c:numCache>
                <c:formatCode>0.000_ </c:formatCode>
                <c:ptCount val="2"/>
                <c:pt idx="0">
                  <c:v>0</c:v>
                </c:pt>
                <c:pt idx="1">
                  <c:v>#N/A</c:v>
                </c:pt>
              </c:numCache>
            </c:numRef>
          </c:yVal>
          <c:smooth val="0"/>
          <c:extLst>
            <c:ext xmlns:c16="http://schemas.microsoft.com/office/drawing/2014/chart" uri="{C3380CC4-5D6E-409C-BE32-E72D297353CC}">
              <c16:uniqueId val="{00000003-6E42-4EE9-98CC-25B3D5F81BF1}"/>
            </c:ext>
          </c:extLst>
        </c:ser>
        <c:dLbls>
          <c:showLegendKey val="0"/>
          <c:showVal val="0"/>
          <c:showCatName val="0"/>
          <c:showSerName val="0"/>
          <c:showPercent val="0"/>
          <c:showBubbleSize val="0"/>
        </c:dLbls>
        <c:axId val="145437824"/>
        <c:axId val="145439744"/>
      </c:scatterChart>
      <c:valAx>
        <c:axId val="145437824"/>
        <c:scaling>
          <c:orientation val="minMax"/>
          <c:max val="2.5"/>
        </c:scaling>
        <c:delete val="0"/>
        <c:axPos val="b"/>
        <c:minorGridlines/>
        <c:title>
          <c:tx>
            <c:rich>
              <a:bodyPr/>
              <a:lstStyle/>
              <a:p>
                <a:pPr>
                  <a:defRPr sz="1400"/>
                </a:pPr>
                <a:r>
                  <a:rPr lang="en-US" altLang="zh-TW" sz="1400"/>
                  <a:t>T (sec)</a:t>
                </a:r>
                <a:endParaRPr lang="zh-TW" altLang="en-US" sz="1400"/>
              </a:p>
            </c:rich>
          </c:tx>
          <c:overlay val="0"/>
        </c:title>
        <c:numFmt formatCode="0.0_ " sourceLinked="0"/>
        <c:majorTickMark val="out"/>
        <c:minorTickMark val="in"/>
        <c:tickLblPos val="nextTo"/>
        <c:txPr>
          <a:bodyPr rot="0" vert="horz"/>
          <a:lstStyle/>
          <a:p>
            <a:pPr>
              <a:defRPr sz="1000" b="0" i="0" u="none" strike="noStrike" baseline="0">
                <a:solidFill>
                  <a:srgbClr val="000000"/>
                </a:solidFill>
                <a:latin typeface="新細明體"/>
                <a:ea typeface="新細明體"/>
                <a:cs typeface="新細明體"/>
              </a:defRPr>
            </a:pPr>
            <a:endParaRPr lang="zh-TW"/>
          </a:p>
        </c:txPr>
        <c:crossAx val="145439744"/>
        <c:crosses val="autoZero"/>
        <c:crossBetween val="midCat"/>
        <c:minorUnit val="0.1"/>
      </c:valAx>
      <c:valAx>
        <c:axId val="145439744"/>
        <c:scaling>
          <c:orientation val="minMax"/>
        </c:scaling>
        <c:delete val="0"/>
        <c:axPos val="l"/>
        <c:majorGridlines/>
        <c:numFmt formatCode="0.00_ " sourceLinked="0"/>
        <c:majorTickMark val="out"/>
        <c:minorTickMark val="none"/>
        <c:tickLblPos val="nextTo"/>
        <c:crossAx val="145437824"/>
        <c:crosses val="autoZero"/>
        <c:crossBetween val="midCat"/>
      </c:valAx>
    </c:plotArea>
    <c:legend>
      <c:legendPos val="r"/>
      <c:layout>
        <c:manualLayout>
          <c:xMode val="edge"/>
          <c:yMode val="edge"/>
          <c:x val="0.59872135124974823"/>
          <c:y val="7.2791224260336296E-2"/>
          <c:w val="0.36203963895911495"/>
          <c:h val="0.23639457149871268"/>
        </c:manualLayout>
      </c:layout>
      <c:overlay val="1"/>
      <c:txPr>
        <a:bodyPr/>
        <a:lstStyle/>
        <a:p>
          <a:pPr>
            <a:defRPr sz="1400"/>
          </a:pPr>
          <a:endParaRPr lang="zh-TW"/>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27686640829972E-2"/>
          <c:y val="1.5392568897843061E-2"/>
          <c:w val="0.92341518682829926"/>
          <c:h val="0.82378366590685559"/>
        </c:manualLayout>
      </c:layout>
      <c:scatterChart>
        <c:scatterStyle val="lineMarker"/>
        <c:varyColors val="0"/>
        <c:ser>
          <c:idx val="0"/>
          <c:order val="0"/>
          <c:tx>
            <c:strRef>
              <c:f>'包絡線Cs (II)'!$J$42</c:f>
              <c:strCache>
                <c:ptCount val="1"/>
                <c:pt idx="0">
                  <c:v>FuD</c:v>
                </c:pt>
              </c:strCache>
            </c:strRef>
          </c:tx>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(II)'!$J$43:$J$95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7503-4A22-8194-568F11945E88}"/>
            </c:ext>
          </c:extLst>
        </c:ser>
        <c:ser>
          <c:idx val="1"/>
          <c:order val="1"/>
          <c:tx>
            <c:strRef>
              <c:f>'包絡線Cs (II)'!$T$42</c:f>
              <c:strCache>
                <c:ptCount val="1"/>
                <c:pt idx="0">
                  <c:v>FuM</c:v>
                </c:pt>
              </c:strCache>
            </c:strRef>
          </c:tx>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(II)'!$T$43:$T$95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1-7503-4A22-8194-568F11945E88}"/>
            </c:ext>
          </c:extLst>
        </c:ser>
        <c:ser>
          <c:idx val="2"/>
          <c:order val="2"/>
          <c:tx>
            <c:strRef>
              <c:f>'包絡線Cs (II)'!$H$96:$J$96</c:f>
              <c:strCache>
                <c:ptCount val="1"/>
                <c:pt idx="0">
                  <c:v>基本振動週期T= 0.897  s</c:v>
                </c:pt>
              </c:strCache>
            </c:strRef>
          </c:tx>
          <c:spPr>
            <a:ln w="19050">
              <a:solidFill>
                <a:schemeClr val="bg1">
                  <a:lumMod val="50000"/>
                </a:schemeClr>
              </a:solidFill>
              <a:prstDash val="sysDot"/>
            </a:ln>
          </c:spPr>
          <c:marker>
            <c:symbol val="none"/>
          </c:marker>
          <c:xVal>
            <c:numRef>
              <c:f>'包絡線Cs (II)'!$I$97:$I$98</c:f>
              <c:numCache>
                <c:formatCode>0.000_ </c:formatCode>
                <c:ptCount val="2"/>
                <c:pt idx="0">
                  <c:v>0.89729999999999999</c:v>
                </c:pt>
                <c:pt idx="1">
                  <c:v>0.89729999999999999</c:v>
                </c:pt>
              </c:numCache>
            </c:numRef>
          </c:xVal>
          <c:yVal>
            <c:numRef>
              <c:f>'包絡線Cs (II)'!$T$97:$T$98</c:f>
              <c:numCache>
                <c:formatCode>0.000_ </c:formatCode>
                <c:ptCount val="2"/>
                <c:pt idx="0">
                  <c:v>0</c:v>
                </c:pt>
                <c:pt idx="1">
                  <c:v>#N/A</c:v>
                </c:pt>
              </c:numCache>
            </c:numRef>
          </c:yVal>
          <c:smooth val="0"/>
          <c:extLst>
            <c:ext xmlns:c16="http://schemas.microsoft.com/office/drawing/2014/chart" uri="{C3380CC4-5D6E-409C-BE32-E72D297353CC}">
              <c16:uniqueId val="{00000002-7503-4A22-8194-568F11945E88}"/>
            </c:ext>
          </c:extLst>
        </c:ser>
        <c:dLbls>
          <c:showLegendKey val="0"/>
          <c:showVal val="0"/>
          <c:showCatName val="0"/>
          <c:showSerName val="0"/>
          <c:showPercent val="0"/>
          <c:showBubbleSize val="0"/>
        </c:dLbls>
        <c:axId val="149299968"/>
        <c:axId val="149301888"/>
      </c:scatterChart>
      <c:valAx>
        <c:axId val="149299968"/>
        <c:scaling>
          <c:orientation val="minMax"/>
          <c:max val="2.5"/>
        </c:scaling>
        <c:delete val="0"/>
        <c:axPos val="b"/>
        <c:minorGridlines/>
        <c:title>
          <c:tx>
            <c:rich>
              <a:bodyPr/>
              <a:lstStyle/>
              <a:p>
                <a:pPr>
                  <a:defRPr sz="1400"/>
                </a:pPr>
                <a:r>
                  <a:rPr lang="en-US" altLang="zh-TW" sz="1400"/>
                  <a:t>T (sec)</a:t>
                </a:r>
                <a:endParaRPr lang="zh-TW" altLang="en-US" sz="1400"/>
              </a:p>
            </c:rich>
          </c:tx>
          <c:overlay val="0"/>
        </c:title>
        <c:numFmt formatCode="0.0_ " sourceLinked="0"/>
        <c:majorTickMark val="out"/>
        <c:minorTickMark val="in"/>
        <c:tickLblPos val="nextTo"/>
        <c:txPr>
          <a:bodyPr rot="0" vert="horz"/>
          <a:lstStyle/>
          <a:p>
            <a:pPr>
              <a:defRPr sz="1000" b="0" i="0" u="none" strike="noStrike" baseline="0">
                <a:solidFill>
                  <a:srgbClr val="000000"/>
                </a:solidFill>
                <a:latin typeface="新細明體"/>
                <a:ea typeface="新細明體"/>
                <a:cs typeface="新細明體"/>
              </a:defRPr>
            </a:pPr>
            <a:endParaRPr lang="zh-TW"/>
          </a:p>
        </c:txPr>
        <c:crossAx val="149301888"/>
        <c:crosses val="autoZero"/>
        <c:crossBetween val="midCat"/>
        <c:minorUnit val="0.1"/>
      </c:valAx>
      <c:valAx>
        <c:axId val="149301888"/>
        <c:scaling>
          <c:orientation val="minMax"/>
        </c:scaling>
        <c:delete val="0"/>
        <c:axPos val="l"/>
        <c:majorGridlines/>
        <c:minorGridlines/>
        <c:numFmt formatCode="0.0_ " sourceLinked="0"/>
        <c:majorTickMark val="out"/>
        <c:minorTickMark val="none"/>
        <c:tickLblPos val="nextTo"/>
        <c:crossAx val="149299968"/>
        <c:crosses val="autoZero"/>
        <c:crossBetween val="midCat"/>
      </c:valAx>
    </c:plotArea>
    <c:legend>
      <c:legendPos val="r"/>
      <c:layout>
        <c:manualLayout>
          <c:xMode val="edge"/>
          <c:yMode val="edge"/>
          <c:x val="0.64947238205461932"/>
          <c:y val="0.63769232729403968"/>
          <c:w val="0.31498347537218729"/>
          <c:h val="0.17801146701322526"/>
        </c:manualLayout>
      </c:layout>
      <c:overlay val="1"/>
      <c:txPr>
        <a:bodyPr/>
        <a:lstStyle/>
        <a:p>
          <a:pPr>
            <a:defRPr sz="1400"/>
          </a:pPr>
          <a:endParaRPr lang="zh-TW"/>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'包絡線Cs (II)'!$P$3</c:f>
          <c:strCache>
            <c:ptCount val="1"/>
            <c:pt idx="0">
              <c:v>規範最小地震橫力係數 Cs*載重組合係數之比較 [第一類, R=2.4]</c:v>
            </c:pt>
          </c:strCache>
        </c:strRef>
      </c:tx>
      <c:layout>
        <c:manualLayout>
          <c:xMode val="edge"/>
          <c:yMode val="edge"/>
          <c:x val="0.14041686234690212"/>
          <c:y val="1.7710478311359846E-2"/>
        </c:manualLayout>
      </c:layout>
      <c:overlay val="0"/>
      <c:txPr>
        <a:bodyPr/>
        <a:lstStyle/>
        <a:p>
          <a:pPr>
            <a:defRPr sz="1600"/>
          </a:pPr>
          <a:endParaRPr lang="zh-TW"/>
        </a:p>
      </c:txPr>
    </c:title>
    <c:autoTitleDeleted val="0"/>
    <c:plotArea>
      <c:layout>
        <c:manualLayout>
          <c:layoutTarget val="inner"/>
          <c:xMode val="edge"/>
          <c:yMode val="edge"/>
          <c:x val="8.2349727635584305E-2"/>
          <c:y val="0.10928305665629078"/>
          <c:w val="0.88023573930242049"/>
          <c:h val="0.76019124664681237"/>
        </c:manualLayout>
      </c:layout>
      <c:scatterChart>
        <c:scatterStyle val="lineMarker"/>
        <c:varyColors val="0"/>
        <c:ser>
          <c:idx val="0"/>
          <c:order val="0"/>
          <c:tx>
            <c:v>民100年以後</c:v>
          </c:tx>
          <c:marker>
            <c:symbol val="none"/>
          </c:marker>
          <c:dLbls>
            <c:delete val="1"/>
          </c:dLbls>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(II)'!$Y$43:$Y$95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F0D1-4F89-B80E-F18370B12678}"/>
            </c:ext>
          </c:extLst>
        </c:ser>
        <c:ser>
          <c:idx val="6"/>
          <c:order val="1"/>
          <c:tx>
            <c:v>民95~99年</c:v>
          </c:tx>
          <c:marker>
            <c:symbol val="none"/>
          </c:marker>
          <c:dLbls>
            <c:delete val="1"/>
          </c:dLbls>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(II)'!$AN$43:$AN$95</c:f>
              <c:numCache>
                <c:formatCode>0.0000_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1-F0D1-4F89-B80E-F18370B12678}"/>
            </c:ext>
          </c:extLst>
        </c:ser>
        <c:ser>
          <c:idx val="3"/>
          <c:order val="2"/>
          <c:tx>
            <c:v>民89~94</c:v>
          </c:tx>
          <c:marker>
            <c:symbol val="none"/>
          </c:marker>
          <c:dLbls>
            <c:delete val="1"/>
          </c:dLbls>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(II)'!$AM$43:$AM$95</c:f>
              <c:numCache>
                <c:formatCode>0.0000_ </c:formatCode>
                <c:ptCount val="53"/>
                <c:pt idx="0">
                  <c:v>0.22471428571428573</c:v>
                </c:pt>
                <c:pt idx="1">
                  <c:v>0.22471428571428573</c:v>
                </c:pt>
                <c:pt idx="2">
                  <c:v>0.22471428571428573</c:v>
                </c:pt>
                <c:pt idx="3">
                  <c:v>0.22471428571428573</c:v>
                </c:pt>
                <c:pt idx="4">
                  <c:v>0.22471428571428573</c:v>
                </c:pt>
                <c:pt idx="5">
                  <c:v>0.22471428571428573</c:v>
                </c:pt>
                <c:pt idx="6">
                  <c:v>0.22471428571428573</c:v>
                </c:pt>
                <c:pt idx="7">
                  <c:v>0.22471428571428573</c:v>
                </c:pt>
                <c:pt idx="8">
                  <c:v>0.22471428571428573</c:v>
                </c:pt>
                <c:pt idx="9">
                  <c:v>0.22471428571428573</c:v>
                </c:pt>
                <c:pt idx="10">
                  <c:v>0.22471428571428573</c:v>
                </c:pt>
                <c:pt idx="11">
                  <c:v>0.22471428571428573</c:v>
                </c:pt>
                <c:pt idx="12">
                  <c:v>0.22471428571428573</c:v>
                </c:pt>
                <c:pt idx="13">
                  <c:v>0.22471428571428573</c:v>
                </c:pt>
                <c:pt idx="14">
                  <c:v>0.22471428571428573</c:v>
                </c:pt>
                <c:pt idx="15">
                  <c:v>0.22471428571428573</c:v>
                </c:pt>
                <c:pt idx="16">
                  <c:v>0.22471428571428573</c:v>
                </c:pt>
                <c:pt idx="17">
                  <c:v>0.22471428571428573</c:v>
                </c:pt>
                <c:pt idx="18">
                  <c:v>0.20716345184823889</c:v>
                </c:pt>
                <c:pt idx="19">
                  <c:v>0.19745797384690247</c:v>
                </c:pt>
                <c:pt idx="20">
                  <c:v>0.18881472359700674</c:v>
                </c:pt>
                <c:pt idx="21">
                  <c:v>0.18105913408322649</c:v>
                </c:pt>
                <c:pt idx="22">
                  <c:v>0.17405379845637017</c:v>
                </c:pt>
                <c:pt idx="23">
                  <c:v>0.16768895399805556</c:v>
                </c:pt>
                <c:pt idx="24">
                  <c:v>0.16187577143399948</c:v>
                </c:pt>
                <c:pt idx="25">
                  <c:v>0.15654152467998592</c:v>
                </c:pt>
                <c:pt idx="26">
                  <c:v>0.15162605028292089</c:v>
                </c:pt>
                <c:pt idx="27">
                  <c:v>0.1470791096436696</c:v>
                </c:pt>
                <c:pt idx="28">
                  <c:v>0.14285839485331692</c:v>
                </c:pt>
                <c:pt idx="29">
                  <c:v>0.13892800100764696</c:v>
                </c:pt>
                <c:pt idx="30">
                  <c:v>0.13525724170804485</c:v>
                </c:pt>
                <c:pt idx="31">
                  <c:v>0.13218487394957984</c:v>
                </c:pt>
                <c:pt idx="32">
                  <c:v>0.13218487394957984</c:v>
                </c:pt>
                <c:pt idx="33">
                  <c:v>0.13218487394957984</c:v>
                </c:pt>
                <c:pt idx="34">
                  <c:v>0.13218487394957984</c:v>
                </c:pt>
                <c:pt idx="35">
                  <c:v>0.13218487394957984</c:v>
                </c:pt>
                <c:pt idx="36">
                  <c:v>0.13218487394957984</c:v>
                </c:pt>
                <c:pt idx="37">
                  <c:v>0.13218487394957984</c:v>
                </c:pt>
                <c:pt idx="38">
                  <c:v>0.13218487394957984</c:v>
                </c:pt>
                <c:pt idx="39">
                  <c:v>0.13218487394957984</c:v>
                </c:pt>
                <c:pt idx="40">
                  <c:v>0.13218487394957984</c:v>
                </c:pt>
                <c:pt idx="41">
                  <c:v>0.13218487394957984</c:v>
                </c:pt>
                <c:pt idx="42">
                  <c:v>0.13218487394957984</c:v>
                </c:pt>
                <c:pt idx="43">
                  <c:v>0.13218487394957984</c:v>
                </c:pt>
                <c:pt idx="44">
                  <c:v>0.13218487394957984</c:v>
                </c:pt>
                <c:pt idx="45">
                  <c:v>0.13218487394957984</c:v>
                </c:pt>
                <c:pt idx="46">
                  <c:v>0.13218487394957984</c:v>
                </c:pt>
                <c:pt idx="47">
                  <c:v>0.13218487394957984</c:v>
                </c:pt>
                <c:pt idx="48">
                  <c:v>0.13218487394957984</c:v>
                </c:pt>
                <c:pt idx="49">
                  <c:v>0.13218487394957984</c:v>
                </c:pt>
                <c:pt idx="50">
                  <c:v>0.13218487394957984</c:v>
                </c:pt>
                <c:pt idx="51">
                  <c:v>0.13218487394957984</c:v>
                </c:pt>
                <c:pt idx="52">
                  <c:v>0.13218487394957984</c:v>
                </c:pt>
              </c:numCache>
            </c:numRef>
          </c:yVal>
          <c:smooth val="0"/>
          <c:extLst>
            <c:ext xmlns:c16="http://schemas.microsoft.com/office/drawing/2014/chart" uri="{C3380CC4-5D6E-409C-BE32-E72D297353CC}">
              <c16:uniqueId val="{00000002-F0D1-4F89-B80E-F18370B12678}"/>
            </c:ext>
          </c:extLst>
        </c:ser>
        <c:ser>
          <c:idx val="2"/>
          <c:order val="3"/>
          <c:tx>
            <c:v>民86~88</c:v>
          </c:tx>
          <c:marker>
            <c:symbol val="none"/>
          </c:marker>
          <c:dLbls>
            <c:delete val="1"/>
          </c:dLbls>
          <c:xVal>
            <c:numRef>
              <c:f>'包絡線Cs (II)'!$I$43:$I$94</c:f>
              <c:numCache>
                <c:formatCode>0.0000_ </c:formatCode>
                <c:ptCount val="52"/>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numCache>
            </c:numRef>
          </c:xVal>
          <c:yVal>
            <c:numRef>
              <c:f>'包絡線Cs (II)'!$AL$43:$AL$95</c:f>
              <c:numCache>
                <c:formatCode>0.0000_ </c:formatCode>
                <c:ptCount val="53"/>
                <c:pt idx="0">
                  <c:v>0.15661904761904763</c:v>
                </c:pt>
                <c:pt idx="1">
                  <c:v>0.15661904761904763</c:v>
                </c:pt>
                <c:pt idx="2">
                  <c:v>0.15661904761904763</c:v>
                </c:pt>
                <c:pt idx="3">
                  <c:v>0.15661904761904763</c:v>
                </c:pt>
                <c:pt idx="4">
                  <c:v>0.15661904761904763</c:v>
                </c:pt>
                <c:pt idx="5">
                  <c:v>0.15661904761904763</c:v>
                </c:pt>
                <c:pt idx="6">
                  <c:v>0.15661904761904763</c:v>
                </c:pt>
                <c:pt idx="7">
                  <c:v>0.15661904761904763</c:v>
                </c:pt>
                <c:pt idx="8">
                  <c:v>0.15661904761904763</c:v>
                </c:pt>
                <c:pt idx="9">
                  <c:v>0.15661904761904763</c:v>
                </c:pt>
                <c:pt idx="10">
                  <c:v>0.15661904761904763</c:v>
                </c:pt>
                <c:pt idx="11">
                  <c:v>0.15661904761904763</c:v>
                </c:pt>
                <c:pt idx="12">
                  <c:v>0.15661904761904763</c:v>
                </c:pt>
                <c:pt idx="13">
                  <c:v>0.15661904761904763</c:v>
                </c:pt>
                <c:pt idx="14">
                  <c:v>0.15661904761904763</c:v>
                </c:pt>
                <c:pt idx="15">
                  <c:v>0.15661904761904763</c:v>
                </c:pt>
                <c:pt idx="16">
                  <c:v>0.15661904761904763</c:v>
                </c:pt>
                <c:pt idx="17">
                  <c:v>0.15661904761904763</c:v>
                </c:pt>
                <c:pt idx="18">
                  <c:v>0.14438664825786349</c:v>
                </c:pt>
                <c:pt idx="19">
                  <c:v>0.13762222419632594</c:v>
                </c:pt>
                <c:pt idx="20">
                  <c:v>0.13159814068882289</c:v>
                </c:pt>
                <c:pt idx="21">
                  <c:v>0.12619272981558211</c:v>
                </c:pt>
                <c:pt idx="22">
                  <c:v>0.12131022316656107</c:v>
                </c:pt>
                <c:pt idx="23">
                  <c:v>0.11687411945319023</c:v>
                </c:pt>
                <c:pt idx="24">
                  <c:v>0.11282250736309056</c:v>
                </c:pt>
                <c:pt idx="25">
                  <c:v>0.1091046990193841</c:v>
                </c:pt>
                <c:pt idx="26">
                  <c:v>0.1056787623183994</c:v>
                </c:pt>
                <c:pt idx="27">
                  <c:v>0.10250968247892124</c:v>
                </c:pt>
                <c:pt idx="28">
                  <c:v>9.9567972170493596E-2</c:v>
                </c:pt>
                <c:pt idx="29">
                  <c:v>9.6828606762905445E-2</c:v>
                </c:pt>
                <c:pt idx="30">
                  <c:v>9.4270198766213079E-2</c:v>
                </c:pt>
                <c:pt idx="31">
                  <c:v>9.2128851540616258E-2</c:v>
                </c:pt>
                <c:pt idx="32">
                  <c:v>9.2128851540616258E-2</c:v>
                </c:pt>
                <c:pt idx="33">
                  <c:v>9.2128851540616258E-2</c:v>
                </c:pt>
                <c:pt idx="34">
                  <c:v>9.2128851540616258E-2</c:v>
                </c:pt>
                <c:pt idx="35">
                  <c:v>9.2128851540616258E-2</c:v>
                </c:pt>
                <c:pt idx="36">
                  <c:v>9.2128851540616258E-2</c:v>
                </c:pt>
                <c:pt idx="37">
                  <c:v>9.2128851540616258E-2</c:v>
                </c:pt>
                <c:pt idx="38">
                  <c:v>9.2128851540616258E-2</c:v>
                </c:pt>
                <c:pt idx="39">
                  <c:v>9.2128851540616258E-2</c:v>
                </c:pt>
                <c:pt idx="40">
                  <c:v>9.2128851540616258E-2</c:v>
                </c:pt>
                <c:pt idx="41">
                  <c:v>9.2128851540616258E-2</c:v>
                </c:pt>
                <c:pt idx="42">
                  <c:v>9.2128851540616258E-2</c:v>
                </c:pt>
                <c:pt idx="43">
                  <c:v>9.2128851540616258E-2</c:v>
                </c:pt>
                <c:pt idx="44">
                  <c:v>9.2128851540616258E-2</c:v>
                </c:pt>
                <c:pt idx="45">
                  <c:v>9.2128851540616258E-2</c:v>
                </c:pt>
                <c:pt idx="46">
                  <c:v>9.2128851540616258E-2</c:v>
                </c:pt>
                <c:pt idx="47">
                  <c:v>9.2128851540616258E-2</c:v>
                </c:pt>
                <c:pt idx="48">
                  <c:v>9.2128851540616258E-2</c:v>
                </c:pt>
                <c:pt idx="49">
                  <c:v>9.2128851540616258E-2</c:v>
                </c:pt>
                <c:pt idx="50">
                  <c:v>9.2128851540616258E-2</c:v>
                </c:pt>
                <c:pt idx="51">
                  <c:v>9.2128851540616258E-2</c:v>
                </c:pt>
                <c:pt idx="52">
                  <c:v>9.2128851540616258E-2</c:v>
                </c:pt>
              </c:numCache>
            </c:numRef>
          </c:yVal>
          <c:smooth val="0"/>
          <c:extLst>
            <c:ext xmlns:c16="http://schemas.microsoft.com/office/drawing/2014/chart" uri="{C3380CC4-5D6E-409C-BE32-E72D297353CC}">
              <c16:uniqueId val="{00000003-F0D1-4F89-B80E-F18370B12678}"/>
            </c:ext>
          </c:extLst>
        </c:ser>
        <c:ser>
          <c:idx val="1"/>
          <c:order val="4"/>
          <c:tx>
            <c:v>民85年以前，K=1.0</c:v>
          </c:tx>
          <c:marker>
            <c:symbol val="none"/>
          </c:marker>
          <c:dLbls>
            <c:delete val="1"/>
          </c:dLbls>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(II)'!$AE$43:$AE$95</c:f>
              <c:numCache>
                <c:formatCode>0.0000_ </c:formatCode>
                <c:ptCount val="53"/>
                <c:pt idx="0">
                  <c:v>0.17159999999999997</c:v>
                </c:pt>
                <c:pt idx="1">
                  <c:v>0.17159999999999997</c:v>
                </c:pt>
                <c:pt idx="2">
                  <c:v>0.17159999999999997</c:v>
                </c:pt>
                <c:pt idx="3">
                  <c:v>0.17159999999999997</c:v>
                </c:pt>
                <c:pt idx="4">
                  <c:v>0.17159999999999997</c:v>
                </c:pt>
                <c:pt idx="5">
                  <c:v>0.17159999999999997</c:v>
                </c:pt>
                <c:pt idx="6">
                  <c:v>0.17159999999999997</c:v>
                </c:pt>
                <c:pt idx="7">
                  <c:v>0.17159999999999997</c:v>
                </c:pt>
                <c:pt idx="8">
                  <c:v>0.17159999999999997</c:v>
                </c:pt>
                <c:pt idx="9">
                  <c:v>0.17159999999999997</c:v>
                </c:pt>
                <c:pt idx="10">
                  <c:v>0.17159999999999997</c:v>
                </c:pt>
                <c:pt idx="11">
                  <c:v>0.17159999999999997</c:v>
                </c:pt>
                <c:pt idx="12">
                  <c:v>0.17159999999999997</c:v>
                </c:pt>
                <c:pt idx="13">
                  <c:v>0.17159999999999997</c:v>
                </c:pt>
                <c:pt idx="14">
                  <c:v>0.17159999999999997</c:v>
                </c:pt>
                <c:pt idx="15">
                  <c:v>0.17159999999999997</c:v>
                </c:pt>
                <c:pt idx="16">
                  <c:v>0.17159999999999997</c:v>
                </c:pt>
                <c:pt idx="17">
                  <c:v>0.17159999999999997</c:v>
                </c:pt>
                <c:pt idx="18">
                  <c:v>0.17159999999999997</c:v>
                </c:pt>
                <c:pt idx="19">
                  <c:v>0.16852711618279378</c:v>
                </c:pt>
                <c:pt idx="20">
                  <c:v>0.16296362433728223</c:v>
                </c:pt>
                <c:pt idx="21">
                  <c:v>0.15791708228703052</c:v>
                </c:pt>
                <c:pt idx="22">
                  <c:v>0.15331209248180463</c:v>
                </c:pt>
                <c:pt idx="23">
                  <c:v>0.1490878060508084</c:v>
                </c:pt>
                <c:pt idx="24">
                  <c:v>0.14519450161410749</c:v>
                </c:pt>
                <c:pt idx="25">
                  <c:v>0.14159109864566441</c:v>
                </c:pt>
                <c:pt idx="26">
                  <c:v>0.13824331793352987</c:v>
                </c:pt>
                <c:pt idx="27">
                  <c:v>0.1351222991007987</c:v>
                </c:pt>
                <c:pt idx="28">
                  <c:v>0.1322035467670129</c:v>
                </c:pt>
                <c:pt idx="29">
                  <c:v>0.12946611684080148</c:v>
                </c:pt>
                <c:pt idx="30">
                  <c:v>0.12689198084650422</c:v>
                </c:pt>
                <c:pt idx="31">
                  <c:v>0.12446552400832392</c:v>
                </c:pt>
                <c:pt idx="32">
                  <c:v>0.12217314505349677</c:v>
                </c:pt>
                <c:pt idx="33">
                  <c:v>0.12000293423642651</c:v>
                </c:pt>
                <c:pt idx="34">
                  <c:v>0.1179444121344521</c:v>
                </c:pt>
                <c:pt idx="35">
                  <c:v>0.11598831610849518</c:v>
                </c:pt>
                <c:pt idx="36">
                  <c:v>0.11412642447886993</c:v>
                </c:pt>
                <c:pt idx="37">
                  <c:v>0.11235141078852919</c:v>
                </c:pt>
                <c:pt idx="38">
                  <c:v>0.11065672225238155</c:v>
                </c:pt>
                <c:pt idx="39">
                  <c:v>0.10903647778781229</c:v>
                </c:pt>
                <c:pt idx="40">
                  <c:v>0.10748538200440449</c:v>
                </c:pt>
                <c:pt idx="41">
                  <c:v>0.10599865228253744</c:v>
                </c:pt>
                <c:pt idx="42">
                  <c:v>0.10457195665017967</c:v>
                </c:pt>
                <c:pt idx="43">
                  <c:v>0.10320136061764558</c:v>
                </c:pt>
                <c:pt idx="44">
                  <c:v>0.10188328148271078</c:v>
                </c:pt>
                <c:pt idx="45">
                  <c:v>0.1006144488964317</c:v>
                </c:pt>
                <c:pt idx="46">
                  <c:v>9.9391870700538953E-2</c:v>
                </c:pt>
                <c:pt idx="47">
                  <c:v>9.821280322331262E-2</c:v>
                </c:pt>
                <c:pt idx="48">
                  <c:v>9.4291407695597559E-2</c:v>
                </c:pt>
                <c:pt idx="49">
                  <c:v>9.3282914446642246E-2</c:v>
                </c:pt>
                <c:pt idx="50">
                  <c:v>9.2306103084610111E-2</c:v>
                </c:pt>
                <c:pt idx="51">
                  <c:v>9.1359348794991399E-2</c:v>
                </c:pt>
                <c:pt idx="52">
                  <c:v>9.0441141080815662E-2</c:v>
                </c:pt>
              </c:numCache>
            </c:numRef>
          </c:yVal>
          <c:smooth val="0"/>
          <c:extLst>
            <c:ext xmlns:c16="http://schemas.microsoft.com/office/drawing/2014/chart" uri="{C3380CC4-5D6E-409C-BE32-E72D297353CC}">
              <c16:uniqueId val="{00000004-F0D1-4F89-B80E-F18370B12678}"/>
            </c:ext>
          </c:extLst>
        </c:ser>
        <c:ser>
          <c:idx val="4"/>
          <c:order val="5"/>
          <c:tx>
            <c:v>民85年以前，K=0.8</c:v>
          </c:tx>
          <c:marker>
            <c:symbol val="none"/>
          </c:marker>
          <c:dLbls>
            <c:delete val="1"/>
          </c:dLbls>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(II)'!$AF$43:$AF$95</c:f>
              <c:numCache>
                <c:formatCode>0.0000_ </c:formatCode>
                <c:ptCount val="53"/>
                <c:pt idx="0">
                  <c:v>0.13728000000000001</c:v>
                </c:pt>
                <c:pt idx="1">
                  <c:v>0.13728000000000001</c:v>
                </c:pt>
                <c:pt idx="2">
                  <c:v>0.13728000000000001</c:v>
                </c:pt>
                <c:pt idx="3">
                  <c:v>0.13728000000000001</c:v>
                </c:pt>
                <c:pt idx="4">
                  <c:v>0.13728000000000001</c:v>
                </c:pt>
                <c:pt idx="5">
                  <c:v>0.13728000000000001</c:v>
                </c:pt>
                <c:pt idx="6">
                  <c:v>0.13728000000000001</c:v>
                </c:pt>
                <c:pt idx="7">
                  <c:v>0.13728000000000001</c:v>
                </c:pt>
                <c:pt idx="8">
                  <c:v>0.13728000000000001</c:v>
                </c:pt>
                <c:pt idx="9">
                  <c:v>0.13728000000000001</c:v>
                </c:pt>
                <c:pt idx="10">
                  <c:v>0.13728000000000001</c:v>
                </c:pt>
                <c:pt idx="11">
                  <c:v>0.13728000000000001</c:v>
                </c:pt>
                <c:pt idx="12">
                  <c:v>0.13728000000000001</c:v>
                </c:pt>
                <c:pt idx="13">
                  <c:v>0.13728000000000001</c:v>
                </c:pt>
                <c:pt idx="14">
                  <c:v>0.13728000000000001</c:v>
                </c:pt>
                <c:pt idx="15">
                  <c:v>0.13728000000000001</c:v>
                </c:pt>
                <c:pt idx="16">
                  <c:v>0.13728000000000001</c:v>
                </c:pt>
                <c:pt idx="17">
                  <c:v>0.13728000000000001</c:v>
                </c:pt>
                <c:pt idx="18">
                  <c:v>0.13728000000000001</c:v>
                </c:pt>
                <c:pt idx="19">
                  <c:v>0.13482169294623506</c:v>
                </c:pt>
                <c:pt idx="20">
                  <c:v>0.13037089946982583</c:v>
                </c:pt>
                <c:pt idx="21">
                  <c:v>0.12633366582962444</c:v>
                </c:pt>
                <c:pt idx="22">
                  <c:v>0.12264967398544374</c:v>
                </c:pt>
                <c:pt idx="23">
                  <c:v>0.11927024484064676</c:v>
                </c:pt>
                <c:pt idx="24">
                  <c:v>0.11615560129128602</c:v>
                </c:pt>
                <c:pt idx="25">
                  <c:v>0.11327287891653154</c:v>
                </c:pt>
                <c:pt idx="26">
                  <c:v>0.1105946543468239</c:v>
                </c:pt>
                <c:pt idx="27">
                  <c:v>0.10809783928063897</c:v>
                </c:pt>
                <c:pt idx="28">
                  <c:v>0.10576283741361034</c:v>
                </c:pt>
                <c:pt idx="29">
                  <c:v>0.1035728934726412</c:v>
                </c:pt>
                <c:pt idx="30">
                  <c:v>0.10151358467720338</c:v>
                </c:pt>
                <c:pt idx="31">
                  <c:v>9.957241920665913E-2</c:v>
                </c:pt>
                <c:pt idx="32">
                  <c:v>9.773851604279743E-2</c:v>
                </c:pt>
                <c:pt idx="33">
                  <c:v>9.6002347389141221E-2</c:v>
                </c:pt>
                <c:pt idx="34">
                  <c:v>9.4355529707561683E-2</c:v>
                </c:pt>
                <c:pt idx="35">
                  <c:v>9.2790652886796152E-2</c:v>
                </c:pt>
                <c:pt idx="36">
                  <c:v>9.130113958309595E-2</c:v>
                </c:pt>
                <c:pt idx="37">
                  <c:v>8.9881128630823356E-2</c:v>
                </c:pt>
                <c:pt idx="38">
                  <c:v>8.8525377801905239E-2</c:v>
                </c:pt>
                <c:pt idx="39">
                  <c:v>8.7229182230249849E-2</c:v>
                </c:pt>
                <c:pt idx="40">
                  <c:v>8.5988305603523607E-2</c:v>
                </c:pt>
                <c:pt idx="41">
                  <c:v>8.4798921826029952E-2</c:v>
                </c:pt>
                <c:pt idx="42">
                  <c:v>8.3657565320143734E-2</c:v>
                </c:pt>
                <c:pt idx="43">
                  <c:v>8.2561088494116475E-2</c:v>
                </c:pt>
                <c:pt idx="44">
                  <c:v>8.1506625186168621E-2</c:v>
                </c:pt>
                <c:pt idx="45">
                  <c:v>8.0491559117145381E-2</c:v>
                </c:pt>
                <c:pt idx="46">
                  <c:v>7.9513496560431177E-2</c:v>
                </c:pt>
                <c:pt idx="47">
                  <c:v>7.8570242578650112E-2</c:v>
                </c:pt>
                <c:pt idx="48">
                  <c:v>7.5433126156478056E-2</c:v>
                </c:pt>
                <c:pt idx="49">
                  <c:v>7.4626331557313796E-2</c:v>
                </c:pt>
                <c:pt idx="50">
                  <c:v>7.3844882467688083E-2</c:v>
                </c:pt>
                <c:pt idx="51">
                  <c:v>7.308747903599315E-2</c:v>
                </c:pt>
                <c:pt idx="52">
                  <c:v>7.2352912864652522E-2</c:v>
                </c:pt>
              </c:numCache>
            </c:numRef>
          </c:yVal>
          <c:smooth val="0"/>
          <c:extLst>
            <c:ext xmlns:c16="http://schemas.microsoft.com/office/drawing/2014/chart" uri="{C3380CC4-5D6E-409C-BE32-E72D297353CC}">
              <c16:uniqueId val="{00000005-F0D1-4F89-B80E-F18370B12678}"/>
            </c:ext>
          </c:extLst>
        </c:ser>
        <c:ser>
          <c:idx val="5"/>
          <c:order val="6"/>
          <c:tx>
            <c:v>民85年以前，K=0.67</c:v>
          </c:tx>
          <c:marker>
            <c:symbol val="none"/>
          </c:marker>
          <c:dLbls>
            <c:delete val="1"/>
          </c:dLbls>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(II)'!$AG$43:$AG$95</c:f>
              <c:numCache>
                <c:formatCode>0.0000_ </c:formatCode>
                <c:ptCount val="53"/>
                <c:pt idx="0">
                  <c:v>0.11497199999999999</c:v>
                </c:pt>
                <c:pt idx="1">
                  <c:v>0.11497199999999999</c:v>
                </c:pt>
                <c:pt idx="2">
                  <c:v>0.11497199999999999</c:v>
                </c:pt>
                <c:pt idx="3">
                  <c:v>0.11497199999999999</c:v>
                </c:pt>
                <c:pt idx="4">
                  <c:v>0.11497199999999999</c:v>
                </c:pt>
                <c:pt idx="5">
                  <c:v>0.11497199999999999</c:v>
                </c:pt>
                <c:pt idx="6">
                  <c:v>0.11497199999999999</c:v>
                </c:pt>
                <c:pt idx="7">
                  <c:v>0.11497199999999999</c:v>
                </c:pt>
                <c:pt idx="8">
                  <c:v>0.11497199999999999</c:v>
                </c:pt>
                <c:pt idx="9">
                  <c:v>0.11497199999999999</c:v>
                </c:pt>
                <c:pt idx="10">
                  <c:v>0.11497199999999999</c:v>
                </c:pt>
                <c:pt idx="11">
                  <c:v>0.11497199999999999</c:v>
                </c:pt>
                <c:pt idx="12">
                  <c:v>0.11497199999999999</c:v>
                </c:pt>
                <c:pt idx="13">
                  <c:v>0.11497199999999999</c:v>
                </c:pt>
                <c:pt idx="14">
                  <c:v>0.11497199999999999</c:v>
                </c:pt>
                <c:pt idx="15">
                  <c:v>0.11497199999999999</c:v>
                </c:pt>
                <c:pt idx="16">
                  <c:v>0.11497199999999999</c:v>
                </c:pt>
                <c:pt idx="17">
                  <c:v>0.11497199999999999</c:v>
                </c:pt>
                <c:pt idx="18">
                  <c:v>0.11497199999999999</c:v>
                </c:pt>
                <c:pt idx="19">
                  <c:v>0.11291316784247185</c:v>
                </c:pt>
                <c:pt idx="20">
                  <c:v>0.1091856283059791</c:v>
                </c:pt>
                <c:pt idx="21">
                  <c:v>0.10580444513231045</c:v>
                </c:pt>
                <c:pt idx="22">
                  <c:v>0.10271910196280912</c:v>
                </c:pt>
                <c:pt idx="23">
                  <c:v>9.9888830054041644E-2</c:v>
                </c:pt>
                <c:pt idx="24">
                  <c:v>9.7280316081452031E-2</c:v>
                </c:pt>
                <c:pt idx="25">
                  <c:v>9.4866036092595141E-2</c:v>
                </c:pt>
                <c:pt idx="26">
                  <c:v>9.2623023015465003E-2</c:v>
                </c:pt>
                <c:pt idx="27">
                  <c:v>9.0531940397535135E-2</c:v>
                </c:pt>
                <c:pt idx="28">
                  <c:v>8.8576376333898643E-2</c:v>
                </c:pt>
                <c:pt idx="29">
                  <c:v>8.6742298283336988E-2</c:v>
                </c:pt>
                <c:pt idx="30">
                  <c:v>8.5017627167157828E-2</c:v>
                </c:pt>
                <c:pt idx="31">
                  <c:v>8.3391901085577022E-2</c:v>
                </c:pt>
                <c:pt idx="32">
                  <c:v>8.1856007185842836E-2</c:v>
                </c:pt>
                <c:pt idx="33">
                  <c:v>8.0401965938405762E-2</c:v>
                </c:pt>
                <c:pt idx="34">
                  <c:v>7.9022756130082902E-2</c:v>
                </c:pt>
                <c:pt idx="35">
                  <c:v>7.771217179269177E-2</c:v>
                </c:pt>
                <c:pt idx="36">
                  <c:v>7.6464704400842853E-2</c:v>
                </c:pt>
                <c:pt idx="37">
                  <c:v>7.5275445228314558E-2</c:v>
                </c:pt>
                <c:pt idx="38">
                  <c:v>7.4140003909095642E-2</c:v>
                </c:pt>
                <c:pt idx="39">
                  <c:v>7.3054440117834241E-2</c:v>
                </c:pt>
                <c:pt idx="40">
                  <c:v>7.2015205942951008E-2</c:v>
                </c:pt>
                <c:pt idx="41">
                  <c:v>7.101909702930008E-2</c:v>
                </c:pt>
                <c:pt idx="42">
                  <c:v>7.0063210955620361E-2</c:v>
                </c:pt>
                <c:pt idx="43">
                  <c:v>6.9144911613822538E-2</c:v>
                </c:pt>
                <c:pt idx="44">
                  <c:v>6.8261798593416217E-2</c:v>
                </c:pt>
                <c:pt idx="45">
                  <c:v>6.7411680760609244E-2</c:v>
                </c:pt>
                <c:pt idx="46">
                  <c:v>6.6592553369361082E-2</c:v>
                </c:pt>
                <c:pt idx="47">
                  <c:v>6.5802578159619457E-2</c:v>
                </c:pt>
                <c:pt idx="48">
                  <c:v>6.3175243156050359E-2</c:v>
                </c:pt>
                <c:pt idx="49">
                  <c:v>6.2499552679250302E-2</c:v>
                </c:pt>
                <c:pt idx="50">
                  <c:v>6.1845089066688771E-2</c:v>
                </c:pt>
                <c:pt idx="51">
                  <c:v>6.1210763692644242E-2</c:v>
                </c:pt>
                <c:pt idx="52">
                  <c:v>6.0595564524146481E-2</c:v>
                </c:pt>
              </c:numCache>
            </c:numRef>
          </c:yVal>
          <c:smooth val="0"/>
          <c:extLst>
            <c:ext xmlns:c16="http://schemas.microsoft.com/office/drawing/2014/chart" uri="{C3380CC4-5D6E-409C-BE32-E72D297353CC}">
              <c16:uniqueId val="{00000006-F0D1-4F89-B80E-F18370B12678}"/>
            </c:ext>
          </c:extLst>
        </c:ser>
        <c:dLbls>
          <c:showLegendKey val="0"/>
          <c:showVal val="1"/>
          <c:showCatName val="0"/>
          <c:showSerName val="0"/>
          <c:showPercent val="0"/>
          <c:showBubbleSize val="0"/>
        </c:dLbls>
        <c:axId val="149227008"/>
        <c:axId val="149228928"/>
      </c:scatterChart>
      <c:valAx>
        <c:axId val="149227008"/>
        <c:scaling>
          <c:orientation val="minMax"/>
          <c:max val="2.5"/>
        </c:scaling>
        <c:delete val="0"/>
        <c:axPos val="b"/>
        <c:majorGridlines/>
        <c:minorGridlines/>
        <c:title>
          <c:tx>
            <c:rich>
              <a:bodyPr/>
              <a:lstStyle/>
              <a:p>
                <a:pPr>
                  <a:defRPr sz="1200"/>
                </a:pPr>
                <a:r>
                  <a:rPr lang="zh-TW" altLang="en-US" sz="1200"/>
                  <a:t>基本振動周期 </a:t>
                </a:r>
                <a:r>
                  <a:rPr lang="en-US" altLang="zh-TW" sz="1200"/>
                  <a:t>T (sec)</a:t>
                </a:r>
              </a:p>
            </c:rich>
          </c:tx>
          <c:overlay val="0"/>
        </c:title>
        <c:numFmt formatCode="0.0000_ " sourceLinked="1"/>
        <c:majorTickMark val="out"/>
        <c:minorTickMark val="in"/>
        <c:tickLblPos val="nextTo"/>
        <c:crossAx val="149228928"/>
        <c:crosses val="autoZero"/>
        <c:crossBetween val="midCat"/>
      </c:valAx>
      <c:valAx>
        <c:axId val="149228928"/>
        <c:scaling>
          <c:orientation val="minMax"/>
        </c:scaling>
        <c:delete val="0"/>
        <c:axPos val="l"/>
        <c:minorGridlines/>
        <c:numFmt formatCode="0.000_ " sourceLinked="1"/>
        <c:majorTickMark val="out"/>
        <c:minorTickMark val="none"/>
        <c:tickLblPos val="nextTo"/>
        <c:crossAx val="149227008"/>
        <c:crosses val="autoZero"/>
        <c:crossBetween val="midCat"/>
      </c:valAx>
    </c:plotArea>
    <c:legend>
      <c:legendPos val="r"/>
      <c:layout>
        <c:manualLayout>
          <c:xMode val="edge"/>
          <c:yMode val="edge"/>
          <c:x val="0.71472326659964591"/>
          <c:y val="0.12940791518675576"/>
          <c:w val="0.23038096695445237"/>
          <c:h val="0.34245858828128317"/>
        </c:manualLayout>
      </c:layout>
      <c:overlay val="0"/>
      <c:txPr>
        <a:bodyPr/>
        <a:lstStyle/>
        <a:p>
          <a:pPr>
            <a:defRPr sz="1100"/>
          </a:pPr>
          <a:endParaRPr lang="zh-TW"/>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5047021943573"/>
          <c:y val="4.8571428571428557E-2"/>
          <c:w val="0.85423197492163006"/>
          <c:h val="0.81428571428571461"/>
        </c:manualLayout>
      </c:layout>
      <c:scatterChart>
        <c:scatterStyle val="lineMarker"/>
        <c:varyColors val="0"/>
        <c:ser>
          <c:idx val="0"/>
          <c:order val="0"/>
          <c:tx>
            <c:v>FuD</c:v>
          </c:tx>
          <c:spPr>
            <a:ln w="25400"/>
          </c:spPr>
          <c:marker>
            <c:symbol val="none"/>
          </c:marker>
          <c:xVal>
            <c:numRef>
              <c:f>台北盆地Cs!$M$10:$M$187</c:f>
              <c:numCache>
                <c:formatCode>General</c:formatCode>
                <c:ptCount val="178"/>
                <c:pt idx="0">
                  <c:v>1E-3</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pt idx="50">
                  <c:v>1</c:v>
                </c:pt>
                <c:pt idx="51">
                  <c:v>1.02</c:v>
                </c:pt>
                <c:pt idx="52">
                  <c:v>1.04</c:v>
                </c:pt>
                <c:pt idx="53">
                  <c:v>1.06</c:v>
                </c:pt>
                <c:pt idx="54">
                  <c:v>1.08</c:v>
                </c:pt>
                <c:pt idx="55">
                  <c:v>1.1000000000000001</c:v>
                </c:pt>
                <c:pt idx="56">
                  <c:v>1.1200000000000001</c:v>
                </c:pt>
                <c:pt idx="57">
                  <c:v>1.1399999999999999</c:v>
                </c:pt>
                <c:pt idx="58">
                  <c:v>1.1599999999999999</c:v>
                </c:pt>
                <c:pt idx="59">
                  <c:v>1.18</c:v>
                </c:pt>
                <c:pt idx="60">
                  <c:v>1.2</c:v>
                </c:pt>
                <c:pt idx="61">
                  <c:v>1.22</c:v>
                </c:pt>
                <c:pt idx="62">
                  <c:v>1.24</c:v>
                </c:pt>
                <c:pt idx="63">
                  <c:v>1.26</c:v>
                </c:pt>
                <c:pt idx="64">
                  <c:v>1.28</c:v>
                </c:pt>
                <c:pt idx="65">
                  <c:v>1.3</c:v>
                </c:pt>
                <c:pt idx="66">
                  <c:v>1.32</c:v>
                </c:pt>
                <c:pt idx="67">
                  <c:v>1.34</c:v>
                </c:pt>
                <c:pt idx="68">
                  <c:v>1.36</c:v>
                </c:pt>
                <c:pt idx="69">
                  <c:v>1.38</c:v>
                </c:pt>
                <c:pt idx="70">
                  <c:v>1.4</c:v>
                </c:pt>
                <c:pt idx="71">
                  <c:v>1.42</c:v>
                </c:pt>
                <c:pt idx="72">
                  <c:v>1.44</c:v>
                </c:pt>
                <c:pt idx="73">
                  <c:v>1.46</c:v>
                </c:pt>
                <c:pt idx="74">
                  <c:v>1.48</c:v>
                </c:pt>
                <c:pt idx="75">
                  <c:v>1.5</c:v>
                </c:pt>
                <c:pt idx="76">
                  <c:v>1.52</c:v>
                </c:pt>
                <c:pt idx="77">
                  <c:v>1.54</c:v>
                </c:pt>
                <c:pt idx="78">
                  <c:v>1.56</c:v>
                </c:pt>
                <c:pt idx="79">
                  <c:v>1.58</c:v>
                </c:pt>
                <c:pt idx="80">
                  <c:v>1.6</c:v>
                </c:pt>
                <c:pt idx="81">
                  <c:v>1.62</c:v>
                </c:pt>
                <c:pt idx="82">
                  <c:v>1.64</c:v>
                </c:pt>
                <c:pt idx="83">
                  <c:v>1.66</c:v>
                </c:pt>
                <c:pt idx="84">
                  <c:v>1.68</c:v>
                </c:pt>
                <c:pt idx="85">
                  <c:v>1.7</c:v>
                </c:pt>
                <c:pt idx="86">
                  <c:v>1.72</c:v>
                </c:pt>
                <c:pt idx="87">
                  <c:v>1.74</c:v>
                </c:pt>
                <c:pt idx="88">
                  <c:v>1.76</c:v>
                </c:pt>
                <c:pt idx="89">
                  <c:v>1.78</c:v>
                </c:pt>
                <c:pt idx="90">
                  <c:v>1.8</c:v>
                </c:pt>
                <c:pt idx="91">
                  <c:v>1.82</c:v>
                </c:pt>
                <c:pt idx="92">
                  <c:v>1.84</c:v>
                </c:pt>
                <c:pt idx="93">
                  <c:v>1.86</c:v>
                </c:pt>
                <c:pt idx="94">
                  <c:v>1.88</c:v>
                </c:pt>
                <c:pt idx="95">
                  <c:v>1.9</c:v>
                </c:pt>
                <c:pt idx="96">
                  <c:v>1.92</c:v>
                </c:pt>
                <c:pt idx="97">
                  <c:v>1.94</c:v>
                </c:pt>
                <c:pt idx="98">
                  <c:v>1.96</c:v>
                </c:pt>
                <c:pt idx="99">
                  <c:v>1.98</c:v>
                </c:pt>
                <c:pt idx="100">
                  <c:v>2</c:v>
                </c:pt>
                <c:pt idx="101">
                  <c:v>2.02</c:v>
                </c:pt>
                <c:pt idx="102">
                  <c:v>2.04</c:v>
                </c:pt>
                <c:pt idx="103">
                  <c:v>2.06</c:v>
                </c:pt>
                <c:pt idx="104">
                  <c:v>2.08</c:v>
                </c:pt>
                <c:pt idx="105">
                  <c:v>2.1</c:v>
                </c:pt>
                <c:pt idx="106">
                  <c:v>2.12</c:v>
                </c:pt>
                <c:pt idx="107">
                  <c:v>2.14</c:v>
                </c:pt>
                <c:pt idx="108">
                  <c:v>2.16</c:v>
                </c:pt>
                <c:pt idx="109">
                  <c:v>2.1800000000000002</c:v>
                </c:pt>
                <c:pt idx="110">
                  <c:v>2.2000000000000002</c:v>
                </c:pt>
                <c:pt idx="111">
                  <c:v>2.2200000000000002</c:v>
                </c:pt>
                <c:pt idx="112">
                  <c:v>2.2400000000000002</c:v>
                </c:pt>
                <c:pt idx="113">
                  <c:v>2.2599999999999998</c:v>
                </c:pt>
                <c:pt idx="114">
                  <c:v>2.2799999999999998</c:v>
                </c:pt>
                <c:pt idx="115">
                  <c:v>2.2999999999999998</c:v>
                </c:pt>
                <c:pt idx="116">
                  <c:v>2.3199999999999998</c:v>
                </c:pt>
                <c:pt idx="117">
                  <c:v>2.34</c:v>
                </c:pt>
                <c:pt idx="118">
                  <c:v>2.36</c:v>
                </c:pt>
                <c:pt idx="119">
                  <c:v>2.38</c:v>
                </c:pt>
                <c:pt idx="120">
                  <c:v>2.4</c:v>
                </c:pt>
                <c:pt idx="121">
                  <c:v>2.42</c:v>
                </c:pt>
                <c:pt idx="122">
                  <c:v>2.44</c:v>
                </c:pt>
                <c:pt idx="123">
                  <c:v>2.46</c:v>
                </c:pt>
                <c:pt idx="124">
                  <c:v>2.48</c:v>
                </c:pt>
                <c:pt idx="125">
                  <c:v>2.5</c:v>
                </c:pt>
                <c:pt idx="126">
                  <c:v>2.52</c:v>
                </c:pt>
                <c:pt idx="127">
                  <c:v>2.54</c:v>
                </c:pt>
                <c:pt idx="128">
                  <c:v>2.56</c:v>
                </c:pt>
                <c:pt idx="129">
                  <c:v>2.58</c:v>
                </c:pt>
                <c:pt idx="130">
                  <c:v>2.6</c:v>
                </c:pt>
                <c:pt idx="131">
                  <c:v>2.62</c:v>
                </c:pt>
                <c:pt idx="132">
                  <c:v>2.64</c:v>
                </c:pt>
                <c:pt idx="133">
                  <c:v>2.66</c:v>
                </c:pt>
                <c:pt idx="134">
                  <c:v>2.68</c:v>
                </c:pt>
                <c:pt idx="135">
                  <c:v>2.7</c:v>
                </c:pt>
                <c:pt idx="136">
                  <c:v>2.72</c:v>
                </c:pt>
                <c:pt idx="137">
                  <c:v>2.74</c:v>
                </c:pt>
                <c:pt idx="138">
                  <c:v>2.76</c:v>
                </c:pt>
                <c:pt idx="139">
                  <c:v>2.78</c:v>
                </c:pt>
                <c:pt idx="140">
                  <c:v>2.8</c:v>
                </c:pt>
                <c:pt idx="141">
                  <c:v>2.82</c:v>
                </c:pt>
                <c:pt idx="142">
                  <c:v>2.84</c:v>
                </c:pt>
                <c:pt idx="143">
                  <c:v>2.86</c:v>
                </c:pt>
                <c:pt idx="144">
                  <c:v>2.88</c:v>
                </c:pt>
                <c:pt idx="145">
                  <c:v>2.9</c:v>
                </c:pt>
                <c:pt idx="146">
                  <c:v>2.92</c:v>
                </c:pt>
                <c:pt idx="147">
                  <c:v>2.94</c:v>
                </c:pt>
                <c:pt idx="148">
                  <c:v>2.96</c:v>
                </c:pt>
                <c:pt idx="149">
                  <c:v>2.98</c:v>
                </c:pt>
                <c:pt idx="150">
                  <c:v>3</c:v>
                </c:pt>
                <c:pt idx="151">
                  <c:v>3.02</c:v>
                </c:pt>
                <c:pt idx="152">
                  <c:v>3.04</c:v>
                </c:pt>
                <c:pt idx="153">
                  <c:v>3.06</c:v>
                </c:pt>
                <c:pt idx="154">
                  <c:v>3.08</c:v>
                </c:pt>
                <c:pt idx="155">
                  <c:v>3.1</c:v>
                </c:pt>
                <c:pt idx="156">
                  <c:v>3.12</c:v>
                </c:pt>
                <c:pt idx="157">
                  <c:v>3.14</c:v>
                </c:pt>
                <c:pt idx="158">
                  <c:v>3.16</c:v>
                </c:pt>
                <c:pt idx="159">
                  <c:v>3.18</c:v>
                </c:pt>
                <c:pt idx="160">
                  <c:v>3.2</c:v>
                </c:pt>
                <c:pt idx="161">
                  <c:v>3.22</c:v>
                </c:pt>
                <c:pt idx="162">
                  <c:v>3.24</c:v>
                </c:pt>
                <c:pt idx="163">
                  <c:v>3.26</c:v>
                </c:pt>
                <c:pt idx="164">
                  <c:v>3.28</c:v>
                </c:pt>
                <c:pt idx="165">
                  <c:v>3.3</c:v>
                </c:pt>
                <c:pt idx="166">
                  <c:v>3.32</c:v>
                </c:pt>
                <c:pt idx="167">
                  <c:v>3.34</c:v>
                </c:pt>
                <c:pt idx="168">
                  <c:v>3.36</c:v>
                </c:pt>
                <c:pt idx="169">
                  <c:v>3.38</c:v>
                </c:pt>
                <c:pt idx="170">
                  <c:v>3.4</c:v>
                </c:pt>
                <c:pt idx="171">
                  <c:v>3.42</c:v>
                </c:pt>
                <c:pt idx="172">
                  <c:v>3.44</c:v>
                </c:pt>
                <c:pt idx="173">
                  <c:v>3.46</c:v>
                </c:pt>
                <c:pt idx="174">
                  <c:v>3.48</c:v>
                </c:pt>
                <c:pt idx="175">
                  <c:v>3.5</c:v>
                </c:pt>
                <c:pt idx="176">
                  <c:v>3.52</c:v>
                </c:pt>
                <c:pt idx="177">
                  <c:v>4</c:v>
                </c:pt>
              </c:numCache>
            </c:numRef>
          </c:xVal>
          <c:yVal>
            <c:numRef>
              <c:f>台北盆地Cs!$P$10:$P$187</c:f>
              <c:numCache>
                <c:formatCode>General</c:formatCode>
                <c:ptCount val="178"/>
                <c:pt idx="0">
                  <c:v>1.0038461538461538</c:v>
                </c:pt>
                <c:pt idx="1">
                  <c:v>1.0769230769230771</c:v>
                </c:pt>
                <c:pt idx="2">
                  <c:v>1.153846153846154</c:v>
                </c:pt>
                <c:pt idx="3">
                  <c:v>1.2307692307692308</c:v>
                </c:pt>
                <c:pt idx="4">
                  <c:v>1.3076923076923079</c:v>
                </c:pt>
                <c:pt idx="5">
                  <c:v>1.3846153846153846</c:v>
                </c:pt>
                <c:pt idx="6">
                  <c:v>1.4615384615384615</c:v>
                </c:pt>
                <c:pt idx="7">
                  <c:v>1.5384615384615385</c:v>
                </c:pt>
                <c:pt idx="8">
                  <c:v>1.6153846153846154</c:v>
                </c:pt>
                <c:pt idx="9">
                  <c:v>1.6923076923076923</c:v>
                </c:pt>
                <c:pt idx="10">
                  <c:v>1.7692307692307692</c:v>
                </c:pt>
                <c:pt idx="11">
                  <c:v>1.846153846153846</c:v>
                </c:pt>
                <c:pt idx="12">
                  <c:v>1.9230769230769229</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2.0192307692307692</c:v>
                </c:pt>
                <c:pt idx="41">
                  <c:v>2.0384615384615383</c:v>
                </c:pt>
                <c:pt idx="42">
                  <c:v>2.0576923076923075</c:v>
                </c:pt>
                <c:pt idx="43">
                  <c:v>2.0769230769230771</c:v>
                </c:pt>
                <c:pt idx="44">
                  <c:v>2.0961538461538463</c:v>
                </c:pt>
                <c:pt idx="45">
                  <c:v>2.1153846153846154</c:v>
                </c:pt>
                <c:pt idx="46">
                  <c:v>2.1346153846153846</c:v>
                </c:pt>
                <c:pt idx="47">
                  <c:v>2.1538461538461537</c:v>
                </c:pt>
                <c:pt idx="48">
                  <c:v>2.1730769230769229</c:v>
                </c:pt>
                <c:pt idx="49">
                  <c:v>2.1923076923076921</c:v>
                </c:pt>
                <c:pt idx="50">
                  <c:v>2.2115384615384617</c:v>
                </c:pt>
                <c:pt idx="51">
                  <c:v>2.2307692307692308</c:v>
                </c:pt>
                <c:pt idx="52">
                  <c:v>2.25</c:v>
                </c:pt>
                <c:pt idx="53">
                  <c:v>2.2692307692307692</c:v>
                </c:pt>
                <c:pt idx="54">
                  <c:v>2.2884615384615383</c:v>
                </c:pt>
                <c:pt idx="55">
                  <c:v>2.3076923076923079</c:v>
                </c:pt>
                <c:pt idx="56">
                  <c:v>2.3269230769230771</c:v>
                </c:pt>
                <c:pt idx="57">
                  <c:v>2.3461538461538458</c:v>
                </c:pt>
                <c:pt idx="58">
                  <c:v>2.3653846153846154</c:v>
                </c:pt>
                <c:pt idx="59">
                  <c:v>2.3846153846153846</c:v>
                </c:pt>
                <c:pt idx="60">
                  <c:v>2.4038461538461537</c:v>
                </c:pt>
                <c:pt idx="61">
                  <c:v>2.4230769230769229</c:v>
                </c:pt>
                <c:pt idx="62">
                  <c:v>2.4423076923076921</c:v>
                </c:pt>
                <c:pt idx="63">
                  <c:v>2.4615384615384617</c:v>
                </c:pt>
                <c:pt idx="64">
                  <c:v>2.4807692307692308</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numCache>
            </c:numRef>
          </c:yVal>
          <c:smooth val="0"/>
          <c:extLst>
            <c:ext xmlns:c16="http://schemas.microsoft.com/office/drawing/2014/chart" uri="{C3380CC4-5D6E-409C-BE32-E72D297353CC}">
              <c16:uniqueId val="{00000000-BF6A-4CAF-B498-EE99A00857D4}"/>
            </c:ext>
          </c:extLst>
        </c:ser>
        <c:ser>
          <c:idx val="2"/>
          <c:order val="1"/>
          <c:tx>
            <c:v>FuM</c:v>
          </c:tx>
          <c:spPr>
            <a:ln>
              <a:solidFill>
                <a:srgbClr val="00B050"/>
              </a:solidFill>
              <a:prstDash val="sysDash"/>
            </a:ln>
          </c:spPr>
          <c:marker>
            <c:symbol val="none"/>
          </c:marker>
          <c:xVal>
            <c:numRef>
              <c:f>台北盆地Cs!$M$10:$M$187</c:f>
              <c:numCache>
                <c:formatCode>General</c:formatCode>
                <c:ptCount val="178"/>
                <c:pt idx="0">
                  <c:v>1E-3</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pt idx="50">
                  <c:v>1</c:v>
                </c:pt>
                <c:pt idx="51">
                  <c:v>1.02</c:v>
                </c:pt>
                <c:pt idx="52">
                  <c:v>1.04</c:v>
                </c:pt>
                <c:pt idx="53">
                  <c:v>1.06</c:v>
                </c:pt>
                <c:pt idx="54">
                  <c:v>1.08</c:v>
                </c:pt>
                <c:pt idx="55">
                  <c:v>1.1000000000000001</c:v>
                </c:pt>
                <c:pt idx="56">
                  <c:v>1.1200000000000001</c:v>
                </c:pt>
                <c:pt idx="57">
                  <c:v>1.1399999999999999</c:v>
                </c:pt>
                <c:pt idx="58">
                  <c:v>1.1599999999999999</c:v>
                </c:pt>
                <c:pt idx="59">
                  <c:v>1.18</c:v>
                </c:pt>
                <c:pt idx="60">
                  <c:v>1.2</c:v>
                </c:pt>
                <c:pt idx="61">
                  <c:v>1.22</c:v>
                </c:pt>
                <c:pt idx="62">
                  <c:v>1.24</c:v>
                </c:pt>
                <c:pt idx="63">
                  <c:v>1.26</c:v>
                </c:pt>
                <c:pt idx="64">
                  <c:v>1.28</c:v>
                </c:pt>
                <c:pt idx="65">
                  <c:v>1.3</c:v>
                </c:pt>
                <c:pt idx="66">
                  <c:v>1.32</c:v>
                </c:pt>
                <c:pt idx="67">
                  <c:v>1.34</c:v>
                </c:pt>
                <c:pt idx="68">
                  <c:v>1.36</c:v>
                </c:pt>
                <c:pt idx="69">
                  <c:v>1.38</c:v>
                </c:pt>
                <c:pt idx="70">
                  <c:v>1.4</c:v>
                </c:pt>
                <c:pt idx="71">
                  <c:v>1.42</c:v>
                </c:pt>
                <c:pt idx="72">
                  <c:v>1.44</c:v>
                </c:pt>
                <c:pt idx="73">
                  <c:v>1.46</c:v>
                </c:pt>
                <c:pt idx="74">
                  <c:v>1.48</c:v>
                </c:pt>
                <c:pt idx="75">
                  <c:v>1.5</c:v>
                </c:pt>
                <c:pt idx="76">
                  <c:v>1.52</c:v>
                </c:pt>
                <c:pt idx="77">
                  <c:v>1.54</c:v>
                </c:pt>
                <c:pt idx="78">
                  <c:v>1.56</c:v>
                </c:pt>
                <c:pt idx="79">
                  <c:v>1.58</c:v>
                </c:pt>
                <c:pt idx="80">
                  <c:v>1.6</c:v>
                </c:pt>
                <c:pt idx="81">
                  <c:v>1.62</c:v>
                </c:pt>
                <c:pt idx="82">
                  <c:v>1.64</c:v>
                </c:pt>
                <c:pt idx="83">
                  <c:v>1.66</c:v>
                </c:pt>
                <c:pt idx="84">
                  <c:v>1.68</c:v>
                </c:pt>
                <c:pt idx="85">
                  <c:v>1.7</c:v>
                </c:pt>
                <c:pt idx="86">
                  <c:v>1.72</c:v>
                </c:pt>
                <c:pt idx="87">
                  <c:v>1.74</c:v>
                </c:pt>
                <c:pt idx="88">
                  <c:v>1.76</c:v>
                </c:pt>
                <c:pt idx="89">
                  <c:v>1.78</c:v>
                </c:pt>
                <c:pt idx="90">
                  <c:v>1.8</c:v>
                </c:pt>
                <c:pt idx="91">
                  <c:v>1.82</c:v>
                </c:pt>
                <c:pt idx="92">
                  <c:v>1.84</c:v>
                </c:pt>
                <c:pt idx="93">
                  <c:v>1.86</c:v>
                </c:pt>
                <c:pt idx="94">
                  <c:v>1.88</c:v>
                </c:pt>
                <c:pt idx="95">
                  <c:v>1.9</c:v>
                </c:pt>
                <c:pt idx="96">
                  <c:v>1.92</c:v>
                </c:pt>
                <c:pt idx="97">
                  <c:v>1.94</c:v>
                </c:pt>
                <c:pt idx="98">
                  <c:v>1.96</c:v>
                </c:pt>
                <c:pt idx="99">
                  <c:v>1.98</c:v>
                </c:pt>
                <c:pt idx="100">
                  <c:v>2</c:v>
                </c:pt>
                <c:pt idx="101">
                  <c:v>2.02</c:v>
                </c:pt>
                <c:pt idx="102">
                  <c:v>2.04</c:v>
                </c:pt>
                <c:pt idx="103">
                  <c:v>2.06</c:v>
                </c:pt>
                <c:pt idx="104">
                  <c:v>2.08</c:v>
                </c:pt>
                <c:pt idx="105">
                  <c:v>2.1</c:v>
                </c:pt>
                <c:pt idx="106">
                  <c:v>2.12</c:v>
                </c:pt>
                <c:pt idx="107">
                  <c:v>2.14</c:v>
                </c:pt>
                <c:pt idx="108">
                  <c:v>2.16</c:v>
                </c:pt>
                <c:pt idx="109">
                  <c:v>2.1800000000000002</c:v>
                </c:pt>
                <c:pt idx="110">
                  <c:v>2.2000000000000002</c:v>
                </c:pt>
                <c:pt idx="111">
                  <c:v>2.2200000000000002</c:v>
                </c:pt>
                <c:pt idx="112">
                  <c:v>2.2400000000000002</c:v>
                </c:pt>
                <c:pt idx="113">
                  <c:v>2.2599999999999998</c:v>
                </c:pt>
                <c:pt idx="114">
                  <c:v>2.2799999999999998</c:v>
                </c:pt>
                <c:pt idx="115">
                  <c:v>2.2999999999999998</c:v>
                </c:pt>
                <c:pt idx="116">
                  <c:v>2.3199999999999998</c:v>
                </c:pt>
                <c:pt idx="117">
                  <c:v>2.34</c:v>
                </c:pt>
                <c:pt idx="118">
                  <c:v>2.36</c:v>
                </c:pt>
                <c:pt idx="119">
                  <c:v>2.38</c:v>
                </c:pt>
                <c:pt idx="120">
                  <c:v>2.4</c:v>
                </c:pt>
                <c:pt idx="121">
                  <c:v>2.42</c:v>
                </c:pt>
                <c:pt idx="122">
                  <c:v>2.44</c:v>
                </c:pt>
                <c:pt idx="123">
                  <c:v>2.46</c:v>
                </c:pt>
                <c:pt idx="124">
                  <c:v>2.48</c:v>
                </c:pt>
                <c:pt idx="125">
                  <c:v>2.5</c:v>
                </c:pt>
                <c:pt idx="126">
                  <c:v>2.52</c:v>
                </c:pt>
                <c:pt idx="127">
                  <c:v>2.54</c:v>
                </c:pt>
                <c:pt idx="128">
                  <c:v>2.56</c:v>
                </c:pt>
                <c:pt idx="129">
                  <c:v>2.58</c:v>
                </c:pt>
                <c:pt idx="130">
                  <c:v>2.6</c:v>
                </c:pt>
                <c:pt idx="131">
                  <c:v>2.62</c:v>
                </c:pt>
                <c:pt idx="132">
                  <c:v>2.64</c:v>
                </c:pt>
                <c:pt idx="133">
                  <c:v>2.66</c:v>
                </c:pt>
                <c:pt idx="134">
                  <c:v>2.68</c:v>
                </c:pt>
                <c:pt idx="135">
                  <c:v>2.7</c:v>
                </c:pt>
                <c:pt idx="136">
                  <c:v>2.72</c:v>
                </c:pt>
                <c:pt idx="137">
                  <c:v>2.74</c:v>
                </c:pt>
                <c:pt idx="138">
                  <c:v>2.76</c:v>
                </c:pt>
                <c:pt idx="139">
                  <c:v>2.78</c:v>
                </c:pt>
                <c:pt idx="140">
                  <c:v>2.8</c:v>
                </c:pt>
                <c:pt idx="141">
                  <c:v>2.82</c:v>
                </c:pt>
                <c:pt idx="142">
                  <c:v>2.84</c:v>
                </c:pt>
                <c:pt idx="143">
                  <c:v>2.86</c:v>
                </c:pt>
                <c:pt idx="144">
                  <c:v>2.88</c:v>
                </c:pt>
                <c:pt idx="145">
                  <c:v>2.9</c:v>
                </c:pt>
                <c:pt idx="146">
                  <c:v>2.92</c:v>
                </c:pt>
                <c:pt idx="147">
                  <c:v>2.94</c:v>
                </c:pt>
                <c:pt idx="148">
                  <c:v>2.96</c:v>
                </c:pt>
                <c:pt idx="149">
                  <c:v>2.98</c:v>
                </c:pt>
                <c:pt idx="150">
                  <c:v>3</c:v>
                </c:pt>
                <c:pt idx="151">
                  <c:v>3.02</c:v>
                </c:pt>
                <c:pt idx="152">
                  <c:v>3.04</c:v>
                </c:pt>
                <c:pt idx="153">
                  <c:v>3.06</c:v>
                </c:pt>
                <c:pt idx="154">
                  <c:v>3.08</c:v>
                </c:pt>
                <c:pt idx="155">
                  <c:v>3.1</c:v>
                </c:pt>
                <c:pt idx="156">
                  <c:v>3.12</c:v>
                </c:pt>
                <c:pt idx="157">
                  <c:v>3.14</c:v>
                </c:pt>
                <c:pt idx="158">
                  <c:v>3.16</c:v>
                </c:pt>
                <c:pt idx="159">
                  <c:v>3.18</c:v>
                </c:pt>
                <c:pt idx="160">
                  <c:v>3.2</c:v>
                </c:pt>
                <c:pt idx="161">
                  <c:v>3.22</c:v>
                </c:pt>
                <c:pt idx="162">
                  <c:v>3.24</c:v>
                </c:pt>
                <c:pt idx="163">
                  <c:v>3.26</c:v>
                </c:pt>
                <c:pt idx="164">
                  <c:v>3.28</c:v>
                </c:pt>
                <c:pt idx="165">
                  <c:v>3.3</c:v>
                </c:pt>
                <c:pt idx="166">
                  <c:v>3.32</c:v>
                </c:pt>
                <c:pt idx="167">
                  <c:v>3.34</c:v>
                </c:pt>
                <c:pt idx="168">
                  <c:v>3.36</c:v>
                </c:pt>
                <c:pt idx="169">
                  <c:v>3.38</c:v>
                </c:pt>
                <c:pt idx="170">
                  <c:v>3.4</c:v>
                </c:pt>
                <c:pt idx="171">
                  <c:v>3.42</c:v>
                </c:pt>
                <c:pt idx="172">
                  <c:v>3.44</c:v>
                </c:pt>
                <c:pt idx="173">
                  <c:v>3.46</c:v>
                </c:pt>
                <c:pt idx="174">
                  <c:v>3.48</c:v>
                </c:pt>
                <c:pt idx="175">
                  <c:v>3.5</c:v>
                </c:pt>
                <c:pt idx="176">
                  <c:v>3.52</c:v>
                </c:pt>
                <c:pt idx="177">
                  <c:v>4</c:v>
                </c:pt>
              </c:numCache>
            </c:numRef>
          </c:xVal>
          <c:yVal>
            <c:numRef>
              <c:f>台北盆地Cs!$U$10:$U$187</c:f>
              <c:numCache>
                <c:formatCode>0.000_ </c:formatCode>
                <c:ptCount val="178"/>
                <c:pt idx="0">
                  <c:v>1.0000000000000002</c:v>
                </c:pt>
                <c:pt idx="1">
                  <c:v>1.1265962546972761</c:v>
                </c:pt>
                <c:pt idx="2">
                  <c:v>1.2531925093945524</c:v>
                </c:pt>
                <c:pt idx="3">
                  <c:v>1.3797887640918287</c:v>
                </c:pt>
                <c:pt idx="4">
                  <c:v>1.506385018789105</c:v>
                </c:pt>
                <c:pt idx="5">
                  <c:v>1.6329812734863811</c:v>
                </c:pt>
                <c:pt idx="6">
                  <c:v>1.7595775281836574</c:v>
                </c:pt>
                <c:pt idx="7">
                  <c:v>1.8861737828809335</c:v>
                </c:pt>
                <c:pt idx="8">
                  <c:v>2.0127700375782096</c:v>
                </c:pt>
                <c:pt idx="9">
                  <c:v>2.1393662922754859</c:v>
                </c:pt>
                <c:pt idx="10">
                  <c:v>2.2659625469727622</c:v>
                </c:pt>
                <c:pt idx="11">
                  <c:v>2.3925588016700381</c:v>
                </c:pt>
                <c:pt idx="12">
                  <c:v>2.5191550563673144</c:v>
                </c:pt>
                <c:pt idx="13">
                  <c:v>2.6457513110645907</c:v>
                </c:pt>
                <c:pt idx="14">
                  <c:v>2.6457513110645907</c:v>
                </c:pt>
                <c:pt idx="15">
                  <c:v>2.6457513110645907</c:v>
                </c:pt>
                <c:pt idx="16">
                  <c:v>2.6457513110645907</c:v>
                </c:pt>
                <c:pt idx="17">
                  <c:v>2.6457513110645907</c:v>
                </c:pt>
                <c:pt idx="18">
                  <c:v>2.6457513110645907</c:v>
                </c:pt>
                <c:pt idx="19">
                  <c:v>2.6457513110645907</c:v>
                </c:pt>
                <c:pt idx="20">
                  <c:v>2.6457513110645907</c:v>
                </c:pt>
                <c:pt idx="21">
                  <c:v>2.6457513110645907</c:v>
                </c:pt>
                <c:pt idx="22">
                  <c:v>2.6457513110645907</c:v>
                </c:pt>
                <c:pt idx="23">
                  <c:v>2.6457513110645907</c:v>
                </c:pt>
                <c:pt idx="24">
                  <c:v>2.6457513110645907</c:v>
                </c:pt>
                <c:pt idx="25">
                  <c:v>2.6457513110645907</c:v>
                </c:pt>
                <c:pt idx="26">
                  <c:v>2.6457513110645907</c:v>
                </c:pt>
                <c:pt idx="27">
                  <c:v>2.6457513110645907</c:v>
                </c:pt>
                <c:pt idx="28">
                  <c:v>2.6457513110645907</c:v>
                </c:pt>
                <c:pt idx="29">
                  <c:v>2.6457513110645907</c:v>
                </c:pt>
                <c:pt idx="30">
                  <c:v>2.6457513110645907</c:v>
                </c:pt>
                <c:pt idx="31">
                  <c:v>2.6457513110645907</c:v>
                </c:pt>
                <c:pt idx="32">
                  <c:v>2.6457513110645907</c:v>
                </c:pt>
                <c:pt idx="33">
                  <c:v>2.6457513110645907</c:v>
                </c:pt>
                <c:pt idx="34">
                  <c:v>2.6457513110645907</c:v>
                </c:pt>
                <c:pt idx="35">
                  <c:v>2.6457513110645907</c:v>
                </c:pt>
                <c:pt idx="36">
                  <c:v>2.6457513110645907</c:v>
                </c:pt>
                <c:pt idx="37">
                  <c:v>2.6457513110645907</c:v>
                </c:pt>
                <c:pt idx="38">
                  <c:v>2.6457513110645907</c:v>
                </c:pt>
                <c:pt idx="39">
                  <c:v>2.6457513110645907</c:v>
                </c:pt>
                <c:pt idx="40">
                  <c:v>2.6978377991005682</c:v>
                </c:pt>
                <c:pt idx="41">
                  <c:v>2.7499242871365452</c:v>
                </c:pt>
                <c:pt idx="42">
                  <c:v>2.8020107751725223</c:v>
                </c:pt>
                <c:pt idx="43">
                  <c:v>2.8540972632084998</c:v>
                </c:pt>
                <c:pt idx="44">
                  <c:v>2.9061837512444773</c:v>
                </c:pt>
                <c:pt idx="45">
                  <c:v>2.9582702392804543</c:v>
                </c:pt>
                <c:pt idx="46">
                  <c:v>3.0103567273164318</c:v>
                </c:pt>
                <c:pt idx="47">
                  <c:v>3.0624432153524088</c:v>
                </c:pt>
                <c:pt idx="48">
                  <c:v>3.1145297033883859</c:v>
                </c:pt>
                <c:pt idx="49">
                  <c:v>3.1666161914243633</c:v>
                </c:pt>
                <c:pt idx="50">
                  <c:v>3.2187026794603408</c:v>
                </c:pt>
                <c:pt idx="51">
                  <c:v>3.2707891674963179</c:v>
                </c:pt>
                <c:pt idx="52">
                  <c:v>3.3228756555322954</c:v>
                </c:pt>
                <c:pt idx="53">
                  <c:v>3.3749621435682728</c:v>
                </c:pt>
                <c:pt idx="54">
                  <c:v>3.4270486316042499</c:v>
                </c:pt>
                <c:pt idx="55">
                  <c:v>3.4791351196402274</c:v>
                </c:pt>
                <c:pt idx="56">
                  <c:v>3.5312216076762049</c:v>
                </c:pt>
                <c:pt idx="57">
                  <c:v>3.583308095712181</c:v>
                </c:pt>
                <c:pt idx="58">
                  <c:v>3.6353945837481589</c:v>
                </c:pt>
                <c:pt idx="59">
                  <c:v>3.687481071784136</c:v>
                </c:pt>
                <c:pt idx="60">
                  <c:v>3.739567559820113</c:v>
                </c:pt>
                <c:pt idx="61">
                  <c:v>3.7916540478560909</c:v>
                </c:pt>
                <c:pt idx="62">
                  <c:v>3.843740535892068</c:v>
                </c:pt>
                <c:pt idx="63">
                  <c:v>3.895827023928045</c:v>
                </c:pt>
                <c:pt idx="64">
                  <c:v>3.947913511964023</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numCache>
            </c:numRef>
          </c:yVal>
          <c:smooth val="0"/>
          <c:extLst>
            <c:ext xmlns:c16="http://schemas.microsoft.com/office/drawing/2014/chart" uri="{C3380CC4-5D6E-409C-BE32-E72D297353CC}">
              <c16:uniqueId val="{00000001-BF6A-4CAF-B498-EE99A00857D4}"/>
            </c:ext>
          </c:extLst>
        </c:ser>
        <c:ser>
          <c:idx val="3"/>
          <c:order val="2"/>
          <c:tx>
            <c:strRef>
              <c:f>台北盆地Cs!$AB$13:$AD$13</c:f>
              <c:strCache>
                <c:ptCount val="1"/>
                <c:pt idx="0">
                  <c:v>基本振動週期T= 0.212  s</c:v>
                </c:pt>
              </c:strCache>
            </c:strRef>
          </c:tx>
          <c:spPr>
            <a:ln w="19050">
              <a:solidFill>
                <a:schemeClr val="tx1">
                  <a:lumMod val="75000"/>
                  <a:lumOff val="25000"/>
                </a:schemeClr>
              </a:solidFill>
              <a:prstDash val="sysDash"/>
            </a:ln>
          </c:spPr>
          <c:marker>
            <c:symbol val="none"/>
          </c:marker>
          <c:xVal>
            <c:numRef>
              <c:f>台北盆地Cs!$AC$10:$AC$11</c:f>
              <c:numCache>
                <c:formatCode>0.000_ </c:formatCode>
                <c:ptCount val="2"/>
                <c:pt idx="0">
                  <c:v>0.21210000000000001</c:v>
                </c:pt>
                <c:pt idx="1">
                  <c:v>0.21210000000000001</c:v>
                </c:pt>
              </c:numCache>
            </c:numRef>
          </c:xVal>
          <c:yVal>
            <c:numRef>
              <c:f>台北盆地Cs!$AB$21:$AB$22</c:f>
              <c:numCache>
                <c:formatCode>0.000_ </c:formatCode>
                <c:ptCount val="2"/>
                <c:pt idx="0">
                  <c:v>0</c:v>
                </c:pt>
                <c:pt idx="1">
                  <c:v>4</c:v>
                </c:pt>
              </c:numCache>
            </c:numRef>
          </c:yVal>
          <c:smooth val="0"/>
          <c:extLst>
            <c:ext xmlns:c16="http://schemas.microsoft.com/office/drawing/2014/chart" uri="{C3380CC4-5D6E-409C-BE32-E72D297353CC}">
              <c16:uniqueId val="{00000002-BF6A-4CAF-B498-EE99A00857D4}"/>
            </c:ext>
          </c:extLst>
        </c:ser>
        <c:dLbls>
          <c:showLegendKey val="0"/>
          <c:showVal val="0"/>
          <c:showCatName val="0"/>
          <c:showSerName val="0"/>
          <c:showPercent val="0"/>
          <c:showBubbleSize val="0"/>
        </c:dLbls>
        <c:axId val="149579264"/>
        <c:axId val="149581184"/>
      </c:scatterChart>
      <c:valAx>
        <c:axId val="149579264"/>
        <c:scaling>
          <c:orientation val="minMax"/>
          <c:max val="3"/>
        </c:scaling>
        <c:delete val="0"/>
        <c:axPos val="b"/>
        <c:majorGridlines>
          <c:spPr>
            <a:ln w="9525">
              <a:solidFill>
                <a:sysClr val="windowText" lastClr="000000"/>
              </a:solidFill>
            </a:ln>
          </c:spPr>
        </c:majorGridlines>
        <c:minorGridlines/>
        <c:title>
          <c:tx>
            <c:rich>
              <a:bodyPr/>
              <a:lstStyle/>
              <a:p>
                <a:pPr>
                  <a:defRPr/>
                </a:pPr>
                <a:r>
                  <a:rPr lang="en-US" altLang="zh-TW"/>
                  <a:t>Period T (sec)</a:t>
                </a:r>
                <a:endParaRPr lang="zh-TW" altLang="en-US"/>
              </a:p>
            </c:rich>
          </c:tx>
          <c:overlay val="0"/>
        </c:title>
        <c:numFmt formatCode="General" sourceLinked="1"/>
        <c:majorTickMark val="none"/>
        <c:minorTickMark val="none"/>
        <c:tickLblPos val="nextTo"/>
        <c:spPr>
          <a:ln w="15875">
            <a:solidFill>
              <a:sysClr val="windowText" lastClr="000000"/>
            </a:solidFill>
          </a:ln>
        </c:spPr>
        <c:txPr>
          <a:bodyPr rot="0" vert="horz"/>
          <a:lstStyle/>
          <a:p>
            <a:pPr>
              <a:defRPr sz="1000" b="0" i="0" u="none" strike="noStrike" baseline="0">
                <a:solidFill>
                  <a:srgbClr val="000000"/>
                </a:solidFill>
                <a:latin typeface="新細明體"/>
                <a:ea typeface="新細明體"/>
                <a:cs typeface="新細明體"/>
              </a:defRPr>
            </a:pPr>
            <a:endParaRPr lang="zh-TW"/>
          </a:p>
        </c:txPr>
        <c:crossAx val="149581184"/>
        <c:crosses val="autoZero"/>
        <c:crossBetween val="midCat"/>
        <c:majorUnit val="0.5"/>
        <c:minorUnit val="0.1"/>
      </c:valAx>
      <c:valAx>
        <c:axId val="149581184"/>
        <c:scaling>
          <c:orientation val="minMax"/>
        </c:scaling>
        <c:delete val="0"/>
        <c:axPos val="l"/>
        <c:majorGridlines>
          <c:spPr>
            <a:ln w="9525">
              <a:solidFill>
                <a:sysClr val="windowText" lastClr="000000"/>
              </a:solidFill>
            </a:ln>
          </c:spPr>
        </c:majorGridlines>
        <c:minorGridlines/>
        <c:title>
          <c:tx>
            <c:rich>
              <a:bodyPr/>
              <a:lstStyle/>
              <a:p>
                <a:pPr>
                  <a:defRPr/>
                </a:pPr>
                <a:r>
                  <a:rPr lang="en-US" altLang="zh-TW"/>
                  <a:t>Fu</a:t>
                </a:r>
              </a:p>
            </c:rich>
          </c:tx>
          <c:overlay val="0"/>
        </c:title>
        <c:numFmt formatCode="0.00_);\(0.00\)" sourceLinked="0"/>
        <c:majorTickMark val="none"/>
        <c:minorTickMark val="none"/>
        <c:tickLblPos val="nextTo"/>
        <c:spPr>
          <a:ln w="15875">
            <a:solidFill>
              <a:sysClr val="windowText" lastClr="000000"/>
            </a:solidFill>
          </a:ln>
        </c:spPr>
        <c:crossAx val="149579264"/>
        <c:crosses val="autoZero"/>
        <c:crossBetween val="midCat"/>
      </c:valAx>
      <c:spPr>
        <a:ln w="15875">
          <a:solidFill>
            <a:schemeClr val="tx1"/>
          </a:solidFill>
        </a:ln>
      </c:spPr>
    </c:plotArea>
    <c:legend>
      <c:legendPos val="r"/>
      <c:layout>
        <c:manualLayout>
          <c:xMode val="edge"/>
          <c:yMode val="edge"/>
          <c:x val="0.62665399583672732"/>
          <c:y val="0.58605864266966623"/>
          <c:w val="0.32094043887147428"/>
          <c:h val="0.25269201349831172"/>
        </c:manualLayout>
      </c:layout>
      <c:overlay val="0"/>
      <c:spPr>
        <a:solidFill>
          <a:schemeClr val="bg1"/>
        </a:solidFill>
      </c:sp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5047021943573"/>
          <c:y val="4.8571428571428557E-2"/>
          <c:w val="0.85423197492163006"/>
          <c:h val="0.81428571428571461"/>
        </c:manualLayout>
      </c:layout>
      <c:scatterChart>
        <c:scatterStyle val="lineMarker"/>
        <c:varyColors val="0"/>
        <c:ser>
          <c:idx val="0"/>
          <c:order val="0"/>
          <c:tx>
            <c:v>CsD</c:v>
          </c:tx>
          <c:spPr>
            <a:ln w="25400"/>
          </c:spPr>
          <c:marker>
            <c:symbol val="none"/>
          </c:marker>
          <c:xVal>
            <c:numRef>
              <c:f>台北盆地Cs!$M$10:$M$187</c:f>
              <c:numCache>
                <c:formatCode>General</c:formatCode>
                <c:ptCount val="178"/>
                <c:pt idx="0">
                  <c:v>1E-3</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pt idx="50">
                  <c:v>1</c:v>
                </c:pt>
                <c:pt idx="51">
                  <c:v>1.02</c:v>
                </c:pt>
                <c:pt idx="52">
                  <c:v>1.04</c:v>
                </c:pt>
                <c:pt idx="53">
                  <c:v>1.06</c:v>
                </c:pt>
                <c:pt idx="54">
                  <c:v>1.08</c:v>
                </c:pt>
                <c:pt idx="55">
                  <c:v>1.1000000000000001</c:v>
                </c:pt>
                <c:pt idx="56">
                  <c:v>1.1200000000000001</c:v>
                </c:pt>
                <c:pt idx="57">
                  <c:v>1.1399999999999999</c:v>
                </c:pt>
                <c:pt idx="58">
                  <c:v>1.1599999999999999</c:v>
                </c:pt>
                <c:pt idx="59">
                  <c:v>1.18</c:v>
                </c:pt>
                <c:pt idx="60">
                  <c:v>1.2</c:v>
                </c:pt>
                <c:pt idx="61">
                  <c:v>1.22</c:v>
                </c:pt>
                <c:pt idx="62">
                  <c:v>1.24</c:v>
                </c:pt>
                <c:pt idx="63">
                  <c:v>1.26</c:v>
                </c:pt>
                <c:pt idx="64">
                  <c:v>1.28</c:v>
                </c:pt>
                <c:pt idx="65">
                  <c:v>1.3</c:v>
                </c:pt>
                <c:pt idx="66">
                  <c:v>1.32</c:v>
                </c:pt>
                <c:pt idx="67">
                  <c:v>1.34</c:v>
                </c:pt>
                <c:pt idx="68">
                  <c:v>1.36</c:v>
                </c:pt>
                <c:pt idx="69">
                  <c:v>1.38</c:v>
                </c:pt>
                <c:pt idx="70">
                  <c:v>1.4</c:v>
                </c:pt>
                <c:pt idx="71">
                  <c:v>1.42</c:v>
                </c:pt>
                <c:pt idx="72">
                  <c:v>1.44</c:v>
                </c:pt>
                <c:pt idx="73">
                  <c:v>1.46</c:v>
                </c:pt>
                <c:pt idx="74">
                  <c:v>1.48</c:v>
                </c:pt>
                <c:pt idx="75">
                  <c:v>1.5</c:v>
                </c:pt>
                <c:pt idx="76">
                  <c:v>1.52</c:v>
                </c:pt>
                <c:pt idx="77">
                  <c:v>1.54</c:v>
                </c:pt>
                <c:pt idx="78">
                  <c:v>1.56</c:v>
                </c:pt>
                <c:pt idx="79">
                  <c:v>1.58</c:v>
                </c:pt>
                <c:pt idx="80">
                  <c:v>1.6</c:v>
                </c:pt>
                <c:pt idx="81">
                  <c:v>1.62</c:v>
                </c:pt>
                <c:pt idx="82">
                  <c:v>1.64</c:v>
                </c:pt>
                <c:pt idx="83">
                  <c:v>1.66</c:v>
                </c:pt>
                <c:pt idx="84">
                  <c:v>1.68</c:v>
                </c:pt>
                <c:pt idx="85">
                  <c:v>1.7</c:v>
                </c:pt>
                <c:pt idx="86">
                  <c:v>1.72</c:v>
                </c:pt>
                <c:pt idx="87">
                  <c:v>1.74</c:v>
                </c:pt>
                <c:pt idx="88">
                  <c:v>1.76</c:v>
                </c:pt>
                <c:pt idx="89">
                  <c:v>1.78</c:v>
                </c:pt>
                <c:pt idx="90">
                  <c:v>1.8</c:v>
                </c:pt>
                <c:pt idx="91">
                  <c:v>1.82</c:v>
                </c:pt>
                <c:pt idx="92">
                  <c:v>1.84</c:v>
                </c:pt>
                <c:pt idx="93">
                  <c:v>1.86</c:v>
                </c:pt>
                <c:pt idx="94">
                  <c:v>1.88</c:v>
                </c:pt>
                <c:pt idx="95">
                  <c:v>1.9</c:v>
                </c:pt>
                <c:pt idx="96">
                  <c:v>1.92</c:v>
                </c:pt>
                <c:pt idx="97">
                  <c:v>1.94</c:v>
                </c:pt>
                <c:pt idx="98">
                  <c:v>1.96</c:v>
                </c:pt>
                <c:pt idx="99">
                  <c:v>1.98</c:v>
                </c:pt>
                <c:pt idx="100">
                  <c:v>2</c:v>
                </c:pt>
                <c:pt idx="101">
                  <c:v>2.02</c:v>
                </c:pt>
                <c:pt idx="102">
                  <c:v>2.04</c:v>
                </c:pt>
                <c:pt idx="103">
                  <c:v>2.06</c:v>
                </c:pt>
                <c:pt idx="104">
                  <c:v>2.08</c:v>
                </c:pt>
                <c:pt idx="105">
                  <c:v>2.1</c:v>
                </c:pt>
                <c:pt idx="106">
                  <c:v>2.12</c:v>
                </c:pt>
                <c:pt idx="107">
                  <c:v>2.14</c:v>
                </c:pt>
                <c:pt idx="108">
                  <c:v>2.16</c:v>
                </c:pt>
                <c:pt idx="109">
                  <c:v>2.1800000000000002</c:v>
                </c:pt>
                <c:pt idx="110">
                  <c:v>2.2000000000000002</c:v>
                </c:pt>
                <c:pt idx="111">
                  <c:v>2.2200000000000002</c:v>
                </c:pt>
                <c:pt idx="112">
                  <c:v>2.2400000000000002</c:v>
                </c:pt>
                <c:pt idx="113">
                  <c:v>2.2599999999999998</c:v>
                </c:pt>
                <c:pt idx="114">
                  <c:v>2.2799999999999998</c:v>
                </c:pt>
                <c:pt idx="115">
                  <c:v>2.2999999999999998</c:v>
                </c:pt>
                <c:pt idx="116">
                  <c:v>2.3199999999999998</c:v>
                </c:pt>
                <c:pt idx="117">
                  <c:v>2.34</c:v>
                </c:pt>
                <c:pt idx="118">
                  <c:v>2.36</c:v>
                </c:pt>
                <c:pt idx="119">
                  <c:v>2.38</c:v>
                </c:pt>
                <c:pt idx="120">
                  <c:v>2.4</c:v>
                </c:pt>
                <c:pt idx="121">
                  <c:v>2.42</c:v>
                </c:pt>
                <c:pt idx="122">
                  <c:v>2.44</c:v>
                </c:pt>
                <c:pt idx="123">
                  <c:v>2.46</c:v>
                </c:pt>
                <c:pt idx="124">
                  <c:v>2.48</c:v>
                </c:pt>
                <c:pt idx="125">
                  <c:v>2.5</c:v>
                </c:pt>
                <c:pt idx="126">
                  <c:v>2.52</c:v>
                </c:pt>
                <c:pt idx="127">
                  <c:v>2.54</c:v>
                </c:pt>
                <c:pt idx="128">
                  <c:v>2.56</c:v>
                </c:pt>
                <c:pt idx="129">
                  <c:v>2.58</c:v>
                </c:pt>
                <c:pt idx="130">
                  <c:v>2.6</c:v>
                </c:pt>
                <c:pt idx="131">
                  <c:v>2.62</c:v>
                </c:pt>
                <c:pt idx="132">
                  <c:v>2.64</c:v>
                </c:pt>
                <c:pt idx="133">
                  <c:v>2.66</c:v>
                </c:pt>
                <c:pt idx="134">
                  <c:v>2.68</c:v>
                </c:pt>
                <c:pt idx="135">
                  <c:v>2.7</c:v>
                </c:pt>
                <c:pt idx="136">
                  <c:v>2.72</c:v>
                </c:pt>
                <c:pt idx="137">
                  <c:v>2.74</c:v>
                </c:pt>
                <c:pt idx="138">
                  <c:v>2.76</c:v>
                </c:pt>
                <c:pt idx="139">
                  <c:v>2.78</c:v>
                </c:pt>
                <c:pt idx="140">
                  <c:v>2.8</c:v>
                </c:pt>
                <c:pt idx="141">
                  <c:v>2.82</c:v>
                </c:pt>
                <c:pt idx="142">
                  <c:v>2.84</c:v>
                </c:pt>
                <c:pt idx="143">
                  <c:v>2.86</c:v>
                </c:pt>
                <c:pt idx="144">
                  <c:v>2.88</c:v>
                </c:pt>
                <c:pt idx="145">
                  <c:v>2.9</c:v>
                </c:pt>
                <c:pt idx="146">
                  <c:v>2.92</c:v>
                </c:pt>
                <c:pt idx="147">
                  <c:v>2.94</c:v>
                </c:pt>
                <c:pt idx="148">
                  <c:v>2.96</c:v>
                </c:pt>
                <c:pt idx="149">
                  <c:v>2.98</c:v>
                </c:pt>
                <c:pt idx="150">
                  <c:v>3</c:v>
                </c:pt>
                <c:pt idx="151">
                  <c:v>3.02</c:v>
                </c:pt>
                <c:pt idx="152">
                  <c:v>3.04</c:v>
                </c:pt>
                <c:pt idx="153">
                  <c:v>3.06</c:v>
                </c:pt>
                <c:pt idx="154">
                  <c:v>3.08</c:v>
                </c:pt>
                <c:pt idx="155">
                  <c:v>3.1</c:v>
                </c:pt>
                <c:pt idx="156">
                  <c:v>3.12</c:v>
                </c:pt>
                <c:pt idx="157">
                  <c:v>3.14</c:v>
                </c:pt>
                <c:pt idx="158">
                  <c:v>3.16</c:v>
                </c:pt>
                <c:pt idx="159">
                  <c:v>3.18</c:v>
                </c:pt>
                <c:pt idx="160">
                  <c:v>3.2</c:v>
                </c:pt>
                <c:pt idx="161">
                  <c:v>3.22</c:v>
                </c:pt>
                <c:pt idx="162">
                  <c:v>3.24</c:v>
                </c:pt>
                <c:pt idx="163">
                  <c:v>3.26</c:v>
                </c:pt>
                <c:pt idx="164">
                  <c:v>3.28</c:v>
                </c:pt>
                <c:pt idx="165">
                  <c:v>3.3</c:v>
                </c:pt>
                <c:pt idx="166">
                  <c:v>3.32</c:v>
                </c:pt>
                <c:pt idx="167">
                  <c:v>3.34</c:v>
                </c:pt>
                <c:pt idx="168">
                  <c:v>3.36</c:v>
                </c:pt>
                <c:pt idx="169">
                  <c:v>3.38</c:v>
                </c:pt>
                <c:pt idx="170">
                  <c:v>3.4</c:v>
                </c:pt>
                <c:pt idx="171">
                  <c:v>3.42</c:v>
                </c:pt>
                <c:pt idx="172">
                  <c:v>3.44</c:v>
                </c:pt>
                <c:pt idx="173">
                  <c:v>3.46</c:v>
                </c:pt>
                <c:pt idx="174">
                  <c:v>3.48</c:v>
                </c:pt>
                <c:pt idx="175">
                  <c:v>3.5</c:v>
                </c:pt>
                <c:pt idx="176">
                  <c:v>3.52</c:v>
                </c:pt>
                <c:pt idx="177">
                  <c:v>4</c:v>
                </c:pt>
              </c:numCache>
            </c:numRef>
          </c:xVal>
          <c:yVal>
            <c:numRef>
              <c:f>台北盆地Cs!$W$10:$W$187</c:f>
              <c:numCache>
                <c:formatCode>0.000_ </c:formatCode>
                <c:ptCount val="178"/>
                <c:pt idx="0">
                  <c:v>0.17175697865353037</c:v>
                </c:pt>
                <c:pt idx="1">
                  <c:v>0.17755102040816323</c:v>
                </c:pt>
                <c:pt idx="2">
                  <c:v>0.18285714285714286</c:v>
                </c:pt>
                <c:pt idx="3">
                  <c:v>0.18749999999999997</c:v>
                </c:pt>
                <c:pt idx="4">
                  <c:v>0.19159663865546217</c:v>
                </c:pt>
                <c:pt idx="5">
                  <c:v>0.19523809523809524</c:v>
                </c:pt>
                <c:pt idx="6">
                  <c:v>0.19849624060150375</c:v>
                </c:pt>
                <c:pt idx="7">
                  <c:v>0.20142857142857146</c:v>
                </c:pt>
                <c:pt idx="8">
                  <c:v>0.20408163265306117</c:v>
                </c:pt>
                <c:pt idx="9">
                  <c:v>0.20649350649350648</c:v>
                </c:pt>
                <c:pt idx="10">
                  <c:v>0.20869565217391306</c:v>
                </c:pt>
                <c:pt idx="11">
                  <c:v>0.21071428571428574</c:v>
                </c:pt>
                <c:pt idx="12">
                  <c:v>0.21257142857142861</c:v>
                </c:pt>
                <c:pt idx="13">
                  <c:v>0.21428571428571427</c:v>
                </c:pt>
                <c:pt idx="14">
                  <c:v>0.21428571428571427</c:v>
                </c:pt>
                <c:pt idx="15">
                  <c:v>0.21428571428571427</c:v>
                </c:pt>
                <c:pt idx="16">
                  <c:v>0.21428571428571427</c:v>
                </c:pt>
                <c:pt idx="17">
                  <c:v>0.21428571428571427</c:v>
                </c:pt>
                <c:pt idx="18">
                  <c:v>0.21428571428571427</c:v>
                </c:pt>
                <c:pt idx="19">
                  <c:v>0.21428571428571427</c:v>
                </c:pt>
                <c:pt idx="20">
                  <c:v>0.21428571428571427</c:v>
                </c:pt>
                <c:pt idx="21">
                  <c:v>0.21428571428571427</c:v>
                </c:pt>
                <c:pt idx="22">
                  <c:v>0.21428571428571427</c:v>
                </c:pt>
                <c:pt idx="23">
                  <c:v>0.21428571428571427</c:v>
                </c:pt>
                <c:pt idx="24">
                  <c:v>0.21428571428571427</c:v>
                </c:pt>
                <c:pt idx="25">
                  <c:v>0.21428571428571427</c:v>
                </c:pt>
                <c:pt idx="26">
                  <c:v>0.21428571428571427</c:v>
                </c:pt>
                <c:pt idx="27">
                  <c:v>0.21428571428571427</c:v>
                </c:pt>
                <c:pt idx="28">
                  <c:v>0.21428571428571427</c:v>
                </c:pt>
                <c:pt idx="29">
                  <c:v>0.21428571428571427</c:v>
                </c:pt>
                <c:pt idx="30">
                  <c:v>0.21428571428571427</c:v>
                </c:pt>
                <c:pt idx="31">
                  <c:v>0.21428571428571427</c:v>
                </c:pt>
                <c:pt idx="32">
                  <c:v>0.21428571428571427</c:v>
                </c:pt>
                <c:pt idx="33">
                  <c:v>0.21428571428571427</c:v>
                </c:pt>
                <c:pt idx="34">
                  <c:v>0.21428571428571427</c:v>
                </c:pt>
                <c:pt idx="35">
                  <c:v>0.21428571428571427</c:v>
                </c:pt>
                <c:pt idx="36">
                  <c:v>0.21428571428571427</c:v>
                </c:pt>
                <c:pt idx="37">
                  <c:v>0.21428571428571427</c:v>
                </c:pt>
                <c:pt idx="38">
                  <c:v>0.21428571428571427</c:v>
                </c:pt>
                <c:pt idx="39">
                  <c:v>0.21428571428571427</c:v>
                </c:pt>
                <c:pt idx="40">
                  <c:v>0.21224489795918369</c:v>
                </c:pt>
                <c:pt idx="41">
                  <c:v>0.21024258760107817</c:v>
                </c:pt>
                <c:pt idx="42">
                  <c:v>0.20827770360480641</c:v>
                </c:pt>
                <c:pt idx="43">
                  <c:v>0.20634920634920634</c:v>
                </c:pt>
                <c:pt idx="44">
                  <c:v>0.20445609436435122</c:v>
                </c:pt>
                <c:pt idx="45">
                  <c:v>0.20259740259740261</c:v>
                </c:pt>
                <c:pt idx="46">
                  <c:v>0.20077220077220079</c:v>
                </c:pt>
                <c:pt idx="47">
                  <c:v>0.19897959183673469</c:v>
                </c:pt>
                <c:pt idx="48">
                  <c:v>0.19721871049304679</c:v>
                </c:pt>
                <c:pt idx="49">
                  <c:v>0.1954887218045113</c:v>
                </c:pt>
                <c:pt idx="50">
                  <c:v>0.19378881987577637</c:v>
                </c:pt>
                <c:pt idx="51">
                  <c:v>0.19211822660098521</c:v>
                </c:pt>
                <c:pt idx="52">
                  <c:v>0.19047619047619047</c:v>
                </c:pt>
                <c:pt idx="53">
                  <c:v>0.18886198547215496</c:v>
                </c:pt>
                <c:pt idx="54">
                  <c:v>0.1872749099639856</c:v>
                </c:pt>
                <c:pt idx="55">
                  <c:v>0.18571428571428569</c:v>
                </c:pt>
                <c:pt idx="56">
                  <c:v>0.18417945690672963</c:v>
                </c:pt>
                <c:pt idx="57">
                  <c:v>0.18266978922716631</c:v>
                </c:pt>
                <c:pt idx="58">
                  <c:v>0.18118466898954705</c:v>
                </c:pt>
                <c:pt idx="59">
                  <c:v>0.17972350230414746</c:v>
                </c:pt>
                <c:pt idx="60">
                  <c:v>0.17828571428571427</c:v>
                </c:pt>
                <c:pt idx="61">
                  <c:v>0.17687074829931973</c:v>
                </c:pt>
                <c:pt idx="62">
                  <c:v>0.17547806524184478</c:v>
                </c:pt>
                <c:pt idx="63">
                  <c:v>0.17410714285714285</c:v>
                </c:pt>
                <c:pt idx="64">
                  <c:v>0.17275747508305647</c:v>
                </c:pt>
                <c:pt idx="65">
                  <c:v>0.17142857142857143</c:v>
                </c:pt>
                <c:pt idx="66">
                  <c:v>0.16883116883116886</c:v>
                </c:pt>
                <c:pt idx="67">
                  <c:v>0.16631130063965888</c:v>
                </c:pt>
                <c:pt idx="68">
                  <c:v>0.1638655462184874</c:v>
                </c:pt>
                <c:pt idx="69">
                  <c:v>0.16149068322981369</c:v>
                </c:pt>
                <c:pt idx="70">
                  <c:v>0.15918367346938778</c:v>
                </c:pt>
                <c:pt idx="71">
                  <c:v>0.15694164989939638</c:v>
                </c:pt>
                <c:pt idx="72">
                  <c:v>0.15476190476190479</c:v>
                </c:pt>
                <c:pt idx="73">
                  <c:v>0.15264187866927595</c:v>
                </c:pt>
                <c:pt idx="74">
                  <c:v>0.15057915057915058</c:v>
                </c:pt>
                <c:pt idx="75">
                  <c:v>0.14857142857142858</c:v>
                </c:pt>
                <c:pt idx="76">
                  <c:v>0.14661654135338348</c:v>
                </c:pt>
                <c:pt idx="77">
                  <c:v>0.14471243042671617</c:v>
                </c:pt>
                <c:pt idx="78">
                  <c:v>0.14285714285714288</c:v>
                </c:pt>
                <c:pt idx="79">
                  <c:v>0.1410488245931284</c:v>
                </c:pt>
                <c:pt idx="80">
                  <c:v>0.13928571428571429</c:v>
                </c:pt>
                <c:pt idx="81">
                  <c:v>0.13756613756613756</c:v>
                </c:pt>
                <c:pt idx="82">
                  <c:v>0.13588850174216027</c:v>
                </c:pt>
                <c:pt idx="83">
                  <c:v>0.13425129087779691</c:v>
                </c:pt>
                <c:pt idx="84">
                  <c:v>0.1326530612244898</c:v>
                </c:pt>
                <c:pt idx="85">
                  <c:v>0.13109243697478992</c:v>
                </c:pt>
                <c:pt idx="86">
                  <c:v>0.12956810631229237</c:v>
                </c:pt>
                <c:pt idx="87">
                  <c:v>0.12807881773399016</c:v>
                </c:pt>
                <c:pt idx="88">
                  <c:v>0.12662337662337664</c:v>
                </c:pt>
                <c:pt idx="89">
                  <c:v>0.12520064205457465</c:v>
                </c:pt>
                <c:pt idx="90">
                  <c:v>0.12380952380952381</c:v>
                </c:pt>
                <c:pt idx="91">
                  <c:v>0.12244897959183673</c:v>
                </c:pt>
                <c:pt idx="92">
                  <c:v>0.12111801242236024</c:v>
                </c:pt>
                <c:pt idx="93">
                  <c:v>0.11981566820276499</c:v>
                </c:pt>
                <c:pt idx="94">
                  <c:v>0.11854103343465047</c:v>
                </c:pt>
                <c:pt idx="95">
                  <c:v>0.11729323308270678</c:v>
                </c:pt>
                <c:pt idx="96">
                  <c:v>0.1160714285714286</c:v>
                </c:pt>
                <c:pt idx="97">
                  <c:v>0.11487481590574375</c:v>
                </c:pt>
                <c:pt idx="98">
                  <c:v>0.11370262390670553</c:v>
                </c:pt>
                <c:pt idx="99">
                  <c:v>0.11255411255411257</c:v>
                </c:pt>
                <c:pt idx="100">
                  <c:v>0.11142857142857143</c:v>
                </c:pt>
                <c:pt idx="101">
                  <c:v>0.11032531824611033</c:v>
                </c:pt>
                <c:pt idx="102">
                  <c:v>0.10924369747899161</c:v>
                </c:pt>
                <c:pt idx="103">
                  <c:v>0.10818307905686547</c:v>
                </c:pt>
                <c:pt idx="104">
                  <c:v>0.10714285714285714</c:v>
                </c:pt>
                <c:pt idx="105">
                  <c:v>0.10612244897959185</c:v>
                </c:pt>
                <c:pt idx="106">
                  <c:v>0.10512129380053908</c:v>
                </c:pt>
                <c:pt idx="107">
                  <c:v>0.1041388518024032</c:v>
                </c:pt>
                <c:pt idx="108">
                  <c:v>0.10317460317460317</c:v>
                </c:pt>
                <c:pt idx="109">
                  <c:v>0.10222804718217561</c:v>
                </c:pt>
                <c:pt idx="110">
                  <c:v>0.1012987012987013</c:v>
                </c:pt>
                <c:pt idx="111">
                  <c:v>0.10038610038610038</c:v>
                </c:pt>
                <c:pt idx="112">
                  <c:v>9.9489795918367346E-2</c:v>
                </c:pt>
                <c:pt idx="113">
                  <c:v>9.8609355246523409E-2</c:v>
                </c:pt>
                <c:pt idx="114">
                  <c:v>9.7744360902255661E-2</c:v>
                </c:pt>
                <c:pt idx="115">
                  <c:v>9.6894409937888212E-2</c:v>
                </c:pt>
                <c:pt idx="116">
                  <c:v>9.6059113300492632E-2</c:v>
                </c:pt>
                <c:pt idx="117">
                  <c:v>9.5238095238095261E-2</c:v>
                </c:pt>
                <c:pt idx="118">
                  <c:v>9.4430992736077482E-2</c:v>
                </c:pt>
                <c:pt idx="119">
                  <c:v>9.3637454981992801E-2</c:v>
                </c:pt>
                <c:pt idx="120">
                  <c:v>9.285714285714286E-2</c:v>
                </c:pt>
                <c:pt idx="121">
                  <c:v>9.2089728453364827E-2</c:v>
                </c:pt>
                <c:pt idx="122">
                  <c:v>9.1334894613583156E-2</c:v>
                </c:pt>
                <c:pt idx="123">
                  <c:v>9.0592334494773524E-2</c:v>
                </c:pt>
                <c:pt idx="124">
                  <c:v>8.9861751152073732E-2</c:v>
                </c:pt>
                <c:pt idx="125">
                  <c:v>8.9142857142857135E-2</c:v>
                </c:pt>
                <c:pt idx="126">
                  <c:v>8.8435374149659865E-2</c:v>
                </c:pt>
                <c:pt idx="127">
                  <c:v>8.7739032620922391E-2</c:v>
                </c:pt>
                <c:pt idx="128">
                  <c:v>8.7053571428571425E-2</c:v>
                </c:pt>
                <c:pt idx="129">
                  <c:v>8.6378737541528236E-2</c:v>
                </c:pt>
                <c:pt idx="130">
                  <c:v>8.5714285714285715E-2</c:v>
                </c:pt>
                <c:pt idx="131">
                  <c:v>8.5059978189749183E-2</c:v>
                </c:pt>
                <c:pt idx="132">
                  <c:v>8.441558441558443E-2</c:v>
                </c:pt>
                <c:pt idx="133">
                  <c:v>8.3780880773361974E-2</c:v>
                </c:pt>
                <c:pt idx="134">
                  <c:v>8.3155650319829438E-2</c:v>
                </c:pt>
                <c:pt idx="135">
                  <c:v>8.2539682539682538E-2</c:v>
                </c:pt>
                <c:pt idx="136">
                  <c:v>8.1932773109243698E-2</c:v>
                </c:pt>
                <c:pt idx="137">
                  <c:v>8.1334723670490092E-2</c:v>
                </c:pt>
                <c:pt idx="138">
                  <c:v>8.0745341614906846E-2</c:v>
                </c:pt>
                <c:pt idx="139">
                  <c:v>8.0164439876670102E-2</c:v>
                </c:pt>
                <c:pt idx="140">
                  <c:v>7.9591836734693888E-2</c:v>
                </c:pt>
                <c:pt idx="141">
                  <c:v>7.9027355623100315E-2</c:v>
                </c:pt>
                <c:pt idx="142">
                  <c:v>7.847082494969819E-2</c:v>
                </c:pt>
                <c:pt idx="143">
                  <c:v>7.7922077922077934E-2</c:v>
                </c:pt>
                <c:pt idx="144">
                  <c:v>7.7380952380952397E-2</c:v>
                </c:pt>
                <c:pt idx="145">
                  <c:v>7.6847290640394098E-2</c:v>
                </c:pt>
                <c:pt idx="146">
                  <c:v>7.6320939334637974E-2</c:v>
                </c:pt>
                <c:pt idx="147">
                  <c:v>7.5801749271137031E-2</c:v>
                </c:pt>
                <c:pt idx="148">
                  <c:v>7.5289575289575292E-2</c:v>
                </c:pt>
                <c:pt idx="149">
                  <c:v>7.4784276126558011E-2</c:v>
                </c:pt>
                <c:pt idx="150">
                  <c:v>7.4285714285714288E-2</c:v>
                </c:pt>
                <c:pt idx="151">
                  <c:v>7.3793755912961209E-2</c:v>
                </c:pt>
                <c:pt idx="152">
                  <c:v>7.3308270676691739E-2</c:v>
                </c:pt>
                <c:pt idx="153">
                  <c:v>7.2829131652661069E-2</c:v>
                </c:pt>
                <c:pt idx="154">
                  <c:v>7.2356215213358083E-2</c:v>
                </c:pt>
                <c:pt idx="155">
                  <c:v>7.1889400921658977E-2</c:v>
                </c:pt>
                <c:pt idx="156">
                  <c:v>7.1428571428571438E-2</c:v>
                </c:pt>
                <c:pt idx="157">
                  <c:v>7.0973612374886266E-2</c:v>
                </c:pt>
                <c:pt idx="158">
                  <c:v>7.0524412296564198E-2</c:v>
                </c:pt>
                <c:pt idx="159">
                  <c:v>7.0080862533692723E-2</c:v>
                </c:pt>
                <c:pt idx="160">
                  <c:v>6.9642857142857145E-2</c:v>
                </c:pt>
                <c:pt idx="161">
                  <c:v>6.9210292812777283E-2</c:v>
                </c:pt>
                <c:pt idx="162">
                  <c:v>6.8783068783068779E-2</c:v>
                </c:pt>
                <c:pt idx="163">
                  <c:v>6.8571428571428575E-2</c:v>
                </c:pt>
                <c:pt idx="164">
                  <c:v>6.8571428571428575E-2</c:v>
                </c:pt>
                <c:pt idx="165">
                  <c:v>6.8571428571428575E-2</c:v>
                </c:pt>
                <c:pt idx="166">
                  <c:v>6.8571428571428575E-2</c:v>
                </c:pt>
                <c:pt idx="167">
                  <c:v>6.8571428571428575E-2</c:v>
                </c:pt>
                <c:pt idx="168">
                  <c:v>6.8571428571428575E-2</c:v>
                </c:pt>
                <c:pt idx="169">
                  <c:v>6.8571428571428575E-2</c:v>
                </c:pt>
                <c:pt idx="170">
                  <c:v>6.8571428571428575E-2</c:v>
                </c:pt>
                <c:pt idx="171">
                  <c:v>6.8571428571428575E-2</c:v>
                </c:pt>
                <c:pt idx="172">
                  <c:v>6.8571428571428575E-2</c:v>
                </c:pt>
                <c:pt idx="173">
                  <c:v>6.8571428571428575E-2</c:v>
                </c:pt>
                <c:pt idx="174">
                  <c:v>6.8571428571428575E-2</c:v>
                </c:pt>
                <c:pt idx="175">
                  <c:v>6.8571428571428575E-2</c:v>
                </c:pt>
                <c:pt idx="176">
                  <c:v>6.8571428571428575E-2</c:v>
                </c:pt>
                <c:pt idx="177">
                  <c:v>6.8571428571428575E-2</c:v>
                </c:pt>
              </c:numCache>
            </c:numRef>
          </c:yVal>
          <c:smooth val="0"/>
          <c:extLst>
            <c:ext xmlns:c16="http://schemas.microsoft.com/office/drawing/2014/chart" uri="{C3380CC4-5D6E-409C-BE32-E72D297353CC}">
              <c16:uniqueId val="{00000000-B6AE-45A5-931A-9E12D0268ACA}"/>
            </c:ext>
          </c:extLst>
        </c:ser>
        <c:ser>
          <c:idx val="1"/>
          <c:order val="1"/>
          <c:tx>
            <c:v>Cs*</c:v>
          </c:tx>
          <c:spPr>
            <a:ln w="31750">
              <a:prstDash val="sysDot"/>
            </a:ln>
          </c:spPr>
          <c:marker>
            <c:symbol val="none"/>
          </c:marker>
          <c:xVal>
            <c:numRef>
              <c:f>台北盆地Cs!$M$10:$M$187</c:f>
              <c:numCache>
                <c:formatCode>General</c:formatCode>
                <c:ptCount val="178"/>
                <c:pt idx="0">
                  <c:v>1E-3</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pt idx="50">
                  <c:v>1</c:v>
                </c:pt>
                <c:pt idx="51">
                  <c:v>1.02</c:v>
                </c:pt>
                <c:pt idx="52">
                  <c:v>1.04</c:v>
                </c:pt>
                <c:pt idx="53">
                  <c:v>1.06</c:v>
                </c:pt>
                <c:pt idx="54">
                  <c:v>1.08</c:v>
                </c:pt>
                <c:pt idx="55">
                  <c:v>1.1000000000000001</c:v>
                </c:pt>
                <c:pt idx="56">
                  <c:v>1.1200000000000001</c:v>
                </c:pt>
                <c:pt idx="57">
                  <c:v>1.1399999999999999</c:v>
                </c:pt>
                <c:pt idx="58">
                  <c:v>1.1599999999999999</c:v>
                </c:pt>
                <c:pt idx="59">
                  <c:v>1.18</c:v>
                </c:pt>
                <c:pt idx="60">
                  <c:v>1.2</c:v>
                </c:pt>
                <c:pt idx="61">
                  <c:v>1.22</c:v>
                </c:pt>
                <c:pt idx="62">
                  <c:v>1.24</c:v>
                </c:pt>
                <c:pt idx="63">
                  <c:v>1.26</c:v>
                </c:pt>
                <c:pt idx="64">
                  <c:v>1.28</c:v>
                </c:pt>
                <c:pt idx="65">
                  <c:v>1.3</c:v>
                </c:pt>
                <c:pt idx="66">
                  <c:v>1.32</c:v>
                </c:pt>
                <c:pt idx="67">
                  <c:v>1.34</c:v>
                </c:pt>
                <c:pt idx="68">
                  <c:v>1.36</c:v>
                </c:pt>
                <c:pt idx="69">
                  <c:v>1.38</c:v>
                </c:pt>
                <c:pt idx="70">
                  <c:v>1.4</c:v>
                </c:pt>
                <c:pt idx="71">
                  <c:v>1.42</c:v>
                </c:pt>
                <c:pt idx="72">
                  <c:v>1.44</c:v>
                </c:pt>
                <c:pt idx="73">
                  <c:v>1.46</c:v>
                </c:pt>
                <c:pt idx="74">
                  <c:v>1.48</c:v>
                </c:pt>
                <c:pt idx="75">
                  <c:v>1.5</c:v>
                </c:pt>
                <c:pt idx="76">
                  <c:v>1.52</c:v>
                </c:pt>
                <c:pt idx="77">
                  <c:v>1.54</c:v>
                </c:pt>
                <c:pt idx="78">
                  <c:v>1.56</c:v>
                </c:pt>
                <c:pt idx="79">
                  <c:v>1.58</c:v>
                </c:pt>
                <c:pt idx="80">
                  <c:v>1.6</c:v>
                </c:pt>
                <c:pt idx="81">
                  <c:v>1.62</c:v>
                </c:pt>
                <c:pt idx="82">
                  <c:v>1.64</c:v>
                </c:pt>
                <c:pt idx="83">
                  <c:v>1.66</c:v>
                </c:pt>
                <c:pt idx="84">
                  <c:v>1.68</c:v>
                </c:pt>
                <c:pt idx="85">
                  <c:v>1.7</c:v>
                </c:pt>
                <c:pt idx="86">
                  <c:v>1.72</c:v>
                </c:pt>
                <c:pt idx="87">
                  <c:v>1.74</c:v>
                </c:pt>
                <c:pt idx="88">
                  <c:v>1.76</c:v>
                </c:pt>
                <c:pt idx="89">
                  <c:v>1.78</c:v>
                </c:pt>
                <c:pt idx="90">
                  <c:v>1.8</c:v>
                </c:pt>
                <c:pt idx="91">
                  <c:v>1.82</c:v>
                </c:pt>
                <c:pt idx="92">
                  <c:v>1.84</c:v>
                </c:pt>
                <c:pt idx="93">
                  <c:v>1.86</c:v>
                </c:pt>
                <c:pt idx="94">
                  <c:v>1.88</c:v>
                </c:pt>
                <c:pt idx="95">
                  <c:v>1.9</c:v>
                </c:pt>
                <c:pt idx="96">
                  <c:v>1.92</c:v>
                </c:pt>
                <c:pt idx="97">
                  <c:v>1.94</c:v>
                </c:pt>
                <c:pt idx="98">
                  <c:v>1.96</c:v>
                </c:pt>
                <c:pt idx="99">
                  <c:v>1.98</c:v>
                </c:pt>
                <c:pt idx="100">
                  <c:v>2</c:v>
                </c:pt>
                <c:pt idx="101">
                  <c:v>2.02</c:v>
                </c:pt>
                <c:pt idx="102">
                  <c:v>2.04</c:v>
                </c:pt>
                <c:pt idx="103">
                  <c:v>2.06</c:v>
                </c:pt>
                <c:pt idx="104">
                  <c:v>2.08</c:v>
                </c:pt>
                <c:pt idx="105">
                  <c:v>2.1</c:v>
                </c:pt>
                <c:pt idx="106">
                  <c:v>2.12</c:v>
                </c:pt>
                <c:pt idx="107">
                  <c:v>2.14</c:v>
                </c:pt>
                <c:pt idx="108">
                  <c:v>2.16</c:v>
                </c:pt>
                <c:pt idx="109">
                  <c:v>2.1800000000000002</c:v>
                </c:pt>
                <c:pt idx="110">
                  <c:v>2.2000000000000002</c:v>
                </c:pt>
                <c:pt idx="111">
                  <c:v>2.2200000000000002</c:v>
                </c:pt>
                <c:pt idx="112">
                  <c:v>2.2400000000000002</c:v>
                </c:pt>
                <c:pt idx="113">
                  <c:v>2.2599999999999998</c:v>
                </c:pt>
                <c:pt idx="114">
                  <c:v>2.2799999999999998</c:v>
                </c:pt>
                <c:pt idx="115">
                  <c:v>2.2999999999999998</c:v>
                </c:pt>
                <c:pt idx="116">
                  <c:v>2.3199999999999998</c:v>
                </c:pt>
                <c:pt idx="117">
                  <c:v>2.34</c:v>
                </c:pt>
                <c:pt idx="118">
                  <c:v>2.36</c:v>
                </c:pt>
                <c:pt idx="119">
                  <c:v>2.38</c:v>
                </c:pt>
                <c:pt idx="120">
                  <c:v>2.4</c:v>
                </c:pt>
                <c:pt idx="121">
                  <c:v>2.42</c:v>
                </c:pt>
                <c:pt idx="122">
                  <c:v>2.44</c:v>
                </c:pt>
                <c:pt idx="123">
                  <c:v>2.46</c:v>
                </c:pt>
                <c:pt idx="124">
                  <c:v>2.48</c:v>
                </c:pt>
                <c:pt idx="125">
                  <c:v>2.5</c:v>
                </c:pt>
                <c:pt idx="126">
                  <c:v>2.52</c:v>
                </c:pt>
                <c:pt idx="127">
                  <c:v>2.54</c:v>
                </c:pt>
                <c:pt idx="128">
                  <c:v>2.56</c:v>
                </c:pt>
                <c:pt idx="129">
                  <c:v>2.58</c:v>
                </c:pt>
                <c:pt idx="130">
                  <c:v>2.6</c:v>
                </c:pt>
                <c:pt idx="131">
                  <c:v>2.62</c:v>
                </c:pt>
                <c:pt idx="132">
                  <c:v>2.64</c:v>
                </c:pt>
                <c:pt idx="133">
                  <c:v>2.66</c:v>
                </c:pt>
                <c:pt idx="134">
                  <c:v>2.68</c:v>
                </c:pt>
                <c:pt idx="135">
                  <c:v>2.7</c:v>
                </c:pt>
                <c:pt idx="136">
                  <c:v>2.72</c:v>
                </c:pt>
                <c:pt idx="137">
                  <c:v>2.74</c:v>
                </c:pt>
                <c:pt idx="138">
                  <c:v>2.76</c:v>
                </c:pt>
                <c:pt idx="139">
                  <c:v>2.78</c:v>
                </c:pt>
                <c:pt idx="140">
                  <c:v>2.8</c:v>
                </c:pt>
                <c:pt idx="141">
                  <c:v>2.82</c:v>
                </c:pt>
                <c:pt idx="142">
                  <c:v>2.84</c:v>
                </c:pt>
                <c:pt idx="143">
                  <c:v>2.86</c:v>
                </c:pt>
                <c:pt idx="144">
                  <c:v>2.88</c:v>
                </c:pt>
                <c:pt idx="145">
                  <c:v>2.9</c:v>
                </c:pt>
                <c:pt idx="146">
                  <c:v>2.92</c:v>
                </c:pt>
                <c:pt idx="147">
                  <c:v>2.94</c:v>
                </c:pt>
                <c:pt idx="148">
                  <c:v>2.96</c:v>
                </c:pt>
                <c:pt idx="149">
                  <c:v>2.98</c:v>
                </c:pt>
                <c:pt idx="150">
                  <c:v>3</c:v>
                </c:pt>
                <c:pt idx="151">
                  <c:v>3.02</c:v>
                </c:pt>
                <c:pt idx="152">
                  <c:v>3.04</c:v>
                </c:pt>
                <c:pt idx="153">
                  <c:v>3.06</c:v>
                </c:pt>
                <c:pt idx="154">
                  <c:v>3.08</c:v>
                </c:pt>
                <c:pt idx="155">
                  <c:v>3.1</c:v>
                </c:pt>
                <c:pt idx="156">
                  <c:v>3.12</c:v>
                </c:pt>
                <c:pt idx="157">
                  <c:v>3.14</c:v>
                </c:pt>
                <c:pt idx="158">
                  <c:v>3.16</c:v>
                </c:pt>
                <c:pt idx="159">
                  <c:v>3.18</c:v>
                </c:pt>
                <c:pt idx="160">
                  <c:v>3.2</c:v>
                </c:pt>
                <c:pt idx="161">
                  <c:v>3.22</c:v>
                </c:pt>
                <c:pt idx="162">
                  <c:v>3.24</c:v>
                </c:pt>
                <c:pt idx="163">
                  <c:v>3.26</c:v>
                </c:pt>
                <c:pt idx="164">
                  <c:v>3.28</c:v>
                </c:pt>
                <c:pt idx="165">
                  <c:v>3.3</c:v>
                </c:pt>
                <c:pt idx="166">
                  <c:v>3.32</c:v>
                </c:pt>
                <c:pt idx="167">
                  <c:v>3.34</c:v>
                </c:pt>
                <c:pt idx="168">
                  <c:v>3.36</c:v>
                </c:pt>
                <c:pt idx="169">
                  <c:v>3.38</c:v>
                </c:pt>
                <c:pt idx="170">
                  <c:v>3.4</c:v>
                </c:pt>
                <c:pt idx="171">
                  <c:v>3.42</c:v>
                </c:pt>
                <c:pt idx="172">
                  <c:v>3.44</c:v>
                </c:pt>
                <c:pt idx="173">
                  <c:v>3.46</c:v>
                </c:pt>
                <c:pt idx="174">
                  <c:v>3.48</c:v>
                </c:pt>
                <c:pt idx="175">
                  <c:v>3.5</c:v>
                </c:pt>
                <c:pt idx="176">
                  <c:v>3.52</c:v>
                </c:pt>
                <c:pt idx="177">
                  <c:v>4</c:v>
                </c:pt>
              </c:numCache>
            </c:numRef>
          </c:xVal>
          <c:yVal>
            <c:numRef>
              <c:f>台北盆地Cs!$X$10:$X$187</c:f>
              <c:numCache>
                <c:formatCode>General</c:formatCode>
                <c:ptCount val="178"/>
                <c:pt idx="0">
                  <c:v>6.8967032967032965E-2</c:v>
                </c:pt>
                <c:pt idx="1">
                  <c:v>7.6483516483516492E-2</c:v>
                </c:pt>
                <c:pt idx="2">
                  <c:v>8.4395604395604409E-2</c:v>
                </c:pt>
                <c:pt idx="3">
                  <c:v>9.2307692307692299E-2</c:v>
                </c:pt>
                <c:pt idx="4">
                  <c:v>0.10021978021978022</c:v>
                </c:pt>
                <c:pt idx="5">
                  <c:v>0.10813186813186812</c:v>
                </c:pt>
                <c:pt idx="6">
                  <c:v>0.11604395604395602</c:v>
                </c:pt>
                <c:pt idx="7">
                  <c:v>0.12395604395604398</c:v>
                </c:pt>
                <c:pt idx="8">
                  <c:v>0.13186813186813184</c:v>
                </c:pt>
                <c:pt idx="9">
                  <c:v>0.13978021978021976</c:v>
                </c:pt>
                <c:pt idx="10">
                  <c:v>0.14769230769230771</c:v>
                </c:pt>
                <c:pt idx="11">
                  <c:v>0.15560439560439562</c:v>
                </c:pt>
                <c:pt idx="12">
                  <c:v>0.16351648351648351</c:v>
                </c:pt>
                <c:pt idx="13">
                  <c:v>0.1714285714285714</c:v>
                </c:pt>
                <c:pt idx="14">
                  <c:v>0.1714285714285714</c:v>
                </c:pt>
                <c:pt idx="15">
                  <c:v>0.1714285714285714</c:v>
                </c:pt>
                <c:pt idx="16">
                  <c:v>0.1714285714285714</c:v>
                </c:pt>
                <c:pt idx="17">
                  <c:v>0.1714285714285714</c:v>
                </c:pt>
                <c:pt idx="18">
                  <c:v>0.1714285714285714</c:v>
                </c:pt>
                <c:pt idx="19">
                  <c:v>0.1714285714285714</c:v>
                </c:pt>
                <c:pt idx="20">
                  <c:v>0.1714285714285714</c:v>
                </c:pt>
                <c:pt idx="21">
                  <c:v>0.1714285714285714</c:v>
                </c:pt>
                <c:pt idx="22">
                  <c:v>0.1714285714285714</c:v>
                </c:pt>
                <c:pt idx="23">
                  <c:v>0.1714285714285714</c:v>
                </c:pt>
                <c:pt idx="24">
                  <c:v>0.1714285714285714</c:v>
                </c:pt>
                <c:pt idx="25">
                  <c:v>0.1714285714285714</c:v>
                </c:pt>
                <c:pt idx="26">
                  <c:v>0.1714285714285714</c:v>
                </c:pt>
                <c:pt idx="27">
                  <c:v>0.1714285714285714</c:v>
                </c:pt>
                <c:pt idx="28">
                  <c:v>0.1714285714285714</c:v>
                </c:pt>
                <c:pt idx="29">
                  <c:v>0.1714285714285714</c:v>
                </c:pt>
                <c:pt idx="30">
                  <c:v>0.1714285714285714</c:v>
                </c:pt>
                <c:pt idx="31">
                  <c:v>0.1714285714285714</c:v>
                </c:pt>
                <c:pt idx="32">
                  <c:v>0.1714285714285714</c:v>
                </c:pt>
                <c:pt idx="33">
                  <c:v>0.1714285714285714</c:v>
                </c:pt>
                <c:pt idx="34">
                  <c:v>0.1714285714285714</c:v>
                </c:pt>
                <c:pt idx="35">
                  <c:v>0.1714285714285714</c:v>
                </c:pt>
                <c:pt idx="36">
                  <c:v>0.1714285714285714</c:v>
                </c:pt>
                <c:pt idx="37">
                  <c:v>0.1714285714285714</c:v>
                </c:pt>
                <c:pt idx="38">
                  <c:v>0.1714285714285714</c:v>
                </c:pt>
                <c:pt idx="39">
                  <c:v>0.1714285714285714</c:v>
                </c:pt>
                <c:pt idx="40">
                  <c:v>0.17142857142857143</c:v>
                </c:pt>
                <c:pt idx="41">
                  <c:v>0.1714285714285714</c:v>
                </c:pt>
                <c:pt idx="42">
                  <c:v>0.1714285714285714</c:v>
                </c:pt>
                <c:pt idx="43">
                  <c:v>0.1714285714285714</c:v>
                </c:pt>
                <c:pt idx="44">
                  <c:v>0.1714285714285714</c:v>
                </c:pt>
                <c:pt idx="45">
                  <c:v>0.1714285714285714</c:v>
                </c:pt>
                <c:pt idx="46">
                  <c:v>0.17142857142857143</c:v>
                </c:pt>
                <c:pt idx="47">
                  <c:v>0.1714285714285714</c:v>
                </c:pt>
                <c:pt idx="48">
                  <c:v>0.1714285714285714</c:v>
                </c:pt>
                <c:pt idx="49">
                  <c:v>0.1714285714285714</c:v>
                </c:pt>
                <c:pt idx="50">
                  <c:v>0.17142857142857143</c:v>
                </c:pt>
                <c:pt idx="51">
                  <c:v>0.17142857142857143</c:v>
                </c:pt>
                <c:pt idx="52">
                  <c:v>0.17142857142857143</c:v>
                </c:pt>
                <c:pt idx="53">
                  <c:v>0.17142857142857143</c:v>
                </c:pt>
                <c:pt idx="54">
                  <c:v>0.17142857142857143</c:v>
                </c:pt>
                <c:pt idx="55">
                  <c:v>0.17142857142857143</c:v>
                </c:pt>
                <c:pt idx="56">
                  <c:v>0.17142857142857143</c:v>
                </c:pt>
                <c:pt idx="57">
                  <c:v>0.17142857142857143</c:v>
                </c:pt>
                <c:pt idx="58">
                  <c:v>0.17142857142857143</c:v>
                </c:pt>
                <c:pt idx="59">
                  <c:v>0.17142857142857143</c:v>
                </c:pt>
                <c:pt idx="60">
                  <c:v>0.17142857142857143</c:v>
                </c:pt>
                <c:pt idx="61">
                  <c:v>0.17142857142857143</c:v>
                </c:pt>
                <c:pt idx="62">
                  <c:v>0.17142857142857143</c:v>
                </c:pt>
                <c:pt idx="63">
                  <c:v>0.17142857142857143</c:v>
                </c:pt>
                <c:pt idx="64">
                  <c:v>0.17142857142857143</c:v>
                </c:pt>
                <c:pt idx="65">
                  <c:v>0.17142857142857143</c:v>
                </c:pt>
                <c:pt idx="66">
                  <c:v>0.16883116883116886</c:v>
                </c:pt>
                <c:pt idx="67">
                  <c:v>0.16631130063965888</c:v>
                </c:pt>
                <c:pt idx="68">
                  <c:v>0.1638655462184874</c:v>
                </c:pt>
                <c:pt idx="69">
                  <c:v>0.16149068322981369</c:v>
                </c:pt>
                <c:pt idx="70">
                  <c:v>0.15918367346938778</c:v>
                </c:pt>
                <c:pt idx="71">
                  <c:v>0.15694164989939638</c:v>
                </c:pt>
                <c:pt idx="72">
                  <c:v>0.15476190476190479</c:v>
                </c:pt>
                <c:pt idx="73">
                  <c:v>0.15264187866927595</c:v>
                </c:pt>
                <c:pt idx="74">
                  <c:v>0.15057915057915058</c:v>
                </c:pt>
                <c:pt idx="75">
                  <c:v>0.14857142857142858</c:v>
                </c:pt>
                <c:pt idx="76">
                  <c:v>0.14661654135338348</c:v>
                </c:pt>
                <c:pt idx="77">
                  <c:v>0.14471243042671617</c:v>
                </c:pt>
                <c:pt idx="78">
                  <c:v>0.14285714285714288</c:v>
                </c:pt>
                <c:pt idx="79">
                  <c:v>0.1410488245931284</c:v>
                </c:pt>
                <c:pt idx="80">
                  <c:v>0.13928571428571429</c:v>
                </c:pt>
                <c:pt idx="81">
                  <c:v>0.13756613756613756</c:v>
                </c:pt>
                <c:pt idx="82">
                  <c:v>0.13588850174216027</c:v>
                </c:pt>
                <c:pt idx="83">
                  <c:v>0.13425129087779691</c:v>
                </c:pt>
                <c:pt idx="84">
                  <c:v>0.1326530612244898</c:v>
                </c:pt>
                <c:pt idx="85">
                  <c:v>0.13109243697478992</c:v>
                </c:pt>
                <c:pt idx="86">
                  <c:v>0.12956810631229237</c:v>
                </c:pt>
                <c:pt idx="87">
                  <c:v>0.12807881773399016</c:v>
                </c:pt>
                <c:pt idx="88">
                  <c:v>0.12662337662337664</c:v>
                </c:pt>
                <c:pt idx="89">
                  <c:v>0.12520064205457465</c:v>
                </c:pt>
                <c:pt idx="90">
                  <c:v>0.12380952380952381</c:v>
                </c:pt>
                <c:pt idx="91">
                  <c:v>0.12244897959183673</c:v>
                </c:pt>
                <c:pt idx="92">
                  <c:v>0.12111801242236024</c:v>
                </c:pt>
                <c:pt idx="93">
                  <c:v>0.11981566820276499</c:v>
                </c:pt>
                <c:pt idx="94">
                  <c:v>0.11854103343465047</c:v>
                </c:pt>
                <c:pt idx="95">
                  <c:v>0.11729323308270678</c:v>
                </c:pt>
                <c:pt idx="96">
                  <c:v>0.1160714285714286</c:v>
                </c:pt>
                <c:pt idx="97">
                  <c:v>0.11487481590574375</c:v>
                </c:pt>
                <c:pt idx="98">
                  <c:v>0.11370262390670553</c:v>
                </c:pt>
                <c:pt idx="99">
                  <c:v>0.11255411255411257</c:v>
                </c:pt>
                <c:pt idx="100">
                  <c:v>0.11142857142857143</c:v>
                </c:pt>
                <c:pt idx="101">
                  <c:v>0.11032531824611033</c:v>
                </c:pt>
                <c:pt idx="102">
                  <c:v>0.10924369747899161</c:v>
                </c:pt>
                <c:pt idx="103">
                  <c:v>0.10818307905686547</c:v>
                </c:pt>
                <c:pt idx="104">
                  <c:v>0.10714285714285714</c:v>
                </c:pt>
                <c:pt idx="105">
                  <c:v>0.10612244897959185</c:v>
                </c:pt>
                <c:pt idx="106">
                  <c:v>0.10512129380053908</c:v>
                </c:pt>
                <c:pt idx="107">
                  <c:v>0.1041388518024032</c:v>
                </c:pt>
                <c:pt idx="108">
                  <c:v>0.10317460317460317</c:v>
                </c:pt>
                <c:pt idx="109">
                  <c:v>0.10222804718217561</c:v>
                </c:pt>
                <c:pt idx="110">
                  <c:v>0.1012987012987013</c:v>
                </c:pt>
                <c:pt idx="111">
                  <c:v>0.10038610038610038</c:v>
                </c:pt>
                <c:pt idx="112">
                  <c:v>9.9489795918367346E-2</c:v>
                </c:pt>
                <c:pt idx="113">
                  <c:v>9.8609355246523409E-2</c:v>
                </c:pt>
                <c:pt idx="114">
                  <c:v>9.7744360902255661E-2</c:v>
                </c:pt>
                <c:pt idx="115">
                  <c:v>9.6894409937888212E-2</c:v>
                </c:pt>
                <c:pt idx="116">
                  <c:v>9.6059113300492632E-2</c:v>
                </c:pt>
                <c:pt idx="117">
                  <c:v>9.5238095238095261E-2</c:v>
                </c:pt>
                <c:pt idx="118">
                  <c:v>9.4430992736077482E-2</c:v>
                </c:pt>
                <c:pt idx="119">
                  <c:v>9.3637454981992801E-2</c:v>
                </c:pt>
                <c:pt idx="120">
                  <c:v>9.285714285714286E-2</c:v>
                </c:pt>
                <c:pt idx="121">
                  <c:v>9.2089728453364827E-2</c:v>
                </c:pt>
                <c:pt idx="122">
                  <c:v>9.1334894613583156E-2</c:v>
                </c:pt>
                <c:pt idx="123">
                  <c:v>9.0592334494773524E-2</c:v>
                </c:pt>
                <c:pt idx="124">
                  <c:v>8.9861751152073732E-2</c:v>
                </c:pt>
                <c:pt idx="125">
                  <c:v>8.9142857142857135E-2</c:v>
                </c:pt>
                <c:pt idx="126">
                  <c:v>8.8435374149659865E-2</c:v>
                </c:pt>
                <c:pt idx="127">
                  <c:v>8.7739032620922391E-2</c:v>
                </c:pt>
                <c:pt idx="128">
                  <c:v>8.7053571428571425E-2</c:v>
                </c:pt>
                <c:pt idx="129">
                  <c:v>8.6378737541528236E-2</c:v>
                </c:pt>
                <c:pt idx="130">
                  <c:v>8.5714285714285715E-2</c:v>
                </c:pt>
                <c:pt idx="131">
                  <c:v>8.5059978189749183E-2</c:v>
                </c:pt>
                <c:pt idx="132">
                  <c:v>8.441558441558443E-2</c:v>
                </c:pt>
                <c:pt idx="133">
                  <c:v>8.3780880773361974E-2</c:v>
                </c:pt>
                <c:pt idx="134">
                  <c:v>8.3155650319829438E-2</c:v>
                </c:pt>
                <c:pt idx="135">
                  <c:v>8.2539682539682538E-2</c:v>
                </c:pt>
                <c:pt idx="136">
                  <c:v>8.1932773109243698E-2</c:v>
                </c:pt>
                <c:pt idx="137">
                  <c:v>8.1334723670490092E-2</c:v>
                </c:pt>
                <c:pt idx="138">
                  <c:v>8.0745341614906846E-2</c:v>
                </c:pt>
                <c:pt idx="139">
                  <c:v>8.0164439876670102E-2</c:v>
                </c:pt>
                <c:pt idx="140">
                  <c:v>7.9591836734693888E-2</c:v>
                </c:pt>
                <c:pt idx="141">
                  <c:v>7.9027355623100315E-2</c:v>
                </c:pt>
                <c:pt idx="142">
                  <c:v>7.847082494969819E-2</c:v>
                </c:pt>
                <c:pt idx="143">
                  <c:v>7.7922077922077934E-2</c:v>
                </c:pt>
                <c:pt idx="144">
                  <c:v>7.7380952380952397E-2</c:v>
                </c:pt>
                <c:pt idx="145">
                  <c:v>7.6847290640394098E-2</c:v>
                </c:pt>
                <c:pt idx="146">
                  <c:v>7.6320939334637974E-2</c:v>
                </c:pt>
                <c:pt idx="147">
                  <c:v>7.5801749271137031E-2</c:v>
                </c:pt>
                <c:pt idx="148">
                  <c:v>7.5289575289575292E-2</c:v>
                </c:pt>
                <c:pt idx="149">
                  <c:v>7.4784276126558011E-2</c:v>
                </c:pt>
                <c:pt idx="150">
                  <c:v>7.4285714285714288E-2</c:v>
                </c:pt>
                <c:pt idx="151">
                  <c:v>7.3793755912961209E-2</c:v>
                </c:pt>
                <c:pt idx="152">
                  <c:v>7.3308270676691739E-2</c:v>
                </c:pt>
                <c:pt idx="153">
                  <c:v>7.2829131652661069E-2</c:v>
                </c:pt>
                <c:pt idx="154">
                  <c:v>7.2356215213358083E-2</c:v>
                </c:pt>
                <c:pt idx="155">
                  <c:v>7.1889400921658977E-2</c:v>
                </c:pt>
                <c:pt idx="156">
                  <c:v>7.1428571428571438E-2</c:v>
                </c:pt>
                <c:pt idx="157">
                  <c:v>7.0973612374886266E-2</c:v>
                </c:pt>
                <c:pt idx="158">
                  <c:v>7.0524412296564198E-2</c:v>
                </c:pt>
                <c:pt idx="159">
                  <c:v>7.0080862533692723E-2</c:v>
                </c:pt>
                <c:pt idx="160">
                  <c:v>6.9642857142857145E-2</c:v>
                </c:pt>
                <c:pt idx="161">
                  <c:v>6.9210292812777283E-2</c:v>
                </c:pt>
                <c:pt idx="162">
                  <c:v>6.8783068783068779E-2</c:v>
                </c:pt>
                <c:pt idx="163">
                  <c:v>6.8571428571428575E-2</c:v>
                </c:pt>
                <c:pt idx="164">
                  <c:v>6.8571428571428575E-2</c:v>
                </c:pt>
                <c:pt idx="165">
                  <c:v>6.8571428571428575E-2</c:v>
                </c:pt>
                <c:pt idx="166">
                  <c:v>6.8571428571428575E-2</c:v>
                </c:pt>
                <c:pt idx="167">
                  <c:v>6.8571428571428575E-2</c:v>
                </c:pt>
                <c:pt idx="168">
                  <c:v>6.8571428571428575E-2</c:v>
                </c:pt>
                <c:pt idx="169">
                  <c:v>6.8571428571428575E-2</c:v>
                </c:pt>
                <c:pt idx="170">
                  <c:v>6.8571428571428575E-2</c:v>
                </c:pt>
                <c:pt idx="171">
                  <c:v>6.8571428571428575E-2</c:v>
                </c:pt>
                <c:pt idx="172">
                  <c:v>6.8571428571428575E-2</c:v>
                </c:pt>
                <c:pt idx="173">
                  <c:v>6.8571428571428575E-2</c:v>
                </c:pt>
                <c:pt idx="174">
                  <c:v>6.8571428571428575E-2</c:v>
                </c:pt>
                <c:pt idx="175">
                  <c:v>6.8571428571428575E-2</c:v>
                </c:pt>
                <c:pt idx="176">
                  <c:v>6.8571428571428575E-2</c:v>
                </c:pt>
                <c:pt idx="177">
                  <c:v>6.8571428571428575E-2</c:v>
                </c:pt>
              </c:numCache>
            </c:numRef>
          </c:yVal>
          <c:smooth val="0"/>
          <c:extLst>
            <c:ext xmlns:c16="http://schemas.microsoft.com/office/drawing/2014/chart" uri="{C3380CC4-5D6E-409C-BE32-E72D297353CC}">
              <c16:uniqueId val="{00000001-B6AE-45A5-931A-9E12D0268ACA}"/>
            </c:ext>
          </c:extLst>
        </c:ser>
        <c:ser>
          <c:idx val="2"/>
          <c:order val="2"/>
          <c:tx>
            <c:v>CsM</c:v>
          </c:tx>
          <c:spPr>
            <a:ln>
              <a:solidFill>
                <a:srgbClr val="00B050"/>
              </a:solidFill>
              <a:prstDash val="sysDash"/>
            </a:ln>
          </c:spPr>
          <c:marker>
            <c:symbol val="none"/>
          </c:marker>
          <c:xVal>
            <c:numRef>
              <c:f>台北盆地Cs!$M$10:$M$187</c:f>
              <c:numCache>
                <c:formatCode>General</c:formatCode>
                <c:ptCount val="178"/>
                <c:pt idx="0">
                  <c:v>1E-3</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pt idx="50">
                  <c:v>1</c:v>
                </c:pt>
                <c:pt idx="51">
                  <c:v>1.02</c:v>
                </c:pt>
                <c:pt idx="52">
                  <c:v>1.04</c:v>
                </c:pt>
                <c:pt idx="53">
                  <c:v>1.06</c:v>
                </c:pt>
                <c:pt idx="54">
                  <c:v>1.08</c:v>
                </c:pt>
                <c:pt idx="55">
                  <c:v>1.1000000000000001</c:v>
                </c:pt>
                <c:pt idx="56">
                  <c:v>1.1200000000000001</c:v>
                </c:pt>
                <c:pt idx="57">
                  <c:v>1.1399999999999999</c:v>
                </c:pt>
                <c:pt idx="58">
                  <c:v>1.1599999999999999</c:v>
                </c:pt>
                <c:pt idx="59">
                  <c:v>1.18</c:v>
                </c:pt>
                <c:pt idx="60">
                  <c:v>1.2</c:v>
                </c:pt>
                <c:pt idx="61">
                  <c:v>1.22</c:v>
                </c:pt>
                <c:pt idx="62">
                  <c:v>1.24</c:v>
                </c:pt>
                <c:pt idx="63">
                  <c:v>1.26</c:v>
                </c:pt>
                <c:pt idx="64">
                  <c:v>1.28</c:v>
                </c:pt>
                <c:pt idx="65">
                  <c:v>1.3</c:v>
                </c:pt>
                <c:pt idx="66">
                  <c:v>1.32</c:v>
                </c:pt>
                <c:pt idx="67">
                  <c:v>1.34</c:v>
                </c:pt>
                <c:pt idx="68">
                  <c:v>1.36</c:v>
                </c:pt>
                <c:pt idx="69">
                  <c:v>1.38</c:v>
                </c:pt>
                <c:pt idx="70">
                  <c:v>1.4</c:v>
                </c:pt>
                <c:pt idx="71">
                  <c:v>1.42</c:v>
                </c:pt>
                <c:pt idx="72">
                  <c:v>1.44</c:v>
                </c:pt>
                <c:pt idx="73">
                  <c:v>1.46</c:v>
                </c:pt>
                <c:pt idx="74">
                  <c:v>1.48</c:v>
                </c:pt>
                <c:pt idx="75">
                  <c:v>1.5</c:v>
                </c:pt>
                <c:pt idx="76">
                  <c:v>1.52</c:v>
                </c:pt>
                <c:pt idx="77">
                  <c:v>1.54</c:v>
                </c:pt>
                <c:pt idx="78">
                  <c:v>1.56</c:v>
                </c:pt>
                <c:pt idx="79">
                  <c:v>1.58</c:v>
                </c:pt>
                <c:pt idx="80">
                  <c:v>1.6</c:v>
                </c:pt>
                <c:pt idx="81">
                  <c:v>1.62</c:v>
                </c:pt>
                <c:pt idx="82">
                  <c:v>1.64</c:v>
                </c:pt>
                <c:pt idx="83">
                  <c:v>1.66</c:v>
                </c:pt>
                <c:pt idx="84">
                  <c:v>1.68</c:v>
                </c:pt>
                <c:pt idx="85">
                  <c:v>1.7</c:v>
                </c:pt>
                <c:pt idx="86">
                  <c:v>1.72</c:v>
                </c:pt>
                <c:pt idx="87">
                  <c:v>1.74</c:v>
                </c:pt>
                <c:pt idx="88">
                  <c:v>1.76</c:v>
                </c:pt>
                <c:pt idx="89">
                  <c:v>1.78</c:v>
                </c:pt>
                <c:pt idx="90">
                  <c:v>1.8</c:v>
                </c:pt>
                <c:pt idx="91">
                  <c:v>1.82</c:v>
                </c:pt>
                <c:pt idx="92">
                  <c:v>1.84</c:v>
                </c:pt>
                <c:pt idx="93">
                  <c:v>1.86</c:v>
                </c:pt>
                <c:pt idx="94">
                  <c:v>1.88</c:v>
                </c:pt>
                <c:pt idx="95">
                  <c:v>1.9</c:v>
                </c:pt>
                <c:pt idx="96">
                  <c:v>1.92</c:v>
                </c:pt>
                <c:pt idx="97">
                  <c:v>1.94</c:v>
                </c:pt>
                <c:pt idx="98">
                  <c:v>1.96</c:v>
                </c:pt>
                <c:pt idx="99">
                  <c:v>1.98</c:v>
                </c:pt>
                <c:pt idx="100">
                  <c:v>2</c:v>
                </c:pt>
                <c:pt idx="101">
                  <c:v>2.02</c:v>
                </c:pt>
                <c:pt idx="102">
                  <c:v>2.04</c:v>
                </c:pt>
                <c:pt idx="103">
                  <c:v>2.06</c:v>
                </c:pt>
                <c:pt idx="104">
                  <c:v>2.08</c:v>
                </c:pt>
                <c:pt idx="105">
                  <c:v>2.1</c:v>
                </c:pt>
                <c:pt idx="106">
                  <c:v>2.12</c:v>
                </c:pt>
                <c:pt idx="107">
                  <c:v>2.14</c:v>
                </c:pt>
                <c:pt idx="108">
                  <c:v>2.16</c:v>
                </c:pt>
                <c:pt idx="109">
                  <c:v>2.1800000000000002</c:v>
                </c:pt>
                <c:pt idx="110">
                  <c:v>2.2000000000000002</c:v>
                </c:pt>
                <c:pt idx="111">
                  <c:v>2.2200000000000002</c:v>
                </c:pt>
                <c:pt idx="112">
                  <c:v>2.2400000000000002</c:v>
                </c:pt>
                <c:pt idx="113">
                  <c:v>2.2599999999999998</c:v>
                </c:pt>
                <c:pt idx="114">
                  <c:v>2.2799999999999998</c:v>
                </c:pt>
                <c:pt idx="115">
                  <c:v>2.2999999999999998</c:v>
                </c:pt>
                <c:pt idx="116">
                  <c:v>2.3199999999999998</c:v>
                </c:pt>
                <c:pt idx="117">
                  <c:v>2.34</c:v>
                </c:pt>
                <c:pt idx="118">
                  <c:v>2.36</c:v>
                </c:pt>
                <c:pt idx="119">
                  <c:v>2.38</c:v>
                </c:pt>
                <c:pt idx="120">
                  <c:v>2.4</c:v>
                </c:pt>
                <c:pt idx="121">
                  <c:v>2.42</c:v>
                </c:pt>
                <c:pt idx="122">
                  <c:v>2.44</c:v>
                </c:pt>
                <c:pt idx="123">
                  <c:v>2.46</c:v>
                </c:pt>
                <c:pt idx="124">
                  <c:v>2.48</c:v>
                </c:pt>
                <c:pt idx="125">
                  <c:v>2.5</c:v>
                </c:pt>
                <c:pt idx="126">
                  <c:v>2.52</c:v>
                </c:pt>
                <c:pt idx="127">
                  <c:v>2.54</c:v>
                </c:pt>
                <c:pt idx="128">
                  <c:v>2.56</c:v>
                </c:pt>
                <c:pt idx="129">
                  <c:v>2.58</c:v>
                </c:pt>
                <c:pt idx="130">
                  <c:v>2.6</c:v>
                </c:pt>
                <c:pt idx="131">
                  <c:v>2.62</c:v>
                </c:pt>
                <c:pt idx="132">
                  <c:v>2.64</c:v>
                </c:pt>
                <c:pt idx="133">
                  <c:v>2.66</c:v>
                </c:pt>
                <c:pt idx="134">
                  <c:v>2.68</c:v>
                </c:pt>
                <c:pt idx="135">
                  <c:v>2.7</c:v>
                </c:pt>
                <c:pt idx="136">
                  <c:v>2.72</c:v>
                </c:pt>
                <c:pt idx="137">
                  <c:v>2.74</c:v>
                </c:pt>
                <c:pt idx="138">
                  <c:v>2.76</c:v>
                </c:pt>
                <c:pt idx="139">
                  <c:v>2.78</c:v>
                </c:pt>
                <c:pt idx="140">
                  <c:v>2.8</c:v>
                </c:pt>
                <c:pt idx="141">
                  <c:v>2.82</c:v>
                </c:pt>
                <c:pt idx="142">
                  <c:v>2.84</c:v>
                </c:pt>
                <c:pt idx="143">
                  <c:v>2.86</c:v>
                </c:pt>
                <c:pt idx="144">
                  <c:v>2.88</c:v>
                </c:pt>
                <c:pt idx="145">
                  <c:v>2.9</c:v>
                </c:pt>
                <c:pt idx="146">
                  <c:v>2.92</c:v>
                </c:pt>
                <c:pt idx="147">
                  <c:v>2.94</c:v>
                </c:pt>
                <c:pt idx="148">
                  <c:v>2.96</c:v>
                </c:pt>
                <c:pt idx="149">
                  <c:v>2.98</c:v>
                </c:pt>
                <c:pt idx="150">
                  <c:v>3</c:v>
                </c:pt>
                <c:pt idx="151">
                  <c:v>3.02</c:v>
                </c:pt>
                <c:pt idx="152">
                  <c:v>3.04</c:v>
                </c:pt>
                <c:pt idx="153">
                  <c:v>3.06</c:v>
                </c:pt>
                <c:pt idx="154">
                  <c:v>3.08</c:v>
                </c:pt>
                <c:pt idx="155">
                  <c:v>3.1</c:v>
                </c:pt>
                <c:pt idx="156">
                  <c:v>3.12</c:v>
                </c:pt>
                <c:pt idx="157">
                  <c:v>3.14</c:v>
                </c:pt>
                <c:pt idx="158">
                  <c:v>3.16</c:v>
                </c:pt>
                <c:pt idx="159">
                  <c:v>3.18</c:v>
                </c:pt>
                <c:pt idx="160">
                  <c:v>3.2</c:v>
                </c:pt>
                <c:pt idx="161">
                  <c:v>3.22</c:v>
                </c:pt>
                <c:pt idx="162">
                  <c:v>3.24</c:v>
                </c:pt>
                <c:pt idx="163">
                  <c:v>3.26</c:v>
                </c:pt>
                <c:pt idx="164">
                  <c:v>3.28</c:v>
                </c:pt>
                <c:pt idx="165">
                  <c:v>3.3</c:v>
                </c:pt>
                <c:pt idx="166">
                  <c:v>3.32</c:v>
                </c:pt>
                <c:pt idx="167">
                  <c:v>3.34</c:v>
                </c:pt>
                <c:pt idx="168">
                  <c:v>3.36</c:v>
                </c:pt>
                <c:pt idx="169">
                  <c:v>3.38</c:v>
                </c:pt>
                <c:pt idx="170">
                  <c:v>3.4</c:v>
                </c:pt>
                <c:pt idx="171">
                  <c:v>3.42</c:v>
                </c:pt>
                <c:pt idx="172">
                  <c:v>3.44</c:v>
                </c:pt>
                <c:pt idx="173">
                  <c:v>3.46</c:v>
                </c:pt>
                <c:pt idx="174">
                  <c:v>3.48</c:v>
                </c:pt>
                <c:pt idx="175">
                  <c:v>3.5</c:v>
                </c:pt>
                <c:pt idx="176">
                  <c:v>3.52</c:v>
                </c:pt>
                <c:pt idx="177">
                  <c:v>4</c:v>
                </c:pt>
              </c:numCache>
            </c:numRef>
          </c:xVal>
          <c:yVal>
            <c:numRef>
              <c:f>台北盆地Cs!$Y$10:$Y$187</c:f>
              <c:numCache>
                <c:formatCode>General</c:formatCode>
                <c:ptCount val="178"/>
                <c:pt idx="0">
                  <c:v>0.22171428571428572</c:v>
                </c:pt>
                <c:pt idx="1">
                  <c:v>0.22053144544662856</c:v>
                </c:pt>
                <c:pt idx="2">
                  <c:v>0.21958758386208349</c:v>
                </c:pt>
                <c:pt idx="3">
                  <c:v>0.21881692174787137</c:v>
                </c:pt>
                <c:pt idx="4">
                  <c:v>0.21817579217159536</c:v>
                </c:pt>
                <c:pt idx="5">
                  <c:v>0.21763406925043535</c:v>
                </c:pt>
                <c:pt idx="6">
                  <c:v>0.21717029696436146</c:v>
                </c:pt>
                <c:pt idx="7">
                  <c:v>0.21676877963589772</c:v>
                </c:pt>
                <c:pt idx="8">
                  <c:v>0.21641777040227889</c:v>
                </c:pt>
                <c:pt idx="9">
                  <c:v>0.21610830286677962</c:v>
                </c:pt>
                <c:pt idx="10">
                  <c:v>0.21583341439437814</c:v>
                </c:pt>
                <c:pt idx="11">
                  <c:v>0.2155876159916052</c:v>
                </c:pt>
                <c:pt idx="12">
                  <c:v>0.21536652202861895</c:v>
                </c:pt>
                <c:pt idx="13">
                  <c:v>0.21516658626559898</c:v>
                </c:pt>
                <c:pt idx="14">
                  <c:v>0.21516658626559898</c:v>
                </c:pt>
                <c:pt idx="15">
                  <c:v>0.21516658626559898</c:v>
                </c:pt>
                <c:pt idx="16">
                  <c:v>0.21516658626559898</c:v>
                </c:pt>
                <c:pt idx="17">
                  <c:v>0.21516658626559898</c:v>
                </c:pt>
                <c:pt idx="18">
                  <c:v>0.21516658626559898</c:v>
                </c:pt>
                <c:pt idx="19">
                  <c:v>0.21516658626559898</c:v>
                </c:pt>
                <c:pt idx="20">
                  <c:v>0.21516658626559898</c:v>
                </c:pt>
                <c:pt idx="21">
                  <c:v>0.21516658626559898</c:v>
                </c:pt>
                <c:pt idx="22">
                  <c:v>0.21516658626559898</c:v>
                </c:pt>
                <c:pt idx="23">
                  <c:v>0.21516658626559898</c:v>
                </c:pt>
                <c:pt idx="24">
                  <c:v>0.21516658626559898</c:v>
                </c:pt>
                <c:pt idx="25">
                  <c:v>0.21516658626559898</c:v>
                </c:pt>
                <c:pt idx="26">
                  <c:v>0.21516658626559898</c:v>
                </c:pt>
                <c:pt idx="27">
                  <c:v>0.21516658626559898</c:v>
                </c:pt>
                <c:pt idx="28">
                  <c:v>0.21516658626559898</c:v>
                </c:pt>
                <c:pt idx="29">
                  <c:v>0.21516658626559898</c:v>
                </c:pt>
                <c:pt idx="30">
                  <c:v>0.21516658626559898</c:v>
                </c:pt>
                <c:pt idx="31">
                  <c:v>0.21516658626559898</c:v>
                </c:pt>
                <c:pt idx="32">
                  <c:v>0.21516658626559898</c:v>
                </c:pt>
                <c:pt idx="33">
                  <c:v>0.21516658626559898</c:v>
                </c:pt>
                <c:pt idx="34">
                  <c:v>0.21516658626559898</c:v>
                </c:pt>
                <c:pt idx="35">
                  <c:v>0.21516658626559898</c:v>
                </c:pt>
                <c:pt idx="36">
                  <c:v>0.21516658626559898</c:v>
                </c:pt>
                <c:pt idx="37">
                  <c:v>0.21516658626559898</c:v>
                </c:pt>
                <c:pt idx="38">
                  <c:v>0.21516658626559898</c:v>
                </c:pt>
                <c:pt idx="39">
                  <c:v>0.21516658626559898</c:v>
                </c:pt>
                <c:pt idx="40">
                  <c:v>0.21180983216228935</c:v>
                </c:pt>
                <c:pt idx="41">
                  <c:v>0.20779792887446782</c:v>
                </c:pt>
                <c:pt idx="42">
                  <c:v>0.2039351798686028</c:v>
                </c:pt>
                <c:pt idx="43">
                  <c:v>0.20021341907114501</c:v>
                </c:pt>
                <c:pt idx="44">
                  <c:v>0.19662506583896355</c:v>
                </c:pt>
                <c:pt idx="45">
                  <c:v>0.19316307342075723</c:v>
                </c:pt>
                <c:pt idx="46">
                  <c:v>0.18982088276892312</c:v>
                </c:pt>
                <c:pt idx="47">
                  <c:v>0.18659238106487294</c:v>
                </c:pt>
                <c:pt idx="48">
                  <c:v>0.18347186440601226</c:v>
                </c:pt>
                <c:pt idx="49">
                  <c:v>0.18045400417520741</c:v>
                </c:pt>
                <c:pt idx="50">
                  <c:v>0.177533816675599</c:v>
                </c:pt>
                <c:pt idx="51">
                  <c:v>0.17470663566676214</c:v>
                </c:pt>
                <c:pt idx="52">
                  <c:v>0.17196808748386153</c:v>
                </c:pt>
                <c:pt idx="53">
                  <c:v>0.16931406846075397</c:v>
                </c:pt>
                <c:pt idx="54">
                  <c:v>0.16674072441191989</c:v>
                </c:pt>
                <c:pt idx="55">
                  <c:v>0.16424443195746366</c:v>
                </c:pt>
                <c:pt idx="56">
                  <c:v>0.16182178150088181</c:v>
                </c:pt>
                <c:pt idx="57">
                  <c:v>0.15946956169142926</c:v>
                </c:pt>
                <c:pt idx="58">
                  <c:v>0.15718474522218659</c:v>
                </c:pt>
                <c:pt idx="59">
                  <c:v>0.15496447583176171</c:v>
                </c:pt>
                <c:pt idx="60">
                  <c:v>0.15280605639226888</c:v>
                </c:pt>
                <c:pt idx="61">
                  <c:v>0.15070693797913168</c:v>
                </c:pt>
                <c:pt idx="62">
                  <c:v>0.14866470982957553</c:v>
                </c:pt>
                <c:pt idx="63">
                  <c:v>0.14667709010663857</c:v>
                </c:pt>
                <c:pt idx="64">
                  <c:v>0.14474191739430864</c:v>
                </c:pt>
                <c:pt idx="65">
                  <c:v>0.14285714285714288</c:v>
                </c:pt>
                <c:pt idx="66">
                  <c:v>0.1406926406926407</c:v>
                </c:pt>
                <c:pt idx="67">
                  <c:v>0.13859275053304904</c:v>
                </c:pt>
                <c:pt idx="68">
                  <c:v>0.13655462184873948</c:v>
                </c:pt>
                <c:pt idx="69">
                  <c:v>0.13457556935817808</c:v>
                </c:pt>
                <c:pt idx="70">
                  <c:v>0.1326530612244898</c:v>
                </c:pt>
                <c:pt idx="71">
                  <c:v>0.13078470824949698</c:v>
                </c:pt>
                <c:pt idx="72">
                  <c:v>0.12896825396825398</c:v>
                </c:pt>
                <c:pt idx="73">
                  <c:v>0.12720156555772996</c:v>
                </c:pt>
                <c:pt idx="74">
                  <c:v>0.12548262548262548</c:v>
                </c:pt>
                <c:pt idx="75">
                  <c:v>0.12380952380952381</c:v>
                </c:pt>
                <c:pt idx="76">
                  <c:v>0.12218045112781956</c:v>
                </c:pt>
                <c:pt idx="77">
                  <c:v>0.12059369202226346</c:v>
                </c:pt>
                <c:pt idx="78">
                  <c:v>0.11904761904761904</c:v>
                </c:pt>
                <c:pt idx="79">
                  <c:v>0.11754068716094032</c:v>
                </c:pt>
                <c:pt idx="80">
                  <c:v>0.11607142857142858</c:v>
                </c:pt>
                <c:pt idx="81">
                  <c:v>0.1146384479717813</c:v>
                </c:pt>
                <c:pt idx="82">
                  <c:v>0.1132404181184669</c:v>
                </c:pt>
                <c:pt idx="83">
                  <c:v>0.11187607573149742</c:v>
                </c:pt>
                <c:pt idx="84">
                  <c:v>0.11054421768707484</c:v>
                </c:pt>
                <c:pt idx="85">
                  <c:v>0.10924369747899161</c:v>
                </c:pt>
                <c:pt idx="86">
                  <c:v>0.10797342192691031</c:v>
                </c:pt>
                <c:pt idx="87">
                  <c:v>0.10673234811165846</c:v>
                </c:pt>
                <c:pt idx="88">
                  <c:v>0.10551948051948053</c:v>
                </c:pt>
                <c:pt idx="89">
                  <c:v>0.1043338683788122</c:v>
                </c:pt>
                <c:pt idx="90">
                  <c:v>0.10317460317460318</c:v>
                </c:pt>
                <c:pt idx="91">
                  <c:v>0.10204081632653061</c:v>
                </c:pt>
                <c:pt idx="92">
                  <c:v>0.10093167701863354</c:v>
                </c:pt>
                <c:pt idx="93">
                  <c:v>9.9846390168970803E-2</c:v>
                </c:pt>
                <c:pt idx="94">
                  <c:v>9.878419452887538E-2</c:v>
                </c:pt>
                <c:pt idx="95">
                  <c:v>9.7744360902255648E-2</c:v>
                </c:pt>
                <c:pt idx="96">
                  <c:v>9.6726190476190493E-2</c:v>
                </c:pt>
                <c:pt idx="97">
                  <c:v>9.5729013254786444E-2</c:v>
                </c:pt>
                <c:pt idx="98">
                  <c:v>9.4752186588921289E-2</c:v>
                </c:pt>
                <c:pt idx="99">
                  <c:v>9.3795093795093806E-2</c:v>
                </c:pt>
                <c:pt idx="100">
                  <c:v>9.285714285714286E-2</c:v>
                </c:pt>
                <c:pt idx="101">
                  <c:v>9.1937765205091948E-2</c:v>
                </c:pt>
                <c:pt idx="102">
                  <c:v>9.1036414565826326E-2</c:v>
                </c:pt>
                <c:pt idx="103">
                  <c:v>9.0152565880721222E-2</c:v>
                </c:pt>
                <c:pt idx="104">
                  <c:v>8.9285714285714288E-2</c:v>
                </c:pt>
                <c:pt idx="105">
                  <c:v>8.8435374149659865E-2</c:v>
                </c:pt>
                <c:pt idx="106">
                  <c:v>8.7601078167115903E-2</c:v>
                </c:pt>
                <c:pt idx="107">
                  <c:v>8.678237650200267E-2</c:v>
                </c:pt>
                <c:pt idx="108">
                  <c:v>8.5978835978835974E-2</c:v>
                </c:pt>
                <c:pt idx="109">
                  <c:v>8.5190039318479682E-2</c:v>
                </c:pt>
                <c:pt idx="110">
                  <c:v>8.4415584415584416E-2</c:v>
                </c:pt>
                <c:pt idx="111">
                  <c:v>8.3655083655083659E-2</c:v>
                </c:pt>
                <c:pt idx="112">
                  <c:v>8.2908163265306117E-2</c:v>
                </c:pt>
                <c:pt idx="113">
                  <c:v>8.2174462705436171E-2</c:v>
                </c:pt>
                <c:pt idx="114">
                  <c:v>8.1453634085213042E-2</c:v>
                </c:pt>
                <c:pt idx="115">
                  <c:v>8.0745341614906846E-2</c:v>
                </c:pt>
                <c:pt idx="116">
                  <c:v>8.0049261083743856E-2</c:v>
                </c:pt>
                <c:pt idx="117">
                  <c:v>7.9365079365079375E-2</c:v>
                </c:pt>
                <c:pt idx="118">
                  <c:v>7.8692493946731251E-2</c:v>
                </c:pt>
                <c:pt idx="119">
                  <c:v>7.8031212484994006E-2</c:v>
                </c:pt>
                <c:pt idx="120">
                  <c:v>7.7380952380952384E-2</c:v>
                </c:pt>
                <c:pt idx="121">
                  <c:v>7.6741440377804018E-2</c:v>
                </c:pt>
                <c:pt idx="122">
                  <c:v>7.611241217798595E-2</c:v>
                </c:pt>
                <c:pt idx="123">
                  <c:v>7.5493612078977937E-2</c:v>
                </c:pt>
                <c:pt idx="124">
                  <c:v>7.4884792626728119E-2</c:v>
                </c:pt>
                <c:pt idx="125">
                  <c:v>7.4285714285714288E-2</c:v>
                </c:pt>
                <c:pt idx="126">
                  <c:v>7.3696145124716561E-2</c:v>
                </c:pt>
                <c:pt idx="127">
                  <c:v>7.3115860517435322E-2</c:v>
                </c:pt>
                <c:pt idx="128">
                  <c:v>7.2544642857142863E-2</c:v>
                </c:pt>
                <c:pt idx="129">
                  <c:v>7.1982281284606861E-2</c:v>
                </c:pt>
                <c:pt idx="130">
                  <c:v>7.1428571428571438E-2</c:v>
                </c:pt>
                <c:pt idx="131">
                  <c:v>7.0883315158124321E-2</c:v>
                </c:pt>
                <c:pt idx="132">
                  <c:v>7.0346320346320351E-2</c:v>
                </c:pt>
                <c:pt idx="133">
                  <c:v>6.9817400644468314E-2</c:v>
                </c:pt>
                <c:pt idx="134">
                  <c:v>6.9296375266524518E-2</c:v>
                </c:pt>
                <c:pt idx="135">
                  <c:v>6.8783068783068779E-2</c:v>
                </c:pt>
                <c:pt idx="136">
                  <c:v>6.8277310924369741E-2</c:v>
                </c:pt>
                <c:pt idx="137">
                  <c:v>6.7778936392075079E-2</c:v>
                </c:pt>
                <c:pt idx="138">
                  <c:v>6.7287784679089038E-2</c:v>
                </c:pt>
                <c:pt idx="139">
                  <c:v>6.6803699897225094E-2</c:v>
                </c:pt>
                <c:pt idx="140">
                  <c:v>6.6326530612244902E-2</c:v>
                </c:pt>
                <c:pt idx="141">
                  <c:v>6.5856129685916934E-2</c:v>
                </c:pt>
                <c:pt idx="142">
                  <c:v>6.5392354124748489E-2</c:v>
                </c:pt>
                <c:pt idx="143">
                  <c:v>6.4935064935064943E-2</c:v>
                </c:pt>
                <c:pt idx="144">
                  <c:v>6.4484126984126991E-2</c:v>
                </c:pt>
                <c:pt idx="145">
                  <c:v>6.4039408866995079E-2</c:v>
                </c:pt>
                <c:pt idx="146">
                  <c:v>6.3600782778864981E-2</c:v>
                </c:pt>
                <c:pt idx="147">
                  <c:v>6.3168124392614197E-2</c:v>
                </c:pt>
                <c:pt idx="148">
                  <c:v>6.2741312741312741E-2</c:v>
                </c:pt>
                <c:pt idx="149">
                  <c:v>6.2320230105465002E-2</c:v>
                </c:pt>
                <c:pt idx="150">
                  <c:v>6.1904761904761907E-2</c:v>
                </c:pt>
                <c:pt idx="151">
                  <c:v>6.1494796594134343E-2</c:v>
                </c:pt>
                <c:pt idx="152">
                  <c:v>6.1090225563909778E-2</c:v>
                </c:pt>
                <c:pt idx="153">
                  <c:v>6.0690943043884227E-2</c:v>
                </c:pt>
                <c:pt idx="154">
                  <c:v>6.0296846011131729E-2</c:v>
                </c:pt>
                <c:pt idx="155">
                  <c:v>5.9907834101382493E-2</c:v>
                </c:pt>
                <c:pt idx="156">
                  <c:v>5.9523809523809521E-2</c:v>
                </c:pt>
                <c:pt idx="157">
                  <c:v>5.9144676979071879E-2</c:v>
                </c:pt>
                <c:pt idx="158">
                  <c:v>5.8770343580470161E-2</c:v>
                </c:pt>
                <c:pt idx="159">
                  <c:v>5.8400718778077267E-2</c:v>
                </c:pt>
                <c:pt idx="160">
                  <c:v>5.8035714285714288E-2</c:v>
                </c:pt>
                <c:pt idx="161">
                  <c:v>5.767524401064774E-2</c:v>
                </c:pt>
                <c:pt idx="162">
                  <c:v>5.7319223985890649E-2</c:v>
                </c:pt>
                <c:pt idx="163">
                  <c:v>5.7142857142857155E-2</c:v>
                </c:pt>
                <c:pt idx="164">
                  <c:v>5.7142857142857155E-2</c:v>
                </c:pt>
                <c:pt idx="165">
                  <c:v>5.7142857142857155E-2</c:v>
                </c:pt>
                <c:pt idx="166">
                  <c:v>5.7142857142857155E-2</c:v>
                </c:pt>
                <c:pt idx="167">
                  <c:v>5.7142857142857155E-2</c:v>
                </c:pt>
                <c:pt idx="168">
                  <c:v>5.7142857142857155E-2</c:v>
                </c:pt>
                <c:pt idx="169">
                  <c:v>5.7142857142857155E-2</c:v>
                </c:pt>
                <c:pt idx="170">
                  <c:v>5.7142857142857155E-2</c:v>
                </c:pt>
                <c:pt idx="171">
                  <c:v>5.7142857142857155E-2</c:v>
                </c:pt>
                <c:pt idx="172">
                  <c:v>5.7142857142857155E-2</c:v>
                </c:pt>
                <c:pt idx="173">
                  <c:v>5.7142857142857155E-2</c:v>
                </c:pt>
                <c:pt idx="174">
                  <c:v>5.7142857142857155E-2</c:v>
                </c:pt>
                <c:pt idx="175">
                  <c:v>5.7142857142857155E-2</c:v>
                </c:pt>
                <c:pt idx="176">
                  <c:v>5.7142857142857155E-2</c:v>
                </c:pt>
                <c:pt idx="177">
                  <c:v>5.7142857142857155E-2</c:v>
                </c:pt>
              </c:numCache>
            </c:numRef>
          </c:yVal>
          <c:smooth val="0"/>
          <c:extLst>
            <c:ext xmlns:c16="http://schemas.microsoft.com/office/drawing/2014/chart" uri="{C3380CC4-5D6E-409C-BE32-E72D297353CC}">
              <c16:uniqueId val="{00000002-B6AE-45A5-931A-9E12D0268ACA}"/>
            </c:ext>
          </c:extLst>
        </c:ser>
        <c:ser>
          <c:idx val="4"/>
          <c:order val="3"/>
          <c:tx>
            <c:v>1989~1996建築技術規則</c:v>
          </c:tx>
          <c:spPr>
            <a:ln w="22225">
              <a:solidFill>
                <a:schemeClr val="accent6">
                  <a:lumMod val="75000"/>
                </a:schemeClr>
              </a:solidFill>
            </a:ln>
          </c:spPr>
          <c:marker>
            <c:symbol val="none"/>
          </c:marker>
          <c:xVal>
            <c:numRef>
              <c:f>台北盆地Cs!$AE$10:$AE$187</c:f>
              <c:numCache>
                <c:formatCode>General</c:formatCode>
                <c:ptCount val="178"/>
                <c:pt idx="0">
                  <c:v>1E-3</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pt idx="50">
                  <c:v>1</c:v>
                </c:pt>
                <c:pt idx="51">
                  <c:v>1.02</c:v>
                </c:pt>
                <c:pt idx="52">
                  <c:v>1.04</c:v>
                </c:pt>
                <c:pt idx="53">
                  <c:v>1.06</c:v>
                </c:pt>
                <c:pt idx="54">
                  <c:v>1.08</c:v>
                </c:pt>
                <c:pt idx="55">
                  <c:v>1.1000000000000001</c:v>
                </c:pt>
                <c:pt idx="56">
                  <c:v>1.1200000000000001</c:v>
                </c:pt>
                <c:pt idx="57">
                  <c:v>1.1399999999999999</c:v>
                </c:pt>
                <c:pt idx="58">
                  <c:v>1.1599999999999999</c:v>
                </c:pt>
                <c:pt idx="59">
                  <c:v>1.18</c:v>
                </c:pt>
                <c:pt idx="60">
                  <c:v>1.2</c:v>
                </c:pt>
                <c:pt idx="61">
                  <c:v>1.22</c:v>
                </c:pt>
                <c:pt idx="62">
                  <c:v>1.24</c:v>
                </c:pt>
                <c:pt idx="63">
                  <c:v>1.26</c:v>
                </c:pt>
                <c:pt idx="64">
                  <c:v>1.28</c:v>
                </c:pt>
                <c:pt idx="65">
                  <c:v>1.3</c:v>
                </c:pt>
                <c:pt idx="66">
                  <c:v>1.32</c:v>
                </c:pt>
                <c:pt idx="67">
                  <c:v>1.34</c:v>
                </c:pt>
                <c:pt idx="68">
                  <c:v>1.36</c:v>
                </c:pt>
                <c:pt idx="69">
                  <c:v>1.38</c:v>
                </c:pt>
                <c:pt idx="70">
                  <c:v>1.4</c:v>
                </c:pt>
                <c:pt idx="71">
                  <c:v>1.42</c:v>
                </c:pt>
                <c:pt idx="72">
                  <c:v>1.44</c:v>
                </c:pt>
                <c:pt idx="73">
                  <c:v>1.46</c:v>
                </c:pt>
                <c:pt idx="74">
                  <c:v>1.48</c:v>
                </c:pt>
                <c:pt idx="75">
                  <c:v>1.5</c:v>
                </c:pt>
                <c:pt idx="76">
                  <c:v>1.52</c:v>
                </c:pt>
                <c:pt idx="77">
                  <c:v>1.54</c:v>
                </c:pt>
                <c:pt idx="78">
                  <c:v>1.56</c:v>
                </c:pt>
                <c:pt idx="79">
                  <c:v>1.58</c:v>
                </c:pt>
                <c:pt idx="80">
                  <c:v>1.6</c:v>
                </c:pt>
                <c:pt idx="81">
                  <c:v>1.62</c:v>
                </c:pt>
                <c:pt idx="82">
                  <c:v>1.64</c:v>
                </c:pt>
                <c:pt idx="83">
                  <c:v>1.66</c:v>
                </c:pt>
                <c:pt idx="84">
                  <c:v>1.68</c:v>
                </c:pt>
                <c:pt idx="85">
                  <c:v>1.7</c:v>
                </c:pt>
                <c:pt idx="86">
                  <c:v>1.72</c:v>
                </c:pt>
                <c:pt idx="87">
                  <c:v>1.74</c:v>
                </c:pt>
                <c:pt idx="88">
                  <c:v>1.76</c:v>
                </c:pt>
                <c:pt idx="89">
                  <c:v>1.78</c:v>
                </c:pt>
                <c:pt idx="90">
                  <c:v>1.8</c:v>
                </c:pt>
                <c:pt idx="91">
                  <c:v>1.82</c:v>
                </c:pt>
                <c:pt idx="92">
                  <c:v>1.84</c:v>
                </c:pt>
                <c:pt idx="93">
                  <c:v>1.86</c:v>
                </c:pt>
                <c:pt idx="94">
                  <c:v>1.88</c:v>
                </c:pt>
                <c:pt idx="95">
                  <c:v>1.9</c:v>
                </c:pt>
                <c:pt idx="96">
                  <c:v>1.92</c:v>
                </c:pt>
                <c:pt idx="97">
                  <c:v>1.94</c:v>
                </c:pt>
                <c:pt idx="98">
                  <c:v>1.96</c:v>
                </c:pt>
                <c:pt idx="99">
                  <c:v>1.98</c:v>
                </c:pt>
                <c:pt idx="100">
                  <c:v>2</c:v>
                </c:pt>
                <c:pt idx="101">
                  <c:v>2.02</c:v>
                </c:pt>
                <c:pt idx="102">
                  <c:v>2.04</c:v>
                </c:pt>
                <c:pt idx="103">
                  <c:v>2.06</c:v>
                </c:pt>
                <c:pt idx="104">
                  <c:v>2.08</c:v>
                </c:pt>
                <c:pt idx="105">
                  <c:v>2.1</c:v>
                </c:pt>
                <c:pt idx="106">
                  <c:v>2.12</c:v>
                </c:pt>
                <c:pt idx="107">
                  <c:v>2.14</c:v>
                </c:pt>
                <c:pt idx="108">
                  <c:v>2.16</c:v>
                </c:pt>
                <c:pt idx="109">
                  <c:v>2.1800000000000002</c:v>
                </c:pt>
                <c:pt idx="110">
                  <c:v>2.2000000000000002</c:v>
                </c:pt>
                <c:pt idx="111">
                  <c:v>2.2200000000000002</c:v>
                </c:pt>
                <c:pt idx="112">
                  <c:v>2.2400000000000002</c:v>
                </c:pt>
                <c:pt idx="113">
                  <c:v>2.2599999999999998</c:v>
                </c:pt>
                <c:pt idx="114">
                  <c:v>2.2799999999999998</c:v>
                </c:pt>
                <c:pt idx="115">
                  <c:v>2.2999999999999998</c:v>
                </c:pt>
                <c:pt idx="116">
                  <c:v>2.3199999999999998</c:v>
                </c:pt>
                <c:pt idx="117">
                  <c:v>2.34</c:v>
                </c:pt>
                <c:pt idx="118">
                  <c:v>2.36</c:v>
                </c:pt>
                <c:pt idx="119">
                  <c:v>2.38</c:v>
                </c:pt>
                <c:pt idx="120">
                  <c:v>2.4</c:v>
                </c:pt>
                <c:pt idx="121">
                  <c:v>2.42</c:v>
                </c:pt>
                <c:pt idx="122">
                  <c:v>2.44</c:v>
                </c:pt>
                <c:pt idx="123">
                  <c:v>2.46</c:v>
                </c:pt>
                <c:pt idx="124">
                  <c:v>2.48</c:v>
                </c:pt>
                <c:pt idx="125">
                  <c:v>2.5</c:v>
                </c:pt>
                <c:pt idx="126">
                  <c:v>2.52</c:v>
                </c:pt>
                <c:pt idx="127">
                  <c:v>2.54</c:v>
                </c:pt>
                <c:pt idx="128">
                  <c:v>2.56</c:v>
                </c:pt>
                <c:pt idx="129">
                  <c:v>2.58</c:v>
                </c:pt>
                <c:pt idx="130">
                  <c:v>2.6</c:v>
                </c:pt>
                <c:pt idx="131">
                  <c:v>2.62</c:v>
                </c:pt>
                <c:pt idx="132">
                  <c:v>2.64</c:v>
                </c:pt>
                <c:pt idx="133">
                  <c:v>2.66</c:v>
                </c:pt>
                <c:pt idx="134">
                  <c:v>2.68</c:v>
                </c:pt>
                <c:pt idx="135">
                  <c:v>2.7</c:v>
                </c:pt>
                <c:pt idx="136">
                  <c:v>2.72</c:v>
                </c:pt>
                <c:pt idx="137">
                  <c:v>2.74</c:v>
                </c:pt>
                <c:pt idx="138">
                  <c:v>2.76</c:v>
                </c:pt>
                <c:pt idx="139">
                  <c:v>2.78</c:v>
                </c:pt>
                <c:pt idx="140">
                  <c:v>2.8</c:v>
                </c:pt>
                <c:pt idx="141">
                  <c:v>2.82</c:v>
                </c:pt>
                <c:pt idx="142">
                  <c:v>2.84</c:v>
                </c:pt>
                <c:pt idx="143">
                  <c:v>2.86</c:v>
                </c:pt>
                <c:pt idx="144">
                  <c:v>2.88</c:v>
                </c:pt>
                <c:pt idx="145">
                  <c:v>2.9</c:v>
                </c:pt>
                <c:pt idx="146">
                  <c:v>2.92</c:v>
                </c:pt>
                <c:pt idx="147">
                  <c:v>2.94</c:v>
                </c:pt>
                <c:pt idx="148">
                  <c:v>2.96</c:v>
                </c:pt>
                <c:pt idx="149">
                  <c:v>2.98</c:v>
                </c:pt>
                <c:pt idx="150">
                  <c:v>3</c:v>
                </c:pt>
                <c:pt idx="151">
                  <c:v>3.02</c:v>
                </c:pt>
                <c:pt idx="152">
                  <c:v>3.04</c:v>
                </c:pt>
                <c:pt idx="153">
                  <c:v>3.06</c:v>
                </c:pt>
                <c:pt idx="154">
                  <c:v>3.08</c:v>
                </c:pt>
                <c:pt idx="155">
                  <c:v>3.1</c:v>
                </c:pt>
                <c:pt idx="156">
                  <c:v>3.12</c:v>
                </c:pt>
                <c:pt idx="157">
                  <c:v>3.14</c:v>
                </c:pt>
                <c:pt idx="158">
                  <c:v>3.16</c:v>
                </c:pt>
                <c:pt idx="159">
                  <c:v>3.18</c:v>
                </c:pt>
                <c:pt idx="160">
                  <c:v>3.2</c:v>
                </c:pt>
                <c:pt idx="161">
                  <c:v>3.22</c:v>
                </c:pt>
                <c:pt idx="162">
                  <c:v>3.24</c:v>
                </c:pt>
                <c:pt idx="163">
                  <c:v>3.26</c:v>
                </c:pt>
                <c:pt idx="164">
                  <c:v>3.28</c:v>
                </c:pt>
                <c:pt idx="165">
                  <c:v>3.3</c:v>
                </c:pt>
                <c:pt idx="166">
                  <c:v>3.32</c:v>
                </c:pt>
                <c:pt idx="167">
                  <c:v>3.34</c:v>
                </c:pt>
                <c:pt idx="168">
                  <c:v>3.36</c:v>
                </c:pt>
                <c:pt idx="169">
                  <c:v>3.38</c:v>
                </c:pt>
                <c:pt idx="170">
                  <c:v>3.4</c:v>
                </c:pt>
                <c:pt idx="171">
                  <c:v>3.42</c:v>
                </c:pt>
                <c:pt idx="172">
                  <c:v>3.44</c:v>
                </c:pt>
                <c:pt idx="173">
                  <c:v>3.46</c:v>
                </c:pt>
                <c:pt idx="174">
                  <c:v>3.48</c:v>
                </c:pt>
                <c:pt idx="175">
                  <c:v>3.5</c:v>
                </c:pt>
                <c:pt idx="176">
                  <c:v>3.52</c:v>
                </c:pt>
                <c:pt idx="177">
                  <c:v>4</c:v>
                </c:pt>
              </c:numCache>
            </c:numRef>
          </c:xVal>
          <c:yVal>
            <c:numRef>
              <c:f>台北盆地Cs!$AG$10:$AG$187</c:f>
              <c:numCache>
                <c:formatCode>General</c:formatCode>
                <c:ptCount val="178"/>
                <c:pt idx="0">
                  <c:v>0.10050000000000001</c:v>
                </c:pt>
                <c:pt idx="1">
                  <c:v>0.10050000000000001</c:v>
                </c:pt>
                <c:pt idx="2">
                  <c:v>0.10050000000000001</c:v>
                </c:pt>
                <c:pt idx="3">
                  <c:v>0.10050000000000001</c:v>
                </c:pt>
                <c:pt idx="4">
                  <c:v>0.10050000000000001</c:v>
                </c:pt>
                <c:pt idx="5">
                  <c:v>0.10050000000000001</c:v>
                </c:pt>
                <c:pt idx="6">
                  <c:v>0.10050000000000001</c:v>
                </c:pt>
                <c:pt idx="7">
                  <c:v>0.10050000000000001</c:v>
                </c:pt>
                <c:pt idx="8">
                  <c:v>0.10050000000000001</c:v>
                </c:pt>
                <c:pt idx="9">
                  <c:v>0.10050000000000001</c:v>
                </c:pt>
                <c:pt idx="10">
                  <c:v>0.10050000000000001</c:v>
                </c:pt>
                <c:pt idx="11">
                  <c:v>0.10050000000000001</c:v>
                </c:pt>
                <c:pt idx="12">
                  <c:v>0.10050000000000001</c:v>
                </c:pt>
                <c:pt idx="13">
                  <c:v>0.10050000000000001</c:v>
                </c:pt>
                <c:pt idx="14">
                  <c:v>0.10050000000000001</c:v>
                </c:pt>
                <c:pt idx="15">
                  <c:v>0.10050000000000001</c:v>
                </c:pt>
                <c:pt idx="16">
                  <c:v>0.10050000000000001</c:v>
                </c:pt>
                <c:pt idx="17">
                  <c:v>0.10050000000000001</c:v>
                </c:pt>
                <c:pt idx="18">
                  <c:v>0.10050000000000001</c:v>
                </c:pt>
                <c:pt idx="19">
                  <c:v>0.10050000000000001</c:v>
                </c:pt>
                <c:pt idx="20">
                  <c:v>0.10050000000000001</c:v>
                </c:pt>
                <c:pt idx="21">
                  <c:v>0.10050000000000001</c:v>
                </c:pt>
                <c:pt idx="22">
                  <c:v>0.10050000000000001</c:v>
                </c:pt>
                <c:pt idx="23">
                  <c:v>0.10050000000000001</c:v>
                </c:pt>
                <c:pt idx="24">
                  <c:v>0.10050000000000001</c:v>
                </c:pt>
                <c:pt idx="25">
                  <c:v>0.10050000000000001</c:v>
                </c:pt>
                <c:pt idx="26">
                  <c:v>0.10050000000000001</c:v>
                </c:pt>
                <c:pt idx="27">
                  <c:v>0.10050000000000001</c:v>
                </c:pt>
                <c:pt idx="28">
                  <c:v>0.10050000000000001</c:v>
                </c:pt>
                <c:pt idx="29">
                  <c:v>0.10050000000000001</c:v>
                </c:pt>
                <c:pt idx="30">
                  <c:v>0.10050000000000001</c:v>
                </c:pt>
                <c:pt idx="31">
                  <c:v>0.10050000000000001</c:v>
                </c:pt>
                <c:pt idx="32">
                  <c:v>0.10050000000000001</c:v>
                </c:pt>
                <c:pt idx="33">
                  <c:v>0.10050000000000001</c:v>
                </c:pt>
                <c:pt idx="34">
                  <c:v>0.10050000000000001</c:v>
                </c:pt>
                <c:pt idx="35">
                  <c:v>0.10050000000000001</c:v>
                </c:pt>
                <c:pt idx="36">
                  <c:v>0.10050000000000001</c:v>
                </c:pt>
                <c:pt idx="37">
                  <c:v>0.10050000000000001</c:v>
                </c:pt>
                <c:pt idx="38">
                  <c:v>0.10050000000000001</c:v>
                </c:pt>
                <c:pt idx="39">
                  <c:v>0.10050000000000001</c:v>
                </c:pt>
                <c:pt idx="40">
                  <c:v>0.10050000000000001</c:v>
                </c:pt>
                <c:pt idx="41">
                  <c:v>0.10050000000000001</c:v>
                </c:pt>
                <c:pt idx="42">
                  <c:v>0.10050000000000001</c:v>
                </c:pt>
                <c:pt idx="43">
                  <c:v>0.10050000000000001</c:v>
                </c:pt>
                <c:pt idx="44">
                  <c:v>0.10050000000000001</c:v>
                </c:pt>
                <c:pt idx="45">
                  <c:v>0.10050000000000001</c:v>
                </c:pt>
                <c:pt idx="46">
                  <c:v>0.10050000000000001</c:v>
                </c:pt>
                <c:pt idx="47">
                  <c:v>0.10050000000000001</c:v>
                </c:pt>
                <c:pt idx="48">
                  <c:v>0.10050000000000001</c:v>
                </c:pt>
                <c:pt idx="49">
                  <c:v>0.10050000000000001</c:v>
                </c:pt>
                <c:pt idx="50">
                  <c:v>0.10050000000000001</c:v>
                </c:pt>
                <c:pt idx="51">
                  <c:v>0.10050000000000001</c:v>
                </c:pt>
                <c:pt idx="52">
                  <c:v>0.10050000000000001</c:v>
                </c:pt>
                <c:pt idx="53">
                  <c:v>0.10050000000000001</c:v>
                </c:pt>
                <c:pt idx="54">
                  <c:v>0.10050000000000001</c:v>
                </c:pt>
                <c:pt idx="55">
                  <c:v>0.10050000000000001</c:v>
                </c:pt>
                <c:pt idx="56">
                  <c:v>0.10050000000000001</c:v>
                </c:pt>
                <c:pt idx="57">
                  <c:v>0.10050000000000001</c:v>
                </c:pt>
                <c:pt idx="58">
                  <c:v>0.10050000000000001</c:v>
                </c:pt>
                <c:pt idx="59">
                  <c:v>0.10050000000000001</c:v>
                </c:pt>
                <c:pt idx="60">
                  <c:v>0.10050000000000001</c:v>
                </c:pt>
                <c:pt idx="61">
                  <c:v>0.10050000000000001</c:v>
                </c:pt>
                <c:pt idx="62">
                  <c:v>0.10050000000000001</c:v>
                </c:pt>
                <c:pt idx="63">
                  <c:v>0.10050000000000001</c:v>
                </c:pt>
                <c:pt idx="64">
                  <c:v>0.10050000000000001</c:v>
                </c:pt>
                <c:pt idx="65">
                  <c:v>0.10050000000000001</c:v>
                </c:pt>
                <c:pt idx="66">
                  <c:v>0.10050000000000001</c:v>
                </c:pt>
                <c:pt idx="67">
                  <c:v>0.10050000000000001</c:v>
                </c:pt>
                <c:pt idx="68">
                  <c:v>0.10050000000000001</c:v>
                </c:pt>
                <c:pt idx="69">
                  <c:v>0.10050000000000001</c:v>
                </c:pt>
                <c:pt idx="70">
                  <c:v>0.10050000000000001</c:v>
                </c:pt>
                <c:pt idx="71">
                  <c:v>0.10050000000000001</c:v>
                </c:pt>
                <c:pt idx="72">
                  <c:v>0.10050000000000001</c:v>
                </c:pt>
                <c:pt idx="73">
                  <c:v>0.10050000000000001</c:v>
                </c:pt>
                <c:pt idx="74">
                  <c:v>0.10050000000000001</c:v>
                </c:pt>
                <c:pt idx="75">
                  <c:v>0.10050000000000001</c:v>
                </c:pt>
                <c:pt idx="76">
                  <c:v>0.10050000000000001</c:v>
                </c:pt>
                <c:pt idx="77">
                  <c:v>0.10050000000000001</c:v>
                </c:pt>
                <c:pt idx="78">
                  <c:v>0.10050000000000001</c:v>
                </c:pt>
                <c:pt idx="79">
                  <c:v>0.10050000000000001</c:v>
                </c:pt>
                <c:pt idx="80">
                  <c:v>0.10050000000000001</c:v>
                </c:pt>
                <c:pt idx="81">
                  <c:v>0.10050000000000001</c:v>
                </c:pt>
                <c:pt idx="82">
                  <c:v>0.10050000000000001</c:v>
                </c:pt>
                <c:pt idx="83">
                  <c:v>0.10009638554216868</c:v>
                </c:pt>
                <c:pt idx="84">
                  <c:v>9.8904761904761912E-2</c:v>
                </c:pt>
                <c:pt idx="85">
                  <c:v>9.7741176470588234E-2</c:v>
                </c:pt>
                <c:pt idx="86">
                  <c:v>9.6604651162790711E-2</c:v>
                </c:pt>
                <c:pt idx="87">
                  <c:v>9.5494252873563223E-2</c:v>
                </c:pt>
                <c:pt idx="88">
                  <c:v>9.4409090909090901E-2</c:v>
                </c:pt>
                <c:pt idx="89">
                  <c:v>9.3348314606741561E-2</c:v>
                </c:pt>
                <c:pt idx="90">
                  <c:v>9.2311111111111122E-2</c:v>
                </c:pt>
                <c:pt idx="91">
                  <c:v>9.129670329670328E-2</c:v>
                </c:pt>
                <c:pt idx="92">
                  <c:v>9.030434782608697E-2</c:v>
                </c:pt>
                <c:pt idx="93">
                  <c:v>8.9333333333333334E-2</c:v>
                </c:pt>
                <c:pt idx="94">
                  <c:v>8.8382978723404254E-2</c:v>
                </c:pt>
                <c:pt idx="95">
                  <c:v>8.7452631578947365E-2</c:v>
                </c:pt>
                <c:pt idx="96">
                  <c:v>8.6541666666666683E-2</c:v>
                </c:pt>
                <c:pt idx="97">
                  <c:v>8.5649484536082482E-2</c:v>
                </c:pt>
                <c:pt idx="98">
                  <c:v>8.4775510204081625E-2</c:v>
                </c:pt>
                <c:pt idx="99">
                  <c:v>8.3919191919191921E-2</c:v>
                </c:pt>
                <c:pt idx="100">
                  <c:v>8.3080000000000015E-2</c:v>
                </c:pt>
                <c:pt idx="101">
                  <c:v>8.2257425742574261E-2</c:v>
                </c:pt>
                <c:pt idx="102">
                  <c:v>8.1450980392156869E-2</c:v>
                </c:pt>
                <c:pt idx="103">
                  <c:v>8.0660194174757283E-2</c:v>
                </c:pt>
                <c:pt idx="104">
                  <c:v>7.9884615384615387E-2</c:v>
                </c:pt>
                <c:pt idx="105">
                  <c:v>7.9123809523809513E-2</c:v>
                </c:pt>
                <c:pt idx="106">
                  <c:v>7.8377358490566026E-2</c:v>
                </c:pt>
                <c:pt idx="107">
                  <c:v>7.7644859813084111E-2</c:v>
                </c:pt>
                <c:pt idx="108">
                  <c:v>7.6925925925925925E-2</c:v>
                </c:pt>
                <c:pt idx="109">
                  <c:v>7.6220183486238532E-2</c:v>
                </c:pt>
                <c:pt idx="110">
                  <c:v>7.5527272727272721E-2</c:v>
                </c:pt>
                <c:pt idx="111">
                  <c:v>7.4846846846846837E-2</c:v>
                </c:pt>
                <c:pt idx="112">
                  <c:v>7.4178571428571427E-2</c:v>
                </c:pt>
                <c:pt idx="113">
                  <c:v>7.352212389380533E-2</c:v>
                </c:pt>
                <c:pt idx="114">
                  <c:v>7.2877192982456152E-2</c:v>
                </c:pt>
                <c:pt idx="115">
                  <c:v>7.2243478260869576E-2</c:v>
                </c:pt>
                <c:pt idx="116">
                  <c:v>7.1620689655172418E-2</c:v>
                </c:pt>
                <c:pt idx="117">
                  <c:v>7.1008547008547016E-2</c:v>
                </c:pt>
                <c:pt idx="118">
                  <c:v>7.0406779661016952E-2</c:v>
                </c:pt>
                <c:pt idx="119">
                  <c:v>6.9815126050420173E-2</c:v>
                </c:pt>
                <c:pt idx="120">
                  <c:v>6.9233333333333341E-2</c:v>
                </c:pt>
                <c:pt idx="121">
                  <c:v>6.866115702479339E-2</c:v>
                </c:pt>
                <c:pt idx="122">
                  <c:v>6.8098360655737711E-2</c:v>
                </c:pt>
                <c:pt idx="123">
                  <c:v>6.7544715447154485E-2</c:v>
                </c:pt>
                <c:pt idx="124">
                  <c:v>6.7000000000000004E-2</c:v>
                </c:pt>
                <c:pt idx="125">
                  <c:v>6.6463999999999995E-2</c:v>
                </c:pt>
                <c:pt idx="126">
                  <c:v>6.5936507936507932E-2</c:v>
                </c:pt>
                <c:pt idx="127">
                  <c:v>6.5417322834645672E-2</c:v>
                </c:pt>
                <c:pt idx="128">
                  <c:v>6.4906250000000013E-2</c:v>
                </c:pt>
                <c:pt idx="129">
                  <c:v>6.4403100775193803E-2</c:v>
                </c:pt>
                <c:pt idx="130">
                  <c:v>6.3907692307692304E-2</c:v>
                </c:pt>
                <c:pt idx="131">
                  <c:v>6.341984732824428E-2</c:v>
                </c:pt>
                <c:pt idx="132">
                  <c:v>6.2939393939393948E-2</c:v>
                </c:pt>
                <c:pt idx="133">
                  <c:v>6.2466165413533836E-2</c:v>
                </c:pt>
                <c:pt idx="134">
                  <c:v>6.2000000000000006E-2</c:v>
                </c:pt>
                <c:pt idx="135">
                  <c:v>6.154074074074075E-2</c:v>
                </c:pt>
                <c:pt idx="136">
                  <c:v>6.1088235294117645E-2</c:v>
                </c:pt>
                <c:pt idx="137">
                  <c:v>6.0642335766423361E-2</c:v>
                </c:pt>
                <c:pt idx="138">
                  <c:v>6.0202898550724651E-2</c:v>
                </c:pt>
                <c:pt idx="139">
                  <c:v>5.9769784172661877E-2</c:v>
                </c:pt>
                <c:pt idx="140">
                  <c:v>5.9342857142857149E-2</c:v>
                </c:pt>
                <c:pt idx="141">
                  <c:v>5.8921985815602838E-2</c:v>
                </c:pt>
                <c:pt idx="142">
                  <c:v>5.8507042253521137E-2</c:v>
                </c:pt>
                <c:pt idx="143">
                  <c:v>5.809790209790211E-2</c:v>
                </c:pt>
                <c:pt idx="144">
                  <c:v>5.7694444444444451E-2</c:v>
                </c:pt>
                <c:pt idx="145">
                  <c:v>5.7296551724137931E-2</c:v>
                </c:pt>
                <c:pt idx="146">
                  <c:v>5.6904109589041095E-2</c:v>
                </c:pt>
                <c:pt idx="147">
                  <c:v>5.6517006802721093E-2</c:v>
                </c:pt>
                <c:pt idx="148">
                  <c:v>5.6135135135135142E-2</c:v>
                </c:pt>
                <c:pt idx="149">
                  <c:v>5.5758389261744971E-2</c:v>
                </c:pt>
                <c:pt idx="150">
                  <c:v>5.5386666666666667E-2</c:v>
                </c:pt>
                <c:pt idx="151">
                  <c:v>5.5019867549668873E-2</c:v>
                </c:pt>
                <c:pt idx="152">
                  <c:v>5.4657894736842114E-2</c:v>
                </c:pt>
                <c:pt idx="153">
                  <c:v>5.430065359477125E-2</c:v>
                </c:pt>
                <c:pt idx="154">
                  <c:v>5.3948051948051953E-2</c:v>
                </c:pt>
                <c:pt idx="155">
                  <c:v>5.3600000000000002E-2</c:v>
                </c:pt>
                <c:pt idx="156">
                  <c:v>5.3256410256410258E-2</c:v>
                </c:pt>
                <c:pt idx="157">
                  <c:v>5.2917197452229295E-2</c:v>
                </c:pt>
                <c:pt idx="158">
                  <c:v>5.2582278481012663E-2</c:v>
                </c:pt>
                <c:pt idx="159">
                  <c:v>5.2251572327044027E-2</c:v>
                </c:pt>
                <c:pt idx="160">
                  <c:v>5.1924999999999999E-2</c:v>
                </c:pt>
                <c:pt idx="161">
                  <c:v>5.1602484472049695E-2</c:v>
                </c:pt>
                <c:pt idx="162">
                  <c:v>5.1283950617283948E-2</c:v>
                </c:pt>
                <c:pt idx="163">
                  <c:v>5.096932515337424E-2</c:v>
                </c:pt>
                <c:pt idx="164">
                  <c:v>5.0658536585365857E-2</c:v>
                </c:pt>
                <c:pt idx="165">
                  <c:v>5.0351515151515147E-2</c:v>
                </c:pt>
                <c:pt idx="166">
                  <c:v>5.0048192771084341E-2</c:v>
                </c:pt>
                <c:pt idx="167">
                  <c:v>4.9748502994011984E-2</c:v>
                </c:pt>
                <c:pt idx="168">
                  <c:v>4.9452380952380956E-2</c:v>
                </c:pt>
                <c:pt idx="169">
                  <c:v>4.9159763313609474E-2</c:v>
                </c:pt>
                <c:pt idx="170">
                  <c:v>4.8870588235294117E-2</c:v>
                </c:pt>
                <c:pt idx="171">
                  <c:v>4.8584795321637425E-2</c:v>
                </c:pt>
                <c:pt idx="172">
                  <c:v>4.8302325581395356E-2</c:v>
                </c:pt>
                <c:pt idx="173">
                  <c:v>4.8023121387283242E-2</c:v>
                </c:pt>
                <c:pt idx="174">
                  <c:v>4.7747126436781612E-2</c:v>
                </c:pt>
                <c:pt idx="175">
                  <c:v>4.7474285714285719E-2</c:v>
                </c:pt>
                <c:pt idx="176">
                  <c:v>4.720454545454545E-2</c:v>
                </c:pt>
                <c:pt idx="177">
                  <c:v>4.1875000000000002E-2</c:v>
                </c:pt>
              </c:numCache>
            </c:numRef>
          </c:yVal>
          <c:smooth val="0"/>
          <c:extLst>
            <c:ext xmlns:c16="http://schemas.microsoft.com/office/drawing/2014/chart" uri="{C3380CC4-5D6E-409C-BE32-E72D297353CC}">
              <c16:uniqueId val="{00000004-B6AE-45A5-931A-9E12D0268ACA}"/>
            </c:ext>
          </c:extLst>
        </c:ser>
        <c:ser>
          <c:idx val="3"/>
          <c:order val="4"/>
          <c:tx>
            <c:strRef>
              <c:f>台北盆地Cs!$AB$13:$AC$13</c:f>
              <c:strCache>
                <c:ptCount val="1"/>
                <c:pt idx="0">
                  <c:v>基本振動週期T= 0.212 </c:v>
                </c:pt>
              </c:strCache>
            </c:strRef>
          </c:tx>
          <c:spPr>
            <a:ln w="19050">
              <a:solidFill>
                <a:schemeClr val="tx1">
                  <a:lumMod val="75000"/>
                  <a:lumOff val="25000"/>
                </a:schemeClr>
              </a:solidFill>
              <a:prstDash val="sysDash"/>
            </a:ln>
          </c:spPr>
          <c:marker>
            <c:symbol val="none"/>
          </c:marker>
          <c:xVal>
            <c:numRef>
              <c:f>台北盆地Cs!$AC$10:$AC$11</c:f>
              <c:numCache>
                <c:formatCode>0.000_ </c:formatCode>
                <c:ptCount val="2"/>
                <c:pt idx="0">
                  <c:v>0.21210000000000001</c:v>
                </c:pt>
                <c:pt idx="1">
                  <c:v>0.21210000000000001</c:v>
                </c:pt>
              </c:numCache>
            </c:numRef>
          </c:xVal>
          <c:yVal>
            <c:numRef>
              <c:f>台北盆地Cs!$AB$10:$AB$11</c:f>
              <c:numCache>
                <c:formatCode>0.000_ </c:formatCode>
                <c:ptCount val="2"/>
                <c:pt idx="0">
                  <c:v>0</c:v>
                </c:pt>
                <c:pt idx="1">
                  <c:v>0.23</c:v>
                </c:pt>
              </c:numCache>
            </c:numRef>
          </c:yVal>
          <c:smooth val="0"/>
          <c:extLst>
            <c:ext xmlns:c16="http://schemas.microsoft.com/office/drawing/2014/chart" uri="{C3380CC4-5D6E-409C-BE32-E72D297353CC}">
              <c16:uniqueId val="{00000003-B6AE-45A5-931A-9E12D0268ACA}"/>
            </c:ext>
          </c:extLst>
        </c:ser>
        <c:dLbls>
          <c:showLegendKey val="0"/>
          <c:showVal val="0"/>
          <c:showCatName val="0"/>
          <c:showSerName val="0"/>
          <c:showPercent val="0"/>
          <c:showBubbleSize val="0"/>
        </c:dLbls>
        <c:axId val="149985536"/>
        <c:axId val="150000000"/>
      </c:scatterChart>
      <c:valAx>
        <c:axId val="149985536"/>
        <c:scaling>
          <c:orientation val="minMax"/>
          <c:max val="3"/>
        </c:scaling>
        <c:delete val="0"/>
        <c:axPos val="b"/>
        <c:majorGridlines>
          <c:spPr>
            <a:ln w="9525">
              <a:solidFill>
                <a:sysClr val="windowText" lastClr="000000"/>
              </a:solidFill>
            </a:ln>
          </c:spPr>
        </c:majorGridlines>
        <c:minorGridlines/>
        <c:title>
          <c:tx>
            <c:rich>
              <a:bodyPr/>
              <a:lstStyle/>
              <a:p>
                <a:pPr>
                  <a:defRPr/>
                </a:pPr>
                <a:r>
                  <a:rPr lang="en-US" altLang="zh-TW"/>
                  <a:t>Period T (sec)</a:t>
                </a:r>
                <a:endParaRPr lang="zh-TW" altLang="en-US"/>
              </a:p>
            </c:rich>
          </c:tx>
          <c:overlay val="0"/>
        </c:title>
        <c:numFmt formatCode="General" sourceLinked="1"/>
        <c:majorTickMark val="none"/>
        <c:minorTickMark val="none"/>
        <c:tickLblPos val="nextTo"/>
        <c:spPr>
          <a:ln w="15875">
            <a:solidFill>
              <a:sysClr val="windowText" lastClr="000000"/>
            </a:solidFill>
          </a:ln>
        </c:spPr>
        <c:txPr>
          <a:bodyPr rot="0" vert="horz"/>
          <a:lstStyle/>
          <a:p>
            <a:pPr>
              <a:defRPr sz="1000" b="0" i="0" u="none" strike="noStrike" baseline="0">
                <a:solidFill>
                  <a:srgbClr val="000000"/>
                </a:solidFill>
                <a:latin typeface="新細明體"/>
                <a:ea typeface="新細明體"/>
                <a:cs typeface="新細明體"/>
              </a:defRPr>
            </a:pPr>
            <a:endParaRPr lang="zh-TW"/>
          </a:p>
        </c:txPr>
        <c:crossAx val="150000000"/>
        <c:crosses val="autoZero"/>
        <c:crossBetween val="midCat"/>
        <c:majorUnit val="0.5"/>
        <c:minorUnit val="0.1"/>
      </c:valAx>
      <c:valAx>
        <c:axId val="150000000"/>
        <c:scaling>
          <c:orientation val="minMax"/>
        </c:scaling>
        <c:delete val="0"/>
        <c:axPos val="l"/>
        <c:majorGridlines>
          <c:spPr>
            <a:ln w="9525">
              <a:solidFill>
                <a:sysClr val="windowText" lastClr="000000"/>
              </a:solidFill>
            </a:ln>
          </c:spPr>
        </c:majorGridlines>
        <c:minorGridlines/>
        <c:title>
          <c:tx>
            <c:rich>
              <a:bodyPr/>
              <a:lstStyle/>
              <a:p>
                <a:pPr>
                  <a:defRPr/>
                </a:pPr>
                <a:r>
                  <a:rPr lang="en-US" altLang="zh-TW"/>
                  <a:t>Sa</a:t>
                </a:r>
                <a:r>
                  <a:rPr lang="en-US" altLang="zh-TW" baseline="0"/>
                  <a:t> </a:t>
                </a:r>
                <a:endParaRPr lang="en-US" altLang="zh-TW"/>
              </a:p>
            </c:rich>
          </c:tx>
          <c:overlay val="0"/>
        </c:title>
        <c:numFmt formatCode="0.00_);\(0.00\)" sourceLinked="0"/>
        <c:majorTickMark val="none"/>
        <c:minorTickMark val="none"/>
        <c:tickLblPos val="nextTo"/>
        <c:spPr>
          <a:ln w="15875">
            <a:solidFill>
              <a:sysClr val="windowText" lastClr="000000"/>
            </a:solidFill>
          </a:ln>
        </c:spPr>
        <c:crossAx val="149985536"/>
        <c:crosses val="autoZero"/>
        <c:crossBetween val="midCat"/>
      </c:valAx>
      <c:spPr>
        <a:ln w="15875">
          <a:solidFill>
            <a:schemeClr val="tx1"/>
          </a:solidFill>
        </a:ln>
      </c:spPr>
    </c:plotArea>
    <c:legend>
      <c:legendPos val="r"/>
      <c:layout>
        <c:manualLayout>
          <c:xMode val="edge"/>
          <c:yMode val="edge"/>
          <c:x val="0.62787303583930465"/>
          <c:y val="7.0854084009029122E-2"/>
          <c:w val="0.31674360115087957"/>
          <c:h val="0.42919369424164461"/>
        </c:manualLayout>
      </c:layout>
      <c:overlay val="0"/>
      <c:spPr>
        <a:solidFill>
          <a:schemeClr val="bg1"/>
        </a:solidFill>
      </c:spPr>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一般工址Cs!$N$42</c:f>
              <c:strCache>
                <c:ptCount val="1"/>
                <c:pt idx="0">
                  <c:v>I(SaD/FuD)m/1.4αy</c:v>
                </c:pt>
              </c:strCache>
            </c:strRef>
          </c:tx>
          <c:spPr>
            <a:ln w="19050"/>
          </c:spPr>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一般工址Cs!$N$43:$N$95</c:f>
              <c:numCache>
                <c:formatCode>0.000_ </c:formatCode>
                <c:ptCount val="53"/>
                <c:pt idx="0">
                  <c:v>0.23100000000000001</c:v>
                </c:pt>
                <c:pt idx="1">
                  <c:v>0.27200000000000002</c:v>
                </c:pt>
                <c:pt idx="2">
                  <c:v>0.27900000000000003</c:v>
                </c:pt>
                <c:pt idx="3">
                  <c:v>0.28000000000000003</c:v>
                </c:pt>
                <c:pt idx="4">
                  <c:v>0.28000000000000003</c:v>
                </c:pt>
                <c:pt idx="5">
                  <c:v>0.28000000000000003</c:v>
                </c:pt>
                <c:pt idx="6">
                  <c:v>0.28000000000000003</c:v>
                </c:pt>
                <c:pt idx="7">
                  <c:v>0.28000000000000003</c:v>
                </c:pt>
                <c:pt idx="8">
                  <c:v>0.28000000000000003</c:v>
                </c:pt>
                <c:pt idx="9">
                  <c:v>0.28000000000000003</c:v>
                </c:pt>
                <c:pt idx="10">
                  <c:v>0.28000000000000003</c:v>
                </c:pt>
                <c:pt idx="11">
                  <c:v>0.27400000000000002</c:v>
                </c:pt>
                <c:pt idx="12">
                  <c:v>0.26800000000000002</c:v>
                </c:pt>
                <c:pt idx="13">
                  <c:v>0.26200000000000001</c:v>
                </c:pt>
                <c:pt idx="14">
                  <c:v>0.25900000000000001</c:v>
                </c:pt>
                <c:pt idx="15">
                  <c:v>0.25800000000000001</c:v>
                </c:pt>
                <c:pt idx="16">
                  <c:v>0.25800000000000001</c:v>
                </c:pt>
                <c:pt idx="17">
                  <c:v>0.24399999999999999</c:v>
                </c:pt>
                <c:pt idx="18">
                  <c:v>0.23300000000000001</c:v>
                </c:pt>
                <c:pt idx="19">
                  <c:v>0.224</c:v>
                </c:pt>
                <c:pt idx="20">
                  <c:v>0.216</c:v>
                </c:pt>
                <c:pt idx="21">
                  <c:v>0.20399999999999999</c:v>
                </c:pt>
                <c:pt idx="22">
                  <c:v>0.193</c:v>
                </c:pt>
                <c:pt idx="23">
                  <c:v>0.182</c:v>
                </c:pt>
                <c:pt idx="24">
                  <c:v>0.17299999999999999</c:v>
                </c:pt>
                <c:pt idx="25">
                  <c:v>0.16400000000000001</c:v>
                </c:pt>
                <c:pt idx="26">
                  <c:v>0.157</c:v>
                </c:pt>
                <c:pt idx="27">
                  <c:v>0.15</c:v>
                </c:pt>
                <c:pt idx="28">
                  <c:v>0.14299999999999999</c:v>
                </c:pt>
                <c:pt idx="29">
                  <c:v>0.13700000000000001</c:v>
                </c:pt>
                <c:pt idx="30">
                  <c:v>0.13200000000000001</c:v>
                </c:pt>
                <c:pt idx="31">
                  <c:v>0.127</c:v>
                </c:pt>
                <c:pt idx="32">
                  <c:v>0.122</c:v>
                </c:pt>
                <c:pt idx="33">
                  <c:v>0.11899999999999999</c:v>
                </c:pt>
                <c:pt idx="34">
                  <c:v>0.11899999999999999</c:v>
                </c:pt>
                <c:pt idx="35">
                  <c:v>0.11899999999999999</c:v>
                </c:pt>
                <c:pt idx="36">
                  <c:v>0.11899999999999999</c:v>
                </c:pt>
                <c:pt idx="37">
                  <c:v>0.11899999999999999</c:v>
                </c:pt>
                <c:pt idx="38">
                  <c:v>0.11899999999999999</c:v>
                </c:pt>
                <c:pt idx="39">
                  <c:v>0.11899999999999999</c:v>
                </c:pt>
                <c:pt idx="40">
                  <c:v>0.11899999999999999</c:v>
                </c:pt>
                <c:pt idx="41">
                  <c:v>0.11899999999999999</c:v>
                </c:pt>
                <c:pt idx="42">
                  <c:v>0.11899999999999999</c:v>
                </c:pt>
                <c:pt idx="43">
                  <c:v>0.11899999999999999</c:v>
                </c:pt>
                <c:pt idx="44">
                  <c:v>0.11899999999999999</c:v>
                </c:pt>
                <c:pt idx="45">
                  <c:v>0.11899999999999999</c:v>
                </c:pt>
                <c:pt idx="46">
                  <c:v>0.11899999999999999</c:v>
                </c:pt>
                <c:pt idx="47">
                  <c:v>0.11899999999999999</c:v>
                </c:pt>
                <c:pt idx="48">
                  <c:v>0.11899999999999999</c:v>
                </c:pt>
                <c:pt idx="49">
                  <c:v>0.11899999999999999</c:v>
                </c:pt>
                <c:pt idx="50">
                  <c:v>0.11899999999999999</c:v>
                </c:pt>
                <c:pt idx="51">
                  <c:v>0.11899999999999999</c:v>
                </c:pt>
                <c:pt idx="52">
                  <c:v>0.11899999999999999</c:v>
                </c:pt>
              </c:numCache>
            </c:numRef>
          </c:yVal>
          <c:smooth val="0"/>
          <c:extLst>
            <c:ext xmlns:c16="http://schemas.microsoft.com/office/drawing/2014/chart" uri="{C3380CC4-5D6E-409C-BE32-E72D297353CC}">
              <c16:uniqueId val="{00000000-909D-45B2-A8C4-9F6F62298208}"/>
            </c:ext>
          </c:extLst>
        </c:ser>
        <c:ser>
          <c:idx val="1"/>
          <c:order val="1"/>
          <c:tx>
            <c:strRef>
              <c:f>一般工址Cs!$S$42</c:f>
              <c:strCache>
                <c:ptCount val="1"/>
                <c:pt idx="0">
                  <c:v>IFu*(SaD*/FuD*)m/4.2αy</c:v>
                </c:pt>
              </c:strCache>
            </c:strRef>
          </c:tx>
          <c:spPr>
            <a:ln w="19050"/>
          </c:spPr>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一般工址Cs!$S$43:$S$95</c:f>
              <c:numCache>
                <c:formatCode>0.000_ </c:formatCode>
                <c:ptCount val="53"/>
                <c:pt idx="0">
                  <c:v>8.1000000000000003E-2</c:v>
                </c:pt>
                <c:pt idx="1">
                  <c:v>0.14000000000000001</c:v>
                </c:pt>
                <c:pt idx="2">
                  <c:v>0.156</c:v>
                </c:pt>
                <c:pt idx="3">
                  <c:v>0.157</c:v>
                </c:pt>
                <c:pt idx="4">
                  <c:v>0.157</c:v>
                </c:pt>
                <c:pt idx="5">
                  <c:v>0.157</c:v>
                </c:pt>
                <c:pt idx="6">
                  <c:v>0.157</c:v>
                </c:pt>
                <c:pt idx="7">
                  <c:v>0.157</c:v>
                </c:pt>
                <c:pt idx="8">
                  <c:v>0.157</c:v>
                </c:pt>
                <c:pt idx="9">
                  <c:v>0.157</c:v>
                </c:pt>
                <c:pt idx="10">
                  <c:v>0.157</c:v>
                </c:pt>
                <c:pt idx="11">
                  <c:v>0.159</c:v>
                </c:pt>
                <c:pt idx="12">
                  <c:v>0.161</c:v>
                </c:pt>
                <c:pt idx="13">
                  <c:v>0.16400000000000001</c:v>
                </c:pt>
                <c:pt idx="14">
                  <c:v>0.16500000000000001</c:v>
                </c:pt>
                <c:pt idx="15">
                  <c:v>0.16500000000000001</c:v>
                </c:pt>
                <c:pt idx="16">
                  <c:v>0.16500000000000001</c:v>
                </c:pt>
                <c:pt idx="17">
                  <c:v>0.156</c:v>
                </c:pt>
                <c:pt idx="18">
                  <c:v>0.15</c:v>
                </c:pt>
                <c:pt idx="19">
                  <c:v>0.14399999999999999</c:v>
                </c:pt>
                <c:pt idx="20">
                  <c:v>0.13900000000000001</c:v>
                </c:pt>
                <c:pt idx="21">
                  <c:v>0.13100000000000001</c:v>
                </c:pt>
                <c:pt idx="22">
                  <c:v>0.123</c:v>
                </c:pt>
                <c:pt idx="23">
                  <c:v>0.11600000000000001</c:v>
                </c:pt>
                <c:pt idx="24">
                  <c:v>0.11</c:v>
                </c:pt>
                <c:pt idx="25">
                  <c:v>0.105</c:v>
                </c:pt>
                <c:pt idx="26">
                  <c:v>0.1</c:v>
                </c:pt>
                <c:pt idx="27">
                  <c:v>9.6000000000000002E-2</c:v>
                </c:pt>
                <c:pt idx="28">
                  <c:v>9.1999999999999998E-2</c:v>
                </c:pt>
                <c:pt idx="29">
                  <c:v>8.7999999999999995E-2</c:v>
                </c:pt>
                <c:pt idx="30">
                  <c:v>8.4000000000000005E-2</c:v>
                </c:pt>
                <c:pt idx="31">
                  <c:v>8.1000000000000003E-2</c:v>
                </c:pt>
                <c:pt idx="32">
                  <c:v>7.8E-2</c:v>
                </c:pt>
                <c:pt idx="33">
                  <c:v>7.5999999999999998E-2</c:v>
                </c:pt>
                <c:pt idx="34">
                  <c:v>7.5999999999999998E-2</c:v>
                </c:pt>
                <c:pt idx="35">
                  <c:v>7.5999999999999998E-2</c:v>
                </c:pt>
                <c:pt idx="36">
                  <c:v>7.5999999999999998E-2</c:v>
                </c:pt>
                <c:pt idx="37">
                  <c:v>7.5999999999999998E-2</c:v>
                </c:pt>
                <c:pt idx="38">
                  <c:v>7.5999999999999998E-2</c:v>
                </c:pt>
                <c:pt idx="39">
                  <c:v>7.5999999999999998E-2</c:v>
                </c:pt>
                <c:pt idx="40">
                  <c:v>7.5999999999999998E-2</c:v>
                </c:pt>
                <c:pt idx="41">
                  <c:v>7.5999999999999998E-2</c:v>
                </c:pt>
                <c:pt idx="42">
                  <c:v>7.5999999999999998E-2</c:v>
                </c:pt>
                <c:pt idx="43">
                  <c:v>7.5999999999999998E-2</c:v>
                </c:pt>
                <c:pt idx="44">
                  <c:v>7.5999999999999998E-2</c:v>
                </c:pt>
                <c:pt idx="45">
                  <c:v>7.5999999999999998E-2</c:v>
                </c:pt>
                <c:pt idx="46">
                  <c:v>7.5999999999999998E-2</c:v>
                </c:pt>
                <c:pt idx="47">
                  <c:v>7.5999999999999998E-2</c:v>
                </c:pt>
                <c:pt idx="48">
                  <c:v>7.5999999999999998E-2</c:v>
                </c:pt>
                <c:pt idx="49">
                  <c:v>7.5999999999999998E-2</c:v>
                </c:pt>
                <c:pt idx="50">
                  <c:v>7.5999999999999998E-2</c:v>
                </c:pt>
                <c:pt idx="51">
                  <c:v>7.5999999999999998E-2</c:v>
                </c:pt>
                <c:pt idx="52">
                  <c:v>7.5999999999999998E-2</c:v>
                </c:pt>
              </c:numCache>
            </c:numRef>
          </c:yVal>
          <c:smooth val="0"/>
          <c:extLst>
            <c:ext xmlns:c16="http://schemas.microsoft.com/office/drawing/2014/chart" uri="{C3380CC4-5D6E-409C-BE32-E72D297353CC}">
              <c16:uniqueId val="{00000001-909D-45B2-A8C4-9F6F62298208}"/>
            </c:ext>
          </c:extLst>
        </c:ser>
        <c:ser>
          <c:idx val="2"/>
          <c:order val="2"/>
          <c:tx>
            <c:strRef>
              <c:f>一般工址Cs!$X$42</c:f>
              <c:strCache>
                <c:ptCount val="1"/>
                <c:pt idx="0">
                  <c:v>I(SaM/FuM)m/1.4αy</c:v>
                </c:pt>
              </c:strCache>
            </c:strRef>
          </c:tx>
          <c:spPr>
            <a:ln w="19050"/>
          </c:spPr>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一般工址Cs!$X$43:$X$95</c:f>
              <c:numCache>
                <c:formatCode>0.000_ </c:formatCode>
                <c:ptCount val="53"/>
                <c:pt idx="0">
                  <c:v>0.26100000000000001</c:v>
                </c:pt>
                <c:pt idx="1">
                  <c:v>0.29199999999999998</c:v>
                </c:pt>
                <c:pt idx="2">
                  <c:v>0.29599999999999999</c:v>
                </c:pt>
                <c:pt idx="3">
                  <c:v>0.29599999999999999</c:v>
                </c:pt>
                <c:pt idx="4">
                  <c:v>0.29599999999999999</c:v>
                </c:pt>
                <c:pt idx="5">
                  <c:v>0.29599999999999999</c:v>
                </c:pt>
                <c:pt idx="6">
                  <c:v>0.29599999999999999</c:v>
                </c:pt>
                <c:pt idx="7">
                  <c:v>0.29599999999999999</c:v>
                </c:pt>
                <c:pt idx="8">
                  <c:v>0.29599999999999999</c:v>
                </c:pt>
                <c:pt idx="9">
                  <c:v>0.29599999999999999</c:v>
                </c:pt>
                <c:pt idx="10">
                  <c:v>0.29599999999999999</c:v>
                </c:pt>
                <c:pt idx="11">
                  <c:v>0.28599999999999998</c:v>
                </c:pt>
                <c:pt idx="12">
                  <c:v>0.27600000000000002</c:v>
                </c:pt>
                <c:pt idx="13">
                  <c:v>0.26600000000000001</c:v>
                </c:pt>
                <c:pt idx="14">
                  <c:v>0.26</c:v>
                </c:pt>
                <c:pt idx="15">
                  <c:v>0.25800000000000001</c:v>
                </c:pt>
                <c:pt idx="16">
                  <c:v>0.25800000000000001</c:v>
                </c:pt>
                <c:pt idx="17">
                  <c:v>0.24399999999999999</c:v>
                </c:pt>
                <c:pt idx="18">
                  <c:v>0.23300000000000001</c:v>
                </c:pt>
                <c:pt idx="19">
                  <c:v>0.224</c:v>
                </c:pt>
                <c:pt idx="20">
                  <c:v>0.216</c:v>
                </c:pt>
                <c:pt idx="21">
                  <c:v>0.20499999999999999</c:v>
                </c:pt>
                <c:pt idx="22">
                  <c:v>0.193</c:v>
                </c:pt>
                <c:pt idx="23">
                  <c:v>0.182</c:v>
                </c:pt>
                <c:pt idx="24">
                  <c:v>0.17299999999999999</c:v>
                </c:pt>
                <c:pt idx="25">
                  <c:v>0.16500000000000001</c:v>
                </c:pt>
                <c:pt idx="26">
                  <c:v>0.157</c:v>
                </c:pt>
                <c:pt idx="27">
                  <c:v>0.15</c:v>
                </c:pt>
                <c:pt idx="28">
                  <c:v>0.14299999999999999</c:v>
                </c:pt>
                <c:pt idx="29">
                  <c:v>0.13800000000000001</c:v>
                </c:pt>
                <c:pt idx="30">
                  <c:v>0.13200000000000001</c:v>
                </c:pt>
                <c:pt idx="31">
                  <c:v>0.127</c:v>
                </c:pt>
                <c:pt idx="32">
                  <c:v>0.122</c:v>
                </c:pt>
                <c:pt idx="33">
                  <c:v>0.121</c:v>
                </c:pt>
                <c:pt idx="34">
                  <c:v>0.121</c:v>
                </c:pt>
                <c:pt idx="35">
                  <c:v>0.121</c:v>
                </c:pt>
                <c:pt idx="36">
                  <c:v>0.121</c:v>
                </c:pt>
                <c:pt idx="37">
                  <c:v>0.121</c:v>
                </c:pt>
                <c:pt idx="38">
                  <c:v>0.121</c:v>
                </c:pt>
                <c:pt idx="39">
                  <c:v>0.121</c:v>
                </c:pt>
                <c:pt idx="40">
                  <c:v>0.121</c:v>
                </c:pt>
                <c:pt idx="41">
                  <c:v>0.121</c:v>
                </c:pt>
                <c:pt idx="42">
                  <c:v>0.121</c:v>
                </c:pt>
                <c:pt idx="43">
                  <c:v>0.121</c:v>
                </c:pt>
                <c:pt idx="44">
                  <c:v>0.121</c:v>
                </c:pt>
                <c:pt idx="45">
                  <c:v>0.121</c:v>
                </c:pt>
                <c:pt idx="46">
                  <c:v>0.121</c:v>
                </c:pt>
                <c:pt idx="47">
                  <c:v>0.121</c:v>
                </c:pt>
                <c:pt idx="48">
                  <c:v>0.121</c:v>
                </c:pt>
                <c:pt idx="49">
                  <c:v>0.121</c:v>
                </c:pt>
                <c:pt idx="50">
                  <c:v>0.121</c:v>
                </c:pt>
                <c:pt idx="51">
                  <c:v>0.121</c:v>
                </c:pt>
                <c:pt idx="52">
                  <c:v>0.121</c:v>
                </c:pt>
              </c:numCache>
            </c:numRef>
          </c:yVal>
          <c:smooth val="0"/>
          <c:extLst>
            <c:ext xmlns:c16="http://schemas.microsoft.com/office/drawing/2014/chart" uri="{C3380CC4-5D6E-409C-BE32-E72D297353CC}">
              <c16:uniqueId val="{00000002-909D-45B2-A8C4-9F6F62298208}"/>
            </c:ext>
          </c:extLst>
        </c:ser>
        <c:ser>
          <c:idx val="3"/>
          <c:order val="3"/>
          <c:tx>
            <c:strRef>
              <c:f>一般工址Cs!$H$96:$J$96</c:f>
              <c:strCache>
                <c:ptCount val="1"/>
                <c:pt idx="0">
                  <c:v>基本振動週期T= 0.897  s</c:v>
                </c:pt>
              </c:strCache>
            </c:strRef>
          </c:tx>
          <c:spPr>
            <a:ln w="19050">
              <a:solidFill>
                <a:schemeClr val="bg1">
                  <a:lumMod val="50000"/>
                </a:schemeClr>
              </a:solidFill>
              <a:prstDash val="sysDot"/>
            </a:ln>
          </c:spPr>
          <c:marker>
            <c:symbol val="none"/>
          </c:marker>
          <c:xVal>
            <c:numRef>
              <c:f>一般工址Cs!$I$97:$I$98</c:f>
              <c:numCache>
                <c:formatCode>0.000_ </c:formatCode>
                <c:ptCount val="2"/>
                <c:pt idx="0">
                  <c:v>0.89729999999999999</c:v>
                </c:pt>
                <c:pt idx="1">
                  <c:v>0.89729999999999999</c:v>
                </c:pt>
              </c:numCache>
            </c:numRef>
          </c:xVal>
          <c:yVal>
            <c:numRef>
              <c:f>一般工址Cs!$X$97:$X$98</c:f>
              <c:numCache>
                <c:formatCode>0.000_ </c:formatCode>
                <c:ptCount val="2"/>
                <c:pt idx="0">
                  <c:v>0</c:v>
                </c:pt>
                <c:pt idx="1">
                  <c:v>0.3</c:v>
                </c:pt>
              </c:numCache>
            </c:numRef>
          </c:yVal>
          <c:smooth val="0"/>
          <c:extLst>
            <c:ext xmlns:c16="http://schemas.microsoft.com/office/drawing/2014/chart" uri="{C3380CC4-5D6E-409C-BE32-E72D297353CC}">
              <c16:uniqueId val="{00000000-C4AD-4854-B434-786399D6A012}"/>
            </c:ext>
          </c:extLst>
        </c:ser>
        <c:dLbls>
          <c:showLegendKey val="0"/>
          <c:showVal val="0"/>
          <c:showCatName val="0"/>
          <c:showSerName val="0"/>
          <c:showPercent val="0"/>
          <c:showBubbleSize val="0"/>
        </c:dLbls>
        <c:axId val="145437824"/>
        <c:axId val="145439744"/>
      </c:scatterChart>
      <c:valAx>
        <c:axId val="145437824"/>
        <c:scaling>
          <c:orientation val="minMax"/>
          <c:max val="2.5"/>
        </c:scaling>
        <c:delete val="0"/>
        <c:axPos val="b"/>
        <c:minorGridlines/>
        <c:title>
          <c:tx>
            <c:rich>
              <a:bodyPr/>
              <a:lstStyle/>
              <a:p>
                <a:pPr>
                  <a:defRPr sz="1400"/>
                </a:pPr>
                <a:r>
                  <a:rPr lang="en-US" altLang="zh-TW" sz="1400"/>
                  <a:t>T (sec)</a:t>
                </a:r>
                <a:endParaRPr lang="zh-TW" altLang="en-US" sz="1400"/>
              </a:p>
            </c:rich>
          </c:tx>
          <c:overlay val="0"/>
        </c:title>
        <c:numFmt formatCode="0.0_ " sourceLinked="0"/>
        <c:majorTickMark val="out"/>
        <c:minorTickMark val="in"/>
        <c:tickLblPos val="nextTo"/>
        <c:txPr>
          <a:bodyPr rot="0" vert="horz"/>
          <a:lstStyle/>
          <a:p>
            <a:pPr>
              <a:defRPr sz="1000" b="0" i="0" u="none" strike="noStrike" baseline="0">
                <a:solidFill>
                  <a:srgbClr val="000000"/>
                </a:solidFill>
                <a:latin typeface="新細明體"/>
                <a:ea typeface="新細明體"/>
                <a:cs typeface="新細明體"/>
              </a:defRPr>
            </a:pPr>
            <a:endParaRPr lang="zh-TW"/>
          </a:p>
        </c:txPr>
        <c:crossAx val="145439744"/>
        <c:crosses val="autoZero"/>
        <c:crossBetween val="midCat"/>
        <c:minorUnit val="0.1"/>
      </c:valAx>
      <c:valAx>
        <c:axId val="145439744"/>
        <c:scaling>
          <c:orientation val="minMax"/>
        </c:scaling>
        <c:delete val="0"/>
        <c:axPos val="l"/>
        <c:majorGridlines/>
        <c:numFmt formatCode="0.00_ " sourceLinked="0"/>
        <c:majorTickMark val="out"/>
        <c:minorTickMark val="none"/>
        <c:tickLblPos val="nextTo"/>
        <c:crossAx val="145437824"/>
        <c:crosses val="autoZero"/>
        <c:crossBetween val="midCat"/>
      </c:valAx>
    </c:plotArea>
    <c:legend>
      <c:legendPos val="r"/>
      <c:layout>
        <c:manualLayout>
          <c:xMode val="edge"/>
          <c:yMode val="edge"/>
          <c:x val="0.59872135124974823"/>
          <c:y val="7.2791224260336296E-2"/>
          <c:w val="0.36203963895911495"/>
          <c:h val="0.23639457149871268"/>
        </c:manualLayout>
      </c:layout>
      <c:overlay val="1"/>
      <c:txPr>
        <a:bodyPr/>
        <a:lstStyle/>
        <a:p>
          <a:pPr>
            <a:defRPr sz="1400"/>
          </a:pPr>
          <a:endParaRPr lang="zh-TW"/>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27686640829972E-2"/>
          <c:y val="1.5392568897843061E-2"/>
          <c:w val="0.92341518682829926"/>
          <c:h val="0.82378366590685559"/>
        </c:manualLayout>
      </c:layout>
      <c:scatterChart>
        <c:scatterStyle val="lineMarker"/>
        <c:varyColors val="0"/>
        <c:ser>
          <c:idx val="0"/>
          <c:order val="0"/>
          <c:tx>
            <c:strRef>
              <c:f>一般工址Cs!$J$42</c:f>
              <c:strCache>
                <c:ptCount val="1"/>
                <c:pt idx="0">
                  <c:v>FuD</c:v>
                </c:pt>
              </c:strCache>
            </c:strRef>
          </c:tx>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一般工址Cs!$J$43:$J$95</c:f>
              <c:numCache>
                <c:formatCode>0.000_ </c:formatCode>
                <c:ptCount val="53"/>
                <c:pt idx="0">
                  <c:v>1.0620000000000001</c:v>
                </c:pt>
                <c:pt idx="1">
                  <c:v>1.5509999999999999</c:v>
                </c:pt>
                <c:pt idx="2">
                  <c:v>1.6830000000000001</c:v>
                </c:pt>
                <c:pt idx="3">
                  <c:v>1.6930000000000001</c:v>
                </c:pt>
                <c:pt idx="4">
                  <c:v>1.6930000000000001</c:v>
                </c:pt>
                <c:pt idx="5">
                  <c:v>1.6930000000000001</c:v>
                </c:pt>
                <c:pt idx="6">
                  <c:v>1.6930000000000001</c:v>
                </c:pt>
                <c:pt idx="7">
                  <c:v>1.6930000000000001</c:v>
                </c:pt>
                <c:pt idx="8">
                  <c:v>1.6930000000000001</c:v>
                </c:pt>
                <c:pt idx="9">
                  <c:v>1.6930000000000001</c:v>
                </c:pt>
                <c:pt idx="10">
                  <c:v>1.6930000000000001</c:v>
                </c:pt>
                <c:pt idx="11">
                  <c:v>1.75</c:v>
                </c:pt>
                <c:pt idx="12">
                  <c:v>1.8140000000000001</c:v>
                </c:pt>
                <c:pt idx="13">
                  <c:v>1.8779999999999999</c:v>
                </c:pt>
                <c:pt idx="14">
                  <c:v>1.925</c:v>
                </c:pt>
                <c:pt idx="15">
                  <c:v>1.9330000000000001</c:v>
                </c:pt>
                <c:pt idx="16">
                  <c:v>1.9330000000000001</c:v>
                </c:pt>
                <c:pt idx="17">
                  <c:v>1.9330000000000001</c:v>
                </c:pt>
                <c:pt idx="18">
                  <c:v>1.9330000000000001</c:v>
                </c:pt>
                <c:pt idx="19">
                  <c:v>1.9330000000000001</c:v>
                </c:pt>
                <c:pt idx="20">
                  <c:v>1.9330000000000001</c:v>
                </c:pt>
                <c:pt idx="21">
                  <c:v>1.9330000000000001</c:v>
                </c:pt>
                <c:pt idx="22">
                  <c:v>1.9330000000000001</c:v>
                </c:pt>
                <c:pt idx="23">
                  <c:v>1.9330000000000001</c:v>
                </c:pt>
                <c:pt idx="24">
                  <c:v>1.9330000000000001</c:v>
                </c:pt>
                <c:pt idx="25">
                  <c:v>1.9330000000000001</c:v>
                </c:pt>
                <c:pt idx="26">
                  <c:v>1.9330000000000001</c:v>
                </c:pt>
                <c:pt idx="27">
                  <c:v>1.9330000000000001</c:v>
                </c:pt>
                <c:pt idx="28">
                  <c:v>1.9330000000000001</c:v>
                </c:pt>
                <c:pt idx="29">
                  <c:v>1.9330000000000001</c:v>
                </c:pt>
                <c:pt idx="30">
                  <c:v>1.9330000000000001</c:v>
                </c:pt>
                <c:pt idx="31">
                  <c:v>1.9330000000000001</c:v>
                </c:pt>
                <c:pt idx="32">
                  <c:v>1.9330000000000001</c:v>
                </c:pt>
                <c:pt idx="33">
                  <c:v>1.9330000000000001</c:v>
                </c:pt>
                <c:pt idx="34">
                  <c:v>1.9330000000000001</c:v>
                </c:pt>
                <c:pt idx="35">
                  <c:v>1.9330000000000001</c:v>
                </c:pt>
                <c:pt idx="36">
                  <c:v>1.9330000000000001</c:v>
                </c:pt>
                <c:pt idx="37">
                  <c:v>1.9330000000000001</c:v>
                </c:pt>
                <c:pt idx="38">
                  <c:v>1.9330000000000001</c:v>
                </c:pt>
                <c:pt idx="39">
                  <c:v>1.9330000000000001</c:v>
                </c:pt>
                <c:pt idx="40">
                  <c:v>1.9330000000000001</c:v>
                </c:pt>
                <c:pt idx="41">
                  <c:v>1.9330000000000001</c:v>
                </c:pt>
                <c:pt idx="42">
                  <c:v>1.9330000000000001</c:v>
                </c:pt>
                <c:pt idx="43">
                  <c:v>1.9330000000000001</c:v>
                </c:pt>
                <c:pt idx="44">
                  <c:v>1.9330000000000001</c:v>
                </c:pt>
                <c:pt idx="45">
                  <c:v>1.9330000000000001</c:v>
                </c:pt>
                <c:pt idx="46">
                  <c:v>1.9330000000000001</c:v>
                </c:pt>
                <c:pt idx="47">
                  <c:v>1.9330000000000001</c:v>
                </c:pt>
                <c:pt idx="48">
                  <c:v>1.9330000000000001</c:v>
                </c:pt>
                <c:pt idx="49">
                  <c:v>1.9330000000000001</c:v>
                </c:pt>
                <c:pt idx="50">
                  <c:v>1.9330000000000001</c:v>
                </c:pt>
                <c:pt idx="51">
                  <c:v>1.9330000000000001</c:v>
                </c:pt>
                <c:pt idx="52">
                  <c:v>1.9330000000000001</c:v>
                </c:pt>
              </c:numCache>
            </c:numRef>
          </c:yVal>
          <c:smooth val="0"/>
          <c:extLst>
            <c:ext xmlns:c16="http://schemas.microsoft.com/office/drawing/2014/chart" uri="{C3380CC4-5D6E-409C-BE32-E72D297353CC}">
              <c16:uniqueId val="{00000000-7D8B-48AE-A3C7-5CFBE99C9715}"/>
            </c:ext>
          </c:extLst>
        </c:ser>
        <c:ser>
          <c:idx val="1"/>
          <c:order val="1"/>
          <c:tx>
            <c:strRef>
              <c:f>一般工址Cs!$T$42</c:f>
              <c:strCache>
                <c:ptCount val="1"/>
                <c:pt idx="0">
                  <c:v>FuM</c:v>
                </c:pt>
              </c:strCache>
            </c:strRef>
          </c:tx>
          <c:marker>
            <c:symbol val="none"/>
          </c:marker>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一般工址Cs!$T$43:$T$95</c:f>
              <c:numCache>
                <c:formatCode>0.000_ </c:formatCode>
                <c:ptCount val="53"/>
                <c:pt idx="0">
                  <c:v>1.0860000000000001</c:v>
                </c:pt>
                <c:pt idx="1">
                  <c:v>1.7649999999999999</c:v>
                </c:pt>
                <c:pt idx="2">
                  <c:v>1.9490000000000001</c:v>
                </c:pt>
                <c:pt idx="3">
                  <c:v>1.9490000000000001</c:v>
                </c:pt>
                <c:pt idx="4">
                  <c:v>1.9490000000000001</c:v>
                </c:pt>
                <c:pt idx="5">
                  <c:v>1.9490000000000001</c:v>
                </c:pt>
                <c:pt idx="6">
                  <c:v>1.9490000000000001</c:v>
                </c:pt>
                <c:pt idx="7">
                  <c:v>1.9490000000000001</c:v>
                </c:pt>
                <c:pt idx="8">
                  <c:v>1.9490000000000001</c:v>
                </c:pt>
                <c:pt idx="9">
                  <c:v>1.9590000000000001</c:v>
                </c:pt>
                <c:pt idx="10">
                  <c:v>1.96</c:v>
                </c:pt>
                <c:pt idx="11">
                  <c:v>2.0659999999999998</c:v>
                </c:pt>
                <c:pt idx="12">
                  <c:v>2.1880000000000002</c:v>
                </c:pt>
                <c:pt idx="13">
                  <c:v>2.31</c:v>
                </c:pt>
                <c:pt idx="14">
                  <c:v>2.4</c:v>
                </c:pt>
                <c:pt idx="15">
                  <c:v>2.4</c:v>
                </c:pt>
                <c:pt idx="16">
                  <c:v>2.4</c:v>
                </c:pt>
                <c:pt idx="17">
                  <c:v>2.4</c:v>
                </c:pt>
                <c:pt idx="18">
                  <c:v>2.4</c:v>
                </c:pt>
                <c:pt idx="19">
                  <c:v>2.4</c:v>
                </c:pt>
                <c:pt idx="20">
                  <c:v>2.4</c:v>
                </c:pt>
                <c:pt idx="21">
                  <c:v>2.4</c:v>
                </c:pt>
                <c:pt idx="22">
                  <c:v>2.4</c:v>
                </c:pt>
                <c:pt idx="23">
                  <c:v>2.4</c:v>
                </c:pt>
                <c:pt idx="24">
                  <c:v>2.4</c:v>
                </c:pt>
                <c:pt idx="25">
                  <c:v>2.4</c:v>
                </c:pt>
                <c:pt idx="26">
                  <c:v>2.4</c:v>
                </c:pt>
                <c:pt idx="27">
                  <c:v>2.4</c:v>
                </c:pt>
                <c:pt idx="28">
                  <c:v>2.4</c:v>
                </c:pt>
                <c:pt idx="29">
                  <c:v>2.4</c:v>
                </c:pt>
                <c:pt idx="30">
                  <c:v>2.4</c:v>
                </c:pt>
                <c:pt idx="31">
                  <c:v>2.4</c:v>
                </c:pt>
                <c:pt idx="32">
                  <c:v>2.4</c:v>
                </c:pt>
                <c:pt idx="33">
                  <c:v>2.4</c:v>
                </c:pt>
                <c:pt idx="34">
                  <c:v>2.4</c:v>
                </c:pt>
                <c:pt idx="35">
                  <c:v>2.4</c:v>
                </c:pt>
                <c:pt idx="36">
                  <c:v>2.4</c:v>
                </c:pt>
                <c:pt idx="37">
                  <c:v>2.4</c:v>
                </c:pt>
                <c:pt idx="38">
                  <c:v>2.4</c:v>
                </c:pt>
                <c:pt idx="39">
                  <c:v>2.4</c:v>
                </c:pt>
                <c:pt idx="40">
                  <c:v>2.4</c:v>
                </c:pt>
                <c:pt idx="41">
                  <c:v>2.4</c:v>
                </c:pt>
                <c:pt idx="42">
                  <c:v>2.4</c:v>
                </c:pt>
                <c:pt idx="43">
                  <c:v>2.4</c:v>
                </c:pt>
                <c:pt idx="44">
                  <c:v>2.4</c:v>
                </c:pt>
                <c:pt idx="45">
                  <c:v>2.4</c:v>
                </c:pt>
                <c:pt idx="46">
                  <c:v>2.4</c:v>
                </c:pt>
                <c:pt idx="47">
                  <c:v>2.4</c:v>
                </c:pt>
                <c:pt idx="48">
                  <c:v>2.4</c:v>
                </c:pt>
                <c:pt idx="49">
                  <c:v>2.4</c:v>
                </c:pt>
                <c:pt idx="50">
                  <c:v>2.4</c:v>
                </c:pt>
                <c:pt idx="51">
                  <c:v>2.4</c:v>
                </c:pt>
                <c:pt idx="52">
                  <c:v>2.4</c:v>
                </c:pt>
              </c:numCache>
            </c:numRef>
          </c:yVal>
          <c:smooth val="0"/>
          <c:extLst>
            <c:ext xmlns:c16="http://schemas.microsoft.com/office/drawing/2014/chart" uri="{C3380CC4-5D6E-409C-BE32-E72D297353CC}">
              <c16:uniqueId val="{00000001-7D8B-48AE-A3C7-5CFBE99C9715}"/>
            </c:ext>
          </c:extLst>
        </c:ser>
        <c:ser>
          <c:idx val="2"/>
          <c:order val="2"/>
          <c:tx>
            <c:strRef>
              <c:f>一般工址Cs!$H$96:$J$96</c:f>
              <c:strCache>
                <c:ptCount val="1"/>
                <c:pt idx="0">
                  <c:v>基本振動週期T= 0.897  s</c:v>
                </c:pt>
              </c:strCache>
            </c:strRef>
          </c:tx>
          <c:spPr>
            <a:ln w="19050">
              <a:solidFill>
                <a:schemeClr val="bg1">
                  <a:lumMod val="50000"/>
                </a:schemeClr>
              </a:solidFill>
              <a:prstDash val="sysDot"/>
            </a:ln>
          </c:spPr>
          <c:marker>
            <c:symbol val="none"/>
          </c:marker>
          <c:xVal>
            <c:numRef>
              <c:f>一般工址Cs!$I$97:$I$98</c:f>
              <c:numCache>
                <c:formatCode>0.000_ </c:formatCode>
                <c:ptCount val="2"/>
                <c:pt idx="0">
                  <c:v>0.89729999999999999</c:v>
                </c:pt>
                <c:pt idx="1">
                  <c:v>0.89729999999999999</c:v>
                </c:pt>
              </c:numCache>
            </c:numRef>
          </c:xVal>
          <c:yVal>
            <c:numRef>
              <c:f>一般工址Cs!$T$97:$T$98</c:f>
              <c:numCache>
                <c:formatCode>0.000_ </c:formatCode>
                <c:ptCount val="2"/>
                <c:pt idx="0">
                  <c:v>0</c:v>
                </c:pt>
                <c:pt idx="1">
                  <c:v>2.4</c:v>
                </c:pt>
              </c:numCache>
            </c:numRef>
          </c:yVal>
          <c:smooth val="0"/>
          <c:extLst>
            <c:ext xmlns:c16="http://schemas.microsoft.com/office/drawing/2014/chart" uri="{C3380CC4-5D6E-409C-BE32-E72D297353CC}">
              <c16:uniqueId val="{00000000-F8AC-4D89-9977-1F70F97D43A4}"/>
            </c:ext>
          </c:extLst>
        </c:ser>
        <c:dLbls>
          <c:showLegendKey val="0"/>
          <c:showVal val="0"/>
          <c:showCatName val="0"/>
          <c:showSerName val="0"/>
          <c:showPercent val="0"/>
          <c:showBubbleSize val="0"/>
        </c:dLbls>
        <c:axId val="149299968"/>
        <c:axId val="149301888"/>
      </c:scatterChart>
      <c:valAx>
        <c:axId val="149299968"/>
        <c:scaling>
          <c:orientation val="minMax"/>
          <c:max val="2.5"/>
        </c:scaling>
        <c:delete val="0"/>
        <c:axPos val="b"/>
        <c:minorGridlines/>
        <c:title>
          <c:tx>
            <c:rich>
              <a:bodyPr/>
              <a:lstStyle/>
              <a:p>
                <a:pPr>
                  <a:defRPr sz="1400"/>
                </a:pPr>
                <a:r>
                  <a:rPr lang="en-US" altLang="zh-TW" sz="1400"/>
                  <a:t>T (sec)</a:t>
                </a:r>
                <a:endParaRPr lang="zh-TW" altLang="en-US" sz="1400"/>
              </a:p>
            </c:rich>
          </c:tx>
          <c:overlay val="0"/>
        </c:title>
        <c:numFmt formatCode="0.0_ " sourceLinked="0"/>
        <c:majorTickMark val="out"/>
        <c:minorTickMark val="in"/>
        <c:tickLblPos val="nextTo"/>
        <c:txPr>
          <a:bodyPr rot="0" vert="horz"/>
          <a:lstStyle/>
          <a:p>
            <a:pPr>
              <a:defRPr sz="1000" b="0" i="0" u="none" strike="noStrike" baseline="0">
                <a:solidFill>
                  <a:srgbClr val="000000"/>
                </a:solidFill>
                <a:latin typeface="新細明體"/>
                <a:ea typeface="新細明體"/>
                <a:cs typeface="新細明體"/>
              </a:defRPr>
            </a:pPr>
            <a:endParaRPr lang="zh-TW"/>
          </a:p>
        </c:txPr>
        <c:crossAx val="149301888"/>
        <c:crosses val="autoZero"/>
        <c:crossBetween val="midCat"/>
        <c:minorUnit val="0.1"/>
      </c:valAx>
      <c:valAx>
        <c:axId val="149301888"/>
        <c:scaling>
          <c:orientation val="minMax"/>
        </c:scaling>
        <c:delete val="0"/>
        <c:axPos val="l"/>
        <c:majorGridlines/>
        <c:minorGridlines/>
        <c:numFmt formatCode="0.0_ " sourceLinked="0"/>
        <c:majorTickMark val="out"/>
        <c:minorTickMark val="none"/>
        <c:tickLblPos val="nextTo"/>
        <c:crossAx val="149299968"/>
        <c:crosses val="autoZero"/>
        <c:crossBetween val="midCat"/>
      </c:valAx>
    </c:plotArea>
    <c:legend>
      <c:legendPos val="r"/>
      <c:layout>
        <c:manualLayout>
          <c:xMode val="edge"/>
          <c:yMode val="edge"/>
          <c:x val="0.64947238205461932"/>
          <c:y val="0.63769232729403968"/>
          <c:w val="0.31498347537218729"/>
          <c:h val="0.17801146701322526"/>
        </c:manualLayout>
      </c:layout>
      <c:overlay val="1"/>
      <c:txPr>
        <a:bodyPr/>
        <a:lstStyle/>
        <a:p>
          <a:pPr>
            <a:defRPr sz="1400"/>
          </a:pPr>
          <a:endParaRPr lang="zh-TW"/>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一般工址Cs!$P$3</c:f>
          <c:strCache>
            <c:ptCount val="1"/>
            <c:pt idx="0">
              <c:v>規範最小地震橫力係數 Cs*載重組合係數之比較 [第一類, R=2.4]</c:v>
            </c:pt>
          </c:strCache>
        </c:strRef>
      </c:tx>
      <c:layout>
        <c:manualLayout>
          <c:xMode val="edge"/>
          <c:yMode val="edge"/>
          <c:x val="0.14041686234690212"/>
          <c:y val="1.7710478311359846E-2"/>
        </c:manualLayout>
      </c:layout>
      <c:overlay val="0"/>
      <c:txPr>
        <a:bodyPr/>
        <a:lstStyle/>
        <a:p>
          <a:pPr>
            <a:defRPr sz="1600"/>
          </a:pPr>
          <a:endParaRPr lang="zh-TW"/>
        </a:p>
      </c:txPr>
    </c:title>
    <c:autoTitleDeleted val="0"/>
    <c:plotArea>
      <c:layout>
        <c:manualLayout>
          <c:layoutTarget val="inner"/>
          <c:xMode val="edge"/>
          <c:yMode val="edge"/>
          <c:x val="8.2349727635584305E-2"/>
          <c:y val="0.10928305665629078"/>
          <c:w val="0.88023573930242049"/>
          <c:h val="0.76019124664681237"/>
        </c:manualLayout>
      </c:layout>
      <c:scatterChart>
        <c:scatterStyle val="lineMarker"/>
        <c:varyColors val="0"/>
        <c:ser>
          <c:idx val="0"/>
          <c:order val="0"/>
          <c:tx>
            <c:v>民100年以後</c:v>
          </c:tx>
          <c:marker>
            <c:symbol val="none"/>
          </c:marker>
          <c:dLbls>
            <c:delete val="1"/>
          </c:dLbls>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一般工址Cs!$Y$43:$Y$95</c:f>
              <c:numCache>
                <c:formatCode>0.000_ </c:formatCode>
                <c:ptCount val="53"/>
                <c:pt idx="0">
                  <c:v>0.26100000000000001</c:v>
                </c:pt>
                <c:pt idx="1">
                  <c:v>0.29199999999999998</c:v>
                </c:pt>
                <c:pt idx="2">
                  <c:v>0.29599999999999999</c:v>
                </c:pt>
                <c:pt idx="3">
                  <c:v>0.29599999999999999</c:v>
                </c:pt>
                <c:pt idx="4">
                  <c:v>0.29599999999999999</c:v>
                </c:pt>
                <c:pt idx="5">
                  <c:v>0.29599999999999999</c:v>
                </c:pt>
                <c:pt idx="6">
                  <c:v>0.29599999999999999</c:v>
                </c:pt>
                <c:pt idx="7">
                  <c:v>0.29599999999999999</c:v>
                </c:pt>
                <c:pt idx="8">
                  <c:v>0.29599999999999999</c:v>
                </c:pt>
                <c:pt idx="9">
                  <c:v>0.29599999999999999</c:v>
                </c:pt>
                <c:pt idx="10">
                  <c:v>0.29599999999999999</c:v>
                </c:pt>
                <c:pt idx="11">
                  <c:v>0.28599999999999998</c:v>
                </c:pt>
                <c:pt idx="12">
                  <c:v>0.27600000000000002</c:v>
                </c:pt>
                <c:pt idx="13">
                  <c:v>0.26600000000000001</c:v>
                </c:pt>
                <c:pt idx="14">
                  <c:v>0.26</c:v>
                </c:pt>
                <c:pt idx="15">
                  <c:v>0.25800000000000001</c:v>
                </c:pt>
                <c:pt idx="16">
                  <c:v>0.25800000000000001</c:v>
                </c:pt>
                <c:pt idx="17">
                  <c:v>0.24399999999999999</c:v>
                </c:pt>
                <c:pt idx="18">
                  <c:v>0.23300000000000001</c:v>
                </c:pt>
                <c:pt idx="19">
                  <c:v>0.224</c:v>
                </c:pt>
                <c:pt idx="20">
                  <c:v>0.216</c:v>
                </c:pt>
                <c:pt idx="21">
                  <c:v>0.20499999999999999</c:v>
                </c:pt>
                <c:pt idx="22">
                  <c:v>0.193</c:v>
                </c:pt>
                <c:pt idx="23">
                  <c:v>0.182</c:v>
                </c:pt>
                <c:pt idx="24">
                  <c:v>0.17299999999999999</c:v>
                </c:pt>
                <c:pt idx="25">
                  <c:v>0.16500000000000001</c:v>
                </c:pt>
                <c:pt idx="26">
                  <c:v>0.157</c:v>
                </c:pt>
                <c:pt idx="27">
                  <c:v>0.15</c:v>
                </c:pt>
                <c:pt idx="28">
                  <c:v>0.14299999999999999</c:v>
                </c:pt>
                <c:pt idx="29">
                  <c:v>0.13800000000000001</c:v>
                </c:pt>
                <c:pt idx="30">
                  <c:v>0.13200000000000001</c:v>
                </c:pt>
                <c:pt idx="31">
                  <c:v>0.127</c:v>
                </c:pt>
                <c:pt idx="32">
                  <c:v>0.122</c:v>
                </c:pt>
                <c:pt idx="33">
                  <c:v>0.121</c:v>
                </c:pt>
                <c:pt idx="34">
                  <c:v>0.121</c:v>
                </c:pt>
                <c:pt idx="35">
                  <c:v>0.121</c:v>
                </c:pt>
                <c:pt idx="36">
                  <c:v>0.121</c:v>
                </c:pt>
                <c:pt idx="37">
                  <c:v>0.121</c:v>
                </c:pt>
                <c:pt idx="38">
                  <c:v>0.121</c:v>
                </c:pt>
                <c:pt idx="39">
                  <c:v>0.121</c:v>
                </c:pt>
                <c:pt idx="40">
                  <c:v>0.121</c:v>
                </c:pt>
                <c:pt idx="41">
                  <c:v>0.121</c:v>
                </c:pt>
                <c:pt idx="42">
                  <c:v>0.121</c:v>
                </c:pt>
                <c:pt idx="43">
                  <c:v>0.121</c:v>
                </c:pt>
                <c:pt idx="44">
                  <c:v>0.121</c:v>
                </c:pt>
                <c:pt idx="45">
                  <c:v>0.121</c:v>
                </c:pt>
                <c:pt idx="46">
                  <c:v>0.121</c:v>
                </c:pt>
                <c:pt idx="47">
                  <c:v>0.121</c:v>
                </c:pt>
                <c:pt idx="48">
                  <c:v>0.121</c:v>
                </c:pt>
                <c:pt idx="49">
                  <c:v>0.121</c:v>
                </c:pt>
                <c:pt idx="50">
                  <c:v>0.121</c:v>
                </c:pt>
                <c:pt idx="51">
                  <c:v>0.121</c:v>
                </c:pt>
                <c:pt idx="52">
                  <c:v>0.121</c:v>
                </c:pt>
              </c:numCache>
            </c:numRef>
          </c:yVal>
          <c:smooth val="0"/>
          <c:extLst>
            <c:ext xmlns:c16="http://schemas.microsoft.com/office/drawing/2014/chart" uri="{C3380CC4-5D6E-409C-BE32-E72D297353CC}">
              <c16:uniqueId val="{00000000-0613-4CEA-8F14-36B2E40B2E89}"/>
            </c:ext>
          </c:extLst>
        </c:ser>
        <c:ser>
          <c:idx val="6"/>
          <c:order val="1"/>
          <c:tx>
            <c:v>民95~99年</c:v>
          </c:tx>
          <c:marker>
            <c:symbol val="none"/>
          </c:marker>
          <c:dLbls>
            <c:delete val="1"/>
          </c:dLbls>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一般工址Cs!$AN$43:$AN$95</c:f>
              <c:numCache>
                <c:formatCode>0.0000_ </c:formatCode>
                <c:ptCount val="53"/>
                <c:pt idx="0">
                  <c:v>0.24882000000000001</c:v>
                </c:pt>
                <c:pt idx="1">
                  <c:v>0.27837333333333331</c:v>
                </c:pt>
                <c:pt idx="2">
                  <c:v>0.28218666666666664</c:v>
                </c:pt>
                <c:pt idx="3">
                  <c:v>0.28218666666666664</c:v>
                </c:pt>
                <c:pt idx="4">
                  <c:v>0.28218666666666664</c:v>
                </c:pt>
                <c:pt idx="5">
                  <c:v>0.28218666666666664</c:v>
                </c:pt>
                <c:pt idx="6">
                  <c:v>0.28218666666666664</c:v>
                </c:pt>
                <c:pt idx="7">
                  <c:v>0.28218666666666664</c:v>
                </c:pt>
                <c:pt idx="8">
                  <c:v>0.28218666666666664</c:v>
                </c:pt>
                <c:pt idx="9">
                  <c:v>0.28218666666666664</c:v>
                </c:pt>
                <c:pt idx="10">
                  <c:v>0.28218666666666664</c:v>
                </c:pt>
                <c:pt idx="11">
                  <c:v>0.2726533333333333</c:v>
                </c:pt>
                <c:pt idx="12">
                  <c:v>0.26312000000000002</c:v>
                </c:pt>
                <c:pt idx="13">
                  <c:v>0.25358666666666668</c:v>
                </c:pt>
                <c:pt idx="14">
                  <c:v>0.24786666666666665</c:v>
                </c:pt>
                <c:pt idx="15">
                  <c:v>0.24596000000000001</c:v>
                </c:pt>
                <c:pt idx="16">
                  <c:v>0.24596000000000001</c:v>
                </c:pt>
                <c:pt idx="17">
                  <c:v>0.23261333333333331</c:v>
                </c:pt>
                <c:pt idx="18">
                  <c:v>0.22212666666666669</c:v>
                </c:pt>
                <c:pt idx="19">
                  <c:v>0.21354666666666666</c:v>
                </c:pt>
                <c:pt idx="20">
                  <c:v>0.20591999999999996</c:v>
                </c:pt>
                <c:pt idx="21">
                  <c:v>0.19543333333333332</c:v>
                </c:pt>
                <c:pt idx="22">
                  <c:v>0.18399333333333334</c:v>
                </c:pt>
                <c:pt idx="23">
                  <c:v>0.17350666666666667</c:v>
                </c:pt>
                <c:pt idx="24">
                  <c:v>0.16492666666666667</c:v>
                </c:pt>
                <c:pt idx="25">
                  <c:v>0.1573</c:v>
                </c:pt>
                <c:pt idx="26">
                  <c:v>0.14967333333333332</c:v>
                </c:pt>
                <c:pt idx="27">
                  <c:v>0.14299999999999999</c:v>
                </c:pt>
                <c:pt idx="28">
                  <c:v>0.13632666666666665</c:v>
                </c:pt>
                <c:pt idx="29">
                  <c:v>0.13156000000000001</c:v>
                </c:pt>
                <c:pt idx="30">
                  <c:v>0.12584000000000001</c:v>
                </c:pt>
                <c:pt idx="31">
                  <c:v>0.12107333333333332</c:v>
                </c:pt>
                <c:pt idx="32">
                  <c:v>0.11630666666666666</c:v>
                </c:pt>
                <c:pt idx="33">
                  <c:v>0.11535333333333332</c:v>
                </c:pt>
                <c:pt idx="34">
                  <c:v>0.11535333333333332</c:v>
                </c:pt>
                <c:pt idx="35">
                  <c:v>0.11535333333333332</c:v>
                </c:pt>
                <c:pt idx="36">
                  <c:v>0.11535333333333332</c:v>
                </c:pt>
                <c:pt idx="37">
                  <c:v>0.11535333333333332</c:v>
                </c:pt>
                <c:pt idx="38">
                  <c:v>0.11535333333333332</c:v>
                </c:pt>
                <c:pt idx="39">
                  <c:v>0.11535333333333332</c:v>
                </c:pt>
                <c:pt idx="40">
                  <c:v>0.11535333333333332</c:v>
                </c:pt>
                <c:pt idx="41">
                  <c:v>0.11535333333333332</c:v>
                </c:pt>
                <c:pt idx="42">
                  <c:v>0.11535333333333332</c:v>
                </c:pt>
                <c:pt idx="43">
                  <c:v>0.11535333333333332</c:v>
                </c:pt>
                <c:pt idx="44">
                  <c:v>0.11535333333333332</c:v>
                </c:pt>
                <c:pt idx="45">
                  <c:v>0.11535333333333332</c:v>
                </c:pt>
                <c:pt idx="46">
                  <c:v>0.11535333333333332</c:v>
                </c:pt>
                <c:pt idx="47">
                  <c:v>0.11535333333333332</c:v>
                </c:pt>
                <c:pt idx="48">
                  <c:v>0.11535333333333332</c:v>
                </c:pt>
                <c:pt idx="49">
                  <c:v>0.11535333333333332</c:v>
                </c:pt>
                <c:pt idx="50">
                  <c:v>0.11535333333333332</c:v>
                </c:pt>
                <c:pt idx="51">
                  <c:v>0.11535333333333332</c:v>
                </c:pt>
                <c:pt idx="52">
                  <c:v>0.11535333333333332</c:v>
                </c:pt>
              </c:numCache>
            </c:numRef>
          </c:yVal>
          <c:smooth val="0"/>
          <c:extLst>
            <c:ext xmlns:c16="http://schemas.microsoft.com/office/drawing/2014/chart" uri="{C3380CC4-5D6E-409C-BE32-E72D297353CC}">
              <c16:uniqueId val="{00000001-0613-4CEA-8F14-36B2E40B2E89}"/>
            </c:ext>
          </c:extLst>
        </c:ser>
        <c:ser>
          <c:idx val="3"/>
          <c:order val="2"/>
          <c:tx>
            <c:v>民89~94</c:v>
          </c:tx>
          <c:marker>
            <c:symbol val="none"/>
          </c:marker>
          <c:dLbls>
            <c:delete val="1"/>
          </c:dLbls>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一般工址Cs!$AM$43:$AM$95</c:f>
              <c:numCache>
                <c:formatCode>0.0000_ </c:formatCode>
                <c:ptCount val="53"/>
                <c:pt idx="0">
                  <c:v>0.22471428571428573</c:v>
                </c:pt>
                <c:pt idx="1">
                  <c:v>0.22471428571428573</c:v>
                </c:pt>
                <c:pt idx="2">
                  <c:v>0.22471428571428573</c:v>
                </c:pt>
                <c:pt idx="3">
                  <c:v>0.22471428571428573</c:v>
                </c:pt>
                <c:pt idx="4">
                  <c:v>0.22471428571428573</c:v>
                </c:pt>
                <c:pt idx="5">
                  <c:v>0.22471428571428573</c:v>
                </c:pt>
                <c:pt idx="6">
                  <c:v>0.22471428571428573</c:v>
                </c:pt>
                <c:pt idx="7">
                  <c:v>0.22471428571428573</c:v>
                </c:pt>
                <c:pt idx="8">
                  <c:v>0.22471428571428573</c:v>
                </c:pt>
                <c:pt idx="9">
                  <c:v>0.22471428571428573</c:v>
                </c:pt>
                <c:pt idx="10">
                  <c:v>0.22471428571428573</c:v>
                </c:pt>
                <c:pt idx="11">
                  <c:v>0.22471428571428573</c:v>
                </c:pt>
                <c:pt idx="12">
                  <c:v>0.22471428571428573</c:v>
                </c:pt>
                <c:pt idx="13">
                  <c:v>0.22471428571428573</c:v>
                </c:pt>
                <c:pt idx="14">
                  <c:v>0.22471428571428573</c:v>
                </c:pt>
                <c:pt idx="15">
                  <c:v>0.22471428571428573</c:v>
                </c:pt>
                <c:pt idx="16">
                  <c:v>0.22471428571428573</c:v>
                </c:pt>
                <c:pt idx="17">
                  <c:v>0.22471428571428573</c:v>
                </c:pt>
                <c:pt idx="18">
                  <c:v>0.20716345184823889</c:v>
                </c:pt>
                <c:pt idx="19">
                  <c:v>0.19745797384690247</c:v>
                </c:pt>
                <c:pt idx="20">
                  <c:v>0.18881472359700674</c:v>
                </c:pt>
                <c:pt idx="21">
                  <c:v>0.18105913408322649</c:v>
                </c:pt>
                <c:pt idx="22">
                  <c:v>0.17405379845637017</c:v>
                </c:pt>
                <c:pt idx="23">
                  <c:v>0.16768895399805556</c:v>
                </c:pt>
                <c:pt idx="24">
                  <c:v>0.16187577143399948</c:v>
                </c:pt>
                <c:pt idx="25">
                  <c:v>0.15654152467998592</c:v>
                </c:pt>
                <c:pt idx="26">
                  <c:v>0.15162605028292089</c:v>
                </c:pt>
                <c:pt idx="27">
                  <c:v>0.1470791096436696</c:v>
                </c:pt>
                <c:pt idx="28">
                  <c:v>0.14285839485331692</c:v>
                </c:pt>
                <c:pt idx="29">
                  <c:v>0.13892800100764696</c:v>
                </c:pt>
                <c:pt idx="30">
                  <c:v>0.13525724170804485</c:v>
                </c:pt>
                <c:pt idx="31">
                  <c:v>0.13218487394957984</c:v>
                </c:pt>
                <c:pt idx="32">
                  <c:v>0.13218487394957984</c:v>
                </c:pt>
                <c:pt idx="33">
                  <c:v>0.13218487394957984</c:v>
                </c:pt>
                <c:pt idx="34">
                  <c:v>0.13218487394957984</c:v>
                </c:pt>
                <c:pt idx="35">
                  <c:v>0.13218487394957984</c:v>
                </c:pt>
                <c:pt idx="36">
                  <c:v>0.13218487394957984</c:v>
                </c:pt>
                <c:pt idx="37">
                  <c:v>0.13218487394957984</c:v>
                </c:pt>
                <c:pt idx="38">
                  <c:v>0.13218487394957984</c:v>
                </c:pt>
                <c:pt idx="39">
                  <c:v>0.13218487394957984</c:v>
                </c:pt>
                <c:pt idx="40">
                  <c:v>0.13218487394957984</c:v>
                </c:pt>
                <c:pt idx="41">
                  <c:v>0.13218487394957984</c:v>
                </c:pt>
                <c:pt idx="42">
                  <c:v>0.13218487394957984</c:v>
                </c:pt>
                <c:pt idx="43">
                  <c:v>0.13218487394957984</c:v>
                </c:pt>
                <c:pt idx="44">
                  <c:v>0.13218487394957984</c:v>
                </c:pt>
                <c:pt idx="45">
                  <c:v>0.13218487394957984</c:v>
                </c:pt>
                <c:pt idx="46">
                  <c:v>0.13218487394957984</c:v>
                </c:pt>
                <c:pt idx="47">
                  <c:v>0.13218487394957984</c:v>
                </c:pt>
                <c:pt idx="48">
                  <c:v>0.13218487394957984</c:v>
                </c:pt>
                <c:pt idx="49">
                  <c:v>0.13218487394957984</c:v>
                </c:pt>
                <c:pt idx="50">
                  <c:v>0.13218487394957984</c:v>
                </c:pt>
                <c:pt idx="51">
                  <c:v>0.13218487394957984</c:v>
                </c:pt>
                <c:pt idx="52">
                  <c:v>0.13218487394957984</c:v>
                </c:pt>
              </c:numCache>
            </c:numRef>
          </c:yVal>
          <c:smooth val="0"/>
          <c:extLst>
            <c:ext xmlns:c16="http://schemas.microsoft.com/office/drawing/2014/chart" uri="{C3380CC4-5D6E-409C-BE32-E72D297353CC}">
              <c16:uniqueId val="{00000002-0613-4CEA-8F14-36B2E40B2E89}"/>
            </c:ext>
          </c:extLst>
        </c:ser>
        <c:ser>
          <c:idx val="2"/>
          <c:order val="3"/>
          <c:tx>
            <c:v>民86~88</c:v>
          </c:tx>
          <c:marker>
            <c:symbol val="none"/>
          </c:marker>
          <c:dLbls>
            <c:delete val="1"/>
          </c:dLbls>
          <c:xVal>
            <c:numRef>
              <c:f>一般工址Cs!$I$43:$I$94</c:f>
              <c:numCache>
                <c:formatCode>0.0000_ </c:formatCode>
                <c:ptCount val="52"/>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numCache>
            </c:numRef>
          </c:xVal>
          <c:yVal>
            <c:numRef>
              <c:f>一般工址Cs!$AL$43:$AL$95</c:f>
              <c:numCache>
                <c:formatCode>0.0000_ </c:formatCode>
                <c:ptCount val="53"/>
                <c:pt idx="0">
                  <c:v>0.15661904761904763</c:v>
                </c:pt>
                <c:pt idx="1">
                  <c:v>0.15661904761904763</c:v>
                </c:pt>
                <c:pt idx="2">
                  <c:v>0.15661904761904763</c:v>
                </c:pt>
                <c:pt idx="3">
                  <c:v>0.15661904761904763</c:v>
                </c:pt>
                <c:pt idx="4">
                  <c:v>0.15661904761904763</c:v>
                </c:pt>
                <c:pt idx="5">
                  <c:v>0.15661904761904763</c:v>
                </c:pt>
                <c:pt idx="6">
                  <c:v>0.15661904761904763</c:v>
                </c:pt>
                <c:pt idx="7">
                  <c:v>0.15661904761904763</c:v>
                </c:pt>
                <c:pt idx="8">
                  <c:v>0.15661904761904763</c:v>
                </c:pt>
                <c:pt idx="9">
                  <c:v>0.15661904761904763</c:v>
                </c:pt>
                <c:pt idx="10">
                  <c:v>0.15661904761904763</c:v>
                </c:pt>
                <c:pt idx="11">
                  <c:v>0.15661904761904763</c:v>
                </c:pt>
                <c:pt idx="12">
                  <c:v>0.15661904761904763</c:v>
                </c:pt>
                <c:pt idx="13">
                  <c:v>0.15661904761904763</c:v>
                </c:pt>
                <c:pt idx="14">
                  <c:v>0.15661904761904763</c:v>
                </c:pt>
                <c:pt idx="15">
                  <c:v>0.15661904761904763</c:v>
                </c:pt>
                <c:pt idx="16">
                  <c:v>0.15661904761904763</c:v>
                </c:pt>
                <c:pt idx="17">
                  <c:v>0.15661904761904763</c:v>
                </c:pt>
                <c:pt idx="18">
                  <c:v>0.14438664825786349</c:v>
                </c:pt>
                <c:pt idx="19">
                  <c:v>0.13762222419632594</c:v>
                </c:pt>
                <c:pt idx="20">
                  <c:v>0.13159814068882289</c:v>
                </c:pt>
                <c:pt idx="21">
                  <c:v>0.12619272981558211</c:v>
                </c:pt>
                <c:pt idx="22">
                  <c:v>0.12131022316656107</c:v>
                </c:pt>
                <c:pt idx="23">
                  <c:v>0.11687411945319023</c:v>
                </c:pt>
                <c:pt idx="24">
                  <c:v>0.11282250736309056</c:v>
                </c:pt>
                <c:pt idx="25">
                  <c:v>0.1091046990193841</c:v>
                </c:pt>
                <c:pt idx="26">
                  <c:v>0.1056787623183994</c:v>
                </c:pt>
                <c:pt idx="27">
                  <c:v>0.10250968247892124</c:v>
                </c:pt>
                <c:pt idx="28">
                  <c:v>9.9567972170493596E-2</c:v>
                </c:pt>
                <c:pt idx="29">
                  <c:v>9.6828606762905445E-2</c:v>
                </c:pt>
                <c:pt idx="30">
                  <c:v>9.4270198766213079E-2</c:v>
                </c:pt>
                <c:pt idx="31">
                  <c:v>9.2128851540616258E-2</c:v>
                </c:pt>
                <c:pt idx="32">
                  <c:v>9.2128851540616258E-2</c:v>
                </c:pt>
                <c:pt idx="33">
                  <c:v>9.2128851540616258E-2</c:v>
                </c:pt>
                <c:pt idx="34">
                  <c:v>9.2128851540616258E-2</c:v>
                </c:pt>
                <c:pt idx="35">
                  <c:v>9.2128851540616258E-2</c:v>
                </c:pt>
                <c:pt idx="36">
                  <c:v>9.2128851540616258E-2</c:v>
                </c:pt>
                <c:pt idx="37">
                  <c:v>9.2128851540616258E-2</c:v>
                </c:pt>
                <c:pt idx="38">
                  <c:v>9.2128851540616258E-2</c:v>
                </c:pt>
                <c:pt idx="39">
                  <c:v>9.2128851540616258E-2</c:v>
                </c:pt>
                <c:pt idx="40">
                  <c:v>9.2128851540616258E-2</c:v>
                </c:pt>
                <c:pt idx="41">
                  <c:v>9.2128851540616258E-2</c:v>
                </c:pt>
                <c:pt idx="42">
                  <c:v>9.2128851540616258E-2</c:v>
                </c:pt>
                <c:pt idx="43">
                  <c:v>9.2128851540616258E-2</c:v>
                </c:pt>
                <c:pt idx="44">
                  <c:v>9.2128851540616258E-2</c:v>
                </c:pt>
                <c:pt idx="45">
                  <c:v>9.2128851540616258E-2</c:v>
                </c:pt>
                <c:pt idx="46">
                  <c:v>9.2128851540616258E-2</c:v>
                </c:pt>
                <c:pt idx="47">
                  <c:v>9.2128851540616258E-2</c:v>
                </c:pt>
                <c:pt idx="48">
                  <c:v>9.2128851540616258E-2</c:v>
                </c:pt>
                <c:pt idx="49">
                  <c:v>9.2128851540616258E-2</c:v>
                </c:pt>
                <c:pt idx="50">
                  <c:v>9.2128851540616258E-2</c:v>
                </c:pt>
                <c:pt idx="51">
                  <c:v>9.2128851540616258E-2</c:v>
                </c:pt>
                <c:pt idx="52">
                  <c:v>9.2128851540616258E-2</c:v>
                </c:pt>
              </c:numCache>
            </c:numRef>
          </c:yVal>
          <c:smooth val="0"/>
          <c:extLst>
            <c:ext xmlns:c16="http://schemas.microsoft.com/office/drawing/2014/chart" uri="{C3380CC4-5D6E-409C-BE32-E72D297353CC}">
              <c16:uniqueId val="{00000003-0613-4CEA-8F14-36B2E40B2E89}"/>
            </c:ext>
          </c:extLst>
        </c:ser>
        <c:ser>
          <c:idx val="1"/>
          <c:order val="4"/>
          <c:tx>
            <c:v>民85年以前，K=1.0</c:v>
          </c:tx>
          <c:marker>
            <c:symbol val="none"/>
          </c:marker>
          <c:dLbls>
            <c:delete val="1"/>
          </c:dLbls>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一般工址Cs!$AE$43:$AE$95</c:f>
              <c:numCache>
                <c:formatCode>0.0000_ </c:formatCode>
                <c:ptCount val="53"/>
                <c:pt idx="0">
                  <c:v>0.17159999999999997</c:v>
                </c:pt>
                <c:pt idx="1">
                  <c:v>0.17159999999999997</c:v>
                </c:pt>
                <c:pt idx="2">
                  <c:v>0.17159999999999997</c:v>
                </c:pt>
                <c:pt idx="3">
                  <c:v>0.17159999999999997</c:v>
                </c:pt>
                <c:pt idx="4">
                  <c:v>0.17159999999999997</c:v>
                </c:pt>
                <c:pt idx="5">
                  <c:v>0.17159999999999997</c:v>
                </c:pt>
                <c:pt idx="6">
                  <c:v>0.17159999999999997</c:v>
                </c:pt>
                <c:pt idx="7">
                  <c:v>0.17159999999999997</c:v>
                </c:pt>
                <c:pt idx="8">
                  <c:v>0.17159999999999997</c:v>
                </c:pt>
                <c:pt idx="9">
                  <c:v>0.17159999999999997</c:v>
                </c:pt>
                <c:pt idx="10">
                  <c:v>0.17159999999999997</c:v>
                </c:pt>
                <c:pt idx="11">
                  <c:v>0.17159999999999997</c:v>
                </c:pt>
                <c:pt idx="12">
                  <c:v>0.17159999999999997</c:v>
                </c:pt>
                <c:pt idx="13">
                  <c:v>0.17159999999999997</c:v>
                </c:pt>
                <c:pt idx="14">
                  <c:v>0.17159999999999997</c:v>
                </c:pt>
                <c:pt idx="15">
                  <c:v>0.17159999999999997</c:v>
                </c:pt>
                <c:pt idx="16">
                  <c:v>0.17159999999999997</c:v>
                </c:pt>
                <c:pt idx="17">
                  <c:v>0.17159999999999997</c:v>
                </c:pt>
                <c:pt idx="18">
                  <c:v>0.17159999999999997</c:v>
                </c:pt>
                <c:pt idx="19">
                  <c:v>0.16852711618279378</c:v>
                </c:pt>
                <c:pt idx="20">
                  <c:v>0.16296362433728223</c:v>
                </c:pt>
                <c:pt idx="21">
                  <c:v>0.15791708228703052</c:v>
                </c:pt>
                <c:pt idx="22">
                  <c:v>0.15331209248180463</c:v>
                </c:pt>
                <c:pt idx="23">
                  <c:v>0.1490878060508084</c:v>
                </c:pt>
                <c:pt idx="24">
                  <c:v>0.14519450161410749</c:v>
                </c:pt>
                <c:pt idx="25">
                  <c:v>0.14159109864566441</c:v>
                </c:pt>
                <c:pt idx="26">
                  <c:v>0.13824331793352987</c:v>
                </c:pt>
                <c:pt idx="27">
                  <c:v>0.1351222991007987</c:v>
                </c:pt>
                <c:pt idx="28">
                  <c:v>0.1322035467670129</c:v>
                </c:pt>
                <c:pt idx="29">
                  <c:v>0.12946611684080148</c:v>
                </c:pt>
                <c:pt idx="30">
                  <c:v>0.12689198084650422</c:v>
                </c:pt>
                <c:pt idx="31">
                  <c:v>0.12446552400832392</c:v>
                </c:pt>
                <c:pt idx="32">
                  <c:v>0.12217314505349677</c:v>
                </c:pt>
                <c:pt idx="33">
                  <c:v>0.12000293423642651</c:v>
                </c:pt>
                <c:pt idx="34">
                  <c:v>0.1179444121344521</c:v>
                </c:pt>
                <c:pt idx="35">
                  <c:v>0.11598831610849518</c:v>
                </c:pt>
                <c:pt idx="36">
                  <c:v>0.11412642447886993</c:v>
                </c:pt>
                <c:pt idx="37">
                  <c:v>0.11235141078852919</c:v>
                </c:pt>
                <c:pt idx="38">
                  <c:v>0.11065672225238155</c:v>
                </c:pt>
                <c:pt idx="39">
                  <c:v>0.10903647778781229</c:v>
                </c:pt>
                <c:pt idx="40">
                  <c:v>0.10748538200440449</c:v>
                </c:pt>
                <c:pt idx="41">
                  <c:v>0.10599865228253744</c:v>
                </c:pt>
                <c:pt idx="42">
                  <c:v>0.10457195665017967</c:v>
                </c:pt>
                <c:pt idx="43">
                  <c:v>0.10320136061764558</c:v>
                </c:pt>
                <c:pt idx="44">
                  <c:v>0.10188328148271078</c:v>
                </c:pt>
                <c:pt idx="45">
                  <c:v>0.1006144488964317</c:v>
                </c:pt>
                <c:pt idx="46">
                  <c:v>9.9391870700538953E-2</c:v>
                </c:pt>
                <c:pt idx="47">
                  <c:v>9.821280322331262E-2</c:v>
                </c:pt>
                <c:pt idx="48">
                  <c:v>9.4291407695597559E-2</c:v>
                </c:pt>
                <c:pt idx="49">
                  <c:v>9.3282914446642246E-2</c:v>
                </c:pt>
                <c:pt idx="50">
                  <c:v>9.2306103084610111E-2</c:v>
                </c:pt>
                <c:pt idx="51">
                  <c:v>9.1359348794991399E-2</c:v>
                </c:pt>
                <c:pt idx="52">
                  <c:v>9.0441141080815662E-2</c:v>
                </c:pt>
              </c:numCache>
            </c:numRef>
          </c:yVal>
          <c:smooth val="0"/>
          <c:extLst>
            <c:ext xmlns:c16="http://schemas.microsoft.com/office/drawing/2014/chart" uri="{C3380CC4-5D6E-409C-BE32-E72D297353CC}">
              <c16:uniqueId val="{00000004-0613-4CEA-8F14-36B2E40B2E89}"/>
            </c:ext>
          </c:extLst>
        </c:ser>
        <c:ser>
          <c:idx val="4"/>
          <c:order val="5"/>
          <c:tx>
            <c:v>民85年以前，K=0.8</c:v>
          </c:tx>
          <c:marker>
            <c:symbol val="none"/>
          </c:marker>
          <c:dLbls>
            <c:delete val="1"/>
          </c:dLbls>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一般工址Cs!$AF$43:$AF$95</c:f>
              <c:numCache>
                <c:formatCode>0.0000_ </c:formatCode>
                <c:ptCount val="53"/>
                <c:pt idx="0">
                  <c:v>0.13728000000000001</c:v>
                </c:pt>
                <c:pt idx="1">
                  <c:v>0.13728000000000001</c:v>
                </c:pt>
                <c:pt idx="2">
                  <c:v>0.13728000000000001</c:v>
                </c:pt>
                <c:pt idx="3">
                  <c:v>0.13728000000000001</c:v>
                </c:pt>
                <c:pt idx="4">
                  <c:v>0.13728000000000001</c:v>
                </c:pt>
                <c:pt idx="5">
                  <c:v>0.13728000000000001</c:v>
                </c:pt>
                <c:pt idx="6">
                  <c:v>0.13728000000000001</c:v>
                </c:pt>
                <c:pt idx="7">
                  <c:v>0.13728000000000001</c:v>
                </c:pt>
                <c:pt idx="8">
                  <c:v>0.13728000000000001</c:v>
                </c:pt>
                <c:pt idx="9">
                  <c:v>0.13728000000000001</c:v>
                </c:pt>
                <c:pt idx="10">
                  <c:v>0.13728000000000001</c:v>
                </c:pt>
                <c:pt idx="11">
                  <c:v>0.13728000000000001</c:v>
                </c:pt>
                <c:pt idx="12">
                  <c:v>0.13728000000000001</c:v>
                </c:pt>
                <c:pt idx="13">
                  <c:v>0.13728000000000001</c:v>
                </c:pt>
                <c:pt idx="14">
                  <c:v>0.13728000000000001</c:v>
                </c:pt>
                <c:pt idx="15">
                  <c:v>0.13728000000000001</c:v>
                </c:pt>
                <c:pt idx="16">
                  <c:v>0.13728000000000001</c:v>
                </c:pt>
                <c:pt idx="17">
                  <c:v>0.13728000000000001</c:v>
                </c:pt>
                <c:pt idx="18">
                  <c:v>0.13728000000000001</c:v>
                </c:pt>
                <c:pt idx="19">
                  <c:v>0.13482169294623506</c:v>
                </c:pt>
                <c:pt idx="20">
                  <c:v>0.13037089946982583</c:v>
                </c:pt>
                <c:pt idx="21">
                  <c:v>0.12633366582962444</c:v>
                </c:pt>
                <c:pt idx="22">
                  <c:v>0.12264967398544374</c:v>
                </c:pt>
                <c:pt idx="23">
                  <c:v>0.11927024484064676</c:v>
                </c:pt>
                <c:pt idx="24">
                  <c:v>0.11615560129128602</c:v>
                </c:pt>
                <c:pt idx="25">
                  <c:v>0.11327287891653154</c:v>
                </c:pt>
                <c:pt idx="26">
                  <c:v>0.1105946543468239</c:v>
                </c:pt>
                <c:pt idx="27">
                  <c:v>0.10809783928063897</c:v>
                </c:pt>
                <c:pt idx="28">
                  <c:v>0.10576283741361034</c:v>
                </c:pt>
                <c:pt idx="29">
                  <c:v>0.1035728934726412</c:v>
                </c:pt>
                <c:pt idx="30">
                  <c:v>0.10151358467720338</c:v>
                </c:pt>
                <c:pt idx="31">
                  <c:v>9.957241920665913E-2</c:v>
                </c:pt>
                <c:pt idx="32">
                  <c:v>9.773851604279743E-2</c:v>
                </c:pt>
                <c:pt idx="33">
                  <c:v>9.6002347389141221E-2</c:v>
                </c:pt>
                <c:pt idx="34">
                  <c:v>9.4355529707561683E-2</c:v>
                </c:pt>
                <c:pt idx="35">
                  <c:v>9.2790652886796152E-2</c:v>
                </c:pt>
                <c:pt idx="36">
                  <c:v>9.130113958309595E-2</c:v>
                </c:pt>
                <c:pt idx="37">
                  <c:v>8.9881128630823356E-2</c:v>
                </c:pt>
                <c:pt idx="38">
                  <c:v>8.8525377801905239E-2</c:v>
                </c:pt>
                <c:pt idx="39">
                  <c:v>8.7229182230249849E-2</c:v>
                </c:pt>
                <c:pt idx="40">
                  <c:v>8.5988305603523607E-2</c:v>
                </c:pt>
                <c:pt idx="41">
                  <c:v>8.4798921826029952E-2</c:v>
                </c:pt>
                <c:pt idx="42">
                  <c:v>8.3657565320143734E-2</c:v>
                </c:pt>
                <c:pt idx="43">
                  <c:v>8.2561088494116475E-2</c:v>
                </c:pt>
                <c:pt idx="44">
                  <c:v>8.1506625186168621E-2</c:v>
                </c:pt>
                <c:pt idx="45">
                  <c:v>8.0491559117145381E-2</c:v>
                </c:pt>
                <c:pt idx="46">
                  <c:v>7.9513496560431177E-2</c:v>
                </c:pt>
                <c:pt idx="47">
                  <c:v>7.8570242578650112E-2</c:v>
                </c:pt>
                <c:pt idx="48">
                  <c:v>7.5433126156478056E-2</c:v>
                </c:pt>
                <c:pt idx="49">
                  <c:v>7.4626331557313796E-2</c:v>
                </c:pt>
                <c:pt idx="50">
                  <c:v>7.3844882467688083E-2</c:v>
                </c:pt>
                <c:pt idx="51">
                  <c:v>7.308747903599315E-2</c:v>
                </c:pt>
                <c:pt idx="52">
                  <c:v>7.2352912864652522E-2</c:v>
                </c:pt>
              </c:numCache>
            </c:numRef>
          </c:yVal>
          <c:smooth val="0"/>
          <c:extLst>
            <c:ext xmlns:c16="http://schemas.microsoft.com/office/drawing/2014/chart" uri="{C3380CC4-5D6E-409C-BE32-E72D297353CC}">
              <c16:uniqueId val="{00000005-0613-4CEA-8F14-36B2E40B2E89}"/>
            </c:ext>
          </c:extLst>
        </c:ser>
        <c:ser>
          <c:idx val="5"/>
          <c:order val="6"/>
          <c:tx>
            <c:v>民85年以前，K=0.67</c:v>
          </c:tx>
          <c:marker>
            <c:symbol val="none"/>
          </c:marker>
          <c:dLbls>
            <c:delete val="1"/>
          </c:dLbls>
          <c:xVal>
            <c:numRef>
              <c:f>一般工址Cs!$I$43:$I$95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一般工址Cs!$AG$43:$AG$95</c:f>
              <c:numCache>
                <c:formatCode>0.0000_ </c:formatCode>
                <c:ptCount val="53"/>
                <c:pt idx="0">
                  <c:v>0.11497199999999999</c:v>
                </c:pt>
                <c:pt idx="1">
                  <c:v>0.11497199999999999</c:v>
                </c:pt>
                <c:pt idx="2">
                  <c:v>0.11497199999999999</c:v>
                </c:pt>
                <c:pt idx="3">
                  <c:v>0.11497199999999999</c:v>
                </c:pt>
                <c:pt idx="4">
                  <c:v>0.11497199999999999</c:v>
                </c:pt>
                <c:pt idx="5">
                  <c:v>0.11497199999999999</c:v>
                </c:pt>
                <c:pt idx="6">
                  <c:v>0.11497199999999999</c:v>
                </c:pt>
                <c:pt idx="7">
                  <c:v>0.11497199999999999</c:v>
                </c:pt>
                <c:pt idx="8">
                  <c:v>0.11497199999999999</c:v>
                </c:pt>
                <c:pt idx="9">
                  <c:v>0.11497199999999999</c:v>
                </c:pt>
                <c:pt idx="10">
                  <c:v>0.11497199999999999</c:v>
                </c:pt>
                <c:pt idx="11">
                  <c:v>0.11497199999999999</c:v>
                </c:pt>
                <c:pt idx="12">
                  <c:v>0.11497199999999999</c:v>
                </c:pt>
                <c:pt idx="13">
                  <c:v>0.11497199999999999</c:v>
                </c:pt>
                <c:pt idx="14">
                  <c:v>0.11497199999999999</c:v>
                </c:pt>
                <c:pt idx="15">
                  <c:v>0.11497199999999999</c:v>
                </c:pt>
                <c:pt idx="16">
                  <c:v>0.11497199999999999</c:v>
                </c:pt>
                <c:pt idx="17">
                  <c:v>0.11497199999999999</c:v>
                </c:pt>
                <c:pt idx="18">
                  <c:v>0.11497199999999999</c:v>
                </c:pt>
                <c:pt idx="19">
                  <c:v>0.11291316784247185</c:v>
                </c:pt>
                <c:pt idx="20">
                  <c:v>0.1091856283059791</c:v>
                </c:pt>
                <c:pt idx="21">
                  <c:v>0.10580444513231045</c:v>
                </c:pt>
                <c:pt idx="22">
                  <c:v>0.10271910196280912</c:v>
                </c:pt>
                <c:pt idx="23">
                  <c:v>9.9888830054041644E-2</c:v>
                </c:pt>
                <c:pt idx="24">
                  <c:v>9.7280316081452031E-2</c:v>
                </c:pt>
                <c:pt idx="25">
                  <c:v>9.4866036092595141E-2</c:v>
                </c:pt>
                <c:pt idx="26">
                  <c:v>9.2623023015465003E-2</c:v>
                </c:pt>
                <c:pt idx="27">
                  <c:v>9.0531940397535135E-2</c:v>
                </c:pt>
                <c:pt idx="28">
                  <c:v>8.8576376333898643E-2</c:v>
                </c:pt>
                <c:pt idx="29">
                  <c:v>8.6742298283336988E-2</c:v>
                </c:pt>
                <c:pt idx="30">
                  <c:v>8.5017627167157828E-2</c:v>
                </c:pt>
                <c:pt idx="31">
                  <c:v>8.3391901085577022E-2</c:v>
                </c:pt>
                <c:pt idx="32">
                  <c:v>8.1856007185842836E-2</c:v>
                </c:pt>
                <c:pt idx="33">
                  <c:v>8.0401965938405762E-2</c:v>
                </c:pt>
                <c:pt idx="34">
                  <c:v>7.9022756130082902E-2</c:v>
                </c:pt>
                <c:pt idx="35">
                  <c:v>7.771217179269177E-2</c:v>
                </c:pt>
                <c:pt idx="36">
                  <c:v>7.6464704400842853E-2</c:v>
                </c:pt>
                <c:pt idx="37">
                  <c:v>7.5275445228314558E-2</c:v>
                </c:pt>
                <c:pt idx="38">
                  <c:v>7.4140003909095642E-2</c:v>
                </c:pt>
                <c:pt idx="39">
                  <c:v>7.3054440117834241E-2</c:v>
                </c:pt>
                <c:pt idx="40">
                  <c:v>7.2015205942951008E-2</c:v>
                </c:pt>
                <c:pt idx="41">
                  <c:v>7.101909702930008E-2</c:v>
                </c:pt>
                <c:pt idx="42">
                  <c:v>7.0063210955620361E-2</c:v>
                </c:pt>
                <c:pt idx="43">
                  <c:v>6.9144911613822538E-2</c:v>
                </c:pt>
                <c:pt idx="44">
                  <c:v>6.8261798593416217E-2</c:v>
                </c:pt>
                <c:pt idx="45">
                  <c:v>6.7411680760609244E-2</c:v>
                </c:pt>
                <c:pt idx="46">
                  <c:v>6.6592553369361082E-2</c:v>
                </c:pt>
                <c:pt idx="47">
                  <c:v>6.5802578159619457E-2</c:v>
                </c:pt>
                <c:pt idx="48">
                  <c:v>6.3175243156050359E-2</c:v>
                </c:pt>
                <c:pt idx="49">
                  <c:v>6.2499552679250302E-2</c:v>
                </c:pt>
                <c:pt idx="50">
                  <c:v>6.1845089066688771E-2</c:v>
                </c:pt>
                <c:pt idx="51">
                  <c:v>6.1210763692644242E-2</c:v>
                </c:pt>
                <c:pt idx="52">
                  <c:v>6.0595564524146481E-2</c:v>
                </c:pt>
              </c:numCache>
            </c:numRef>
          </c:yVal>
          <c:smooth val="0"/>
          <c:extLst>
            <c:ext xmlns:c16="http://schemas.microsoft.com/office/drawing/2014/chart" uri="{C3380CC4-5D6E-409C-BE32-E72D297353CC}">
              <c16:uniqueId val="{00000006-0613-4CEA-8F14-36B2E40B2E89}"/>
            </c:ext>
          </c:extLst>
        </c:ser>
        <c:dLbls>
          <c:showLegendKey val="0"/>
          <c:showVal val="1"/>
          <c:showCatName val="0"/>
          <c:showSerName val="0"/>
          <c:showPercent val="0"/>
          <c:showBubbleSize val="0"/>
        </c:dLbls>
        <c:axId val="149227008"/>
        <c:axId val="149228928"/>
      </c:scatterChart>
      <c:valAx>
        <c:axId val="149227008"/>
        <c:scaling>
          <c:orientation val="minMax"/>
          <c:max val="2.5"/>
        </c:scaling>
        <c:delete val="0"/>
        <c:axPos val="b"/>
        <c:majorGridlines/>
        <c:minorGridlines/>
        <c:title>
          <c:tx>
            <c:rich>
              <a:bodyPr/>
              <a:lstStyle/>
              <a:p>
                <a:pPr>
                  <a:defRPr sz="1200"/>
                </a:pPr>
                <a:r>
                  <a:rPr lang="zh-TW" altLang="en-US" sz="1200"/>
                  <a:t>基本振動周期 </a:t>
                </a:r>
                <a:r>
                  <a:rPr lang="en-US" altLang="zh-TW" sz="1200"/>
                  <a:t>T (sec)</a:t>
                </a:r>
              </a:p>
            </c:rich>
          </c:tx>
          <c:overlay val="0"/>
        </c:title>
        <c:numFmt formatCode="0.0000_ " sourceLinked="1"/>
        <c:majorTickMark val="out"/>
        <c:minorTickMark val="in"/>
        <c:tickLblPos val="nextTo"/>
        <c:crossAx val="149228928"/>
        <c:crosses val="autoZero"/>
        <c:crossBetween val="midCat"/>
      </c:valAx>
      <c:valAx>
        <c:axId val="149228928"/>
        <c:scaling>
          <c:orientation val="minMax"/>
        </c:scaling>
        <c:delete val="0"/>
        <c:axPos val="l"/>
        <c:minorGridlines/>
        <c:numFmt formatCode="0.000_ " sourceLinked="1"/>
        <c:majorTickMark val="out"/>
        <c:minorTickMark val="none"/>
        <c:tickLblPos val="nextTo"/>
        <c:crossAx val="149227008"/>
        <c:crosses val="autoZero"/>
        <c:crossBetween val="midCat"/>
      </c:valAx>
    </c:plotArea>
    <c:legend>
      <c:legendPos val="r"/>
      <c:layout>
        <c:manualLayout>
          <c:xMode val="edge"/>
          <c:yMode val="edge"/>
          <c:x val="0.71472326659964591"/>
          <c:y val="0.12940791518675576"/>
          <c:w val="0.23038096695445237"/>
          <c:h val="0.34245858828128317"/>
        </c:manualLayout>
      </c:layout>
      <c:overlay val="0"/>
      <c:txPr>
        <a:bodyPr/>
        <a:lstStyle/>
        <a:p>
          <a:pPr>
            <a:defRPr sz="1100"/>
          </a:pPr>
          <a:endParaRPr lang="zh-TW"/>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90001082270484E-2"/>
          <c:y val="4.743405641116788E-2"/>
          <c:w val="0.91757587346863712"/>
          <c:h val="0.82399368012808771"/>
        </c:manualLayout>
      </c:layout>
      <c:scatterChart>
        <c:scatterStyle val="lineMarker"/>
        <c:varyColors val="0"/>
        <c:ser>
          <c:idx val="0"/>
          <c:order val="0"/>
          <c:tx>
            <c:strRef>
              <c:f>'一般工址Cs (II)'!$K$42</c:f>
              <c:strCache>
                <c:ptCount val="1"/>
                <c:pt idx="0">
                  <c:v>SaD</c:v>
                </c:pt>
              </c:strCache>
            </c:strRef>
          </c:tx>
          <c:spPr>
            <a:ln w="19050" cap="rnd" cmpd="sng" algn="ctr">
              <a:solidFill>
                <a:schemeClr val="accent1">
                  <a:shade val="95000"/>
                  <a:satMod val="105000"/>
                </a:schemeClr>
              </a:solidFill>
              <a:prstDash val="solid"/>
              <a:round/>
            </a:ln>
            <a:effectLst/>
          </c:spPr>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(II)'!$K$43:$K$95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8297-4BB0-AC27-A57C02838E33}"/>
            </c:ext>
          </c:extLst>
        </c:ser>
        <c:ser>
          <c:idx val="2"/>
          <c:order val="1"/>
          <c:tx>
            <c:strRef>
              <c:f>'一般工址Cs (II)'!$P$42</c:f>
              <c:strCache>
                <c:ptCount val="1"/>
                <c:pt idx="0">
                  <c:v>SaD*</c:v>
                </c:pt>
              </c:strCache>
            </c:strRef>
          </c:tx>
          <c:spPr>
            <a:ln w="19050" cap="rnd" cmpd="sng" algn="ctr">
              <a:solidFill>
                <a:schemeClr val="accent3">
                  <a:shade val="95000"/>
                  <a:satMod val="105000"/>
                </a:schemeClr>
              </a:solidFill>
              <a:prstDash val="solid"/>
              <a:round/>
            </a:ln>
            <a:effectLst/>
          </c:spPr>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(II)'!$P$43:$P$95</c:f>
              <c:numCache>
                <c:formatCode>0.000_ </c:formatCode>
                <c:ptCount val="53"/>
                <c:pt idx="0">
                  <c:v>0.36299999999999999</c:v>
                </c:pt>
                <c:pt idx="1">
                  <c:v>0.70099999999999996</c:v>
                </c:pt>
                <c:pt idx="2">
                  <c:v>0.79300000000000004</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0.72580645161290314</c:v>
                </c:pt>
                <c:pt idx="18">
                  <c:v>0.67164179104477595</c:v>
                </c:pt>
                <c:pt idx="19">
                  <c:v>0.62499999999999989</c:v>
                </c:pt>
                <c:pt idx="20">
                  <c:v>0.58441558441558428</c:v>
                </c:pt>
                <c:pt idx="21">
                  <c:v>0.54878048780487787</c:v>
                </c:pt>
                <c:pt idx="22">
                  <c:v>0.51724137931034464</c:v>
                </c:pt>
                <c:pt idx="23">
                  <c:v>0.48913043478260854</c:v>
                </c:pt>
                <c:pt idx="24">
                  <c:v>0.46391752577319567</c:v>
                </c:pt>
                <c:pt idx="25">
                  <c:v>0.44117647058823511</c:v>
                </c:pt>
                <c:pt idx="26">
                  <c:v>0.42056074766355123</c:v>
                </c:pt>
                <c:pt idx="27">
                  <c:v>0.40178571428571408</c:v>
                </c:pt>
                <c:pt idx="28">
                  <c:v>0.38461538461538441</c:v>
                </c:pt>
                <c:pt idx="29">
                  <c:v>0.36885245901639324</c:v>
                </c:pt>
                <c:pt idx="30">
                  <c:v>0.35433070866141714</c:v>
                </c:pt>
                <c:pt idx="31">
                  <c:v>0.34090909090909072</c:v>
                </c:pt>
                <c:pt idx="32">
                  <c:v>0.32846715328467135</c:v>
                </c:pt>
                <c:pt idx="33">
                  <c:v>0.32000000000000006</c:v>
                </c:pt>
                <c:pt idx="34">
                  <c:v>0.32000000000000006</c:v>
                </c:pt>
                <c:pt idx="35">
                  <c:v>0.32000000000000006</c:v>
                </c:pt>
                <c:pt idx="36">
                  <c:v>0.32000000000000006</c:v>
                </c:pt>
                <c:pt idx="37">
                  <c:v>0.32000000000000006</c:v>
                </c:pt>
                <c:pt idx="38">
                  <c:v>0.32000000000000006</c:v>
                </c:pt>
                <c:pt idx="39">
                  <c:v>0.32000000000000006</c:v>
                </c:pt>
                <c:pt idx="40">
                  <c:v>0.32000000000000006</c:v>
                </c:pt>
                <c:pt idx="41">
                  <c:v>0.32000000000000006</c:v>
                </c:pt>
                <c:pt idx="42">
                  <c:v>0.32000000000000006</c:v>
                </c:pt>
                <c:pt idx="43">
                  <c:v>0.32000000000000006</c:v>
                </c:pt>
                <c:pt idx="44">
                  <c:v>0.32000000000000006</c:v>
                </c:pt>
                <c:pt idx="45">
                  <c:v>0.32000000000000006</c:v>
                </c:pt>
                <c:pt idx="46">
                  <c:v>0.32000000000000006</c:v>
                </c:pt>
                <c:pt idx="47">
                  <c:v>0.32000000000000006</c:v>
                </c:pt>
                <c:pt idx="48">
                  <c:v>0.32000000000000006</c:v>
                </c:pt>
                <c:pt idx="49">
                  <c:v>0.32000000000000006</c:v>
                </c:pt>
                <c:pt idx="50">
                  <c:v>0.32000000000000006</c:v>
                </c:pt>
                <c:pt idx="51">
                  <c:v>0.32000000000000006</c:v>
                </c:pt>
                <c:pt idx="52">
                  <c:v>0.32000000000000006</c:v>
                </c:pt>
              </c:numCache>
            </c:numRef>
          </c:yVal>
          <c:smooth val="0"/>
          <c:extLst>
            <c:ext xmlns:c16="http://schemas.microsoft.com/office/drawing/2014/chart" uri="{C3380CC4-5D6E-409C-BE32-E72D297353CC}">
              <c16:uniqueId val="{00000001-8297-4BB0-AC27-A57C02838E33}"/>
            </c:ext>
          </c:extLst>
        </c:ser>
        <c:ser>
          <c:idx val="1"/>
          <c:order val="2"/>
          <c:tx>
            <c:strRef>
              <c:f>'一般工址Cs (II)'!$U$42</c:f>
              <c:strCache>
                <c:ptCount val="1"/>
                <c:pt idx="0">
                  <c:v>SaM</c:v>
                </c:pt>
              </c:strCache>
            </c:strRef>
          </c:tx>
          <c:spPr>
            <a:ln w="19050" cap="rnd" cmpd="sng" algn="ctr">
              <a:solidFill>
                <a:schemeClr val="accent2">
                  <a:shade val="95000"/>
                  <a:satMod val="105000"/>
                </a:schemeClr>
              </a:solidFill>
              <a:prstDash val="solid"/>
              <a:round/>
            </a:ln>
            <a:effectLst/>
          </c:spPr>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(II)'!$U$43:$U$95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2-8297-4BB0-AC27-A57C02838E33}"/>
            </c:ext>
          </c:extLst>
        </c:ser>
        <c:ser>
          <c:idx val="3"/>
          <c:order val="3"/>
          <c:tx>
            <c:strRef>
              <c:f>'一般工址Cs (II)'!$H$96:$J$96</c:f>
              <c:strCache>
                <c:ptCount val="1"/>
                <c:pt idx="0">
                  <c:v>基本振動週期T= 0.897  s</c:v>
                </c:pt>
              </c:strCache>
            </c:strRef>
          </c:tx>
          <c:spPr>
            <a:ln w="19050" cap="rnd" cmpd="sng" algn="ctr">
              <a:solidFill>
                <a:schemeClr val="bg1">
                  <a:lumMod val="50000"/>
                </a:schemeClr>
              </a:solidFill>
              <a:prstDash val="sysDot"/>
              <a:round/>
            </a:ln>
            <a:effectLst/>
          </c:spPr>
          <c:marker>
            <c:symbol val="none"/>
          </c:marker>
          <c:xVal>
            <c:numRef>
              <c:f>'一般工址Cs (II)'!$I$97:$I$98</c:f>
              <c:numCache>
                <c:formatCode>0.000_ </c:formatCode>
                <c:ptCount val="2"/>
                <c:pt idx="0">
                  <c:v>0.89729999999999999</c:v>
                </c:pt>
                <c:pt idx="1">
                  <c:v>0.89729999999999999</c:v>
                </c:pt>
              </c:numCache>
            </c:numRef>
          </c:xVal>
          <c:yVal>
            <c:numRef>
              <c:f>'一般工址Cs (II)'!$U$97:$U$98</c:f>
              <c:numCache>
                <c:formatCode>0.000_ </c:formatCode>
                <c:ptCount val="2"/>
                <c:pt idx="0">
                  <c:v>0</c:v>
                </c:pt>
                <c:pt idx="1">
                  <c:v>#N/A</c:v>
                </c:pt>
              </c:numCache>
            </c:numRef>
          </c:yVal>
          <c:smooth val="0"/>
          <c:extLst>
            <c:ext xmlns:c16="http://schemas.microsoft.com/office/drawing/2014/chart" uri="{C3380CC4-5D6E-409C-BE32-E72D297353CC}">
              <c16:uniqueId val="{00000003-8297-4BB0-AC27-A57C02838E33}"/>
            </c:ext>
          </c:extLst>
        </c:ser>
        <c:dLbls>
          <c:showLegendKey val="0"/>
          <c:showVal val="0"/>
          <c:showCatName val="0"/>
          <c:showSerName val="0"/>
          <c:showPercent val="0"/>
          <c:showBubbleSize val="0"/>
        </c:dLbls>
        <c:axId val="145788928"/>
        <c:axId val="145790848"/>
      </c:scatterChart>
      <c:valAx>
        <c:axId val="145788928"/>
        <c:scaling>
          <c:orientation val="minMax"/>
          <c:max val="2.5"/>
        </c:scaling>
        <c:delete val="0"/>
        <c:axPos val="b"/>
        <c:minorGridlines>
          <c:spPr>
            <a:ln w="9525" cap="flat" cmpd="sng" algn="ctr">
              <a:solidFill>
                <a:schemeClr val="tx1">
                  <a:tint val="50000"/>
                  <a:shade val="95000"/>
                  <a:satMod val="105000"/>
                </a:schemeClr>
              </a:solidFill>
              <a:prstDash val="solid"/>
              <a:round/>
            </a:ln>
            <a:effectLst/>
          </c:spPr>
        </c:min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ltLang="en-US" sz="1400"/>
                  <a:t>T (sec)</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zh-TW"/>
            </a:p>
          </c:txPr>
        </c:title>
        <c:numFmt formatCode="0.0_ " sourceLinked="0"/>
        <c:majorTickMark val="out"/>
        <c:minorTickMark val="in"/>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新細明體"/>
                <a:ea typeface="新細明體"/>
                <a:cs typeface="新細明體"/>
              </a:defRPr>
            </a:pPr>
            <a:endParaRPr lang="zh-TW"/>
          </a:p>
        </c:txPr>
        <c:crossAx val="145790848"/>
        <c:crosses val="autoZero"/>
        <c:crossBetween val="midCat"/>
        <c:minorUnit val="0.1"/>
      </c:valAx>
      <c:valAx>
        <c:axId val="14579084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_ "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zh-TW"/>
          </a:p>
        </c:txPr>
        <c:crossAx val="145788928"/>
        <c:crosses val="autoZero"/>
        <c:crossBetween val="midCat"/>
      </c:valAx>
      <c:spPr>
        <a:solidFill>
          <a:schemeClr val="bg1"/>
        </a:solidFill>
        <a:ln>
          <a:noFill/>
        </a:ln>
        <a:effectLst/>
      </c:spPr>
    </c:plotArea>
    <c:legend>
      <c:legendPos val="r"/>
      <c:layout>
        <c:manualLayout>
          <c:xMode val="edge"/>
          <c:yMode val="edge"/>
          <c:x val="0.57410134142530211"/>
          <c:y val="4.8582489353410425E-2"/>
          <c:w val="0.38776958630016461"/>
          <c:h val="0.21897982924115855"/>
        </c:manualLayout>
      </c:layout>
      <c:overlay val="1"/>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zh-TW"/>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zh-TW"/>
    </a:p>
  </c:txPr>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'一般工址Cs (II)'!$N$42</c:f>
              <c:strCache>
                <c:ptCount val="1"/>
                <c:pt idx="0">
                  <c:v>I(SaD/FuD)m/1.4αy</c:v>
                </c:pt>
              </c:strCache>
            </c:strRef>
          </c:tx>
          <c:spPr>
            <a:ln w="19050"/>
          </c:spPr>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(II)'!$N$43:$N$95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752B-488A-89F9-1C190C2486BA}"/>
            </c:ext>
          </c:extLst>
        </c:ser>
        <c:ser>
          <c:idx val="1"/>
          <c:order val="1"/>
          <c:tx>
            <c:strRef>
              <c:f>'一般工址Cs (II)'!$S$42</c:f>
              <c:strCache>
                <c:ptCount val="1"/>
                <c:pt idx="0">
                  <c:v>IFu*(SaD*/FuD*)m/4.2αy</c:v>
                </c:pt>
              </c:strCache>
            </c:strRef>
          </c:tx>
          <c:spPr>
            <a:ln w="19050"/>
          </c:spPr>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(II)'!$S$43:$S$95</c:f>
              <c:numCache>
                <c:formatCode>0.000_ </c:formatCode>
                <c:ptCount val="53"/>
                <c:pt idx="0">
                  <c:v>8.1000000000000003E-2</c:v>
                </c:pt>
                <c:pt idx="1">
                  <c:v>0.14000000000000001</c:v>
                </c:pt>
                <c:pt idx="2">
                  <c:v>0.156</c:v>
                </c:pt>
                <c:pt idx="3">
                  <c:v>0.157</c:v>
                </c:pt>
                <c:pt idx="4">
                  <c:v>0.157</c:v>
                </c:pt>
                <c:pt idx="5">
                  <c:v>0.157</c:v>
                </c:pt>
                <c:pt idx="6">
                  <c:v>0.157</c:v>
                </c:pt>
                <c:pt idx="7">
                  <c:v>0.157</c:v>
                </c:pt>
                <c:pt idx="8">
                  <c:v>0.157</c:v>
                </c:pt>
                <c:pt idx="9">
                  <c:v>0.157</c:v>
                </c:pt>
                <c:pt idx="10">
                  <c:v>0.157</c:v>
                </c:pt>
                <c:pt idx="11">
                  <c:v>0.159</c:v>
                </c:pt>
                <c:pt idx="12">
                  <c:v>0.161</c:v>
                </c:pt>
                <c:pt idx="13">
                  <c:v>0.16400000000000001</c:v>
                </c:pt>
                <c:pt idx="14">
                  <c:v>0.16500000000000001</c:v>
                </c:pt>
                <c:pt idx="15">
                  <c:v>0.16500000000000001</c:v>
                </c:pt>
                <c:pt idx="16">
                  <c:v>0.16500000000000001</c:v>
                </c:pt>
                <c:pt idx="17">
                  <c:v>0.156</c:v>
                </c:pt>
                <c:pt idx="18">
                  <c:v>0.15</c:v>
                </c:pt>
                <c:pt idx="19">
                  <c:v>0.14399999999999999</c:v>
                </c:pt>
                <c:pt idx="20">
                  <c:v>0.13900000000000001</c:v>
                </c:pt>
                <c:pt idx="21">
                  <c:v>0.13100000000000001</c:v>
                </c:pt>
                <c:pt idx="22">
                  <c:v>0.123</c:v>
                </c:pt>
                <c:pt idx="23">
                  <c:v>0.11600000000000001</c:v>
                </c:pt>
                <c:pt idx="24">
                  <c:v>0.11</c:v>
                </c:pt>
                <c:pt idx="25">
                  <c:v>0.105</c:v>
                </c:pt>
                <c:pt idx="26">
                  <c:v>0.1</c:v>
                </c:pt>
                <c:pt idx="27">
                  <c:v>9.6000000000000002E-2</c:v>
                </c:pt>
                <c:pt idx="28">
                  <c:v>9.1999999999999998E-2</c:v>
                </c:pt>
                <c:pt idx="29">
                  <c:v>8.7999999999999995E-2</c:v>
                </c:pt>
                <c:pt idx="30">
                  <c:v>8.4000000000000005E-2</c:v>
                </c:pt>
                <c:pt idx="31">
                  <c:v>8.1000000000000003E-2</c:v>
                </c:pt>
                <c:pt idx="32">
                  <c:v>7.8E-2</c:v>
                </c:pt>
                <c:pt idx="33">
                  <c:v>7.5999999999999998E-2</c:v>
                </c:pt>
                <c:pt idx="34">
                  <c:v>7.5999999999999998E-2</c:v>
                </c:pt>
                <c:pt idx="35">
                  <c:v>7.5999999999999998E-2</c:v>
                </c:pt>
                <c:pt idx="36">
                  <c:v>7.5999999999999998E-2</c:v>
                </c:pt>
                <c:pt idx="37">
                  <c:v>7.5999999999999998E-2</c:v>
                </c:pt>
                <c:pt idx="38">
                  <c:v>7.5999999999999998E-2</c:v>
                </c:pt>
                <c:pt idx="39">
                  <c:v>7.5999999999999998E-2</c:v>
                </c:pt>
                <c:pt idx="40">
                  <c:v>7.5999999999999998E-2</c:v>
                </c:pt>
                <c:pt idx="41">
                  <c:v>7.5999999999999998E-2</c:v>
                </c:pt>
                <c:pt idx="42">
                  <c:v>7.5999999999999998E-2</c:v>
                </c:pt>
                <c:pt idx="43">
                  <c:v>7.5999999999999998E-2</c:v>
                </c:pt>
                <c:pt idx="44">
                  <c:v>7.5999999999999998E-2</c:v>
                </c:pt>
                <c:pt idx="45">
                  <c:v>7.5999999999999998E-2</c:v>
                </c:pt>
                <c:pt idx="46">
                  <c:v>7.5999999999999998E-2</c:v>
                </c:pt>
                <c:pt idx="47">
                  <c:v>7.5999999999999998E-2</c:v>
                </c:pt>
                <c:pt idx="48">
                  <c:v>7.5999999999999998E-2</c:v>
                </c:pt>
                <c:pt idx="49">
                  <c:v>7.5999999999999998E-2</c:v>
                </c:pt>
                <c:pt idx="50">
                  <c:v>7.5999999999999998E-2</c:v>
                </c:pt>
                <c:pt idx="51">
                  <c:v>7.5999999999999998E-2</c:v>
                </c:pt>
                <c:pt idx="52">
                  <c:v>7.5999999999999998E-2</c:v>
                </c:pt>
              </c:numCache>
            </c:numRef>
          </c:yVal>
          <c:smooth val="0"/>
          <c:extLst>
            <c:ext xmlns:c16="http://schemas.microsoft.com/office/drawing/2014/chart" uri="{C3380CC4-5D6E-409C-BE32-E72D297353CC}">
              <c16:uniqueId val="{00000001-752B-488A-89F9-1C190C2486BA}"/>
            </c:ext>
          </c:extLst>
        </c:ser>
        <c:ser>
          <c:idx val="2"/>
          <c:order val="2"/>
          <c:tx>
            <c:strRef>
              <c:f>'一般工址Cs (II)'!$X$42</c:f>
              <c:strCache>
                <c:ptCount val="1"/>
                <c:pt idx="0">
                  <c:v>I(SaM/FuM)m/1.4αy</c:v>
                </c:pt>
              </c:strCache>
            </c:strRef>
          </c:tx>
          <c:spPr>
            <a:ln w="19050"/>
          </c:spPr>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(II)'!$X$43:$X$95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2-752B-488A-89F9-1C190C2486BA}"/>
            </c:ext>
          </c:extLst>
        </c:ser>
        <c:ser>
          <c:idx val="3"/>
          <c:order val="3"/>
          <c:tx>
            <c:strRef>
              <c:f>'一般工址Cs (II)'!$H$96:$J$96</c:f>
              <c:strCache>
                <c:ptCount val="1"/>
                <c:pt idx="0">
                  <c:v>基本振動週期T= 0.897  s</c:v>
                </c:pt>
              </c:strCache>
            </c:strRef>
          </c:tx>
          <c:spPr>
            <a:ln w="19050">
              <a:solidFill>
                <a:schemeClr val="bg1">
                  <a:lumMod val="50000"/>
                </a:schemeClr>
              </a:solidFill>
              <a:prstDash val="sysDot"/>
            </a:ln>
          </c:spPr>
          <c:marker>
            <c:symbol val="none"/>
          </c:marker>
          <c:xVal>
            <c:numRef>
              <c:f>'一般工址Cs (II)'!$I$97:$I$98</c:f>
              <c:numCache>
                <c:formatCode>0.000_ </c:formatCode>
                <c:ptCount val="2"/>
                <c:pt idx="0">
                  <c:v>0.89729999999999999</c:v>
                </c:pt>
                <c:pt idx="1">
                  <c:v>0.89729999999999999</c:v>
                </c:pt>
              </c:numCache>
            </c:numRef>
          </c:xVal>
          <c:yVal>
            <c:numRef>
              <c:f>'一般工址Cs (II)'!$X$97:$X$98</c:f>
              <c:numCache>
                <c:formatCode>0.000_ </c:formatCode>
                <c:ptCount val="2"/>
                <c:pt idx="0">
                  <c:v>0</c:v>
                </c:pt>
                <c:pt idx="1">
                  <c:v>#N/A</c:v>
                </c:pt>
              </c:numCache>
            </c:numRef>
          </c:yVal>
          <c:smooth val="0"/>
          <c:extLst>
            <c:ext xmlns:c16="http://schemas.microsoft.com/office/drawing/2014/chart" uri="{C3380CC4-5D6E-409C-BE32-E72D297353CC}">
              <c16:uniqueId val="{00000003-752B-488A-89F9-1C190C2486BA}"/>
            </c:ext>
          </c:extLst>
        </c:ser>
        <c:dLbls>
          <c:showLegendKey val="0"/>
          <c:showVal val="0"/>
          <c:showCatName val="0"/>
          <c:showSerName val="0"/>
          <c:showPercent val="0"/>
          <c:showBubbleSize val="0"/>
        </c:dLbls>
        <c:axId val="145437824"/>
        <c:axId val="145439744"/>
      </c:scatterChart>
      <c:valAx>
        <c:axId val="145437824"/>
        <c:scaling>
          <c:orientation val="minMax"/>
          <c:max val="2.5"/>
        </c:scaling>
        <c:delete val="0"/>
        <c:axPos val="b"/>
        <c:minorGridlines/>
        <c:title>
          <c:tx>
            <c:rich>
              <a:bodyPr/>
              <a:lstStyle/>
              <a:p>
                <a:pPr>
                  <a:defRPr sz="1400"/>
                </a:pPr>
                <a:r>
                  <a:rPr lang="en-US" altLang="zh-TW" sz="1400"/>
                  <a:t>T (sec)</a:t>
                </a:r>
                <a:endParaRPr lang="zh-TW" altLang="en-US" sz="1400"/>
              </a:p>
            </c:rich>
          </c:tx>
          <c:overlay val="0"/>
        </c:title>
        <c:numFmt formatCode="0.0_ " sourceLinked="0"/>
        <c:majorTickMark val="out"/>
        <c:minorTickMark val="in"/>
        <c:tickLblPos val="nextTo"/>
        <c:txPr>
          <a:bodyPr rot="0" vert="horz"/>
          <a:lstStyle/>
          <a:p>
            <a:pPr>
              <a:defRPr sz="1000" b="0" i="0" u="none" strike="noStrike" baseline="0">
                <a:solidFill>
                  <a:srgbClr val="000000"/>
                </a:solidFill>
                <a:latin typeface="新細明體"/>
                <a:ea typeface="新細明體"/>
                <a:cs typeface="新細明體"/>
              </a:defRPr>
            </a:pPr>
            <a:endParaRPr lang="zh-TW"/>
          </a:p>
        </c:txPr>
        <c:crossAx val="145439744"/>
        <c:crosses val="autoZero"/>
        <c:crossBetween val="midCat"/>
        <c:minorUnit val="0.1"/>
      </c:valAx>
      <c:valAx>
        <c:axId val="145439744"/>
        <c:scaling>
          <c:orientation val="minMax"/>
        </c:scaling>
        <c:delete val="0"/>
        <c:axPos val="l"/>
        <c:majorGridlines/>
        <c:numFmt formatCode="0.00_ " sourceLinked="0"/>
        <c:majorTickMark val="out"/>
        <c:minorTickMark val="none"/>
        <c:tickLblPos val="nextTo"/>
        <c:crossAx val="145437824"/>
        <c:crosses val="autoZero"/>
        <c:crossBetween val="midCat"/>
      </c:valAx>
    </c:plotArea>
    <c:legend>
      <c:legendPos val="r"/>
      <c:layout>
        <c:manualLayout>
          <c:xMode val="edge"/>
          <c:yMode val="edge"/>
          <c:x val="0.59872135124974823"/>
          <c:y val="7.2791224260336296E-2"/>
          <c:w val="0.36203963895911495"/>
          <c:h val="0.23639457149871268"/>
        </c:manualLayout>
      </c:layout>
      <c:overlay val="1"/>
      <c:txPr>
        <a:bodyPr/>
        <a:lstStyle/>
        <a:p>
          <a:pPr>
            <a:defRPr sz="1400"/>
          </a:pPr>
          <a:endParaRPr lang="zh-TW"/>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27686640829972E-2"/>
          <c:y val="1.5392568897843061E-2"/>
          <c:w val="0.92341518682829926"/>
          <c:h val="0.82378366590685559"/>
        </c:manualLayout>
      </c:layout>
      <c:scatterChart>
        <c:scatterStyle val="lineMarker"/>
        <c:varyColors val="0"/>
        <c:ser>
          <c:idx val="0"/>
          <c:order val="0"/>
          <c:tx>
            <c:strRef>
              <c:f>'一般工址Cs (II)'!$J$42</c:f>
              <c:strCache>
                <c:ptCount val="1"/>
                <c:pt idx="0">
                  <c:v>FuD</c:v>
                </c:pt>
              </c:strCache>
            </c:strRef>
          </c:tx>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(II)'!$J$43:$J$95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F79F-4A74-AD8F-4524F1B2E15E}"/>
            </c:ext>
          </c:extLst>
        </c:ser>
        <c:ser>
          <c:idx val="1"/>
          <c:order val="1"/>
          <c:tx>
            <c:strRef>
              <c:f>'一般工址Cs (II)'!$T$42</c:f>
              <c:strCache>
                <c:ptCount val="1"/>
                <c:pt idx="0">
                  <c:v>FuM</c:v>
                </c:pt>
              </c:strCache>
            </c:strRef>
          </c:tx>
          <c:marker>
            <c:symbol val="none"/>
          </c:marker>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(II)'!$T$43:$T$95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1-F79F-4A74-AD8F-4524F1B2E15E}"/>
            </c:ext>
          </c:extLst>
        </c:ser>
        <c:ser>
          <c:idx val="2"/>
          <c:order val="2"/>
          <c:tx>
            <c:strRef>
              <c:f>'一般工址Cs (II)'!$H$96:$J$96</c:f>
              <c:strCache>
                <c:ptCount val="1"/>
                <c:pt idx="0">
                  <c:v>基本振動週期T= 0.897  s</c:v>
                </c:pt>
              </c:strCache>
            </c:strRef>
          </c:tx>
          <c:spPr>
            <a:ln w="19050">
              <a:solidFill>
                <a:schemeClr val="bg1">
                  <a:lumMod val="50000"/>
                </a:schemeClr>
              </a:solidFill>
              <a:prstDash val="sysDot"/>
            </a:ln>
          </c:spPr>
          <c:marker>
            <c:symbol val="none"/>
          </c:marker>
          <c:xVal>
            <c:numRef>
              <c:f>'一般工址Cs (II)'!$I$97:$I$98</c:f>
              <c:numCache>
                <c:formatCode>0.000_ </c:formatCode>
                <c:ptCount val="2"/>
                <c:pt idx="0">
                  <c:v>0.89729999999999999</c:v>
                </c:pt>
                <c:pt idx="1">
                  <c:v>0.89729999999999999</c:v>
                </c:pt>
              </c:numCache>
            </c:numRef>
          </c:xVal>
          <c:yVal>
            <c:numRef>
              <c:f>'一般工址Cs (II)'!$T$97:$T$98</c:f>
              <c:numCache>
                <c:formatCode>0.000_ </c:formatCode>
                <c:ptCount val="2"/>
                <c:pt idx="0">
                  <c:v>0</c:v>
                </c:pt>
                <c:pt idx="1">
                  <c:v>#N/A</c:v>
                </c:pt>
              </c:numCache>
            </c:numRef>
          </c:yVal>
          <c:smooth val="0"/>
          <c:extLst>
            <c:ext xmlns:c16="http://schemas.microsoft.com/office/drawing/2014/chart" uri="{C3380CC4-5D6E-409C-BE32-E72D297353CC}">
              <c16:uniqueId val="{00000002-F79F-4A74-AD8F-4524F1B2E15E}"/>
            </c:ext>
          </c:extLst>
        </c:ser>
        <c:dLbls>
          <c:showLegendKey val="0"/>
          <c:showVal val="0"/>
          <c:showCatName val="0"/>
          <c:showSerName val="0"/>
          <c:showPercent val="0"/>
          <c:showBubbleSize val="0"/>
        </c:dLbls>
        <c:axId val="149299968"/>
        <c:axId val="149301888"/>
      </c:scatterChart>
      <c:valAx>
        <c:axId val="149299968"/>
        <c:scaling>
          <c:orientation val="minMax"/>
          <c:max val="2.5"/>
        </c:scaling>
        <c:delete val="0"/>
        <c:axPos val="b"/>
        <c:minorGridlines/>
        <c:title>
          <c:tx>
            <c:rich>
              <a:bodyPr/>
              <a:lstStyle/>
              <a:p>
                <a:pPr>
                  <a:defRPr sz="1400"/>
                </a:pPr>
                <a:r>
                  <a:rPr lang="en-US" altLang="zh-TW" sz="1400"/>
                  <a:t>T (sec)</a:t>
                </a:r>
                <a:endParaRPr lang="zh-TW" altLang="en-US" sz="1400"/>
              </a:p>
            </c:rich>
          </c:tx>
          <c:overlay val="0"/>
        </c:title>
        <c:numFmt formatCode="0.0_ " sourceLinked="0"/>
        <c:majorTickMark val="out"/>
        <c:minorTickMark val="in"/>
        <c:tickLblPos val="nextTo"/>
        <c:txPr>
          <a:bodyPr rot="0" vert="horz"/>
          <a:lstStyle/>
          <a:p>
            <a:pPr>
              <a:defRPr sz="1000" b="0" i="0" u="none" strike="noStrike" baseline="0">
                <a:solidFill>
                  <a:srgbClr val="000000"/>
                </a:solidFill>
                <a:latin typeface="新細明體"/>
                <a:ea typeface="新細明體"/>
                <a:cs typeface="新細明體"/>
              </a:defRPr>
            </a:pPr>
            <a:endParaRPr lang="zh-TW"/>
          </a:p>
        </c:txPr>
        <c:crossAx val="149301888"/>
        <c:crosses val="autoZero"/>
        <c:crossBetween val="midCat"/>
        <c:minorUnit val="0.1"/>
      </c:valAx>
      <c:valAx>
        <c:axId val="149301888"/>
        <c:scaling>
          <c:orientation val="minMax"/>
        </c:scaling>
        <c:delete val="0"/>
        <c:axPos val="l"/>
        <c:majorGridlines/>
        <c:minorGridlines/>
        <c:numFmt formatCode="0.0_ " sourceLinked="0"/>
        <c:majorTickMark val="out"/>
        <c:minorTickMark val="none"/>
        <c:tickLblPos val="nextTo"/>
        <c:crossAx val="149299968"/>
        <c:crosses val="autoZero"/>
        <c:crossBetween val="midCat"/>
      </c:valAx>
    </c:plotArea>
    <c:legend>
      <c:legendPos val="r"/>
      <c:layout>
        <c:manualLayout>
          <c:xMode val="edge"/>
          <c:yMode val="edge"/>
          <c:x val="0.64947238205461932"/>
          <c:y val="0.63769232729403968"/>
          <c:w val="0.31498347537218729"/>
          <c:h val="0.17801146701322526"/>
        </c:manualLayout>
      </c:layout>
      <c:overlay val="1"/>
      <c:txPr>
        <a:bodyPr/>
        <a:lstStyle/>
        <a:p>
          <a:pPr>
            <a:defRPr sz="1400"/>
          </a:pPr>
          <a:endParaRPr lang="zh-TW"/>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'一般工址Cs (II)'!$P$3</c:f>
          <c:strCache>
            <c:ptCount val="1"/>
            <c:pt idx="0">
              <c:v>規範最小地震橫力係數 Cs*載重組合係數之比較 [第一類, R=2.4]</c:v>
            </c:pt>
          </c:strCache>
        </c:strRef>
      </c:tx>
      <c:layout>
        <c:manualLayout>
          <c:xMode val="edge"/>
          <c:yMode val="edge"/>
          <c:x val="0.14041686234690212"/>
          <c:y val="1.7710478311359846E-2"/>
        </c:manualLayout>
      </c:layout>
      <c:overlay val="0"/>
      <c:txPr>
        <a:bodyPr/>
        <a:lstStyle/>
        <a:p>
          <a:pPr>
            <a:defRPr sz="1600"/>
          </a:pPr>
          <a:endParaRPr lang="zh-TW"/>
        </a:p>
      </c:txPr>
    </c:title>
    <c:autoTitleDeleted val="0"/>
    <c:plotArea>
      <c:layout>
        <c:manualLayout>
          <c:layoutTarget val="inner"/>
          <c:xMode val="edge"/>
          <c:yMode val="edge"/>
          <c:x val="8.2349727635584305E-2"/>
          <c:y val="0.10928305665629078"/>
          <c:w val="0.88023573930242049"/>
          <c:h val="0.76019124664681237"/>
        </c:manualLayout>
      </c:layout>
      <c:scatterChart>
        <c:scatterStyle val="lineMarker"/>
        <c:varyColors val="0"/>
        <c:ser>
          <c:idx val="0"/>
          <c:order val="0"/>
          <c:tx>
            <c:v>民100年以後</c:v>
          </c:tx>
          <c:marker>
            <c:symbol val="none"/>
          </c:marker>
          <c:dLbls>
            <c:delete val="1"/>
          </c:dLbls>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(II)'!$Y$43:$Y$95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A305-45FA-B4C3-1BF68A330DC8}"/>
            </c:ext>
          </c:extLst>
        </c:ser>
        <c:ser>
          <c:idx val="6"/>
          <c:order val="1"/>
          <c:tx>
            <c:v>民95~99年</c:v>
          </c:tx>
          <c:marker>
            <c:symbol val="none"/>
          </c:marker>
          <c:dLbls>
            <c:delete val="1"/>
          </c:dLbls>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(II)'!$AN$43:$AN$95</c:f>
              <c:numCache>
                <c:formatCode>0.0000_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1-A305-45FA-B4C3-1BF68A330DC8}"/>
            </c:ext>
          </c:extLst>
        </c:ser>
        <c:ser>
          <c:idx val="3"/>
          <c:order val="2"/>
          <c:tx>
            <c:v>民89~94</c:v>
          </c:tx>
          <c:marker>
            <c:symbol val="none"/>
          </c:marker>
          <c:dLbls>
            <c:delete val="1"/>
          </c:dLbls>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(II)'!$AM$43:$AM$95</c:f>
              <c:numCache>
                <c:formatCode>0.0000_ </c:formatCode>
                <c:ptCount val="53"/>
                <c:pt idx="0">
                  <c:v>0.22471428571428573</c:v>
                </c:pt>
                <c:pt idx="1">
                  <c:v>0.22471428571428573</c:v>
                </c:pt>
                <c:pt idx="2">
                  <c:v>0.22471428571428573</c:v>
                </c:pt>
                <c:pt idx="3">
                  <c:v>0.22471428571428573</c:v>
                </c:pt>
                <c:pt idx="4">
                  <c:v>0.22471428571428573</c:v>
                </c:pt>
                <c:pt idx="5">
                  <c:v>0.22471428571428573</c:v>
                </c:pt>
                <c:pt idx="6">
                  <c:v>0.22471428571428573</c:v>
                </c:pt>
                <c:pt idx="7">
                  <c:v>0.22471428571428573</c:v>
                </c:pt>
                <c:pt idx="8">
                  <c:v>0.22471428571428573</c:v>
                </c:pt>
                <c:pt idx="9">
                  <c:v>0.22471428571428573</c:v>
                </c:pt>
                <c:pt idx="10">
                  <c:v>0.22471428571428573</c:v>
                </c:pt>
                <c:pt idx="11">
                  <c:v>0.22471428571428573</c:v>
                </c:pt>
                <c:pt idx="12">
                  <c:v>0.22471428571428573</c:v>
                </c:pt>
                <c:pt idx="13">
                  <c:v>0.22471428571428573</c:v>
                </c:pt>
                <c:pt idx="14">
                  <c:v>0.22471428571428573</c:v>
                </c:pt>
                <c:pt idx="15">
                  <c:v>0.22471428571428573</c:v>
                </c:pt>
                <c:pt idx="16">
                  <c:v>0.22471428571428573</c:v>
                </c:pt>
                <c:pt idx="17">
                  <c:v>0.22471428571428573</c:v>
                </c:pt>
                <c:pt idx="18">
                  <c:v>0.20716345184823889</c:v>
                </c:pt>
                <c:pt idx="19">
                  <c:v>0.19745797384690247</c:v>
                </c:pt>
                <c:pt idx="20">
                  <c:v>0.18881472359700674</c:v>
                </c:pt>
                <c:pt idx="21">
                  <c:v>0.18105913408322649</c:v>
                </c:pt>
                <c:pt idx="22">
                  <c:v>0.17405379845637017</c:v>
                </c:pt>
                <c:pt idx="23">
                  <c:v>0.16768895399805556</c:v>
                </c:pt>
                <c:pt idx="24">
                  <c:v>0.16187577143399948</c:v>
                </c:pt>
                <c:pt idx="25">
                  <c:v>0.15654152467998592</c:v>
                </c:pt>
                <c:pt idx="26">
                  <c:v>0.15162605028292089</c:v>
                </c:pt>
                <c:pt idx="27">
                  <c:v>0.1470791096436696</c:v>
                </c:pt>
                <c:pt idx="28">
                  <c:v>0.14285839485331692</c:v>
                </c:pt>
                <c:pt idx="29">
                  <c:v>0.13892800100764696</c:v>
                </c:pt>
                <c:pt idx="30">
                  <c:v>0.13525724170804485</c:v>
                </c:pt>
                <c:pt idx="31">
                  <c:v>0.13218487394957984</c:v>
                </c:pt>
                <c:pt idx="32">
                  <c:v>0.13218487394957984</c:v>
                </c:pt>
                <c:pt idx="33">
                  <c:v>0.13218487394957984</c:v>
                </c:pt>
                <c:pt idx="34">
                  <c:v>0.13218487394957984</c:v>
                </c:pt>
                <c:pt idx="35">
                  <c:v>0.13218487394957984</c:v>
                </c:pt>
                <c:pt idx="36">
                  <c:v>0.13218487394957984</c:v>
                </c:pt>
                <c:pt idx="37">
                  <c:v>0.13218487394957984</c:v>
                </c:pt>
                <c:pt idx="38">
                  <c:v>0.13218487394957984</c:v>
                </c:pt>
                <c:pt idx="39">
                  <c:v>0.13218487394957984</c:v>
                </c:pt>
                <c:pt idx="40">
                  <c:v>0.13218487394957984</c:v>
                </c:pt>
                <c:pt idx="41">
                  <c:v>0.13218487394957984</c:v>
                </c:pt>
                <c:pt idx="42">
                  <c:v>0.13218487394957984</c:v>
                </c:pt>
                <c:pt idx="43">
                  <c:v>0.13218487394957984</c:v>
                </c:pt>
                <c:pt idx="44">
                  <c:v>0.13218487394957984</c:v>
                </c:pt>
                <c:pt idx="45">
                  <c:v>0.13218487394957984</c:v>
                </c:pt>
                <c:pt idx="46">
                  <c:v>0.13218487394957984</c:v>
                </c:pt>
                <c:pt idx="47">
                  <c:v>0.13218487394957984</c:v>
                </c:pt>
                <c:pt idx="48">
                  <c:v>0.13218487394957984</c:v>
                </c:pt>
                <c:pt idx="49">
                  <c:v>0.13218487394957984</c:v>
                </c:pt>
                <c:pt idx="50">
                  <c:v>0.13218487394957984</c:v>
                </c:pt>
                <c:pt idx="51">
                  <c:v>0.13218487394957984</c:v>
                </c:pt>
                <c:pt idx="52">
                  <c:v>0.13218487394957984</c:v>
                </c:pt>
              </c:numCache>
            </c:numRef>
          </c:yVal>
          <c:smooth val="0"/>
          <c:extLst>
            <c:ext xmlns:c16="http://schemas.microsoft.com/office/drawing/2014/chart" uri="{C3380CC4-5D6E-409C-BE32-E72D297353CC}">
              <c16:uniqueId val="{00000002-A305-45FA-B4C3-1BF68A330DC8}"/>
            </c:ext>
          </c:extLst>
        </c:ser>
        <c:ser>
          <c:idx val="2"/>
          <c:order val="3"/>
          <c:tx>
            <c:v>民86~88</c:v>
          </c:tx>
          <c:marker>
            <c:symbol val="none"/>
          </c:marker>
          <c:dLbls>
            <c:delete val="1"/>
          </c:dLbls>
          <c:xVal>
            <c:numRef>
              <c:f>'一般工址Cs (II)'!$I$43:$I$94</c:f>
              <c:numCache>
                <c:formatCode>0.0000_ </c:formatCode>
                <c:ptCount val="52"/>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numCache>
            </c:numRef>
          </c:xVal>
          <c:yVal>
            <c:numRef>
              <c:f>'一般工址Cs (II)'!$AL$43:$AL$95</c:f>
              <c:numCache>
                <c:formatCode>0.0000_ </c:formatCode>
                <c:ptCount val="53"/>
                <c:pt idx="0">
                  <c:v>0.15661904761904763</c:v>
                </c:pt>
                <c:pt idx="1">
                  <c:v>0.15661904761904763</c:v>
                </c:pt>
                <c:pt idx="2">
                  <c:v>0.15661904761904763</c:v>
                </c:pt>
                <c:pt idx="3">
                  <c:v>0.15661904761904763</c:v>
                </c:pt>
                <c:pt idx="4">
                  <c:v>0.15661904761904763</c:v>
                </c:pt>
                <c:pt idx="5">
                  <c:v>0.15661904761904763</c:v>
                </c:pt>
                <c:pt idx="6">
                  <c:v>0.15661904761904763</c:v>
                </c:pt>
                <c:pt idx="7">
                  <c:v>0.15661904761904763</c:v>
                </c:pt>
                <c:pt idx="8">
                  <c:v>0.15661904761904763</c:v>
                </c:pt>
                <c:pt idx="9">
                  <c:v>0.15661904761904763</c:v>
                </c:pt>
                <c:pt idx="10">
                  <c:v>0.15661904761904763</c:v>
                </c:pt>
                <c:pt idx="11">
                  <c:v>0.15661904761904763</c:v>
                </c:pt>
                <c:pt idx="12">
                  <c:v>0.15661904761904763</c:v>
                </c:pt>
                <c:pt idx="13">
                  <c:v>0.15661904761904763</c:v>
                </c:pt>
                <c:pt idx="14">
                  <c:v>0.15661904761904763</c:v>
                </c:pt>
                <c:pt idx="15">
                  <c:v>0.15661904761904763</c:v>
                </c:pt>
                <c:pt idx="16">
                  <c:v>0.15661904761904763</c:v>
                </c:pt>
                <c:pt idx="17">
                  <c:v>0.15661904761904763</c:v>
                </c:pt>
                <c:pt idx="18">
                  <c:v>0.14438664825786349</c:v>
                </c:pt>
                <c:pt idx="19">
                  <c:v>0.13762222419632594</c:v>
                </c:pt>
                <c:pt idx="20">
                  <c:v>0.13159814068882289</c:v>
                </c:pt>
                <c:pt idx="21">
                  <c:v>0.12619272981558211</c:v>
                </c:pt>
                <c:pt idx="22">
                  <c:v>0.12131022316656107</c:v>
                </c:pt>
                <c:pt idx="23">
                  <c:v>0.11687411945319023</c:v>
                </c:pt>
                <c:pt idx="24">
                  <c:v>0.11282250736309056</c:v>
                </c:pt>
                <c:pt idx="25">
                  <c:v>0.1091046990193841</c:v>
                </c:pt>
                <c:pt idx="26">
                  <c:v>0.1056787623183994</c:v>
                </c:pt>
                <c:pt idx="27">
                  <c:v>0.10250968247892124</c:v>
                </c:pt>
                <c:pt idx="28">
                  <c:v>9.9567972170493596E-2</c:v>
                </c:pt>
                <c:pt idx="29">
                  <c:v>9.6828606762905445E-2</c:v>
                </c:pt>
                <c:pt idx="30">
                  <c:v>9.4270198766213079E-2</c:v>
                </c:pt>
                <c:pt idx="31">
                  <c:v>9.2128851540616258E-2</c:v>
                </c:pt>
                <c:pt idx="32">
                  <c:v>9.2128851540616258E-2</c:v>
                </c:pt>
                <c:pt idx="33">
                  <c:v>9.2128851540616258E-2</c:v>
                </c:pt>
                <c:pt idx="34">
                  <c:v>9.2128851540616258E-2</c:v>
                </c:pt>
                <c:pt idx="35">
                  <c:v>9.2128851540616258E-2</c:v>
                </c:pt>
                <c:pt idx="36">
                  <c:v>9.2128851540616258E-2</c:v>
                </c:pt>
                <c:pt idx="37">
                  <c:v>9.2128851540616258E-2</c:v>
                </c:pt>
                <c:pt idx="38">
                  <c:v>9.2128851540616258E-2</c:v>
                </c:pt>
                <c:pt idx="39">
                  <c:v>9.2128851540616258E-2</c:v>
                </c:pt>
                <c:pt idx="40">
                  <c:v>9.2128851540616258E-2</c:v>
                </c:pt>
                <c:pt idx="41">
                  <c:v>9.2128851540616258E-2</c:v>
                </c:pt>
                <c:pt idx="42">
                  <c:v>9.2128851540616258E-2</c:v>
                </c:pt>
                <c:pt idx="43">
                  <c:v>9.2128851540616258E-2</c:v>
                </c:pt>
                <c:pt idx="44">
                  <c:v>9.2128851540616258E-2</c:v>
                </c:pt>
                <c:pt idx="45">
                  <c:v>9.2128851540616258E-2</c:v>
                </c:pt>
                <c:pt idx="46">
                  <c:v>9.2128851540616258E-2</c:v>
                </c:pt>
                <c:pt idx="47">
                  <c:v>9.2128851540616258E-2</c:v>
                </c:pt>
                <c:pt idx="48">
                  <c:v>9.2128851540616258E-2</c:v>
                </c:pt>
                <c:pt idx="49">
                  <c:v>9.2128851540616258E-2</c:v>
                </c:pt>
                <c:pt idx="50">
                  <c:v>9.2128851540616258E-2</c:v>
                </c:pt>
                <c:pt idx="51">
                  <c:v>9.2128851540616258E-2</c:v>
                </c:pt>
                <c:pt idx="52">
                  <c:v>9.2128851540616258E-2</c:v>
                </c:pt>
              </c:numCache>
            </c:numRef>
          </c:yVal>
          <c:smooth val="0"/>
          <c:extLst>
            <c:ext xmlns:c16="http://schemas.microsoft.com/office/drawing/2014/chart" uri="{C3380CC4-5D6E-409C-BE32-E72D297353CC}">
              <c16:uniqueId val="{00000003-A305-45FA-B4C3-1BF68A330DC8}"/>
            </c:ext>
          </c:extLst>
        </c:ser>
        <c:ser>
          <c:idx val="1"/>
          <c:order val="4"/>
          <c:tx>
            <c:v>民85年以前，K=1.0</c:v>
          </c:tx>
          <c:marker>
            <c:symbol val="none"/>
          </c:marker>
          <c:dLbls>
            <c:delete val="1"/>
          </c:dLbls>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(II)'!$AE$43:$AE$95</c:f>
              <c:numCache>
                <c:formatCode>0.0000_ </c:formatCode>
                <c:ptCount val="53"/>
                <c:pt idx="0">
                  <c:v>0.17159999999999997</c:v>
                </c:pt>
                <c:pt idx="1">
                  <c:v>0.17159999999999997</c:v>
                </c:pt>
                <c:pt idx="2">
                  <c:v>0.17159999999999997</c:v>
                </c:pt>
                <c:pt idx="3">
                  <c:v>0.17159999999999997</c:v>
                </c:pt>
                <c:pt idx="4">
                  <c:v>0.17159999999999997</c:v>
                </c:pt>
                <c:pt idx="5">
                  <c:v>0.17159999999999997</c:v>
                </c:pt>
                <c:pt idx="6">
                  <c:v>0.17159999999999997</c:v>
                </c:pt>
                <c:pt idx="7">
                  <c:v>0.17159999999999997</c:v>
                </c:pt>
                <c:pt idx="8">
                  <c:v>0.17159999999999997</c:v>
                </c:pt>
                <c:pt idx="9">
                  <c:v>0.17159999999999997</c:v>
                </c:pt>
                <c:pt idx="10">
                  <c:v>0.17159999999999997</c:v>
                </c:pt>
                <c:pt idx="11">
                  <c:v>0.17159999999999997</c:v>
                </c:pt>
                <c:pt idx="12">
                  <c:v>0.17159999999999997</c:v>
                </c:pt>
                <c:pt idx="13">
                  <c:v>0.17159999999999997</c:v>
                </c:pt>
                <c:pt idx="14">
                  <c:v>0.17159999999999997</c:v>
                </c:pt>
                <c:pt idx="15">
                  <c:v>0.17159999999999997</c:v>
                </c:pt>
                <c:pt idx="16">
                  <c:v>0.17159999999999997</c:v>
                </c:pt>
                <c:pt idx="17">
                  <c:v>0.17159999999999997</c:v>
                </c:pt>
                <c:pt idx="18">
                  <c:v>0.17159999999999997</c:v>
                </c:pt>
                <c:pt idx="19">
                  <c:v>0.16852711618279378</c:v>
                </c:pt>
                <c:pt idx="20">
                  <c:v>0.16296362433728223</c:v>
                </c:pt>
                <c:pt idx="21">
                  <c:v>0.15791708228703052</c:v>
                </c:pt>
                <c:pt idx="22">
                  <c:v>0.15331209248180463</c:v>
                </c:pt>
                <c:pt idx="23">
                  <c:v>0.1490878060508084</c:v>
                </c:pt>
                <c:pt idx="24">
                  <c:v>0.14519450161410749</c:v>
                </c:pt>
                <c:pt idx="25">
                  <c:v>0.14159109864566441</c:v>
                </c:pt>
                <c:pt idx="26">
                  <c:v>0.13824331793352987</c:v>
                </c:pt>
                <c:pt idx="27">
                  <c:v>0.1351222991007987</c:v>
                </c:pt>
                <c:pt idx="28">
                  <c:v>0.1322035467670129</c:v>
                </c:pt>
                <c:pt idx="29">
                  <c:v>0.12946611684080148</c:v>
                </c:pt>
                <c:pt idx="30">
                  <c:v>0.12689198084650422</c:v>
                </c:pt>
                <c:pt idx="31">
                  <c:v>0.12446552400832392</c:v>
                </c:pt>
                <c:pt idx="32">
                  <c:v>0.12217314505349677</c:v>
                </c:pt>
                <c:pt idx="33">
                  <c:v>0.12000293423642651</c:v>
                </c:pt>
                <c:pt idx="34">
                  <c:v>0.1179444121344521</c:v>
                </c:pt>
                <c:pt idx="35">
                  <c:v>0.11598831610849518</c:v>
                </c:pt>
                <c:pt idx="36">
                  <c:v>0.11412642447886993</c:v>
                </c:pt>
                <c:pt idx="37">
                  <c:v>0.11235141078852919</c:v>
                </c:pt>
                <c:pt idx="38">
                  <c:v>0.11065672225238155</c:v>
                </c:pt>
                <c:pt idx="39">
                  <c:v>0.10903647778781229</c:v>
                </c:pt>
                <c:pt idx="40">
                  <c:v>0.10748538200440449</c:v>
                </c:pt>
                <c:pt idx="41">
                  <c:v>0.10599865228253744</c:v>
                </c:pt>
                <c:pt idx="42">
                  <c:v>0.10457195665017967</c:v>
                </c:pt>
                <c:pt idx="43">
                  <c:v>0.10320136061764558</c:v>
                </c:pt>
                <c:pt idx="44">
                  <c:v>0.10188328148271078</c:v>
                </c:pt>
                <c:pt idx="45">
                  <c:v>0.1006144488964317</c:v>
                </c:pt>
                <c:pt idx="46">
                  <c:v>9.9391870700538953E-2</c:v>
                </c:pt>
                <c:pt idx="47">
                  <c:v>9.821280322331262E-2</c:v>
                </c:pt>
                <c:pt idx="48">
                  <c:v>9.4291407695597559E-2</c:v>
                </c:pt>
                <c:pt idx="49">
                  <c:v>9.3282914446642246E-2</c:v>
                </c:pt>
                <c:pt idx="50">
                  <c:v>9.2306103084610111E-2</c:v>
                </c:pt>
                <c:pt idx="51">
                  <c:v>9.1359348794991399E-2</c:v>
                </c:pt>
                <c:pt idx="52">
                  <c:v>9.0441141080815662E-2</c:v>
                </c:pt>
              </c:numCache>
            </c:numRef>
          </c:yVal>
          <c:smooth val="0"/>
          <c:extLst>
            <c:ext xmlns:c16="http://schemas.microsoft.com/office/drawing/2014/chart" uri="{C3380CC4-5D6E-409C-BE32-E72D297353CC}">
              <c16:uniqueId val="{00000004-A305-45FA-B4C3-1BF68A330DC8}"/>
            </c:ext>
          </c:extLst>
        </c:ser>
        <c:ser>
          <c:idx val="4"/>
          <c:order val="5"/>
          <c:tx>
            <c:v>民85年以前，K=0.8</c:v>
          </c:tx>
          <c:marker>
            <c:symbol val="none"/>
          </c:marker>
          <c:dLbls>
            <c:delete val="1"/>
          </c:dLbls>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(II)'!$AF$43:$AF$95</c:f>
              <c:numCache>
                <c:formatCode>0.0000_ </c:formatCode>
                <c:ptCount val="53"/>
                <c:pt idx="0">
                  <c:v>0.13728000000000001</c:v>
                </c:pt>
                <c:pt idx="1">
                  <c:v>0.13728000000000001</c:v>
                </c:pt>
                <c:pt idx="2">
                  <c:v>0.13728000000000001</c:v>
                </c:pt>
                <c:pt idx="3">
                  <c:v>0.13728000000000001</c:v>
                </c:pt>
                <c:pt idx="4">
                  <c:v>0.13728000000000001</c:v>
                </c:pt>
                <c:pt idx="5">
                  <c:v>0.13728000000000001</c:v>
                </c:pt>
                <c:pt idx="6">
                  <c:v>0.13728000000000001</c:v>
                </c:pt>
                <c:pt idx="7">
                  <c:v>0.13728000000000001</c:v>
                </c:pt>
                <c:pt idx="8">
                  <c:v>0.13728000000000001</c:v>
                </c:pt>
                <c:pt idx="9">
                  <c:v>0.13728000000000001</c:v>
                </c:pt>
                <c:pt idx="10">
                  <c:v>0.13728000000000001</c:v>
                </c:pt>
                <c:pt idx="11">
                  <c:v>0.13728000000000001</c:v>
                </c:pt>
                <c:pt idx="12">
                  <c:v>0.13728000000000001</c:v>
                </c:pt>
                <c:pt idx="13">
                  <c:v>0.13728000000000001</c:v>
                </c:pt>
                <c:pt idx="14">
                  <c:v>0.13728000000000001</c:v>
                </c:pt>
                <c:pt idx="15">
                  <c:v>0.13728000000000001</c:v>
                </c:pt>
                <c:pt idx="16">
                  <c:v>0.13728000000000001</c:v>
                </c:pt>
                <c:pt idx="17">
                  <c:v>0.13728000000000001</c:v>
                </c:pt>
                <c:pt idx="18">
                  <c:v>0.13728000000000001</c:v>
                </c:pt>
                <c:pt idx="19">
                  <c:v>0.13482169294623506</c:v>
                </c:pt>
                <c:pt idx="20">
                  <c:v>0.13037089946982583</c:v>
                </c:pt>
                <c:pt idx="21">
                  <c:v>0.12633366582962444</c:v>
                </c:pt>
                <c:pt idx="22">
                  <c:v>0.12264967398544374</c:v>
                </c:pt>
                <c:pt idx="23">
                  <c:v>0.11927024484064676</c:v>
                </c:pt>
                <c:pt idx="24">
                  <c:v>0.11615560129128602</c:v>
                </c:pt>
                <c:pt idx="25">
                  <c:v>0.11327287891653154</c:v>
                </c:pt>
                <c:pt idx="26">
                  <c:v>0.1105946543468239</c:v>
                </c:pt>
                <c:pt idx="27">
                  <c:v>0.10809783928063897</c:v>
                </c:pt>
                <c:pt idx="28">
                  <c:v>0.10576283741361034</c:v>
                </c:pt>
                <c:pt idx="29">
                  <c:v>0.1035728934726412</c:v>
                </c:pt>
                <c:pt idx="30">
                  <c:v>0.10151358467720338</c:v>
                </c:pt>
                <c:pt idx="31">
                  <c:v>9.957241920665913E-2</c:v>
                </c:pt>
                <c:pt idx="32">
                  <c:v>9.773851604279743E-2</c:v>
                </c:pt>
                <c:pt idx="33">
                  <c:v>9.6002347389141221E-2</c:v>
                </c:pt>
                <c:pt idx="34">
                  <c:v>9.4355529707561683E-2</c:v>
                </c:pt>
                <c:pt idx="35">
                  <c:v>9.2790652886796152E-2</c:v>
                </c:pt>
                <c:pt idx="36">
                  <c:v>9.130113958309595E-2</c:v>
                </c:pt>
                <c:pt idx="37">
                  <c:v>8.9881128630823356E-2</c:v>
                </c:pt>
                <c:pt idx="38">
                  <c:v>8.8525377801905239E-2</c:v>
                </c:pt>
                <c:pt idx="39">
                  <c:v>8.7229182230249849E-2</c:v>
                </c:pt>
                <c:pt idx="40">
                  <c:v>8.5988305603523607E-2</c:v>
                </c:pt>
                <c:pt idx="41">
                  <c:v>8.4798921826029952E-2</c:v>
                </c:pt>
                <c:pt idx="42">
                  <c:v>8.3657565320143734E-2</c:v>
                </c:pt>
                <c:pt idx="43">
                  <c:v>8.2561088494116475E-2</c:v>
                </c:pt>
                <c:pt idx="44">
                  <c:v>8.1506625186168621E-2</c:v>
                </c:pt>
                <c:pt idx="45">
                  <c:v>8.0491559117145381E-2</c:v>
                </c:pt>
                <c:pt idx="46">
                  <c:v>7.9513496560431177E-2</c:v>
                </c:pt>
                <c:pt idx="47">
                  <c:v>7.8570242578650112E-2</c:v>
                </c:pt>
                <c:pt idx="48">
                  <c:v>7.5433126156478056E-2</c:v>
                </c:pt>
                <c:pt idx="49">
                  <c:v>7.4626331557313796E-2</c:v>
                </c:pt>
                <c:pt idx="50">
                  <c:v>7.3844882467688083E-2</c:v>
                </c:pt>
                <c:pt idx="51">
                  <c:v>7.308747903599315E-2</c:v>
                </c:pt>
                <c:pt idx="52">
                  <c:v>7.2352912864652522E-2</c:v>
                </c:pt>
              </c:numCache>
            </c:numRef>
          </c:yVal>
          <c:smooth val="0"/>
          <c:extLst>
            <c:ext xmlns:c16="http://schemas.microsoft.com/office/drawing/2014/chart" uri="{C3380CC4-5D6E-409C-BE32-E72D297353CC}">
              <c16:uniqueId val="{00000005-A305-45FA-B4C3-1BF68A330DC8}"/>
            </c:ext>
          </c:extLst>
        </c:ser>
        <c:ser>
          <c:idx val="5"/>
          <c:order val="6"/>
          <c:tx>
            <c:v>民85年以前，K=0.67</c:v>
          </c:tx>
          <c:marker>
            <c:symbol val="none"/>
          </c:marker>
          <c:dLbls>
            <c:delete val="1"/>
          </c:dLbls>
          <c:xVal>
            <c:numRef>
              <c:f>'一般工址Cs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'一般工址Cs (II)'!$AG$43:$AG$95</c:f>
              <c:numCache>
                <c:formatCode>0.0000_ </c:formatCode>
                <c:ptCount val="53"/>
                <c:pt idx="0">
                  <c:v>0.11497199999999999</c:v>
                </c:pt>
                <c:pt idx="1">
                  <c:v>0.11497199999999999</c:v>
                </c:pt>
                <c:pt idx="2">
                  <c:v>0.11497199999999999</c:v>
                </c:pt>
                <c:pt idx="3">
                  <c:v>0.11497199999999999</c:v>
                </c:pt>
                <c:pt idx="4">
                  <c:v>0.11497199999999999</c:v>
                </c:pt>
                <c:pt idx="5">
                  <c:v>0.11497199999999999</c:v>
                </c:pt>
                <c:pt idx="6">
                  <c:v>0.11497199999999999</c:v>
                </c:pt>
                <c:pt idx="7">
                  <c:v>0.11497199999999999</c:v>
                </c:pt>
                <c:pt idx="8">
                  <c:v>0.11497199999999999</c:v>
                </c:pt>
                <c:pt idx="9">
                  <c:v>0.11497199999999999</c:v>
                </c:pt>
                <c:pt idx="10">
                  <c:v>0.11497199999999999</c:v>
                </c:pt>
                <c:pt idx="11">
                  <c:v>0.11497199999999999</c:v>
                </c:pt>
                <c:pt idx="12">
                  <c:v>0.11497199999999999</c:v>
                </c:pt>
                <c:pt idx="13">
                  <c:v>0.11497199999999999</c:v>
                </c:pt>
                <c:pt idx="14">
                  <c:v>0.11497199999999999</c:v>
                </c:pt>
                <c:pt idx="15">
                  <c:v>0.11497199999999999</c:v>
                </c:pt>
                <c:pt idx="16">
                  <c:v>0.11497199999999999</c:v>
                </c:pt>
                <c:pt idx="17">
                  <c:v>0.11497199999999999</c:v>
                </c:pt>
                <c:pt idx="18">
                  <c:v>0.11497199999999999</c:v>
                </c:pt>
                <c:pt idx="19">
                  <c:v>0.11291316784247185</c:v>
                </c:pt>
                <c:pt idx="20">
                  <c:v>0.1091856283059791</c:v>
                </c:pt>
                <c:pt idx="21">
                  <c:v>0.10580444513231045</c:v>
                </c:pt>
                <c:pt idx="22">
                  <c:v>0.10271910196280912</c:v>
                </c:pt>
                <c:pt idx="23">
                  <c:v>9.9888830054041644E-2</c:v>
                </c:pt>
                <c:pt idx="24">
                  <c:v>9.7280316081452031E-2</c:v>
                </c:pt>
                <c:pt idx="25">
                  <c:v>9.4866036092595141E-2</c:v>
                </c:pt>
                <c:pt idx="26">
                  <c:v>9.2623023015465003E-2</c:v>
                </c:pt>
                <c:pt idx="27">
                  <c:v>9.0531940397535135E-2</c:v>
                </c:pt>
                <c:pt idx="28">
                  <c:v>8.8576376333898643E-2</c:v>
                </c:pt>
                <c:pt idx="29">
                  <c:v>8.6742298283336988E-2</c:v>
                </c:pt>
                <c:pt idx="30">
                  <c:v>8.5017627167157828E-2</c:v>
                </c:pt>
                <c:pt idx="31">
                  <c:v>8.3391901085577022E-2</c:v>
                </c:pt>
                <c:pt idx="32">
                  <c:v>8.1856007185842836E-2</c:v>
                </c:pt>
                <c:pt idx="33">
                  <c:v>8.0401965938405762E-2</c:v>
                </c:pt>
                <c:pt idx="34">
                  <c:v>7.9022756130082902E-2</c:v>
                </c:pt>
                <c:pt idx="35">
                  <c:v>7.771217179269177E-2</c:v>
                </c:pt>
                <c:pt idx="36">
                  <c:v>7.6464704400842853E-2</c:v>
                </c:pt>
                <c:pt idx="37">
                  <c:v>7.5275445228314558E-2</c:v>
                </c:pt>
                <c:pt idx="38">
                  <c:v>7.4140003909095642E-2</c:v>
                </c:pt>
                <c:pt idx="39">
                  <c:v>7.3054440117834241E-2</c:v>
                </c:pt>
                <c:pt idx="40">
                  <c:v>7.2015205942951008E-2</c:v>
                </c:pt>
                <c:pt idx="41">
                  <c:v>7.101909702930008E-2</c:v>
                </c:pt>
                <c:pt idx="42">
                  <c:v>7.0063210955620361E-2</c:v>
                </c:pt>
                <c:pt idx="43">
                  <c:v>6.9144911613822538E-2</c:v>
                </c:pt>
                <c:pt idx="44">
                  <c:v>6.8261798593416217E-2</c:v>
                </c:pt>
                <c:pt idx="45">
                  <c:v>6.7411680760609244E-2</c:v>
                </c:pt>
                <c:pt idx="46">
                  <c:v>6.6592553369361082E-2</c:v>
                </c:pt>
                <c:pt idx="47">
                  <c:v>6.5802578159619457E-2</c:v>
                </c:pt>
                <c:pt idx="48">
                  <c:v>6.3175243156050359E-2</c:v>
                </c:pt>
                <c:pt idx="49">
                  <c:v>6.2499552679250302E-2</c:v>
                </c:pt>
                <c:pt idx="50">
                  <c:v>6.1845089066688771E-2</c:v>
                </c:pt>
                <c:pt idx="51">
                  <c:v>6.1210763692644242E-2</c:v>
                </c:pt>
                <c:pt idx="52">
                  <c:v>6.0595564524146481E-2</c:v>
                </c:pt>
              </c:numCache>
            </c:numRef>
          </c:yVal>
          <c:smooth val="0"/>
          <c:extLst>
            <c:ext xmlns:c16="http://schemas.microsoft.com/office/drawing/2014/chart" uri="{C3380CC4-5D6E-409C-BE32-E72D297353CC}">
              <c16:uniqueId val="{00000006-A305-45FA-B4C3-1BF68A330DC8}"/>
            </c:ext>
          </c:extLst>
        </c:ser>
        <c:dLbls>
          <c:showLegendKey val="0"/>
          <c:showVal val="1"/>
          <c:showCatName val="0"/>
          <c:showSerName val="0"/>
          <c:showPercent val="0"/>
          <c:showBubbleSize val="0"/>
        </c:dLbls>
        <c:axId val="149227008"/>
        <c:axId val="149228928"/>
      </c:scatterChart>
      <c:valAx>
        <c:axId val="149227008"/>
        <c:scaling>
          <c:orientation val="minMax"/>
          <c:max val="2.5"/>
        </c:scaling>
        <c:delete val="0"/>
        <c:axPos val="b"/>
        <c:majorGridlines/>
        <c:minorGridlines/>
        <c:title>
          <c:tx>
            <c:rich>
              <a:bodyPr/>
              <a:lstStyle/>
              <a:p>
                <a:pPr>
                  <a:defRPr sz="1200"/>
                </a:pPr>
                <a:r>
                  <a:rPr lang="zh-TW" altLang="en-US" sz="1200"/>
                  <a:t>基本振動周期 </a:t>
                </a:r>
                <a:r>
                  <a:rPr lang="en-US" altLang="zh-TW" sz="1200"/>
                  <a:t>T (sec)</a:t>
                </a:r>
              </a:p>
            </c:rich>
          </c:tx>
          <c:overlay val="0"/>
        </c:title>
        <c:numFmt formatCode="0.0000_ " sourceLinked="1"/>
        <c:majorTickMark val="out"/>
        <c:minorTickMark val="in"/>
        <c:tickLblPos val="nextTo"/>
        <c:crossAx val="149228928"/>
        <c:crosses val="autoZero"/>
        <c:crossBetween val="midCat"/>
      </c:valAx>
      <c:valAx>
        <c:axId val="149228928"/>
        <c:scaling>
          <c:orientation val="minMax"/>
        </c:scaling>
        <c:delete val="0"/>
        <c:axPos val="l"/>
        <c:minorGridlines/>
        <c:numFmt formatCode="0.000_ " sourceLinked="1"/>
        <c:majorTickMark val="out"/>
        <c:minorTickMark val="none"/>
        <c:tickLblPos val="nextTo"/>
        <c:crossAx val="149227008"/>
        <c:crosses val="autoZero"/>
        <c:crossBetween val="midCat"/>
      </c:valAx>
    </c:plotArea>
    <c:legend>
      <c:legendPos val="r"/>
      <c:layout>
        <c:manualLayout>
          <c:xMode val="edge"/>
          <c:yMode val="edge"/>
          <c:x val="0.71472326659964591"/>
          <c:y val="0.12940791518675576"/>
          <c:w val="0.23038096695445237"/>
          <c:h val="0.34245858828128317"/>
        </c:manualLayout>
      </c:layout>
      <c:overlay val="0"/>
      <c:txPr>
        <a:bodyPr/>
        <a:lstStyle/>
        <a:p>
          <a:pPr>
            <a:defRPr sz="1100"/>
          </a:pPr>
          <a:endParaRPr lang="zh-TW"/>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90001082270484E-2"/>
          <c:y val="4.743405641116788E-2"/>
          <c:w val="0.91757587346863712"/>
          <c:h val="0.82399368012808771"/>
        </c:manualLayout>
      </c:layout>
      <c:scatterChart>
        <c:scatterStyle val="lineMarker"/>
        <c:varyColors val="0"/>
        <c:ser>
          <c:idx val="0"/>
          <c:order val="0"/>
          <c:tx>
            <c:strRef>
              <c:f>'包絡線Cs (II)'!$K$42</c:f>
              <c:strCache>
                <c:ptCount val="1"/>
                <c:pt idx="0">
                  <c:v>SaD</c:v>
                </c:pt>
              </c:strCache>
            </c:strRef>
          </c:tx>
          <c:spPr>
            <a:ln w="19050" cap="rnd" cmpd="sng" algn="ctr">
              <a:solidFill>
                <a:schemeClr val="accent1">
                  <a:shade val="95000"/>
                  <a:satMod val="105000"/>
                </a:schemeClr>
              </a:solidFill>
              <a:prstDash val="solid"/>
              <a:round/>
            </a:ln>
            <a:effectLst/>
          </c:spPr>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(II)'!$K$43:$K$95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EE93-4FBA-8E54-9168E830F11D}"/>
            </c:ext>
          </c:extLst>
        </c:ser>
        <c:ser>
          <c:idx val="2"/>
          <c:order val="1"/>
          <c:tx>
            <c:strRef>
              <c:f>'包絡線Cs (II)'!$P$42</c:f>
              <c:strCache>
                <c:ptCount val="1"/>
                <c:pt idx="0">
                  <c:v>SaD*</c:v>
                </c:pt>
              </c:strCache>
            </c:strRef>
          </c:tx>
          <c:spPr>
            <a:ln w="19050" cap="rnd" cmpd="sng" algn="ctr">
              <a:solidFill>
                <a:schemeClr val="accent3">
                  <a:shade val="95000"/>
                  <a:satMod val="105000"/>
                </a:schemeClr>
              </a:solidFill>
              <a:prstDash val="solid"/>
              <a:round/>
            </a:ln>
            <a:effectLst/>
          </c:spPr>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(II)'!$P$43:$P$95</c:f>
              <c:numCache>
                <c:formatCode>0.000_ </c:formatCode>
                <c:ptCount val="53"/>
                <c:pt idx="0">
                  <c:v>0.36299999999999999</c:v>
                </c:pt>
                <c:pt idx="1">
                  <c:v>0.70099999999999996</c:v>
                </c:pt>
                <c:pt idx="2">
                  <c:v>0.79300000000000004</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0.72580645161290314</c:v>
                </c:pt>
                <c:pt idx="18">
                  <c:v>0.67164179104477595</c:v>
                </c:pt>
                <c:pt idx="19">
                  <c:v>0.62499999999999989</c:v>
                </c:pt>
                <c:pt idx="20">
                  <c:v>0.58441558441558428</c:v>
                </c:pt>
                <c:pt idx="21">
                  <c:v>0.54878048780487787</c:v>
                </c:pt>
                <c:pt idx="22">
                  <c:v>0.51724137931034464</c:v>
                </c:pt>
                <c:pt idx="23">
                  <c:v>0.48913043478260854</c:v>
                </c:pt>
                <c:pt idx="24">
                  <c:v>0.46391752577319567</c:v>
                </c:pt>
                <c:pt idx="25">
                  <c:v>0.44117647058823511</c:v>
                </c:pt>
                <c:pt idx="26">
                  <c:v>0.42056074766355123</c:v>
                </c:pt>
                <c:pt idx="27">
                  <c:v>0.40178571428571408</c:v>
                </c:pt>
                <c:pt idx="28">
                  <c:v>0.38461538461538441</c:v>
                </c:pt>
                <c:pt idx="29">
                  <c:v>0.36885245901639324</c:v>
                </c:pt>
                <c:pt idx="30">
                  <c:v>0.35433070866141714</c:v>
                </c:pt>
                <c:pt idx="31">
                  <c:v>0.34090909090909072</c:v>
                </c:pt>
                <c:pt idx="32">
                  <c:v>0.32846715328467135</c:v>
                </c:pt>
                <c:pt idx="33">
                  <c:v>0.32000000000000006</c:v>
                </c:pt>
                <c:pt idx="34">
                  <c:v>0.32000000000000006</c:v>
                </c:pt>
                <c:pt idx="35">
                  <c:v>0.32000000000000006</c:v>
                </c:pt>
                <c:pt idx="36">
                  <c:v>0.32000000000000006</c:v>
                </c:pt>
                <c:pt idx="37">
                  <c:v>0.32000000000000006</c:v>
                </c:pt>
                <c:pt idx="38">
                  <c:v>0.32000000000000006</c:v>
                </c:pt>
                <c:pt idx="39">
                  <c:v>0.32000000000000006</c:v>
                </c:pt>
                <c:pt idx="40">
                  <c:v>0.32000000000000006</c:v>
                </c:pt>
                <c:pt idx="41">
                  <c:v>0.32000000000000006</c:v>
                </c:pt>
                <c:pt idx="42">
                  <c:v>0.32000000000000006</c:v>
                </c:pt>
                <c:pt idx="43">
                  <c:v>0.32000000000000006</c:v>
                </c:pt>
                <c:pt idx="44">
                  <c:v>0.32000000000000006</c:v>
                </c:pt>
                <c:pt idx="45">
                  <c:v>0.32000000000000006</c:v>
                </c:pt>
                <c:pt idx="46">
                  <c:v>0.32000000000000006</c:v>
                </c:pt>
                <c:pt idx="47">
                  <c:v>0.32000000000000006</c:v>
                </c:pt>
                <c:pt idx="48">
                  <c:v>0.32000000000000006</c:v>
                </c:pt>
                <c:pt idx="49">
                  <c:v>0.32000000000000006</c:v>
                </c:pt>
                <c:pt idx="50">
                  <c:v>0.32000000000000006</c:v>
                </c:pt>
                <c:pt idx="51">
                  <c:v>0.32000000000000006</c:v>
                </c:pt>
                <c:pt idx="52">
                  <c:v>0.32000000000000006</c:v>
                </c:pt>
              </c:numCache>
            </c:numRef>
          </c:yVal>
          <c:smooth val="0"/>
          <c:extLst>
            <c:ext xmlns:c16="http://schemas.microsoft.com/office/drawing/2014/chart" uri="{C3380CC4-5D6E-409C-BE32-E72D297353CC}">
              <c16:uniqueId val="{00000001-EE93-4FBA-8E54-9168E830F11D}"/>
            </c:ext>
          </c:extLst>
        </c:ser>
        <c:ser>
          <c:idx val="1"/>
          <c:order val="2"/>
          <c:tx>
            <c:strRef>
              <c:f>'包絡線Cs (II)'!$U$42</c:f>
              <c:strCache>
                <c:ptCount val="1"/>
                <c:pt idx="0">
                  <c:v>SaM</c:v>
                </c:pt>
              </c:strCache>
            </c:strRef>
          </c:tx>
          <c:spPr>
            <a:ln w="19050" cap="rnd" cmpd="sng" algn="ctr">
              <a:solidFill>
                <a:schemeClr val="accent2">
                  <a:shade val="95000"/>
                  <a:satMod val="105000"/>
                </a:schemeClr>
              </a:solidFill>
              <a:prstDash val="solid"/>
              <a:round/>
            </a:ln>
            <a:effectLst/>
          </c:spPr>
          <c:marker>
            <c:symbol val="none"/>
          </c:marker>
          <c:xVal>
            <c:numRef>
              <c:f>'包絡線Cs (II)'!$I$43:$I$95</c:f>
              <c:numCache>
                <c:formatCode>0.0000_ </c:formatCode>
                <c:ptCount val="53"/>
                <c:pt idx="0">
                  <c:v>0.01</c:v>
                </c:pt>
                <c:pt idx="1">
                  <c:v>8.9300000000000004E-2</c:v>
                </c:pt>
                <c:pt idx="2">
                  <c:v>0.1108</c:v>
                </c:pt>
                <c:pt idx="3">
                  <c:v>0.1124</c:v>
                </c:pt>
                <c:pt idx="4">
                  <c:v>0.1125</c:v>
                </c:pt>
                <c:pt idx="5">
                  <c:v>0.17</c:v>
                </c:pt>
                <c:pt idx="6">
                  <c:v>0.22</c:v>
                </c:pt>
                <c:pt idx="7">
                  <c:v>0.28000000000000003</c:v>
                </c:pt>
                <c:pt idx="8">
                  <c:v>0.33250000000000002</c:v>
                </c:pt>
                <c:pt idx="9">
                  <c:v>0.33710000000000001</c:v>
                </c:pt>
                <c:pt idx="10">
                  <c:v>0.33749999999999997</c:v>
                </c:pt>
                <c:pt idx="11">
                  <c:v>0.39</c:v>
                </c:pt>
                <c:pt idx="12">
                  <c:v>0.45</c:v>
                </c:pt>
                <c:pt idx="13">
                  <c:v>0.51</c:v>
                </c:pt>
                <c:pt idx="14">
                  <c:v>0.55420000000000003</c:v>
                </c:pt>
                <c:pt idx="15">
                  <c:v>0.56189999999999996</c:v>
                </c:pt>
                <c:pt idx="16">
                  <c:v>0.5625</c:v>
                </c:pt>
                <c:pt idx="17">
                  <c:v>0.62000000000000011</c:v>
                </c:pt>
                <c:pt idx="18">
                  <c:v>0.67000000000000015</c:v>
                </c:pt>
                <c:pt idx="19">
                  <c:v>0.7200000000000002</c:v>
                </c:pt>
                <c:pt idx="20">
                  <c:v>0.77000000000000024</c:v>
                </c:pt>
                <c:pt idx="21">
                  <c:v>0.82000000000000028</c:v>
                </c:pt>
                <c:pt idx="22">
                  <c:v>0.87000000000000033</c:v>
                </c:pt>
                <c:pt idx="23">
                  <c:v>0.92000000000000037</c:v>
                </c:pt>
                <c:pt idx="24">
                  <c:v>0.97000000000000042</c:v>
                </c:pt>
                <c:pt idx="25">
                  <c:v>1.0200000000000005</c:v>
                </c:pt>
                <c:pt idx="26">
                  <c:v>1.0700000000000005</c:v>
                </c:pt>
                <c:pt idx="27">
                  <c:v>1.1200000000000006</c:v>
                </c:pt>
                <c:pt idx="28">
                  <c:v>1.1700000000000006</c:v>
                </c:pt>
                <c:pt idx="29">
                  <c:v>1.2200000000000006</c:v>
                </c:pt>
                <c:pt idx="30">
                  <c:v>1.2700000000000007</c:v>
                </c:pt>
                <c:pt idx="31">
                  <c:v>1.3200000000000007</c:v>
                </c:pt>
                <c:pt idx="32">
                  <c:v>1.3700000000000008</c:v>
                </c:pt>
                <c:pt idx="33">
                  <c:v>1.4200000000000008</c:v>
                </c:pt>
                <c:pt idx="34">
                  <c:v>1.4700000000000009</c:v>
                </c:pt>
                <c:pt idx="35">
                  <c:v>1.5200000000000009</c:v>
                </c:pt>
                <c:pt idx="36">
                  <c:v>1.570000000000001</c:v>
                </c:pt>
                <c:pt idx="37">
                  <c:v>1.620000000000001</c:v>
                </c:pt>
                <c:pt idx="38">
                  <c:v>1.670000000000001</c:v>
                </c:pt>
                <c:pt idx="39">
                  <c:v>1.7200000000000011</c:v>
                </c:pt>
                <c:pt idx="40">
                  <c:v>1.7700000000000011</c:v>
                </c:pt>
                <c:pt idx="41">
                  <c:v>1.8200000000000012</c:v>
                </c:pt>
                <c:pt idx="42">
                  <c:v>1.8700000000000012</c:v>
                </c:pt>
                <c:pt idx="43">
                  <c:v>1.9200000000000013</c:v>
                </c:pt>
                <c:pt idx="44">
                  <c:v>1.9700000000000013</c:v>
                </c:pt>
                <c:pt idx="45">
                  <c:v>2.0200000000000014</c:v>
                </c:pt>
                <c:pt idx="46">
                  <c:v>2.0700000000000012</c:v>
                </c:pt>
                <c:pt idx="47">
                  <c:v>2.120000000000001</c:v>
                </c:pt>
                <c:pt idx="48">
                  <c:v>2.2999999999999998</c:v>
                </c:pt>
                <c:pt idx="49">
                  <c:v>2.35</c:v>
                </c:pt>
                <c:pt idx="50">
                  <c:v>2.4</c:v>
                </c:pt>
                <c:pt idx="51">
                  <c:v>2.4500000000000002</c:v>
                </c:pt>
                <c:pt idx="52">
                  <c:v>2.5</c:v>
                </c:pt>
              </c:numCache>
            </c:numRef>
          </c:xVal>
          <c:yVal>
            <c:numRef>
              <c:f>'包絡線Cs (II)'!$U$43:$U$95</c:f>
              <c:numCache>
                <c:formatCode>0.000_ </c:formatCode>
                <c:ptCount val="5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2-EE93-4FBA-8E54-9168E830F11D}"/>
            </c:ext>
          </c:extLst>
        </c:ser>
        <c:ser>
          <c:idx val="3"/>
          <c:order val="3"/>
          <c:tx>
            <c:strRef>
              <c:f>'包絡線Cs (II)'!$H$96:$J$96</c:f>
              <c:strCache>
                <c:ptCount val="1"/>
                <c:pt idx="0">
                  <c:v>基本振動週期T= 0.897  s</c:v>
                </c:pt>
              </c:strCache>
            </c:strRef>
          </c:tx>
          <c:spPr>
            <a:ln w="19050" cap="rnd" cmpd="sng" algn="ctr">
              <a:solidFill>
                <a:schemeClr val="bg1">
                  <a:lumMod val="50000"/>
                </a:schemeClr>
              </a:solidFill>
              <a:prstDash val="sysDot"/>
              <a:round/>
            </a:ln>
            <a:effectLst/>
          </c:spPr>
          <c:marker>
            <c:symbol val="none"/>
          </c:marker>
          <c:xVal>
            <c:numRef>
              <c:f>'包絡線Cs (II)'!$I$97:$I$98</c:f>
              <c:numCache>
                <c:formatCode>0.000_ </c:formatCode>
                <c:ptCount val="2"/>
                <c:pt idx="0">
                  <c:v>0.89729999999999999</c:v>
                </c:pt>
                <c:pt idx="1">
                  <c:v>0.89729999999999999</c:v>
                </c:pt>
              </c:numCache>
            </c:numRef>
          </c:xVal>
          <c:yVal>
            <c:numRef>
              <c:f>'包絡線Cs (II)'!$U$97:$U$98</c:f>
              <c:numCache>
                <c:formatCode>0.000_ </c:formatCode>
                <c:ptCount val="2"/>
                <c:pt idx="0">
                  <c:v>0</c:v>
                </c:pt>
                <c:pt idx="1">
                  <c:v>#N/A</c:v>
                </c:pt>
              </c:numCache>
            </c:numRef>
          </c:yVal>
          <c:smooth val="0"/>
          <c:extLst>
            <c:ext xmlns:c16="http://schemas.microsoft.com/office/drawing/2014/chart" uri="{C3380CC4-5D6E-409C-BE32-E72D297353CC}">
              <c16:uniqueId val="{00000003-EE93-4FBA-8E54-9168E830F11D}"/>
            </c:ext>
          </c:extLst>
        </c:ser>
        <c:dLbls>
          <c:showLegendKey val="0"/>
          <c:showVal val="0"/>
          <c:showCatName val="0"/>
          <c:showSerName val="0"/>
          <c:showPercent val="0"/>
          <c:showBubbleSize val="0"/>
        </c:dLbls>
        <c:axId val="145788928"/>
        <c:axId val="145790848"/>
      </c:scatterChart>
      <c:valAx>
        <c:axId val="145788928"/>
        <c:scaling>
          <c:orientation val="minMax"/>
          <c:max val="2.5"/>
        </c:scaling>
        <c:delete val="0"/>
        <c:axPos val="b"/>
        <c:minorGridlines>
          <c:spPr>
            <a:ln w="9525" cap="flat" cmpd="sng" algn="ctr">
              <a:solidFill>
                <a:schemeClr val="tx1">
                  <a:tint val="50000"/>
                  <a:shade val="95000"/>
                  <a:satMod val="105000"/>
                </a:schemeClr>
              </a:solidFill>
              <a:prstDash val="solid"/>
              <a:round/>
            </a:ln>
            <a:effectLst/>
          </c:spPr>
        </c:minorGridlines>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ltLang="en-US" sz="1400"/>
                  <a:t>T (sec)</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zh-TW"/>
            </a:p>
          </c:txPr>
        </c:title>
        <c:numFmt formatCode="0.0_ " sourceLinked="0"/>
        <c:majorTickMark val="out"/>
        <c:minorTickMark val="in"/>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新細明體"/>
                <a:ea typeface="新細明體"/>
                <a:cs typeface="新細明體"/>
              </a:defRPr>
            </a:pPr>
            <a:endParaRPr lang="zh-TW"/>
          </a:p>
        </c:txPr>
        <c:crossAx val="145790848"/>
        <c:crosses val="autoZero"/>
        <c:crossBetween val="midCat"/>
        <c:minorUnit val="0.1"/>
      </c:valAx>
      <c:valAx>
        <c:axId val="14579084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_ "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zh-TW"/>
          </a:p>
        </c:txPr>
        <c:crossAx val="145788928"/>
        <c:crosses val="autoZero"/>
        <c:crossBetween val="midCat"/>
      </c:valAx>
      <c:spPr>
        <a:solidFill>
          <a:schemeClr val="bg1"/>
        </a:solidFill>
        <a:ln>
          <a:noFill/>
        </a:ln>
        <a:effectLst/>
      </c:spPr>
    </c:plotArea>
    <c:legend>
      <c:legendPos val="r"/>
      <c:layout>
        <c:manualLayout>
          <c:xMode val="edge"/>
          <c:yMode val="edge"/>
          <c:x val="0.57410134142530211"/>
          <c:y val="4.8582489353410425E-2"/>
          <c:w val="0.38776958630016461"/>
          <c:h val="0.21897982924115855"/>
        </c:manualLayout>
      </c:layout>
      <c:overlay val="1"/>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zh-TW"/>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zh-TW"/>
    </a:p>
  </c:txPr>
  <c:printSettings>
    <c:headerFooter/>
    <c:pageMargins b="0.75000000000000433" l="0.70000000000000062" r="0.70000000000000062" t="0.75000000000000433"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60960</xdr:colOff>
      <xdr:row>55</xdr:row>
      <xdr:rowOff>74295</xdr:rowOff>
    </xdr:from>
    <xdr:to>
      <xdr:col>5</xdr:col>
      <xdr:colOff>762000</xdr:colOff>
      <xdr:row>79</xdr:row>
      <xdr:rowOff>152400</xdr:rowOff>
    </xdr:to>
    <xdr:graphicFrame macro="">
      <xdr:nvGraphicFramePr>
        <xdr:cNvPr id="2" name="圖表 1">
          <a:extLst>
            <a:ext uri="{FF2B5EF4-FFF2-40B4-BE49-F238E27FC236}">
              <a16:creationId xmlns:a16="http://schemas.microsoft.com/office/drawing/2014/main" id="{213EDF39-C74F-4307-B8F8-AB7D03F60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62530</xdr:colOff>
      <xdr:row>80</xdr:row>
      <xdr:rowOff>55469</xdr:rowOff>
    </xdr:from>
    <xdr:to>
      <xdr:col>5</xdr:col>
      <xdr:colOff>752475</xdr:colOff>
      <xdr:row>100</xdr:row>
      <xdr:rowOff>180974</xdr:rowOff>
    </xdr:to>
    <xdr:graphicFrame macro="">
      <xdr:nvGraphicFramePr>
        <xdr:cNvPr id="3" name="圖表 2">
          <a:extLst>
            <a:ext uri="{FF2B5EF4-FFF2-40B4-BE49-F238E27FC236}">
              <a16:creationId xmlns:a16="http://schemas.microsoft.com/office/drawing/2014/main" id="{8F5D6207-0E6D-4FA4-9C95-6F3FF6981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59504</xdr:colOff>
      <xdr:row>104</xdr:row>
      <xdr:rowOff>152400</xdr:rowOff>
    </xdr:from>
    <xdr:to>
      <xdr:col>5</xdr:col>
      <xdr:colOff>733425</xdr:colOff>
      <xdr:row>128</xdr:row>
      <xdr:rowOff>123825</xdr:rowOff>
    </xdr:to>
    <xdr:graphicFrame macro="">
      <xdr:nvGraphicFramePr>
        <xdr:cNvPr id="4" name="圖表 3">
          <a:extLst>
            <a:ext uri="{FF2B5EF4-FFF2-40B4-BE49-F238E27FC236}">
              <a16:creationId xmlns:a16="http://schemas.microsoft.com/office/drawing/2014/main" id="{45D6A887-7E6D-49FB-806D-793D4B8ED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129</xdr:row>
      <xdr:rowOff>76200</xdr:rowOff>
    </xdr:from>
    <xdr:to>
      <xdr:col>5</xdr:col>
      <xdr:colOff>733425</xdr:colOff>
      <xdr:row>153</xdr:row>
      <xdr:rowOff>152400</xdr:rowOff>
    </xdr:to>
    <xdr:graphicFrame macro="">
      <xdr:nvGraphicFramePr>
        <xdr:cNvPr id="5" name="圖表 4">
          <a:extLst>
            <a:ext uri="{FF2B5EF4-FFF2-40B4-BE49-F238E27FC236}">
              <a16:creationId xmlns:a16="http://schemas.microsoft.com/office/drawing/2014/main" id="{E52E38D0-8F15-41DB-B3AA-A816E3C0B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55</xdr:row>
      <xdr:rowOff>74295</xdr:rowOff>
    </xdr:from>
    <xdr:to>
      <xdr:col>5</xdr:col>
      <xdr:colOff>762000</xdr:colOff>
      <xdr:row>79</xdr:row>
      <xdr:rowOff>152400</xdr:rowOff>
    </xdr:to>
    <xdr:graphicFrame macro="">
      <xdr:nvGraphicFramePr>
        <xdr:cNvPr id="2" name="圖表 1">
          <a:extLst>
            <a:ext uri="{FF2B5EF4-FFF2-40B4-BE49-F238E27FC236}">
              <a16:creationId xmlns:a16="http://schemas.microsoft.com/office/drawing/2014/main" id="{6104DF0A-1646-4153-889F-DBD8D70E2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62530</xdr:colOff>
      <xdr:row>80</xdr:row>
      <xdr:rowOff>55469</xdr:rowOff>
    </xdr:from>
    <xdr:to>
      <xdr:col>5</xdr:col>
      <xdr:colOff>752475</xdr:colOff>
      <xdr:row>100</xdr:row>
      <xdr:rowOff>180974</xdr:rowOff>
    </xdr:to>
    <xdr:graphicFrame macro="">
      <xdr:nvGraphicFramePr>
        <xdr:cNvPr id="3" name="圖表 2">
          <a:extLst>
            <a:ext uri="{FF2B5EF4-FFF2-40B4-BE49-F238E27FC236}">
              <a16:creationId xmlns:a16="http://schemas.microsoft.com/office/drawing/2014/main" id="{7D9F715C-3551-4E95-831D-A465CA899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59504</xdr:colOff>
      <xdr:row>104</xdr:row>
      <xdr:rowOff>152400</xdr:rowOff>
    </xdr:from>
    <xdr:to>
      <xdr:col>5</xdr:col>
      <xdr:colOff>733425</xdr:colOff>
      <xdr:row>128</xdr:row>
      <xdr:rowOff>123825</xdr:rowOff>
    </xdr:to>
    <xdr:graphicFrame macro="">
      <xdr:nvGraphicFramePr>
        <xdr:cNvPr id="4" name="圖表 3">
          <a:extLst>
            <a:ext uri="{FF2B5EF4-FFF2-40B4-BE49-F238E27FC236}">
              <a16:creationId xmlns:a16="http://schemas.microsoft.com/office/drawing/2014/main" id="{C6C756B3-DE1A-468C-A57F-D522C4782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129</xdr:row>
      <xdr:rowOff>76200</xdr:rowOff>
    </xdr:from>
    <xdr:to>
      <xdr:col>5</xdr:col>
      <xdr:colOff>733425</xdr:colOff>
      <xdr:row>153</xdr:row>
      <xdr:rowOff>152400</xdr:rowOff>
    </xdr:to>
    <xdr:graphicFrame macro="">
      <xdr:nvGraphicFramePr>
        <xdr:cNvPr id="5" name="圖表 4">
          <a:extLst>
            <a:ext uri="{FF2B5EF4-FFF2-40B4-BE49-F238E27FC236}">
              <a16:creationId xmlns:a16="http://schemas.microsoft.com/office/drawing/2014/main" id="{20ECA8D2-6106-4BEA-AECF-BDA881CBC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xdr:colOff>
      <xdr:row>55</xdr:row>
      <xdr:rowOff>74295</xdr:rowOff>
    </xdr:from>
    <xdr:to>
      <xdr:col>5</xdr:col>
      <xdr:colOff>762000</xdr:colOff>
      <xdr:row>79</xdr:row>
      <xdr:rowOff>152400</xdr:rowOff>
    </xdr:to>
    <xdr:graphicFrame macro="">
      <xdr:nvGraphicFramePr>
        <xdr:cNvPr id="2" name="圖表 1">
          <a:extLst>
            <a:ext uri="{FF2B5EF4-FFF2-40B4-BE49-F238E27FC236}">
              <a16:creationId xmlns:a16="http://schemas.microsoft.com/office/drawing/2014/main" id="{2CF231B6-C301-4F2A-BD37-D9B19EF72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62530</xdr:colOff>
      <xdr:row>80</xdr:row>
      <xdr:rowOff>55469</xdr:rowOff>
    </xdr:from>
    <xdr:to>
      <xdr:col>5</xdr:col>
      <xdr:colOff>752475</xdr:colOff>
      <xdr:row>100</xdr:row>
      <xdr:rowOff>180974</xdr:rowOff>
    </xdr:to>
    <xdr:graphicFrame macro="">
      <xdr:nvGraphicFramePr>
        <xdr:cNvPr id="3" name="圖表 2">
          <a:extLst>
            <a:ext uri="{FF2B5EF4-FFF2-40B4-BE49-F238E27FC236}">
              <a16:creationId xmlns:a16="http://schemas.microsoft.com/office/drawing/2014/main" id="{FF126B3E-F1B6-47BF-9F77-0F09C74DE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59504</xdr:colOff>
      <xdr:row>104</xdr:row>
      <xdr:rowOff>152400</xdr:rowOff>
    </xdr:from>
    <xdr:to>
      <xdr:col>5</xdr:col>
      <xdr:colOff>733425</xdr:colOff>
      <xdr:row>128</xdr:row>
      <xdr:rowOff>123825</xdr:rowOff>
    </xdr:to>
    <xdr:graphicFrame macro="">
      <xdr:nvGraphicFramePr>
        <xdr:cNvPr id="4" name="圖表 3">
          <a:extLst>
            <a:ext uri="{FF2B5EF4-FFF2-40B4-BE49-F238E27FC236}">
              <a16:creationId xmlns:a16="http://schemas.microsoft.com/office/drawing/2014/main" id="{C533E8C9-69D3-4103-A293-3F65A3A26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129</xdr:row>
      <xdr:rowOff>76200</xdr:rowOff>
    </xdr:from>
    <xdr:to>
      <xdr:col>5</xdr:col>
      <xdr:colOff>733425</xdr:colOff>
      <xdr:row>153</xdr:row>
      <xdr:rowOff>152400</xdr:rowOff>
    </xdr:to>
    <xdr:graphicFrame macro="">
      <xdr:nvGraphicFramePr>
        <xdr:cNvPr id="5" name="圖表 4">
          <a:extLst>
            <a:ext uri="{FF2B5EF4-FFF2-40B4-BE49-F238E27FC236}">
              <a16:creationId xmlns:a16="http://schemas.microsoft.com/office/drawing/2014/main" id="{ECA51F91-1A17-4526-A786-4DC27B6AE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46</xdr:row>
      <xdr:rowOff>0</xdr:rowOff>
    </xdr:from>
    <xdr:to>
      <xdr:col>6</xdr:col>
      <xdr:colOff>857250</xdr:colOff>
      <xdr:row>61</xdr:row>
      <xdr:rowOff>190500</xdr:rowOff>
    </xdr:to>
    <xdr:graphicFrame macro="">
      <xdr:nvGraphicFramePr>
        <xdr:cNvPr id="2" name="圖表 22">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0</xdr:rowOff>
    </xdr:from>
    <xdr:to>
      <xdr:col>6</xdr:col>
      <xdr:colOff>857250</xdr:colOff>
      <xdr:row>44</xdr:row>
      <xdr:rowOff>190500</xdr:rowOff>
    </xdr:to>
    <xdr:graphicFrame macro="">
      <xdr:nvGraphicFramePr>
        <xdr:cNvPr id="3" name="圖表 2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4082-EE18-4B29-99E6-D441D7AA349E}">
  <sheetPr codeName="工作表1"/>
  <dimension ref="A1:AR160"/>
  <sheetViews>
    <sheetView tabSelected="1" zoomScaleNormal="100" workbookViewId="0">
      <selection activeCell="B6" sqref="B6"/>
    </sheetView>
  </sheetViews>
  <sheetFormatPr defaultColWidth="9" defaultRowHeight="15.75"/>
  <cols>
    <col min="1" max="1" width="27.625" style="270" bestFit="1" customWidth="1"/>
    <col min="2" max="2" width="19.625" style="270" customWidth="1"/>
    <col min="3" max="3" width="17.5" style="270" bestFit="1" customWidth="1"/>
    <col min="4" max="4" width="13.125" style="270" bestFit="1" customWidth="1"/>
    <col min="5" max="5" width="13.375" style="270" bestFit="1" customWidth="1"/>
    <col min="6" max="6" width="11.5" style="270" bestFit="1" customWidth="1"/>
    <col min="7" max="7" width="3.125" style="270" customWidth="1"/>
    <col min="8" max="8" width="31.875" style="270" bestFit="1" customWidth="1"/>
    <col min="9" max="9" width="11.5" style="270" bestFit="1" customWidth="1"/>
    <col min="10" max="10" width="14.875" style="270" bestFit="1" customWidth="1"/>
    <col min="11" max="11" width="10.125" style="270" bestFit="1" customWidth="1"/>
    <col min="12" max="12" width="12.875" style="270" bestFit="1" customWidth="1"/>
    <col min="13" max="13" width="21.875" style="270" bestFit="1" customWidth="1"/>
    <col min="14" max="14" width="18.125" style="270" bestFit="1" customWidth="1"/>
    <col min="15" max="15" width="18.125" style="270" customWidth="1"/>
    <col min="16" max="16" width="16.375" style="270" bestFit="1" customWidth="1"/>
    <col min="17" max="17" width="12.125" style="270" bestFit="1" customWidth="1"/>
    <col min="18" max="18" width="11.75" style="270" bestFit="1" customWidth="1"/>
    <col min="19" max="19" width="34.625" style="270" bestFit="1" customWidth="1"/>
    <col min="20" max="20" width="11.75" style="270" bestFit="1" customWidth="1"/>
    <col min="21" max="21" width="15.5" style="270" bestFit="1" customWidth="1"/>
    <col min="22" max="22" width="10.75" style="270" bestFit="1" customWidth="1"/>
    <col min="23" max="23" width="12.375" style="270" bestFit="1" customWidth="1"/>
    <col min="24" max="24" width="22" style="270" bestFit="1" customWidth="1"/>
    <col min="25" max="25" width="11.75" style="270" bestFit="1" customWidth="1"/>
    <col min="26" max="26" width="21.75" style="270" bestFit="1" customWidth="1"/>
    <col min="27" max="27" width="9.875" style="270" bestFit="1" customWidth="1"/>
    <col min="28" max="28" width="11.375" style="270" bestFit="1" customWidth="1"/>
    <col min="29" max="29" width="12.25" style="270" bestFit="1" customWidth="1"/>
    <col min="30" max="30" width="13.625" style="270" bestFit="1" customWidth="1"/>
    <col min="31" max="33" width="9.875" style="270" bestFit="1" customWidth="1"/>
    <col min="34" max="34" width="12.25" style="270" bestFit="1" customWidth="1"/>
    <col min="35" max="35" width="9.875" style="270" bestFit="1" customWidth="1"/>
    <col min="36" max="36" width="8.375" style="270" bestFit="1" customWidth="1"/>
    <col min="37" max="37" width="16.25" style="270" bestFit="1" customWidth="1"/>
    <col min="38" max="43" width="9" style="270"/>
    <col min="44" max="44" width="16.25" style="270" bestFit="1" customWidth="1"/>
    <col min="45" max="16384" width="9" style="270"/>
  </cols>
  <sheetData>
    <row r="1" spans="1:40" ht="16.5" thickBot="1">
      <c r="A1" s="164" t="s">
        <v>1364</v>
      </c>
      <c r="H1" s="164" t="s">
        <v>1430</v>
      </c>
      <c r="M1" s="232" t="str">
        <f ca="1">VLOOKUP($H3,INDIRECT($H2),17,FALSE)</f>
        <v>獅潭與神卓山斷層</v>
      </c>
      <c r="N1" s="232">
        <f ca="1">VLOOKUP($H3,INDIRECT($H2),18,FALSE)</f>
        <v>1</v>
      </c>
      <c r="O1" s="322"/>
    </row>
    <row r="2" spans="1:40" ht="23.25" thickTop="1">
      <c r="A2" s="141" t="s">
        <v>1365</v>
      </c>
      <c r="B2" s="236" t="s">
        <v>1292</v>
      </c>
      <c r="C2" s="263" t="s">
        <v>1694</v>
      </c>
      <c r="D2" s="263" t="s">
        <v>1695</v>
      </c>
      <c r="E2" s="263" t="s">
        <v>1696</v>
      </c>
      <c r="F2" s="264" t="s">
        <v>1697</v>
      </c>
      <c r="G2" s="157"/>
      <c r="H2" s="237" t="s">
        <v>1780</v>
      </c>
      <c r="I2" s="263" t="s">
        <v>1694</v>
      </c>
      <c r="J2" s="263" t="s">
        <v>1695</v>
      </c>
      <c r="K2" s="263" t="s">
        <v>1696</v>
      </c>
      <c r="L2" s="263" t="s">
        <v>1697</v>
      </c>
      <c r="M2" s="157"/>
      <c r="N2" s="157"/>
      <c r="O2" s="99"/>
    </row>
    <row r="3" spans="1:40" s="32" customFormat="1" ht="24" customHeight="1">
      <c r="A3" s="142"/>
      <c r="B3" s="234" t="s">
        <v>1326</v>
      </c>
      <c r="C3" s="334">
        <f ca="1">VLOOKUP($B3,INDIRECT($B2),4,FALSE)</f>
        <v>0.8</v>
      </c>
      <c r="D3" s="334">
        <f ca="1">VLOOKUP($B3,INDIRECT($B2),5,FALSE)</f>
        <v>0.45</v>
      </c>
      <c r="E3" s="334">
        <f ca="1">VLOOKUP($B3,INDIRECT($B2),6,FALSE)</f>
        <v>1</v>
      </c>
      <c r="F3" s="346">
        <f ca="1">VLOOKUP($B3,INDIRECT($B2),7,FALSE)</f>
        <v>0.55000000000000004</v>
      </c>
      <c r="G3" s="158"/>
      <c r="H3" s="238" t="s">
        <v>1781</v>
      </c>
      <c r="I3" s="282">
        <f ca="1">VLOOKUP($H3,INDIRECT($H2),13,FALSE)</f>
        <v>0.7</v>
      </c>
      <c r="J3" s="282">
        <f ca="1">VLOOKUP($H3,INDIRECT($H2),14,FALSE)</f>
        <v>0.4</v>
      </c>
      <c r="K3" s="282">
        <f ca="1">VLOOKUP($H3,INDIRECT($H2),15,FALSE)</f>
        <v>0.9</v>
      </c>
      <c r="L3" s="282">
        <f ca="1">VLOOKUP($H3,INDIRECT($H2),16,FALSE)</f>
        <v>0.5</v>
      </c>
      <c r="M3" s="159"/>
      <c r="N3" s="159"/>
      <c r="O3" s="99"/>
      <c r="P3" s="386" t="str">
        <f>"規範最小地震橫力係數 Cs*載重組合係數之比較 ["&amp;B5  &amp; ", R=" &amp; B12 &amp; "]"</f>
        <v>規範最小地震橫力係數 Cs*載重組合係數之比較 [第一類, R=2.4]</v>
      </c>
      <c r="Q3" s="385"/>
      <c r="R3" s="385"/>
      <c r="S3" s="385"/>
      <c r="T3" s="270" t="str">
        <f>B5</f>
        <v>第一類</v>
      </c>
      <c r="U3" s="98">
        <f>IF($B5="第一類",1.2,IF($B5="第二類",1.5,1.8))</f>
        <v>1.2</v>
      </c>
      <c r="V3" s="270"/>
      <c r="W3" s="270"/>
      <c r="X3" s="270"/>
      <c r="Y3" s="270"/>
      <c r="Z3" s="270"/>
      <c r="AA3" s="270"/>
      <c r="AB3" s="270"/>
      <c r="AC3" s="270"/>
      <c r="AD3" s="270"/>
      <c r="AE3" s="270" t="s">
        <v>1285</v>
      </c>
      <c r="AF3" s="270" t="s">
        <v>1286</v>
      </c>
      <c r="AG3" s="270" t="s">
        <v>1287</v>
      </c>
    </row>
    <row r="4" spans="1:40" s="32" customFormat="1" ht="24" customHeight="1">
      <c r="A4" s="143"/>
      <c r="B4" s="248" t="s">
        <v>383</v>
      </c>
      <c r="C4" s="248" t="s">
        <v>1698</v>
      </c>
      <c r="D4" s="248" t="s">
        <v>1699</v>
      </c>
      <c r="E4" s="248" t="s">
        <v>1700</v>
      </c>
      <c r="F4" s="267" t="s">
        <v>1701</v>
      </c>
      <c r="G4" s="159"/>
      <c r="H4" s="241" t="s">
        <v>383</v>
      </c>
      <c r="I4" s="247" t="s">
        <v>1708</v>
      </c>
      <c r="J4" s="247" t="s">
        <v>1709</v>
      </c>
      <c r="K4" s="247" t="s">
        <v>1710</v>
      </c>
      <c r="L4" s="247" t="s">
        <v>1711</v>
      </c>
      <c r="M4" s="159"/>
      <c r="N4" s="159"/>
      <c r="O4" s="99"/>
      <c r="P4" s="44"/>
      <c r="Q4" s="39" t="s">
        <v>385</v>
      </c>
      <c r="R4" s="39" t="s">
        <v>391</v>
      </c>
      <c r="S4" s="270"/>
      <c r="T4" s="39" t="s">
        <v>393</v>
      </c>
      <c r="U4" s="39" t="s">
        <v>392</v>
      </c>
      <c r="V4" s="39" t="s">
        <v>398</v>
      </c>
      <c r="W4" s="39" t="s">
        <v>395</v>
      </c>
      <c r="X4" s="39" t="s">
        <v>385</v>
      </c>
      <c r="Y4" s="39" t="s">
        <v>384</v>
      </c>
      <c r="Z4" s="39" t="s">
        <v>393</v>
      </c>
      <c r="AA4" s="39" t="s">
        <v>384</v>
      </c>
      <c r="AB4" s="39" t="s">
        <v>398</v>
      </c>
      <c r="AC4" s="39" t="s">
        <v>384</v>
      </c>
      <c r="AD4" s="39" t="s">
        <v>413</v>
      </c>
      <c r="AE4" s="270" t="s">
        <v>423</v>
      </c>
      <c r="AF4" s="270" t="s">
        <v>424</v>
      </c>
      <c r="AG4" s="270" t="s">
        <v>425</v>
      </c>
    </row>
    <row r="5" spans="1:40" s="32" customFormat="1" ht="24" customHeight="1">
      <c r="A5" s="144"/>
      <c r="B5" s="243" t="s">
        <v>1690</v>
      </c>
      <c r="C5" s="334">
        <f>IF($B5="第一類",1,IF($B5="第二類",IF(C3&lt;=0.6,1.1,IF(C3&gt;=0.7,1,1.1+(0.6-C3))),IF(C3&lt;=0.6,1.2,IF(C3&gt;=0.8,1,1.2+(0.6-C3)))))</f>
        <v>1</v>
      </c>
      <c r="D5" s="334">
        <f>IF($B5="第一類",1,IF($B5="第二類",IF(D3&lt;=0.3,1.5,IF(D3&gt;=0.5,1.1,1.5+(0.3-D3)*2)),IF(D3&lt;=0.3,1.8,IF(D3&gt;=0.5,1.4,1.8+(0.3-D3)*2))))</f>
        <v>1</v>
      </c>
      <c r="E5" s="334" t="s">
        <v>1687</v>
      </c>
      <c r="F5" s="346" t="s">
        <v>1687</v>
      </c>
      <c r="G5" s="177"/>
      <c r="H5" s="242" t="s">
        <v>1690</v>
      </c>
      <c r="I5" s="284">
        <f>VLOOKUP($H6,$S21:$W28,2,FALSE)</f>
        <v>1.2</v>
      </c>
      <c r="J5" s="284">
        <f>VLOOKUP($H6,$S21:$W28,3,FALSE)</f>
        <v>1.27</v>
      </c>
      <c r="K5" s="284">
        <f>VLOOKUP($H6,$S21:$W28,4,FALSE)</f>
        <v>1.18</v>
      </c>
      <c r="L5" s="284">
        <f>VLOOKUP($H6,$S21:$W28,5,FALSE)</f>
        <v>1.32</v>
      </c>
      <c r="M5" s="160"/>
      <c r="N5" s="160"/>
      <c r="O5" s="323"/>
      <c r="P5" s="44" t="s">
        <v>407</v>
      </c>
      <c r="Q5" s="45" t="s">
        <v>402</v>
      </c>
      <c r="R5" s="45">
        <v>0.8</v>
      </c>
      <c r="S5" s="46" t="s">
        <v>417</v>
      </c>
      <c r="T5" s="45" t="s">
        <v>402</v>
      </c>
      <c r="U5" s="45">
        <v>0.23</v>
      </c>
      <c r="V5" s="45" t="s">
        <v>402</v>
      </c>
      <c r="W5" s="45">
        <v>0.33</v>
      </c>
      <c r="X5" s="39" t="s">
        <v>394</v>
      </c>
      <c r="Y5" s="39">
        <v>1</v>
      </c>
      <c r="Z5" s="39" t="s">
        <v>395</v>
      </c>
      <c r="AA5" s="39">
        <v>0.33</v>
      </c>
      <c r="AB5" s="45" t="s">
        <v>399</v>
      </c>
      <c r="AC5" s="45">
        <v>0.33</v>
      </c>
      <c r="AD5" s="270">
        <f>(2*U12-1)^0.5</f>
        <v>1.5491933384829668</v>
      </c>
      <c r="AE5" s="270">
        <v>0.9</v>
      </c>
      <c r="AF5" s="270"/>
      <c r="AG5" s="270">
        <v>1.43</v>
      </c>
    </row>
    <row r="6" spans="1:40" s="32" customFormat="1" ht="22.5">
      <c r="A6" s="143"/>
      <c r="B6" s="47" t="s">
        <v>1293</v>
      </c>
      <c r="C6" s="265" t="s">
        <v>1702</v>
      </c>
      <c r="D6" s="265" t="s">
        <v>1703</v>
      </c>
      <c r="E6" s="265" t="s">
        <v>1704</v>
      </c>
      <c r="F6" s="266" t="s">
        <v>1705</v>
      </c>
      <c r="G6" s="178"/>
      <c r="H6" s="243" t="s">
        <v>1783</v>
      </c>
      <c r="I6" s="247" t="s">
        <v>1712</v>
      </c>
      <c r="J6" s="247" t="s">
        <v>1713</v>
      </c>
      <c r="K6" s="247" t="s">
        <v>1714</v>
      </c>
      <c r="L6" s="247" t="s">
        <v>1715</v>
      </c>
      <c r="M6" s="161"/>
      <c r="N6" s="161"/>
      <c r="O6" s="39"/>
      <c r="P6" s="44" t="s">
        <v>408</v>
      </c>
      <c r="Q6" s="39" t="s">
        <v>387</v>
      </c>
      <c r="R6" s="39">
        <v>1</v>
      </c>
      <c r="S6" s="46" t="s">
        <v>418</v>
      </c>
      <c r="T6" s="39" t="s">
        <v>1366</v>
      </c>
      <c r="U6" s="99">
        <v>1.5</v>
      </c>
      <c r="V6" s="39" t="s">
        <v>1366</v>
      </c>
      <c r="W6" s="99">
        <f t="shared" ref="W6:W7" si="0">U6</f>
        <v>1.5</v>
      </c>
      <c r="X6" s="45" t="s">
        <v>391</v>
      </c>
      <c r="Y6" s="45">
        <v>0.8</v>
      </c>
      <c r="Z6" s="39" t="s">
        <v>396</v>
      </c>
      <c r="AA6" s="39">
        <v>0.28000000000000003</v>
      </c>
      <c r="AB6" s="39" t="s">
        <v>400</v>
      </c>
      <c r="AC6" s="39">
        <v>0.23</v>
      </c>
      <c r="AD6" s="270"/>
      <c r="AE6" s="270">
        <v>1.05</v>
      </c>
      <c r="AF6" s="270">
        <v>1.2749999999999999</v>
      </c>
      <c r="AG6" s="270">
        <v>1.4025000000000001</v>
      </c>
    </row>
    <row r="7" spans="1:40" s="32" customFormat="1" ht="21" customHeight="1">
      <c r="A7" s="145" t="s">
        <v>1359</v>
      </c>
      <c r="B7" s="244">
        <v>6.3140000000000001</v>
      </c>
      <c r="C7" s="345">
        <f ca="1">IF($B6="", C3,IF($B7&gt;=14,C54,C53+($B7-$B53)*(C54-C53)/$F52))</f>
        <v>0.80686000000000002</v>
      </c>
      <c r="D7" s="345">
        <f ca="1">IF($B6="", D3,IF($B7&gt;=14,D54,D53+($B7-$B53)*(D54-D53)/$F52))</f>
        <v>0.45343</v>
      </c>
      <c r="E7" s="345">
        <f ca="1">IF($B6="", E3,IF($B7&gt;=14,E54,E53+($B7-$B53)*(E54-E53)/$F52))</f>
        <v>1.01715</v>
      </c>
      <c r="F7" s="343">
        <f ca="1">IF($B6="", F3,IF($B7&gt;=14,F54,F53+($B7-$B53)*(F54-F53)/$F52))</f>
        <v>0.56372</v>
      </c>
      <c r="G7" s="179"/>
      <c r="H7" s="244">
        <v>5</v>
      </c>
      <c r="I7" s="284">
        <f ca="1">I3*I5</f>
        <v>0.84</v>
      </c>
      <c r="J7" s="284">
        <f ca="1">J3*J5</f>
        <v>0.50800000000000001</v>
      </c>
      <c r="K7" s="284">
        <f ca="1">K3*K5</f>
        <v>1.0620000000000001</v>
      </c>
      <c r="L7" s="284">
        <f ca="1">L3*L5</f>
        <v>0.66</v>
      </c>
      <c r="M7" s="161"/>
      <c r="N7" s="161"/>
      <c r="O7" s="39"/>
      <c r="P7" s="44" t="s">
        <v>409</v>
      </c>
      <c r="Q7" s="39" t="s">
        <v>386</v>
      </c>
      <c r="R7" s="48">
        <f>0.06*B10^0.75</f>
        <v>0.7691166115132213</v>
      </c>
      <c r="S7" s="46" t="s">
        <v>409</v>
      </c>
      <c r="T7" s="39" t="s">
        <v>386</v>
      </c>
      <c r="U7" s="49">
        <f>0.07*$B10^0.75</f>
        <v>0.89730271343209156</v>
      </c>
      <c r="V7" s="39" t="s">
        <v>386</v>
      </c>
      <c r="W7" s="49">
        <f t="shared" si="0"/>
        <v>0.89730271343209156</v>
      </c>
      <c r="X7" s="39" t="s">
        <v>401</v>
      </c>
      <c r="Y7" s="39">
        <v>0.6</v>
      </c>
      <c r="Z7" s="45" t="s">
        <v>392</v>
      </c>
      <c r="AA7" s="45">
        <v>0.23</v>
      </c>
      <c r="AB7" s="45"/>
      <c r="AC7" s="45"/>
      <c r="AD7" s="270"/>
      <c r="AE7" s="270">
        <v>1.2</v>
      </c>
      <c r="AF7" s="270">
        <v>1</v>
      </c>
      <c r="AG7" s="270">
        <v>1</v>
      </c>
    </row>
    <row r="8" spans="1:40" s="32" customFormat="1" ht="24" customHeight="1">
      <c r="A8" s="281" t="s">
        <v>1729</v>
      </c>
      <c r="B8" s="277"/>
      <c r="C8" s="248" t="s">
        <v>1706</v>
      </c>
      <c r="D8" s="248" t="s">
        <v>1707</v>
      </c>
      <c r="E8" s="248" t="s">
        <v>1700</v>
      </c>
      <c r="F8" s="267" t="s">
        <v>1701</v>
      </c>
      <c r="G8" s="272"/>
      <c r="H8" s="162" t="s">
        <v>1729</v>
      </c>
      <c r="I8" s="248" t="s">
        <v>1706</v>
      </c>
      <c r="J8" s="248" t="s">
        <v>1707</v>
      </c>
      <c r="K8" s="248" t="s">
        <v>1700</v>
      </c>
      <c r="L8" s="248" t="s">
        <v>1701</v>
      </c>
      <c r="M8" s="161"/>
      <c r="N8" s="161"/>
      <c r="O8" s="39"/>
      <c r="P8" s="44" t="s">
        <v>406</v>
      </c>
      <c r="Q8" s="39" t="s">
        <v>405</v>
      </c>
      <c r="R8" s="49">
        <f>MIN(R13,R14)</f>
        <v>0.14249999999999999</v>
      </c>
      <c r="S8" s="46" t="s">
        <v>419</v>
      </c>
      <c r="T8" s="39" t="s">
        <v>388</v>
      </c>
      <c r="U8" s="49">
        <f>IF(U7&lt;=T17,X17,IF(U7&lt;=U17,Y17*U7+Z17,IF(U7&lt;=V17,AA17,IF(U7&lt;=W17,AB17/U7^(AC17)))))</f>
        <v>1.2898976712111931</v>
      </c>
      <c r="V8" s="39" t="s">
        <v>388</v>
      </c>
      <c r="W8" s="49">
        <f>U8</f>
        <v>1.2898976712111931</v>
      </c>
      <c r="X8" s="270"/>
      <c r="Y8" s="270"/>
      <c r="Z8" s="39" t="s">
        <v>397</v>
      </c>
      <c r="AA8" s="39">
        <v>0.18</v>
      </c>
      <c r="AB8" s="39"/>
      <c r="AC8" s="39"/>
      <c r="AD8" s="270"/>
      <c r="AE8" s="270"/>
      <c r="AF8" s="270"/>
      <c r="AG8" s="270"/>
    </row>
    <row r="9" spans="1:40" s="32" customFormat="1" ht="24" customHeight="1">
      <c r="A9" s="278"/>
      <c r="B9" s="279"/>
      <c r="C9" s="334">
        <f>IF($B5="第一類",1,IF($B5="第二類",IF(C7&lt;=0.6,1.1,IF(C7&gt;=0.7,1,1.1+(0.6-C7))),IF(C7&lt;=0.6,1.2,IF(C7&gt;=0.8,1,1.2+(0.6-C7)))))</f>
        <v>1</v>
      </c>
      <c r="D9" s="334">
        <f>IF($B5="第一類",1,IF($B5="第二類",IF(D7&lt;=0.3,1.5,IF(D7&gt;=0.5,1.1,1.5+(0.3-D7)*2)),IF(D7&lt;=0.3,1.8,IF(D7&gt;=0.5,1.4,1.8+(0.3-D7)*2))))</f>
        <v>1</v>
      </c>
      <c r="E9" s="334">
        <f>IF($B5="第一類",1,IF($B5="第二類",IF(E7&lt;=0.6,1.1,IF(E7&gt;=0.7,1,1.1+(0.6-E7))),IF(E7&lt;=0.6,1.2,IF(E7&gt;=0.8,1,1.2+(0.6-E7)))))</f>
        <v>1</v>
      </c>
      <c r="F9" s="346">
        <f>IF($B5="第一類",1,IF($B5="第二類",IF(F7&lt;=0.3,1.5,IF(F7&gt;=0.5,1.1,1.5+(0.3-F7)*2)),IF(F7&lt;=0.3,1.8,IF(F7&gt;=0.5,1.4,1.8+(0.3-F7)*2))))</f>
        <v>1</v>
      </c>
      <c r="G9" s="272"/>
      <c r="I9" s="282">
        <f>IF($H5="第一類",1,IF($H5="第二類",IF(I7&lt;=0.6,1.1,IF(I7&gt;=0.7,1,1.1+(0.6-I7))),IF(I7&lt;=0.6,1.2,IF(I7&gt;=0.8,1,1.2+(0.6-I7)))))</f>
        <v>1</v>
      </c>
      <c r="J9" s="282">
        <f>IF($H5="第一類",1,IF($H5="第二類",IF(J7&lt;=0.3,1.5,IF(J7&gt;=0.5,1.1,1.5+(0.3-J7)*2)),IF(J7&lt;=0.3,1.8,IF(J7&gt;=0.5,1.4,1.8+(0.3-J7)*2))))</f>
        <v>1</v>
      </c>
      <c r="K9" s="282">
        <f>IF($H5="第一類",1,IF($H5="第二類",IF(K7&lt;=0.6,1.1,IF(K7&gt;=0.7,1,1.1+(0.6-K7))),IF(K7&lt;=0.6,1.2,IF(K7&gt;=0.8,1,1.2+(0.6-K7)))))</f>
        <v>1</v>
      </c>
      <c r="L9" s="282">
        <f>IF($H5="第一類",1,IF($H5="第二類",IF(L7&lt;=0.3,1.5,IF(L7&gt;=0.5,1.1,1.5+(0.3-L7)*2)),IF(L7&lt;=0.3,1.8,IF(L7&gt;=0.5,1.4,1.8+(0.3-L7)*2))))</f>
        <v>1</v>
      </c>
      <c r="M9" s="161"/>
      <c r="N9" s="161"/>
      <c r="O9" s="39"/>
      <c r="P9" s="44"/>
      <c r="Q9" s="39"/>
      <c r="R9" s="49"/>
      <c r="S9" s="46"/>
      <c r="T9" s="39"/>
      <c r="U9" s="49"/>
      <c r="V9" s="39"/>
      <c r="W9" s="49"/>
      <c r="X9" s="270"/>
      <c r="Y9" s="270"/>
      <c r="Z9" s="39"/>
      <c r="AA9" s="39"/>
      <c r="AB9" s="39"/>
      <c r="AC9" s="39"/>
      <c r="AD9" s="270"/>
      <c r="AE9" s="270"/>
      <c r="AF9" s="270"/>
      <c r="AG9" s="270"/>
    </row>
    <row r="10" spans="1:40" s="32" customFormat="1" ht="24" customHeight="1">
      <c r="A10" s="146" t="s">
        <v>1369</v>
      </c>
      <c r="B10" s="245">
        <v>30</v>
      </c>
      <c r="C10" s="104" t="s">
        <v>1723</v>
      </c>
      <c r="D10" s="104" t="s">
        <v>1721</v>
      </c>
      <c r="E10" s="104" t="s">
        <v>1724</v>
      </c>
      <c r="F10" s="275" t="s">
        <v>1726</v>
      </c>
      <c r="G10" s="272"/>
      <c r="H10" s="282" t="str">
        <f>A10&amp;" = " &amp;B10</f>
        <v>屋頂面高度 hn(m) = 30</v>
      </c>
      <c r="I10" s="104" t="s">
        <v>1722</v>
      </c>
      <c r="J10" s="104" t="s">
        <v>1725</v>
      </c>
      <c r="K10" s="104" t="s">
        <v>1724</v>
      </c>
      <c r="L10" s="104" t="s">
        <v>1726</v>
      </c>
      <c r="M10" s="161"/>
      <c r="N10" s="288" t="s">
        <v>1732</v>
      </c>
      <c r="O10" s="324"/>
      <c r="P10" s="44"/>
      <c r="Q10" s="39"/>
      <c r="R10" s="49"/>
      <c r="S10" s="46"/>
      <c r="T10" s="39"/>
      <c r="U10" s="49"/>
      <c r="V10" s="39"/>
      <c r="W10" s="49"/>
      <c r="X10" s="270"/>
      <c r="Y10" s="270"/>
      <c r="Z10" s="39"/>
      <c r="AA10" s="39"/>
      <c r="AB10" s="39"/>
      <c r="AC10" s="39"/>
      <c r="AD10" s="270"/>
      <c r="AE10" s="270"/>
      <c r="AF10" s="270"/>
      <c r="AG10" s="270"/>
    </row>
    <row r="11" spans="1:40" s="32" customFormat="1" ht="24" customHeight="1">
      <c r="A11" s="146" t="s">
        <v>1426</v>
      </c>
      <c r="B11" s="246" t="s">
        <v>1291</v>
      </c>
      <c r="C11" s="345">
        <f>ROUND(IF(B11="鋼構",0.085,IF(B11="RC",0.07,0.05))*B$10^0.75,4)</f>
        <v>0.89729999999999999</v>
      </c>
      <c r="D11" s="245">
        <v>0.89729999999999999</v>
      </c>
      <c r="E11" s="345">
        <f>C11*1.4</f>
        <v>1.2562199999999999</v>
      </c>
      <c r="F11" s="343">
        <f>ROUND(IF(C11&gt;=D11,D11,IF(D11&gt;=E11,E11,D11)),4)</f>
        <v>0.89729999999999999</v>
      </c>
      <c r="G11" s="180"/>
      <c r="H11" s="282" t="str">
        <f>A11&amp;" = " &amp;B11</f>
        <v>經驗公式構造分類 = RC</v>
      </c>
      <c r="I11" s="284">
        <f>C11</f>
        <v>0.89729999999999999</v>
      </c>
      <c r="J11" s="280">
        <f>D11</f>
        <v>0.89729999999999999</v>
      </c>
      <c r="K11" s="284">
        <f>E11</f>
        <v>1.2562199999999999</v>
      </c>
      <c r="L11" s="284">
        <f>ROUND(IF(I11&gt;=J11,J11,IF(J11&gt;=K11,K11,J11)),4)</f>
        <v>0.89729999999999999</v>
      </c>
      <c r="M11" s="285" t="str">
        <f ca="1">IF(L11&lt;=0.2*K17,"較短週期",IF(L11&lt;=K17,"短週期",IF(L11&lt;=2.5*K17,"中週期","長週期")))</f>
        <v>中週期</v>
      </c>
      <c r="N11" s="289">
        <v>1E-3</v>
      </c>
      <c r="O11" s="325"/>
      <c r="P11" s="50" t="s">
        <v>404</v>
      </c>
      <c r="Q11" s="39" t="s">
        <v>403</v>
      </c>
      <c r="R11" s="39">
        <v>1</v>
      </c>
      <c r="S11" s="46" t="s">
        <v>416</v>
      </c>
      <c r="T11" s="39" t="s">
        <v>389</v>
      </c>
      <c r="U11" s="39">
        <v>1</v>
      </c>
      <c r="V11" s="39" t="s">
        <v>389</v>
      </c>
      <c r="W11" s="39">
        <f>U11</f>
        <v>1</v>
      </c>
      <c r="X11" s="39"/>
      <c r="Y11" s="39"/>
      <c r="Z11" s="270"/>
      <c r="AA11" s="270"/>
      <c r="AB11" s="270"/>
      <c r="AC11" s="270"/>
      <c r="AD11" s="270"/>
      <c r="AE11" s="270"/>
      <c r="AF11" s="270"/>
      <c r="AG11" s="270"/>
    </row>
    <row r="12" spans="1:40" s="32" customFormat="1" ht="24" customHeight="1">
      <c r="A12" s="146" t="s">
        <v>1371</v>
      </c>
      <c r="B12" s="246">
        <v>2.4</v>
      </c>
      <c r="C12" s="104" t="s">
        <v>1372</v>
      </c>
      <c r="D12" s="345">
        <f>ROUND(1+(B12-1)/1.5,4)</f>
        <v>1.9333</v>
      </c>
      <c r="E12" s="105"/>
      <c r="F12" s="343" t="str">
        <f ca="1">IF(F11&lt;=0.2*D17,"較短週期",IF(F11&lt;=D17,"短週期",IF(F11&lt;=2.5*D17,"中週期","長週期")))</f>
        <v>中週期</v>
      </c>
      <c r="G12" s="272"/>
      <c r="H12" s="282" t="str">
        <f>A12&amp;" = " &amp;B12</f>
        <v>系統韌性容量 R = 2.4</v>
      </c>
      <c r="I12" s="248" t="s">
        <v>1716</v>
      </c>
      <c r="J12" s="248" t="s">
        <v>1717</v>
      </c>
      <c r="K12" s="248" t="s">
        <v>1718</v>
      </c>
      <c r="L12" s="248" t="s">
        <v>1719</v>
      </c>
      <c r="M12" s="276" t="s">
        <v>1372</v>
      </c>
      <c r="N12" s="272"/>
      <c r="P12" s="50" t="s">
        <v>1367</v>
      </c>
      <c r="Q12" s="45" t="s">
        <v>390</v>
      </c>
      <c r="R12" s="51">
        <f>R5*R6*R8*R11</f>
        <v>0.11399999999999999</v>
      </c>
      <c r="S12" s="46" t="s">
        <v>415</v>
      </c>
      <c r="T12" s="39" t="s">
        <v>1368</v>
      </c>
      <c r="U12" s="39">
        <f>1+($B12-1)/2</f>
        <v>1.7</v>
      </c>
      <c r="V12" s="39" t="s">
        <v>1368</v>
      </c>
      <c r="W12" s="39">
        <f>U12</f>
        <v>1.7</v>
      </c>
      <c r="X12" s="39"/>
      <c r="Y12" s="39"/>
      <c r="Z12" s="270"/>
      <c r="AA12" s="270"/>
      <c r="AB12" s="270"/>
      <c r="AD12" s="270"/>
      <c r="AE12" s="270"/>
      <c r="AF12" s="270"/>
      <c r="AG12" s="270"/>
      <c r="AI12" s="270"/>
    </row>
    <row r="13" spans="1:40" s="32" customFormat="1" ht="24" customHeight="1">
      <c r="A13" s="146" t="s">
        <v>459</v>
      </c>
      <c r="B13" s="246">
        <v>1</v>
      </c>
      <c r="C13" s="247" t="s">
        <v>1728</v>
      </c>
      <c r="D13" s="345">
        <f>ROUND((2*D12-1)^0.5,4)</f>
        <v>1.6931</v>
      </c>
      <c r="F13" s="272"/>
      <c r="G13" s="272"/>
      <c r="H13" s="282" t="str">
        <f>A13&amp;" = " &amp;B13</f>
        <v>用途係數 I = 1</v>
      </c>
      <c r="I13" s="282">
        <f>IF($H5="第一類",1,IF($H5="第二類",IF(I3&lt;=0.6,1.1,IF(I3&gt;=0.7,1,1.1+(0.6-I3))),IF(I3&lt;=0.6,1.2,IF(I3&gt;=0.8,1,1.2+(0.6-I3)))))</f>
        <v>1</v>
      </c>
      <c r="J13" s="282">
        <f>IF($H5="第一類",1,IF($H5="第二類",IF(J3&lt;=0.3,1.5,IF(J3&gt;=0.5,1.1,1.5+(0.3-J3)*2)),IF(J3&lt;=0.3,1.8,IF(J3&gt;=0.5,1.4,1.8+(0.3-J3)*2))))</f>
        <v>1</v>
      </c>
      <c r="K13" s="282">
        <f>IF($H5="第一類",1,IF($H5="第二類",IF(K3&lt;=0.6,1.1,IF(K3&gt;=0.7,1,1.1+(0.6-K3))),IF(K3&lt;=0.6,1.2,IF(K3&gt;=0.8,1,1.2+(0.6-K3)))))</f>
        <v>1</v>
      </c>
      <c r="L13" s="282">
        <f>IF($H5="第一類",1,IF($H5="第二類",IF(L3&lt;=0.3,1.5,IF(L3&gt;=0.5,1.1,1.5+(0.3-L3)*2)),IF(L3&lt;=0.3,1.8,IF(L3&gt;=0.5,1.4,1.8+(0.3-L3)*2))))</f>
        <v>1</v>
      </c>
      <c r="M13" s="285">
        <f>D12</f>
        <v>1.9333</v>
      </c>
      <c r="N13" s="272"/>
      <c r="Q13" s="52" t="s">
        <v>1294</v>
      </c>
      <c r="R13" s="52">
        <f>ROUND(1/8/(R7^0.5),4)</f>
        <v>0.14249999999999999</v>
      </c>
      <c r="S13" s="46" t="s">
        <v>414</v>
      </c>
      <c r="T13" s="39" t="s">
        <v>1370</v>
      </c>
      <c r="U13" s="39">
        <f>IF(U7&gt;0.611,U$12,IF(IF(U7&gt;0.611,U$12,IF(U7&gt;0.406,AD$5+(U$12-AD$5)*(U7-0.406)/0.205,IF(U7&gt;0.2,AD$5,IF(U7&gt;0.03,AD$5+(AD$5-1)*(U7-0.2)/0.17,1))))&gt;0.406,AD$5+(U$12-AD$5)*(U7-0.406)/0.205,IF(U7&gt;0.2,AD$5,IF(U7&gt;0.03,AD$5+(AD$5-1)*(U7-0.2)/0.17,1))))</f>
        <v>1.7</v>
      </c>
      <c r="V13" s="39" t="s">
        <v>1370</v>
      </c>
      <c r="W13" s="39">
        <f>U13</f>
        <v>1.7</v>
      </c>
      <c r="X13" s="39"/>
      <c r="Y13" s="49"/>
      <c r="Z13" s="270"/>
      <c r="AA13" s="270"/>
      <c r="AB13" s="270"/>
      <c r="AD13" s="270"/>
      <c r="AE13" s="270"/>
      <c r="AF13" s="270"/>
      <c r="AG13" s="270"/>
      <c r="AH13" s="270"/>
      <c r="AI13" s="270"/>
      <c r="AJ13" s="270"/>
      <c r="AK13" s="270"/>
      <c r="AL13" s="270"/>
      <c r="AM13" s="270"/>
      <c r="AN13" s="270"/>
    </row>
    <row r="14" spans="1:40" s="32" customFormat="1" ht="24" customHeight="1">
      <c r="A14" s="147" t="s">
        <v>1688</v>
      </c>
      <c r="B14" s="246">
        <v>1</v>
      </c>
      <c r="C14" s="247" t="s">
        <v>1727</v>
      </c>
      <c r="D14" s="345">
        <f>ROUND((2*B12-1)^0.5,4)</f>
        <v>1.9494</v>
      </c>
      <c r="E14" s="270"/>
      <c r="F14" s="272"/>
      <c r="G14" s="272"/>
      <c r="H14" s="287" t="str">
        <f>A14&amp;" = " &amp;B14</f>
        <v>起始降伏地震力放大倍數αy = 1</v>
      </c>
      <c r="I14" s="392" t="str">
        <f>C13 &amp; "="&amp;D13</f>
        <v>√(2Ra-1)=1.6931</v>
      </c>
      <c r="J14" s="393"/>
      <c r="K14" s="392" t="str">
        <f>C14 &amp; "="&amp;D14</f>
        <v>√(2R-1)=1.9494</v>
      </c>
      <c r="L14" s="393"/>
      <c r="M14" s="275"/>
      <c r="N14" s="272"/>
      <c r="R14" s="54">
        <v>0.15</v>
      </c>
      <c r="S14" s="270"/>
      <c r="T14" s="39" t="s">
        <v>1295</v>
      </c>
      <c r="U14" s="35">
        <f>ROUND(U8/U13,4)</f>
        <v>0.75880000000000003</v>
      </c>
      <c r="V14" s="39" t="s">
        <v>1295</v>
      </c>
      <c r="W14" s="35">
        <f>ROUND(W8/W13,4)</f>
        <v>0.75880000000000003</v>
      </c>
      <c r="X14" s="270"/>
      <c r="Z14" s="270"/>
      <c r="AD14" s="270"/>
      <c r="AE14" s="270"/>
      <c r="AF14" s="270"/>
      <c r="AG14" s="270"/>
      <c r="AH14" s="270"/>
    </row>
    <row r="15" spans="1:40" s="32" customFormat="1" ht="24" customHeight="1">
      <c r="A15" s="387" t="s">
        <v>442</v>
      </c>
      <c r="B15" s="388"/>
      <c r="D15" s="270"/>
      <c r="E15" s="270"/>
      <c r="F15" s="272"/>
      <c r="G15" s="272"/>
      <c r="H15" s="389" t="s">
        <v>442</v>
      </c>
      <c r="I15" s="390"/>
      <c r="L15" s="233"/>
      <c r="M15" s="163"/>
      <c r="N15" s="163"/>
      <c r="O15" s="306"/>
      <c r="P15" s="270"/>
      <c r="Q15" s="45" t="s">
        <v>390</v>
      </c>
      <c r="R15" s="51">
        <f>R5*R6*R14*R11</f>
        <v>0.12</v>
      </c>
      <c r="T15" s="39" t="s">
        <v>1296</v>
      </c>
      <c r="U15" s="51">
        <f>IF(U14&gt;1,1,U14)</f>
        <v>0.75880000000000003</v>
      </c>
      <c r="V15" s="39" t="s">
        <v>1296</v>
      </c>
      <c r="W15" s="51">
        <f>IF(W14&gt;1,1,W14)</f>
        <v>0.75880000000000003</v>
      </c>
      <c r="AD15" s="270"/>
      <c r="AE15" s="270"/>
      <c r="AF15" s="270"/>
      <c r="AG15" s="270"/>
      <c r="AH15" s="270"/>
    </row>
    <row r="16" spans="1:40" s="32" customFormat="1" ht="24" customHeight="1">
      <c r="A16" s="149" t="s">
        <v>1281</v>
      </c>
      <c r="B16" s="107" t="s">
        <v>1421</v>
      </c>
      <c r="C16" s="55" t="s">
        <v>1422</v>
      </c>
      <c r="D16" s="274" t="s">
        <v>1375</v>
      </c>
      <c r="E16" s="55" t="s">
        <v>1376</v>
      </c>
      <c r="F16" s="150" t="s">
        <v>1377</v>
      </c>
      <c r="G16" s="161"/>
      <c r="H16" s="149" t="s">
        <v>1281</v>
      </c>
      <c r="I16" s="55" t="s">
        <v>1373</v>
      </c>
      <c r="J16" s="55" t="s">
        <v>1374</v>
      </c>
      <c r="K16" s="274" t="s">
        <v>1375</v>
      </c>
      <c r="L16" s="55" t="s">
        <v>1376</v>
      </c>
      <c r="M16" s="150" t="s">
        <v>1377</v>
      </c>
      <c r="N16" s="174" t="s">
        <v>1378</v>
      </c>
      <c r="O16" s="326"/>
      <c r="P16" s="140"/>
      <c r="T16" s="45" t="s">
        <v>390</v>
      </c>
      <c r="U16" s="51">
        <f>U5*U11/1.4/U6*U15</f>
        <v>8.3106666666666676E-2</v>
      </c>
      <c r="V16" s="45" t="s">
        <v>390</v>
      </c>
      <c r="W16" s="51">
        <f>W5*W11*W8/1.4/W6/W13</f>
        <v>0.11923423851532038</v>
      </c>
      <c r="AD16" s="270"/>
      <c r="AE16" s="270"/>
      <c r="AF16" s="270"/>
      <c r="AG16" s="270"/>
    </row>
    <row r="17" spans="1:29" s="32" customFormat="1" ht="24" customHeight="1">
      <c r="A17" s="142"/>
      <c r="B17" s="345">
        <f ca="1">ROUND(C$9*C$7,4)</f>
        <v>0.80689999999999995</v>
      </c>
      <c r="C17" s="345">
        <f ca="1">ROUND(D$9*D$7,4)</f>
        <v>0.45340000000000003</v>
      </c>
      <c r="D17" s="345">
        <f ca="1">ROUND(C$17/B$17,4)</f>
        <v>0.56189999999999996</v>
      </c>
      <c r="E17" s="345">
        <f ca="1">ROUND(D17*0.2,4)</f>
        <v>0.1124</v>
      </c>
      <c r="F17" s="343">
        <f ca="1">ROUND(D17*0.6,4)</f>
        <v>0.33710000000000001</v>
      </c>
      <c r="G17" s="171"/>
      <c r="H17" s="142"/>
      <c r="I17" s="284">
        <f ca="1">ROUND(I3*I$9*I$5,4)</f>
        <v>0.84</v>
      </c>
      <c r="J17" s="284">
        <f ca="1">ROUND(J3*J$9*J$5,4)</f>
        <v>0.50800000000000001</v>
      </c>
      <c r="K17" s="284">
        <f ca="1">ROUND(J$17/I$17,4)</f>
        <v>0.6048</v>
      </c>
      <c r="L17" s="284">
        <f ca="1">ROUND(K17*0.2,4)</f>
        <v>0.121</v>
      </c>
      <c r="M17" s="285">
        <f ca="1">ROUND(K17*0.6,4)</f>
        <v>0.3629</v>
      </c>
      <c r="N17" s="174">
        <f ca="1">K17*2.5</f>
        <v>1.512</v>
      </c>
      <c r="O17" s="39"/>
      <c r="T17" s="39">
        <f>VLOOKUP($B$5,工址放大係數!$B$12:$L$14,2,FALSE)</f>
        <v>0.03</v>
      </c>
      <c r="U17" s="39">
        <f>VLOOKUP($B$5,工址放大係數!$B$12:$L$14,3,FALSE)</f>
        <v>0.15</v>
      </c>
      <c r="V17" s="39">
        <f>VLOOKUP($B$5,工址放大係數!$B$12:$L$14,4,FALSE)</f>
        <v>0.33300000000000002</v>
      </c>
      <c r="W17" s="39">
        <f>VLOOKUP($B$5,工址放大係數!$B$12:$L$14,5,FALSE)</f>
        <v>1.3149999999999999</v>
      </c>
      <c r="X17" s="39">
        <f>VLOOKUP($B$5,工址放大係數!$B$12:$I$14,6,FALSE)</f>
        <v>1</v>
      </c>
      <c r="Y17" s="39">
        <f>VLOOKUP($B$5,工址放大係數!$B$12:$L$14,7,FALSE)</f>
        <v>12.5</v>
      </c>
      <c r="Z17" s="39">
        <f>VLOOKUP($B$5,工址放大係數!$B$12:$L$14,8,FALSE)</f>
        <v>0.625</v>
      </c>
      <c r="AA17" s="39">
        <f>VLOOKUP($B$5,工址放大係數!$B$12:$L$14,9,FALSE)</f>
        <v>2.5</v>
      </c>
      <c r="AB17" s="39">
        <f>VLOOKUP($B$5,工址放大係數!$B$12:$K$14,10,FALSE)</f>
        <v>1.2</v>
      </c>
      <c r="AC17" s="42">
        <f>VLOOKUP($B$5,工址放大係數!$B$12:$L$14,11,FALSE)</f>
        <v>0.66666666666666663</v>
      </c>
    </row>
    <row r="18" spans="1:29" s="32" customFormat="1" ht="24" customHeight="1" thickBot="1">
      <c r="A18" s="149" t="s">
        <v>1288</v>
      </c>
      <c r="B18" s="55" t="s">
        <v>1379</v>
      </c>
      <c r="C18" s="55" t="s">
        <v>1380</v>
      </c>
      <c r="D18" s="274" t="s">
        <v>1789</v>
      </c>
      <c r="E18" s="55" t="s">
        <v>1790</v>
      </c>
      <c r="F18" s="150" t="s">
        <v>1791</v>
      </c>
      <c r="G18" s="161"/>
      <c r="H18" s="149" t="s">
        <v>1288</v>
      </c>
      <c r="I18" s="55" t="s">
        <v>1379</v>
      </c>
      <c r="J18" s="55" t="s">
        <v>1380</v>
      </c>
      <c r="K18" s="274" t="s">
        <v>1375</v>
      </c>
      <c r="L18" s="55" t="s">
        <v>1376</v>
      </c>
      <c r="M18" s="150" t="s">
        <v>1377</v>
      </c>
      <c r="N18" s="174" t="s">
        <v>1378</v>
      </c>
      <c r="O18" s="39"/>
    </row>
    <row r="19" spans="1:29" s="32" customFormat="1" ht="24" customHeight="1" thickTop="1">
      <c r="A19" s="142"/>
      <c r="B19" s="345">
        <f ca="1">C3*C5</f>
        <v>0.8</v>
      </c>
      <c r="C19" s="345">
        <f ca="1">D3*D5</f>
        <v>0.45</v>
      </c>
      <c r="D19" s="345">
        <f ca="1">ROUND(C19/B19,4)</f>
        <v>0.5625</v>
      </c>
      <c r="E19" s="345">
        <f ca="1">D19*0.2</f>
        <v>0.1125</v>
      </c>
      <c r="F19" s="343">
        <f ca="1">D19*0.6</f>
        <v>0.33749999999999997</v>
      </c>
      <c r="G19" s="171"/>
      <c r="H19" s="142"/>
      <c r="I19" s="284">
        <f ca="1">I3*I13</f>
        <v>0.7</v>
      </c>
      <c r="J19" s="284">
        <f ca="1">J3*J13</f>
        <v>0.4</v>
      </c>
      <c r="K19" s="284">
        <f ca="1">ROUND(J19/I19,4)</f>
        <v>0.57140000000000002</v>
      </c>
      <c r="L19" s="284">
        <f ca="1">K19*0.2</f>
        <v>0.11428000000000001</v>
      </c>
      <c r="M19" s="285">
        <f ca="1">K19*0.6</f>
        <v>0.34283999999999998</v>
      </c>
      <c r="N19" s="175">
        <f ca="1">K19*2.5</f>
        <v>1.4285000000000001</v>
      </c>
      <c r="O19" s="327"/>
      <c r="R19" s="256" t="s">
        <v>427</v>
      </c>
      <c r="S19" s="250">
        <f>H7</f>
        <v>5</v>
      </c>
      <c r="T19" s="257" t="s">
        <v>1693</v>
      </c>
      <c r="U19" s="257"/>
      <c r="V19" s="257"/>
      <c r="W19" s="258"/>
    </row>
    <row r="20" spans="1:29" s="32" customFormat="1" ht="24" customHeight="1" thickBot="1">
      <c r="A20" s="149" t="s">
        <v>1289</v>
      </c>
      <c r="B20" s="55" t="s">
        <v>1423</v>
      </c>
      <c r="C20" s="55" t="s">
        <v>1424</v>
      </c>
      <c r="D20" s="274" t="s">
        <v>1383</v>
      </c>
      <c r="E20" s="55" t="s">
        <v>1384</v>
      </c>
      <c r="F20" s="150" t="s">
        <v>1385</v>
      </c>
      <c r="G20" s="161"/>
      <c r="H20" s="149" t="s">
        <v>1289</v>
      </c>
      <c r="I20" s="274" t="s">
        <v>1381</v>
      </c>
      <c r="J20" s="55" t="s">
        <v>1382</v>
      </c>
      <c r="K20" s="274" t="s">
        <v>1383</v>
      </c>
      <c r="L20" s="55" t="s">
        <v>1384</v>
      </c>
      <c r="M20" s="150" t="s">
        <v>1385</v>
      </c>
      <c r="N20" s="174" t="s">
        <v>1378</v>
      </c>
      <c r="O20" s="39"/>
      <c r="R20" s="259"/>
      <c r="S20" s="260">
        <v>40725</v>
      </c>
      <c r="T20" s="261" t="s">
        <v>1360</v>
      </c>
      <c r="U20" s="261" t="s">
        <v>1361</v>
      </c>
      <c r="V20" s="261" t="s">
        <v>1362</v>
      </c>
      <c r="W20" s="262" t="s">
        <v>1363</v>
      </c>
    </row>
    <row r="21" spans="1:29" s="32" customFormat="1" ht="24" customHeight="1" thickTop="1">
      <c r="A21" s="142"/>
      <c r="B21" s="345">
        <f ca="1">E$9*E$7</f>
        <v>1.01715</v>
      </c>
      <c r="C21" s="345">
        <f ca="1">F$9*F$7</f>
        <v>0.56372</v>
      </c>
      <c r="D21" s="345">
        <f ca="1">ROUND(C$21/B$21,4)</f>
        <v>0.55420000000000003</v>
      </c>
      <c r="E21" s="345">
        <f ca="1">ROUND(D21*0.2,4)</f>
        <v>0.1108</v>
      </c>
      <c r="F21" s="343">
        <f ca="1">ROUND(D21*0.6,4)</f>
        <v>0.33250000000000002</v>
      </c>
      <c r="G21" s="171"/>
      <c r="H21" s="142"/>
      <c r="I21" s="284">
        <f ca="1">K3*K$9*K$5</f>
        <v>1.0620000000000001</v>
      </c>
      <c r="J21" s="284">
        <f ca="1">L3*L$9*L$5</f>
        <v>0.66</v>
      </c>
      <c r="K21" s="284">
        <f ca="1">ROUND(J$21/I$21,4)</f>
        <v>0.62150000000000005</v>
      </c>
      <c r="L21" s="284">
        <f ca="1">ROUND(K21*0.2,4)</f>
        <v>0.12429999999999999</v>
      </c>
      <c r="M21" s="285">
        <f ca="1">ROUND(K21*0.6,4)</f>
        <v>0.37290000000000001</v>
      </c>
      <c r="N21" s="175">
        <f ca="1">K21*2.5</f>
        <v>1.5537500000000002</v>
      </c>
      <c r="O21" s="327"/>
      <c r="R21" s="251"/>
      <c r="S21" s="37" t="s">
        <v>357</v>
      </c>
      <c r="T21" s="32">
        <v>1</v>
      </c>
      <c r="U21" s="32">
        <v>1</v>
      </c>
      <c r="V21" s="32">
        <v>1</v>
      </c>
      <c r="W21" s="272">
        <v>1</v>
      </c>
    </row>
    <row r="22" spans="1:29" s="32" customFormat="1" ht="24" customHeight="1">
      <c r="A22" s="173" t="s">
        <v>1420</v>
      </c>
      <c r="B22" s="344" t="str">
        <f ca="1">0.4*B17 &amp; " g"</f>
        <v>0.32276 g</v>
      </c>
      <c r="C22" s="344" t="str">
        <f ca="1">"= " &amp; ROUND(0.4*B17*981,1) &amp; " gal"</f>
        <v>= 316.6 gal</v>
      </c>
      <c r="F22" s="272"/>
      <c r="G22" s="171"/>
      <c r="H22" s="173" t="s">
        <v>1420</v>
      </c>
      <c r="I22" s="286" t="str">
        <f ca="1">0.4*I17 &amp; " g"</f>
        <v>0.336 g</v>
      </c>
      <c r="J22" s="286" t="str">
        <f ca="1">"= " &amp; ROUND(0.4*I17*981,1) &amp; " gal"</f>
        <v>= 329.6 gal</v>
      </c>
      <c r="K22" s="49"/>
      <c r="L22" s="49"/>
      <c r="M22" s="171"/>
      <c r="N22" s="172"/>
      <c r="O22" s="327"/>
      <c r="R22" s="252">
        <v>1</v>
      </c>
      <c r="S22" s="38" t="s">
        <v>81</v>
      </c>
      <c r="T22" s="32">
        <f>IF(S$19&lt;=2,1.23,IF(S$19&lt;=5,1.16,IF(S$19&lt;=8,1.07,IF(S$19&lt;=12,1.03,1))))</f>
        <v>1.1599999999999999</v>
      </c>
      <c r="U22" s="32">
        <f>IF(S$19&lt;=2,1.36,IF(S$19&lt;=5,1.32,IF(S$19&lt;=8,1.22,IF(S$19&lt;=12,1.1,1))))</f>
        <v>1.32</v>
      </c>
      <c r="V22" s="32">
        <f>IF(S$19&lt;=2,1.25,IF(S$19&lt;=5,1.2,IF(S$19&lt;=8,1.1,IF(S$19&lt;=12,1.03,1))))</f>
        <v>1.2</v>
      </c>
      <c r="W22" s="272">
        <f>IF(S$19&lt;=2,1.5,IF(S$19&lt;=5,1.45,IF(S$19&lt;=8,1.3,IF(S$19&lt;=12,1.15,1))))</f>
        <v>1.45</v>
      </c>
    </row>
    <row r="23" spans="1:29" s="32" customFormat="1" ht="24" customHeight="1">
      <c r="A23" s="391" t="s">
        <v>467</v>
      </c>
      <c r="B23" s="390"/>
      <c r="C23" s="34"/>
      <c r="F23" s="272"/>
      <c r="G23" s="272"/>
      <c r="H23" s="391" t="s">
        <v>467</v>
      </c>
      <c r="I23" s="390"/>
      <c r="J23" s="34"/>
      <c r="M23" s="272"/>
      <c r="N23" s="211">
        <f>IF(H6="無",1/2,2/3)</f>
        <v>0.66666666666666663</v>
      </c>
      <c r="O23" s="328"/>
      <c r="R23" s="251">
        <v>2</v>
      </c>
      <c r="S23" s="38" t="s">
        <v>73</v>
      </c>
      <c r="T23" s="32">
        <f>IF(S$19&lt;=2,1.28,IF(S$19&lt;=5,1.2,IF(S$19&lt;=8,1.1,1)))</f>
        <v>1.2</v>
      </c>
      <c r="U23" s="32">
        <f>IF(S$19&lt;=2,1.33,IF(S$19&lt;=5,1.27,IF(S$19&lt;=8,1.1,1)))</f>
        <v>1.27</v>
      </c>
      <c r="V23" s="32">
        <f>IF(S$19&lt;=2,1.26,IF(S$19&lt;=5,1.18,IF(S$19&lt;=8,1.05,1)))</f>
        <v>1.18</v>
      </c>
      <c r="W23" s="272">
        <f>IF(S$19&lt;=2,1.42,IF(S$19&lt;=5,1.32,IF(S$19&lt;=8,1.15,1)))</f>
        <v>1.32</v>
      </c>
    </row>
    <row r="24" spans="1:29" s="32" customFormat="1" ht="24" customHeight="1">
      <c r="A24" s="143" t="s">
        <v>1281</v>
      </c>
      <c r="B24" s="108" t="s">
        <v>1386</v>
      </c>
      <c r="C24" s="274" t="s">
        <v>1792</v>
      </c>
      <c r="D24" s="274" t="s">
        <v>1793</v>
      </c>
      <c r="E24" s="274" t="s">
        <v>1794</v>
      </c>
      <c r="F24" s="148"/>
      <c r="G24" s="148"/>
      <c r="H24" s="143" t="s">
        <v>1281</v>
      </c>
      <c r="I24" s="274" t="s">
        <v>1386</v>
      </c>
      <c r="J24" s="274" t="s">
        <v>1387</v>
      </c>
      <c r="K24" s="274" t="s">
        <v>1388</v>
      </c>
      <c r="L24" s="274" t="s">
        <v>1389</v>
      </c>
      <c r="M24" s="213" t="s">
        <v>1664</v>
      </c>
      <c r="N24" s="216" t="s">
        <v>1661</v>
      </c>
      <c r="O24" s="216"/>
      <c r="P24" s="214" t="s">
        <v>1662</v>
      </c>
      <c r="Q24" s="249" t="s">
        <v>1663</v>
      </c>
      <c r="R24" s="251">
        <v>3</v>
      </c>
      <c r="S24" s="38" t="s">
        <v>372</v>
      </c>
      <c r="T24" s="32">
        <f>IF(S$19&lt;=2,1.28,IF(S$19&lt;=5,1.2,IF(S$19&lt;=10,1.1,1)))</f>
        <v>1.2</v>
      </c>
      <c r="U24" s="32">
        <f>IF(S$19&lt;=2,1.31,IF(S$19&lt;=5,1.25,IF(S$19&lt;=10,1.15,1)))</f>
        <v>1.25</v>
      </c>
      <c r="V24" s="32">
        <f>IF(S$19&lt;=2,1.26,IF(S$19&lt;=5,1.17,IF(S$19&lt;=10,1.05,1)))</f>
        <v>1.17</v>
      </c>
      <c r="W24" s="272">
        <f>IF(S$19&lt;=2,1.42,IF(S$19&lt;=5,1.32,IF(S$19&lt;=10,1.15,1)))</f>
        <v>1.32</v>
      </c>
    </row>
    <row r="25" spans="1:29" s="32" customFormat="1" ht="24" customHeight="1">
      <c r="A25" s="142"/>
      <c r="B25" s="53">
        <f ca="1">ROUND(IF($F$11&gt;2.5*D17,0.4*B17,IF($F$11&gt;D17,C17/$F$11,IF($F$11&gt;E17,B17,B17*(0.4+3*$F$11/D17)))),4)</f>
        <v>0.50529999999999997</v>
      </c>
      <c r="C25" s="53">
        <f ca="1">ROUND(IF($F11&gt;=D$17,$D$12,IF($F11&gt;=F$17,$D$13+($D$12-$D$13)*($F$11-0.6*$D$17)/0.4/$D$17,IF($F11&lt;E$17,$D$13+($D$13-1)*($F$11-$E$17)/$E$17,$D$13))),4)</f>
        <v>1.9333</v>
      </c>
      <c r="D25" s="53">
        <f ca="1">ROUND(B25/C25,4)</f>
        <v>0.26140000000000002</v>
      </c>
      <c r="E25" s="53">
        <f ca="1">ROUND(IF(D25&lt;=0.3,D25,IF(D25&lt;0.8,0.52*D25+0.144,0.7*D25)),4)</f>
        <v>0.26140000000000002</v>
      </c>
      <c r="F25" s="148"/>
      <c r="G25" s="148"/>
      <c r="H25" s="142"/>
      <c r="I25" s="53">
        <f ca="1">ROUND(IF($F$11&gt;2.5*K17,0.4*I17,IF($F$11&gt;K17,J17/$F$11,IF($F$11&gt;L17,I17,I17*(0.4+3*$F$11/K17)))),4)</f>
        <v>0.56610000000000005</v>
      </c>
      <c r="J25" s="53">
        <f ca="1">ROUND(IF($F11&gt;=K$17,$D$12,IF($F11&gt;=M$17,$D$13+($D$12-$D$13)*($F11-0.6*K$17)/0.4/K$17,IF($F11&lt;L$17,$D$13+($D$13-1)*($F11-L$17)/L$17,$D$13))),4)</f>
        <v>1.9333</v>
      </c>
      <c r="K25" s="53">
        <f ca="1">ROUND(I25/J25,4)</f>
        <v>0.2928</v>
      </c>
      <c r="L25" s="53">
        <f ca="1">IF(K25&lt;=0.3,K25,IF(K25&lt;0.8,ROUND(0.52*K25+0.144,4),0.7*K25))</f>
        <v>0.2928</v>
      </c>
      <c r="M25" s="165">
        <f ca="1">IF(Q25&lt;=0.2,Q25,IF(Q25&lt;0.53,ROUND(0.52*Q25+0.096,4),0.7*Q25))</f>
        <v>0.29070000000000001</v>
      </c>
      <c r="N25" s="217">
        <f ca="1">I25*N$23</f>
        <v>0.37740000000000001</v>
      </c>
      <c r="O25" s="217"/>
      <c r="P25" s="215">
        <f ca="1">ROUND(IF($N$11&gt;=K17,$B$12,IF($N$11&gt;=M17,$D$14+($B$12-$D$14)*($N$11-0.6*M17)/0.4/K17,IF($N$11&lt;L17,$D$14+($D$14-1)*($N$11-L17)/L17,$D$14))),4)</f>
        <v>1.0078</v>
      </c>
      <c r="Q25" s="212">
        <f ca="1">ROUND(N25/P25,4)</f>
        <v>0.3745</v>
      </c>
      <c r="R25" s="251">
        <v>4</v>
      </c>
      <c r="S25" s="38" t="s">
        <v>169</v>
      </c>
      <c r="T25" s="32">
        <f>IF(S$19&lt;=2,1.37,IF(S$19&lt;=5,1.28,IF(S$19&lt;=8,1.15,1)))</f>
        <v>1.28</v>
      </c>
      <c r="U25" s="32">
        <f>IF(S$19&lt;=2,1.44,IF(S$19&lt;=5,1.36,IF(S$19&lt;=8,1.2,1)))</f>
        <v>1.36</v>
      </c>
      <c r="V25" s="32">
        <f>IF(S$19&lt;=2,1.3,IF(S$19&lt;=5,1.2,IF(S$19&lt;=8,1.05,1)))</f>
        <v>1.2</v>
      </c>
      <c r="W25" s="272">
        <f>IF(S$19&lt;=2,1.48,IF(S$19&lt;=5,1.36,IF(S$19&lt;=8,1.15,1)))</f>
        <v>1.36</v>
      </c>
    </row>
    <row r="26" spans="1:29" s="32" customFormat="1" ht="24" customHeight="1">
      <c r="A26" s="143" t="s">
        <v>1586</v>
      </c>
      <c r="B26" s="274" t="s">
        <v>1390</v>
      </c>
      <c r="C26" s="274" t="s">
        <v>1795</v>
      </c>
      <c r="D26" s="274" t="s">
        <v>1796</v>
      </c>
      <c r="E26" s="274" t="s">
        <v>1797</v>
      </c>
      <c r="F26" s="151"/>
      <c r="G26" s="151"/>
      <c r="H26" s="143" t="s">
        <v>1586</v>
      </c>
      <c r="I26" s="274" t="s">
        <v>1390</v>
      </c>
      <c r="J26" s="274" t="s">
        <v>1387</v>
      </c>
      <c r="K26" s="274" t="s">
        <v>1391</v>
      </c>
      <c r="L26" s="274" t="s">
        <v>1392</v>
      </c>
      <c r="M26" s="272"/>
      <c r="N26" s="151"/>
      <c r="O26" s="151"/>
      <c r="P26" s="151"/>
      <c r="R26" s="251">
        <v>5</v>
      </c>
      <c r="S26" s="38" t="s">
        <v>220</v>
      </c>
      <c r="T26" s="32">
        <f>IF(S$19&lt;=2,1.23,IF(S$19&lt;=5,1.06,1))</f>
        <v>1.06</v>
      </c>
      <c r="U26" s="32">
        <f>IF(S$19&lt;=2,1.15,IF(S$19&lt;=5,1.05,1))</f>
        <v>1.05</v>
      </c>
      <c r="V26" s="32">
        <f>IF(S$19&lt;=2,1.29,IF(S$19&lt;=5,1.1,1))</f>
        <v>1.1000000000000001</v>
      </c>
      <c r="W26" s="272">
        <f>IF(S$19&lt;=2,1.3,IF(S$19&lt;=5,1.15,1))</f>
        <v>1.1499999999999999</v>
      </c>
    </row>
    <row r="27" spans="1:29" s="32" customFormat="1" ht="24" customHeight="1">
      <c r="A27" s="142"/>
      <c r="B27" s="53">
        <f ca="1">ROUND(IF($F$11&gt;2.5*D19,0.4*B19,IF($F$11&gt;D19,C19/$F$11,IF($F$11&gt;E19,B19,B19*(0.4+3*$F$11/D19)))),4)</f>
        <v>0.50149999999999995</v>
      </c>
      <c r="C27" s="56">
        <f ca="1">ROUND(IF($F11&gt;=D$19,$D$12,IF($F11&gt;=F$19,$D$13+($D$12-$D$13)*($F11-0.6*D$19)/0.4/D$19,IF($F11&lt;E$19,$D$13+($D$13-1)*(F11-E$19)/E$19,$D$13))),4)</f>
        <v>1.9333</v>
      </c>
      <c r="D27" s="53">
        <f ca="1">ROUND(B27/C27,4)</f>
        <v>0.25940000000000002</v>
      </c>
      <c r="E27" s="53">
        <f ca="1">ROUND(IF(D27&lt;=0.3,D27,IF(D27&lt;0.8,0.52*D27+0.144,0.7*D27)),4)</f>
        <v>0.25940000000000002</v>
      </c>
      <c r="F27" s="151"/>
      <c r="G27" s="151"/>
      <c r="H27" s="142"/>
      <c r="I27" s="53">
        <f ca="1">ROUND(IF($F$11&gt;2.5*K19,0.4*I19,IF($F$11&gt;K19,J19/$F$11,IF($F$11&gt;L19,I19,I19*(0.4+3*$F$11/K19)))),4)</f>
        <v>0.44579999999999997</v>
      </c>
      <c r="J27" s="56">
        <f ca="1">ROUND(IF($F11&gt;=K$19,$D$12,IF($F11&gt;=M$19,$D$13+($D$12-$D$13)*($F11-0.6*K$19)/0.4/K$19,IF($F11&lt;L$19,$D$13+($D$13-1)*($F11-L$19)/L$19,$D$13))),4)</f>
        <v>1.9333</v>
      </c>
      <c r="K27" s="53">
        <f ca="1">ROUND(I27/J27,4)</f>
        <v>0.2306</v>
      </c>
      <c r="L27" s="53">
        <f ca="1">IF(K27&lt;=0.3,K27,IF(K27&lt;0.8,ROUND(0.52*K27+0.144,4),0.7*K27))</f>
        <v>0.2306</v>
      </c>
      <c r="M27" s="165">
        <f ca="1">IF(Q27&lt;=0.2,Q27,IF(Q27&lt;0.53,ROUND(0.52*Q27+0.096,4),0.7*Q27))</f>
        <v>0.24929999999999999</v>
      </c>
      <c r="N27" s="217">
        <f ca="1">I27*N$23</f>
        <v>0.29719999999999996</v>
      </c>
      <c r="O27" s="217"/>
      <c r="P27" s="215">
        <f ca="1">ROUND(IF($N$11&gt;=K19,$B$12,IF($N$11&gt;=M19,$D$14+($B$12-$D$14)*($N$11-0.6*M19)/0.4/K19,IF($N$11&lt;L19,$D$14+($D$14-1)*($N$11-L19)/L19,$D$14))),4)</f>
        <v>1.0083</v>
      </c>
      <c r="Q27" s="212">
        <f ca="1">ROUND(N27/P27,4)</f>
        <v>0.29480000000000001</v>
      </c>
      <c r="R27" s="251">
        <v>6</v>
      </c>
      <c r="S27" s="38" t="s">
        <v>1720</v>
      </c>
      <c r="T27" s="32">
        <f>IF(S$19&lt;=2,1.15,IF(S$19&lt;=5,1.08,IF(S$19&lt;=8,1,1)))</f>
        <v>1.08</v>
      </c>
      <c r="U27" s="32">
        <f>IF(S$19&lt;=2,1.15,IF(S$19&lt;=5,1.1,IF(S$19&lt;=8,1.03,1)))</f>
        <v>1.1000000000000001</v>
      </c>
      <c r="V27" s="32">
        <f>IF(S$19&lt;=2,1.21,IF(S$19&lt;=5,1.17,IF(S$19&lt;=8,1.05,1)))</f>
        <v>1.17</v>
      </c>
      <c r="W27" s="272">
        <f>IF(S$19&lt;=2,1.42,IF(S$19&lt;=5,1.35,IF(S$19&lt;=8,1.15,1)))</f>
        <v>1.35</v>
      </c>
    </row>
    <row r="28" spans="1:29" s="32" customFormat="1" ht="24" customHeight="1" thickBot="1">
      <c r="A28" s="143" t="s">
        <v>1587</v>
      </c>
      <c r="B28" s="274" t="s">
        <v>1393</v>
      </c>
      <c r="C28" s="274" t="s">
        <v>1394</v>
      </c>
      <c r="D28" s="274" t="s">
        <v>1395</v>
      </c>
      <c r="E28" s="274" t="s">
        <v>1396</v>
      </c>
      <c r="F28" s="152"/>
      <c r="G28" s="152"/>
      <c r="H28" s="143" t="s">
        <v>1587</v>
      </c>
      <c r="I28" s="274" t="s">
        <v>1393</v>
      </c>
      <c r="J28" s="274" t="s">
        <v>1394</v>
      </c>
      <c r="K28" s="274" t="s">
        <v>1395</v>
      </c>
      <c r="L28" s="274" t="s">
        <v>1396</v>
      </c>
      <c r="M28" s="272"/>
      <c r="N28" s="152"/>
      <c r="O28" s="152"/>
      <c r="P28" s="152"/>
      <c r="R28" s="253">
        <v>7</v>
      </c>
      <c r="S28" s="268" t="s">
        <v>326</v>
      </c>
      <c r="T28" s="255">
        <f>IF(S$19&lt;=2,1.42,IF(S$19&lt;=5,1.37,IF(S$19&lt;=8,1.28,IF(S$19&lt;=12,1.14,1))))</f>
        <v>1.37</v>
      </c>
      <c r="U28" s="255">
        <f>IF(S$19&lt;=2,1.58,IF(S$19&lt;=5,1.53,IF(S$19&lt;=8,1.38,IF(S$19&lt;=12,1.2,1))))</f>
        <v>1.53</v>
      </c>
      <c r="V28" s="269">
        <f>IF(S$19&lt;=2,1.32,IF(S$19&lt;=5,1.26,IF(S$19&lt;=8,1.1,IF(S$19&lt;=12,1.02,IF(S$19&lt;=5,1,1)))))</f>
        <v>1.26</v>
      </c>
      <c r="W28" s="156">
        <f>IF(S$19&lt;=2,1.58,IF(S$19&lt;=5,1.48,IF(S$19&lt;=8,1.3,IF(S$19&lt;=12,1.16,IF(S$19&lt;=5,1.05,1)))))</f>
        <v>1.48</v>
      </c>
    </row>
    <row r="29" spans="1:29" s="32" customFormat="1" ht="24" customHeight="1" thickTop="1">
      <c r="A29" s="142"/>
      <c r="B29" s="53">
        <f ca="1">IF($F11&lt;E$21,ROUND(B$21*(0.4+3*$F11/D$21),3),IF($F11&lt;=D$21,B$21,IF($F11&lt;=2.5*D$21,C$21/$F11,0.4*B$21)))</f>
        <v>0.62824027638470969</v>
      </c>
      <c r="C29" s="53">
        <f ca="1">ROUND(IF($F11&gt;=D$21,$B$12,IF($F11&gt;=F$21,$D$14+($B$12-$D$14)*($F11-0.6*D$21)/0.4/D$21,IF($F11&lt;E$21,$D$14+($D$14-1)*($F11-E$21)/E$21,$D$14))),4)</f>
        <v>2.4</v>
      </c>
      <c r="D29" s="53">
        <f ca="1">ROUND(B29/C29,4)</f>
        <v>0.26179999999999998</v>
      </c>
      <c r="E29" s="53">
        <f ca="1">ROUND(IF(D29&lt;=0.3,D29,IF(D29&lt;0.8,0.52*D29+0.144,0.7*D29)),4)</f>
        <v>0.26179999999999998</v>
      </c>
      <c r="F29" s="272"/>
      <c r="G29" s="272"/>
      <c r="H29" s="142"/>
      <c r="I29" s="53">
        <f ca="1">IF($F11&lt;L$21,ROUND(I$21*(0.4+3*$F11/K$21),3),IF($F11&lt;=K$21,I$21,IF($F11&lt;=2.5*K$21,J$21/$F11,0.4*I$21)))</f>
        <v>0.7355399531929121</v>
      </c>
      <c r="J29" s="53">
        <f ca="1">ROUND(IF($F11&gt;=K$21,$B$12,IF($F11&gt;=M$21,$D$14+($B$12-$D$14)*($F11-0.6*K$21)/0.4/K$21,IF($F11&lt;L$21,$D$14+($D$14-1)*($F11-L$21)/L$21,$D$14))),4)</f>
        <v>2.4</v>
      </c>
      <c r="K29" s="53">
        <f ca="1">ROUND(I29/J29,4)</f>
        <v>0.30649999999999999</v>
      </c>
      <c r="L29" s="53">
        <f ca="1">IF(K29&lt;=0.3,K29,IF(K29&lt;0.8,ROUND(0.52*K29+0.144,4),0.7*K29))</f>
        <v>0.3034</v>
      </c>
      <c r="M29" s="165">
        <f ca="1">IF(Q29&lt;=0.2,Q29,IF(Q29&lt;0.53,ROUND(0.52*Q29+0.096,4),0.7*Q29))</f>
        <v>0.34910000000000002</v>
      </c>
      <c r="N29" s="217">
        <f ca="1">I29*N$23</f>
        <v>0.49035996879527471</v>
      </c>
      <c r="O29" s="217"/>
      <c r="P29" s="215">
        <f ca="1">ROUND(IF($N$11&gt;=K21,$B$12,IF($N$11&gt;=M21,$D$14+($B$12-$D$14)*($N$11-0.6*M21)/0.4/K21,IF($N$11&lt;L21,$D$14+($D$14-1)*($N$11-L21)/L21,$D$14))),4)</f>
        <v>1.0076000000000001</v>
      </c>
      <c r="Q29" s="212">
        <f ca="1">ROUND(N29/P29,4)</f>
        <v>0.48670000000000002</v>
      </c>
      <c r="R29" s="251"/>
      <c r="S29" s="38"/>
      <c r="W29" s="272"/>
    </row>
    <row r="30" spans="1:29" s="32" customFormat="1" ht="24" customHeight="1">
      <c r="A30" s="384" t="s">
        <v>1281</v>
      </c>
      <c r="B30" s="385"/>
      <c r="C30" s="57"/>
      <c r="D30" s="57"/>
      <c r="E30" s="57"/>
      <c r="F30" s="166"/>
      <c r="G30" s="166"/>
      <c r="H30" s="384" t="s">
        <v>1281</v>
      </c>
      <c r="I30" s="385"/>
      <c r="J30" s="57"/>
      <c r="K30" s="57"/>
      <c r="L30" s="57"/>
      <c r="M30" s="272"/>
      <c r="N30" s="272"/>
      <c r="R30" s="251"/>
      <c r="S30" s="38"/>
      <c r="W30" s="272"/>
    </row>
    <row r="31" spans="1:29" s="32" customFormat="1" ht="24" customHeight="1">
      <c r="A31" s="153" t="s">
        <v>1397</v>
      </c>
      <c r="B31" s="49">
        <f ca="1">ROUND($B$13*E25/1.4/$B$14,4)</f>
        <v>0.1867</v>
      </c>
      <c r="C31" s="271" t="s">
        <v>1290</v>
      </c>
      <c r="D31" s="394" t="s">
        <v>1398</v>
      </c>
      <c r="E31" s="385"/>
      <c r="F31" s="395"/>
      <c r="G31" s="272"/>
      <c r="H31" s="153" t="s">
        <v>1397</v>
      </c>
      <c r="I31" s="49">
        <f ca="1">ROUND($B$13*L25/1.4/$B$14,4)</f>
        <v>0.20910000000000001</v>
      </c>
      <c r="J31" s="271" t="s">
        <v>1290</v>
      </c>
      <c r="K31" s="394" t="s">
        <v>1398</v>
      </c>
      <c r="L31" s="396"/>
      <c r="N31" s="218" t="s">
        <v>1667</v>
      </c>
      <c r="O31" s="329"/>
      <c r="P31" s="151">
        <f ca="1">ROUND($B$13*M25/1.4/$B$14,4)</f>
        <v>0.20760000000000001</v>
      </c>
      <c r="R31" s="251"/>
      <c r="S31" s="38"/>
      <c r="W31" s="272"/>
    </row>
    <row r="32" spans="1:29" s="32" customFormat="1" ht="24" customHeight="1">
      <c r="A32" s="384" t="s">
        <v>1282</v>
      </c>
      <c r="B32" s="385"/>
      <c r="C32" s="57"/>
      <c r="D32" s="57"/>
      <c r="F32" s="154"/>
      <c r="G32" s="154"/>
      <c r="H32" s="384" t="s">
        <v>1282</v>
      </c>
      <c r="I32" s="385"/>
      <c r="J32" s="57"/>
      <c r="K32" s="270"/>
      <c r="L32" s="271"/>
      <c r="M32" s="151"/>
      <c r="N32" s="219"/>
      <c r="O32" s="272"/>
      <c r="P32" s="151"/>
      <c r="R32" s="251"/>
      <c r="S32" s="38"/>
      <c r="W32" s="272"/>
    </row>
    <row r="33" spans="1:44" s="32" customFormat="1" ht="24" customHeight="1" thickBot="1">
      <c r="A33" s="153" t="s">
        <v>1284</v>
      </c>
      <c r="B33" s="49">
        <f ca="1">ROUND($B13*E27*C27/4.2/$B14,4)</f>
        <v>0.11940000000000001</v>
      </c>
      <c r="C33" s="271" t="s">
        <v>1290</v>
      </c>
      <c r="D33" s="394" t="s">
        <v>1399</v>
      </c>
      <c r="E33" s="385"/>
      <c r="F33" s="395"/>
      <c r="G33" s="272"/>
      <c r="H33" s="153" t="s">
        <v>1284</v>
      </c>
      <c r="I33" s="49">
        <f ca="1">ROUND($B13*L27*J27/4.2/$B14,4)</f>
        <v>0.1061</v>
      </c>
      <c r="J33" s="271" t="s">
        <v>1290</v>
      </c>
      <c r="K33" s="394" t="s">
        <v>1399</v>
      </c>
      <c r="L33" s="396"/>
      <c r="N33" s="218" t="s">
        <v>1668</v>
      </c>
      <c r="O33" s="329"/>
      <c r="P33" s="151">
        <f ca="1">ROUND($B13*J27*M27/4.2/$B14,4)</f>
        <v>0.1148</v>
      </c>
      <c r="R33" s="253"/>
      <c r="S33" s="254"/>
      <c r="T33" s="255"/>
      <c r="U33" s="255"/>
      <c r="V33" s="255"/>
      <c r="W33" s="156"/>
    </row>
    <row r="34" spans="1:44" s="32" customFormat="1" ht="24" customHeight="1" thickTop="1">
      <c r="A34" s="384" t="s">
        <v>1283</v>
      </c>
      <c r="B34" s="385"/>
      <c r="C34" s="57"/>
      <c r="D34" s="57"/>
      <c r="F34" s="154"/>
      <c r="G34" s="154"/>
      <c r="H34" s="384" t="s">
        <v>1283</v>
      </c>
      <c r="I34" s="385"/>
      <c r="J34" s="57"/>
      <c r="K34" s="270"/>
      <c r="L34" s="271"/>
      <c r="M34" s="151"/>
      <c r="N34" s="219"/>
      <c r="O34" s="272"/>
      <c r="P34" s="151"/>
      <c r="R34" s="41"/>
      <c r="S34" s="41"/>
      <c r="T34" s="43"/>
    </row>
    <row r="35" spans="1:44" s="32" customFormat="1" ht="24" customHeight="1">
      <c r="A35" s="153" t="s">
        <v>1400</v>
      </c>
      <c r="B35" s="49">
        <f ca="1">ROUND($B13*E29/1.4/$B14,4)</f>
        <v>0.187</v>
      </c>
      <c r="C35" s="270" t="s">
        <v>1290</v>
      </c>
      <c r="D35" s="397" t="s">
        <v>1401</v>
      </c>
      <c r="E35" s="385"/>
      <c r="F35" s="395"/>
      <c r="G35" s="272"/>
      <c r="H35" s="153" t="s">
        <v>1400</v>
      </c>
      <c r="I35" s="49">
        <f ca="1">ROUND($B13*L29/1.4/$B14,4)</f>
        <v>0.2167</v>
      </c>
      <c r="J35" s="270" t="s">
        <v>1290</v>
      </c>
      <c r="K35" s="397" t="s">
        <v>1401</v>
      </c>
      <c r="L35" s="396"/>
      <c r="N35" s="218" t="s">
        <v>1666</v>
      </c>
      <c r="O35" s="329"/>
      <c r="P35" s="151">
        <f ca="1">ROUND($B$13*M29/1.4/$B$14,4)</f>
        <v>0.24940000000000001</v>
      </c>
    </row>
    <row r="36" spans="1:44" s="32" customFormat="1" ht="24" customHeight="1">
      <c r="A36" s="155" t="s">
        <v>1402</v>
      </c>
      <c r="B36" s="344">
        <f ca="1">MAX(B31,B33,B35)</f>
        <v>0.187</v>
      </c>
      <c r="C36" s="58"/>
      <c r="D36" s="44" t="s">
        <v>1425</v>
      </c>
      <c r="E36" s="49">
        <f ca="1">B33/B36</f>
        <v>0.63850267379679149</v>
      </c>
      <c r="F36" s="272"/>
      <c r="G36" s="272"/>
      <c r="H36" s="155" t="s">
        <v>1402</v>
      </c>
      <c r="I36" s="286">
        <f ca="1">MAX(I31,I33,I35)</f>
        <v>0.2167</v>
      </c>
      <c r="J36" s="58"/>
      <c r="K36" s="44" t="s">
        <v>1425</v>
      </c>
      <c r="L36" s="49">
        <f ca="1">I33/I36</f>
        <v>0.48961698200276882</v>
      </c>
      <c r="N36" s="220" t="s">
        <v>1665</v>
      </c>
      <c r="O36" s="330"/>
      <c r="P36" s="151">
        <f ca="1">MAX(P31,P33,P35)</f>
        <v>0.24940000000000001</v>
      </c>
    </row>
    <row r="37" spans="1:44" s="32" customFormat="1" ht="24" customHeight="1" thickBot="1">
      <c r="A37" s="381" t="s">
        <v>1779</v>
      </c>
      <c r="B37" s="382"/>
      <c r="C37" s="382"/>
      <c r="D37" s="382"/>
      <c r="E37" s="382"/>
      <c r="F37" s="383"/>
      <c r="G37" s="273"/>
      <c r="H37" s="381" t="s">
        <v>1730</v>
      </c>
      <c r="I37" s="382"/>
      <c r="J37" s="382"/>
      <c r="K37" s="382"/>
      <c r="L37" s="382"/>
      <c r="M37" s="383"/>
      <c r="N37" s="156"/>
    </row>
    <row r="38" spans="1:44" s="32" customFormat="1" ht="24" customHeight="1" thickTop="1">
      <c r="A38" s="352"/>
      <c r="B38" s="353"/>
      <c r="C38" s="353"/>
      <c r="D38" s="353"/>
      <c r="E38" s="353"/>
      <c r="F38" s="354"/>
      <c r="G38" s="167"/>
      <c r="H38" s="184"/>
      <c r="M38" s="182"/>
      <c r="N38" s="182"/>
      <c r="O38" s="331"/>
      <c r="S38" s="270"/>
      <c r="T38" s="270"/>
      <c r="U38" s="270"/>
      <c r="V38" s="270"/>
    </row>
    <row r="39" spans="1:44" ht="24" customHeight="1">
      <c r="A39" s="292" t="s">
        <v>1762</v>
      </c>
      <c r="B39" s="355" t="s">
        <v>1761</v>
      </c>
      <c r="C39" s="280">
        <v>0.63180000000000003</v>
      </c>
      <c r="D39" s="345" t="str">
        <f ca="1">IF(C39&lt;=0.2*$D17,"較短週期",IF(C39&lt;=$D17,"短週期",IF(C39&lt;=2.5*$D17,"中週期","長週期")))</f>
        <v>中週期</v>
      </c>
      <c r="E39" s="356"/>
      <c r="F39" s="357"/>
      <c r="G39" s="183"/>
      <c r="H39" s="32"/>
      <c r="U39" s="32"/>
      <c r="X39" s="39" t="s">
        <v>1302</v>
      </c>
      <c r="Y39" s="39">
        <f>R5</f>
        <v>0.8</v>
      </c>
    </row>
    <row r="40" spans="1:44" ht="30.75" customHeight="1">
      <c r="A40" s="358"/>
      <c r="B40" s="355" t="s">
        <v>1733</v>
      </c>
      <c r="C40" s="359">
        <v>3</v>
      </c>
      <c r="D40" s="247" t="s">
        <v>1727</v>
      </c>
      <c r="E40" s="345">
        <f>ROUND((2*C40-1)^0.5,4)</f>
        <v>2.2361</v>
      </c>
      <c r="F40" s="357"/>
      <c r="G40" s="183"/>
      <c r="H40" s="32"/>
      <c r="I40" s="39"/>
      <c r="J40" s="39"/>
      <c r="K40" s="39"/>
      <c r="L40" s="39"/>
      <c r="M40" s="39"/>
      <c r="N40" s="39"/>
      <c r="O40" s="39"/>
      <c r="U40" s="32"/>
      <c r="X40" s="39"/>
      <c r="Y40" s="39"/>
    </row>
    <row r="41" spans="1:44" ht="24.95" customHeight="1">
      <c r="A41" s="358"/>
      <c r="B41" s="355" t="s">
        <v>1734</v>
      </c>
      <c r="C41" s="345">
        <f>1+(C40-1)/1.5</f>
        <v>2.333333333333333</v>
      </c>
      <c r="D41" s="247" t="s">
        <v>1735</v>
      </c>
      <c r="E41" s="345">
        <f>ROUND((2*C41-1)^0.5,4)</f>
        <v>1.9149</v>
      </c>
      <c r="F41" s="357"/>
      <c r="G41" s="61"/>
      <c r="H41" s="60" t="s">
        <v>1403</v>
      </c>
      <c r="K41" s="60"/>
      <c r="M41" s="39" t="s">
        <v>1404</v>
      </c>
      <c r="N41" s="63"/>
      <c r="Q41" s="62" t="s">
        <v>1405</v>
      </c>
      <c r="R41" s="39" t="s">
        <v>1297</v>
      </c>
      <c r="S41" s="32"/>
      <c r="T41" s="270">
        <v>981</v>
      </c>
      <c r="U41" s="39" t="s">
        <v>385</v>
      </c>
      <c r="V41" s="39" t="s">
        <v>422</v>
      </c>
      <c r="W41" s="39">
        <v>1</v>
      </c>
      <c r="X41" s="39">
        <v>0.8</v>
      </c>
      <c r="Y41" s="39">
        <v>0.67</v>
      </c>
      <c r="Z41" s="39" t="s">
        <v>1775</v>
      </c>
      <c r="AA41" s="338">
        <f ca="1">ROUND(IF(B36=B35,B35/B29,IF(B36=B33,B33/B27,B31/B25)),4)</f>
        <v>0.29770000000000002</v>
      </c>
      <c r="AB41" s="39"/>
      <c r="AC41" s="39" t="s">
        <v>385</v>
      </c>
      <c r="AD41" s="39" t="s">
        <v>393</v>
      </c>
      <c r="AE41" s="39" t="s">
        <v>398</v>
      </c>
      <c r="AF41" s="39" t="s">
        <v>426</v>
      </c>
      <c r="AJ41"/>
      <c r="AK41"/>
    </row>
    <row r="42" spans="1:44" ht="20.25">
      <c r="A42" s="360"/>
      <c r="B42" s="361"/>
      <c r="C42" s="361"/>
      <c r="D42" s="361"/>
      <c r="E42" s="356"/>
      <c r="F42" s="357"/>
      <c r="I42" s="39" t="s">
        <v>0</v>
      </c>
      <c r="J42" s="39" t="s">
        <v>1406</v>
      </c>
      <c r="K42" s="39" t="s">
        <v>1407</v>
      </c>
      <c r="L42" s="39" t="s">
        <v>1408</v>
      </c>
      <c r="M42" s="39" t="s">
        <v>1409</v>
      </c>
      <c r="N42" s="39" t="s">
        <v>1584</v>
      </c>
      <c r="O42" s="39" t="s">
        <v>1754</v>
      </c>
      <c r="P42" s="39" t="s">
        <v>1410</v>
      </c>
      <c r="Q42" s="39" t="s">
        <v>1411</v>
      </c>
      <c r="R42" s="39" t="s">
        <v>1755</v>
      </c>
      <c r="S42" s="39" t="s">
        <v>1756</v>
      </c>
      <c r="T42" s="39" t="s">
        <v>1412</v>
      </c>
      <c r="U42" s="39" t="s">
        <v>1413</v>
      </c>
      <c r="V42" s="39" t="s">
        <v>1414</v>
      </c>
      <c r="W42" s="39" t="s">
        <v>1415</v>
      </c>
      <c r="X42" s="39" t="s">
        <v>1585</v>
      </c>
      <c r="Y42" s="39" t="s">
        <v>1416</v>
      </c>
      <c r="Z42" s="39" t="s">
        <v>1776</v>
      </c>
      <c r="AA42" s="39" t="s">
        <v>0</v>
      </c>
      <c r="AB42" s="39" t="s">
        <v>1417</v>
      </c>
      <c r="AC42" s="39" t="s">
        <v>410</v>
      </c>
      <c r="AD42" s="39" t="s">
        <v>411</v>
      </c>
      <c r="AE42" s="39" t="s">
        <v>1418</v>
      </c>
      <c r="AF42" s="39" t="s">
        <v>1418</v>
      </c>
      <c r="AG42" s="39" t="s">
        <v>1418</v>
      </c>
      <c r="AH42" s="39" t="s">
        <v>412</v>
      </c>
      <c r="AI42" s="39" t="s">
        <v>411</v>
      </c>
      <c r="AJ42" s="39" t="s">
        <v>421</v>
      </c>
      <c r="AK42" s="39" t="s">
        <v>420</v>
      </c>
      <c r="AL42" s="39" t="s">
        <v>1418</v>
      </c>
      <c r="AM42" s="39" t="s">
        <v>1418</v>
      </c>
      <c r="AN42" s="39" t="s">
        <v>1418</v>
      </c>
    </row>
    <row r="43" spans="1:44" ht="20.25">
      <c r="A43" s="292" t="str">
        <f ca="1">IF(C7&gt;C3,"近斷層工址","一般區域")</f>
        <v>近斷層工址</v>
      </c>
      <c r="B43" s="55" t="s">
        <v>1731</v>
      </c>
      <c r="C43" s="274" t="s">
        <v>1760</v>
      </c>
      <c r="D43" s="274" t="s">
        <v>1765</v>
      </c>
      <c r="E43" s="274" t="s">
        <v>1768</v>
      </c>
      <c r="F43" s="213" t="s">
        <v>1772</v>
      </c>
      <c r="I43" s="339">
        <v>0.01</v>
      </c>
      <c r="J43" s="64">
        <f t="shared" ref="J43:J87" ca="1" si="1">ROUND(IF($I43&gt;=D$17,D$12,IF($I43&gt;=F$17,D$13+(D$12-D$13)*($I43-0.6*D$17)/0.4/D$17,IF($I43&lt;E$17,D$13+(D$13-1)*($I43-E$17)/E$17,D$13))),3)</f>
        <v>1.0620000000000001</v>
      </c>
      <c r="K43" s="64">
        <f t="shared" ref="K43:K87" ca="1" si="2">IF($I43&lt;E$17,ROUND(B$17*(0.4+3*$I43/D$17),3),IF($I43&lt;=D$17,B$17,IF($I43&lt;=2.5*D$17,C$17/$I43,0.4*B$17)))</f>
        <v>0.36599999999999999</v>
      </c>
      <c r="L43" s="64">
        <f t="shared" ref="L43:L95" ca="1" si="3">ROUND(K43/J43,4)</f>
        <v>0.34460000000000002</v>
      </c>
      <c r="M43" s="64">
        <f t="shared" ref="M43:M95" ca="1" si="4">IF(L43&lt;=0.3,L43,IF(L43&lt;0.8,ROUND(0.52*L43+0.144,3),0.7*L43))</f>
        <v>0.32300000000000001</v>
      </c>
      <c r="N43" s="61">
        <f t="shared" ref="N43:N74" ca="1" si="5">ROUND(B$13*M43/1.4/B$14,3)</f>
        <v>0.23100000000000001</v>
      </c>
      <c r="O43" s="61">
        <f t="shared" ref="O43:O74" ca="1" si="6">ROUND(IF($I43&gt;=D$19,D$12,IF($I43&gt;=F$19,D$13+(D$12-D$13)*($I43-0.6*D$19)/0.4/D$19,IF($I43&lt;E$19,D$13+(D$13-1)*($I43-E$19)/E$19,D$13))),3)</f>
        <v>1.0620000000000001</v>
      </c>
      <c r="P43" s="61">
        <f t="shared" ref="P43:P74" ca="1" si="7">IF($I43&lt;E$19,ROUND(B$19*(0.4+3*$I43/D$19),3),IF($I43&lt;=D$19,B$19,IF($I43&lt;=2.5*D$19,C$19/$I43,0.4*B$19)))</f>
        <v>0.36299999999999999</v>
      </c>
      <c r="Q43" s="61">
        <f t="shared" ref="Q43:Q95" ca="1" si="8">ROUND(P43/O43,4)</f>
        <v>0.34179999999999999</v>
      </c>
      <c r="R43" s="61">
        <f t="shared" ref="R43:R95" ca="1" si="9">IF(Q43&lt;=0.3,Q43,IF(Q43&lt;0.8,ROUND(0.52*Q43+0.144,3),0.7*Q43))</f>
        <v>0.32200000000000001</v>
      </c>
      <c r="S43" s="61">
        <f t="shared" ref="S43:S74" ca="1" si="10">ROUND(B$13*O43*R43/4.2/B$14,3)</f>
        <v>8.1000000000000003E-2</v>
      </c>
      <c r="T43" s="61">
        <f t="shared" ref="T43:T74" ca="1" si="11">ROUND(IF($I43&gt;=D$21,B$12,IF($I43&gt;=F$21,D$14+(B$12-D$14)*($I43-0.6*D$21)/0.4/D$21,IF($I43&lt;E$21,D$14+(D$14-1)*($I43-E$21)/E$21,D$14))),3)</f>
        <v>1.0860000000000001</v>
      </c>
      <c r="U43" s="61">
        <f t="shared" ref="U43:U74" ca="1" si="12">IF($I43&lt;E$21,ROUND(B$21*(0.4+3*$I43/D$21),3),IF($I43&lt;=D$21,B$21,IF($I43&lt;=2.5*D$21,C$21/$I43,0.4*B$21)))</f>
        <v>0.46200000000000002</v>
      </c>
      <c r="V43" s="61">
        <f t="shared" ref="V43:V95" ca="1" si="13">ROUND(U43/T43,4)</f>
        <v>0.4254</v>
      </c>
      <c r="W43" s="61">
        <f t="shared" ref="W43:W95" ca="1" si="14">IF(V43&lt;=0.3,V43,IF(V43&lt;0.8,ROUND(0.52*V43+0.144,3),0.7*V43))</f>
        <v>0.36499999999999999</v>
      </c>
      <c r="X43" s="61">
        <f t="shared" ref="X43:X74" ca="1" si="15">ROUND(B$13*W43/1.4/B$14,3)</f>
        <v>0.26100000000000001</v>
      </c>
      <c r="Y43" s="61">
        <f t="shared" ref="Y43:Y95" ca="1" si="16">MAX(X43,S43,N43)</f>
        <v>0.26100000000000001</v>
      </c>
      <c r="Z43" s="338">
        <f ca="1">ROUND(IF(B36=B35,U43*AA$41,K43*AA$41),4)</f>
        <v>0.13750000000000001</v>
      </c>
      <c r="AA43" s="64">
        <f t="shared" ref="AA43:AA74" si="17">I43</f>
        <v>0.01</v>
      </c>
      <c r="AB43" s="270">
        <f t="shared" ref="AB43:AB74" ca="1" si="18">Z43*T$41</f>
        <v>134.88750000000002</v>
      </c>
      <c r="AC43" s="59">
        <f t="shared" ref="AC43:AC74" si="19">1/8/I43^0.5</f>
        <v>1.25</v>
      </c>
      <c r="AD43" s="59">
        <f>IF(AC43&gt;0.15,0.15,IF(AC43&lt;0.0625,0.0625,AC43))</f>
        <v>0.15</v>
      </c>
      <c r="AE43" s="59">
        <f t="shared" ref="AE43:AE74" si="20">$R$5*W$41*$R$11*$AD43*$AG$5</f>
        <v>0.17159999999999997</v>
      </c>
      <c r="AF43" s="59">
        <f t="shared" ref="AF43:AF74" si="21">$R$5*X$41*$R$11*$AD43*$AG$5</f>
        <v>0.13728000000000001</v>
      </c>
      <c r="AG43" s="59">
        <f t="shared" ref="AG43:AG74" si="22">$R$5*Y$41*$R$11*$AD43*$AG$5</f>
        <v>0.11497199999999999</v>
      </c>
      <c r="AH43" s="59">
        <f t="shared" ref="AH43:AH74" si="23">IF(I43&gt;0.611,$U$12,IF(I43&gt;0.406,AD$5+($U$12-AD$5)*(I43-0.406)/0.205,IF(I43&gt;0.2,AD$5,IF(I43&gt;0.03,AD$5+(AD$5-1)*(I43-0.2)/0.17,1))))</f>
        <v>1</v>
      </c>
      <c r="AI43" s="59">
        <f t="shared" ref="AI43:AI74" si="24">IF(I43&lt;T$17,X$17,IF(I43&lt;U$17,Y$17*I43+V$17,IF(I43&lt;Z$17,AA$17,IF(I43&lt;W$17,AB$17/I43^(AC$17),1))))</f>
        <v>1</v>
      </c>
      <c r="AJ43" s="59">
        <f t="shared" ref="AJ43:AJ95" si="25">AI43/AH43</f>
        <v>1</v>
      </c>
      <c r="AK43" s="59">
        <f>IF(AJ43&gt;1,1,AJ43)</f>
        <v>1</v>
      </c>
      <c r="AL43" s="59">
        <f t="shared" ref="AL43:AL70" si="26">$U$5*$U$11*AK43/1.4/$U$6*$AG$5</f>
        <v>0.15661904761904763</v>
      </c>
      <c r="AM43" s="59">
        <f t="shared" ref="AM43:AM70" si="27">$W$5*$W$11*AK43/1.4/$W$6*$AG$5</f>
        <v>0.22471428571428573</v>
      </c>
      <c r="AN43" s="59">
        <f t="shared" ref="AN43:AN95" ca="1" si="28">Y43/1.5*$AG$5</f>
        <v>0.24882000000000001</v>
      </c>
    </row>
    <row r="44" spans="1:44" ht="18.75">
      <c r="A44" s="362">
        <f ca="1">IF(C7&gt;C3,2/3,1/2)</f>
        <v>0.66666666666666663</v>
      </c>
      <c r="B44" s="345">
        <f ca="1">A$44*B25</f>
        <v>0.33686666666666665</v>
      </c>
      <c r="C44" s="345">
        <f ca="1">ROUND(IF($C$39&gt;=D$17,C$41,IF($C$39&gt;=F$17,E$41+(C$41-E$41)*($C$39-0.6*D$17)/0.4/D$17,IF($C$39&lt;E$17,E$41+(E$41-1)*($C$39-E$17)/E$17,E$41))),4)</f>
        <v>2.3332999999999999</v>
      </c>
      <c r="D44" s="345">
        <f ca="1">B44/C44</f>
        <v>0.14437349104987213</v>
      </c>
      <c r="E44" s="345">
        <f ca="1">IF(D44&lt;=0.3*A44,D44,IF(D44&lt;0.8*A44,ROUND(0.52*D44+0.144*A44,4),0.7*D44))</f>
        <v>0.14437349104987213</v>
      </c>
      <c r="F44" s="343">
        <f ca="1">B$13*E44/1.4/B$14</f>
        <v>0.1031239221784801</v>
      </c>
      <c r="I44" s="339">
        <v>8.9300000000000004E-2</v>
      </c>
      <c r="J44" s="64">
        <f t="shared" ca="1" si="1"/>
        <v>1.5509999999999999</v>
      </c>
      <c r="K44" s="64">
        <f t="shared" ca="1" si="2"/>
        <v>0.70699999999999996</v>
      </c>
      <c r="L44" s="64">
        <f t="shared" ca="1" si="3"/>
        <v>0.45579999999999998</v>
      </c>
      <c r="M44" s="64">
        <f t="shared" ca="1" si="4"/>
        <v>0.38100000000000001</v>
      </c>
      <c r="N44" s="61">
        <f t="shared" ca="1" si="5"/>
        <v>0.27200000000000002</v>
      </c>
      <c r="O44" s="61">
        <f t="shared" ca="1" si="6"/>
        <v>1.55</v>
      </c>
      <c r="P44" s="61">
        <f t="shared" ca="1" si="7"/>
        <v>0.70099999999999996</v>
      </c>
      <c r="Q44" s="61">
        <f t="shared" ca="1" si="8"/>
        <v>0.45229999999999998</v>
      </c>
      <c r="R44" s="61">
        <f t="shared" ca="1" si="9"/>
        <v>0.379</v>
      </c>
      <c r="S44" s="61">
        <f t="shared" ca="1" si="10"/>
        <v>0.14000000000000001</v>
      </c>
      <c r="T44" s="61">
        <f t="shared" ca="1" si="11"/>
        <v>1.7649999999999999</v>
      </c>
      <c r="U44" s="61">
        <f t="shared" ca="1" si="12"/>
        <v>0.89900000000000002</v>
      </c>
      <c r="V44" s="61">
        <f t="shared" ca="1" si="13"/>
        <v>0.50929999999999997</v>
      </c>
      <c r="W44" s="61">
        <f t="shared" ca="1" si="14"/>
        <v>0.40899999999999997</v>
      </c>
      <c r="X44" s="61">
        <f t="shared" ca="1" si="15"/>
        <v>0.29199999999999998</v>
      </c>
      <c r="Y44" s="61">
        <f t="shared" ca="1" si="16"/>
        <v>0.29199999999999998</v>
      </c>
      <c r="Z44" s="338">
        <f t="shared" ref="Z44:Z95" ca="1" si="29">ROUND(IF(B37=B36,U44*AA$41,K44*AA$41),4)</f>
        <v>0.21049999999999999</v>
      </c>
      <c r="AA44" s="64">
        <f t="shared" si="17"/>
        <v>8.9300000000000004E-2</v>
      </c>
      <c r="AB44" s="66">
        <f t="shared" ca="1" si="18"/>
        <v>206.50049999999999</v>
      </c>
      <c r="AC44" s="59">
        <f t="shared" si="19"/>
        <v>0.41829655088140916</v>
      </c>
      <c r="AD44" s="59">
        <f t="shared" ref="AD44:AD95" si="30">IF(AC44&gt;0.15,0.15,IF(AC44&lt;0.0625,0.0625,AC44))</f>
        <v>0.15</v>
      </c>
      <c r="AE44" s="59">
        <f t="shared" si="20"/>
        <v>0.17159999999999997</v>
      </c>
      <c r="AF44" s="59">
        <f t="shared" si="21"/>
        <v>0.13728000000000001</v>
      </c>
      <c r="AG44" s="59">
        <f t="shared" si="22"/>
        <v>0.11497199999999999</v>
      </c>
      <c r="AH44" s="59">
        <f t="shared" si="23"/>
        <v>1.1915715586590585</v>
      </c>
      <c r="AI44" s="59">
        <f t="shared" si="24"/>
        <v>1.4492499999999999</v>
      </c>
      <c r="AJ44" s="59">
        <f t="shared" si="25"/>
        <v>1.21625091625292</v>
      </c>
      <c r="AK44" s="59">
        <f t="shared" ref="AK44:AK95" si="31">IF(AJ44&gt;1,1,AJ44)</f>
        <v>1</v>
      </c>
      <c r="AL44" s="59">
        <f t="shared" si="26"/>
        <v>0.15661904761904763</v>
      </c>
      <c r="AM44" s="59">
        <f t="shared" si="27"/>
        <v>0.22471428571428573</v>
      </c>
      <c r="AN44" s="59">
        <f t="shared" ca="1" si="28"/>
        <v>0.27837333333333331</v>
      </c>
    </row>
    <row r="45" spans="1:44" ht="20.25">
      <c r="A45" s="358"/>
      <c r="B45" s="274" t="s">
        <v>1763</v>
      </c>
      <c r="C45" s="274" t="s">
        <v>1760</v>
      </c>
      <c r="D45" s="274" t="s">
        <v>1766</v>
      </c>
      <c r="E45" s="274" t="s">
        <v>1769</v>
      </c>
      <c r="F45" s="357"/>
      <c r="I45" s="340">
        <f ca="1">MIN(E17,E19,E21)</f>
        <v>0.1108</v>
      </c>
      <c r="J45" s="67">
        <f t="shared" ca="1" si="1"/>
        <v>1.6830000000000001</v>
      </c>
      <c r="K45" s="67">
        <f t="shared" ca="1" si="2"/>
        <v>0.8</v>
      </c>
      <c r="L45" s="67">
        <f ca="1">ROUND(K45/J45,4)</f>
        <v>0.4753</v>
      </c>
      <c r="M45" s="67">
        <f ca="1">IF(L45&lt;=0.3,L45,IF(L45&lt;0.8,ROUND(0.52*L45+0.144,3),0.7*L45))</f>
        <v>0.39100000000000001</v>
      </c>
      <c r="N45" s="68">
        <f t="shared" ca="1" si="5"/>
        <v>0.27900000000000003</v>
      </c>
      <c r="O45" s="68">
        <f t="shared" ca="1" si="6"/>
        <v>1.6830000000000001</v>
      </c>
      <c r="P45" s="68">
        <f t="shared" ca="1" si="7"/>
        <v>0.79300000000000004</v>
      </c>
      <c r="Q45" s="68">
        <f ca="1">ROUND(P45/O45,4)</f>
        <v>0.47120000000000001</v>
      </c>
      <c r="R45" s="68">
        <f ca="1">IF(Q45&lt;=0.3,Q45,IF(Q45&lt;0.8,ROUND(0.52*Q45+0.144,3),0.7*Q45))</f>
        <v>0.38900000000000001</v>
      </c>
      <c r="S45" s="68">
        <f t="shared" ca="1" si="10"/>
        <v>0.156</v>
      </c>
      <c r="T45" s="68">
        <f t="shared" ca="1" si="11"/>
        <v>1.9490000000000001</v>
      </c>
      <c r="U45" s="68">
        <f t="shared" ca="1" si="12"/>
        <v>1.01715</v>
      </c>
      <c r="V45" s="68">
        <f ca="1">ROUND(U45/T45,4)</f>
        <v>0.52190000000000003</v>
      </c>
      <c r="W45" s="68">
        <f ca="1">IF(V45&lt;=0.3,V45,IF(V45&lt;0.8,ROUND(0.52*V45+0.144,3),0.7*V45))</f>
        <v>0.41499999999999998</v>
      </c>
      <c r="X45" s="68">
        <f t="shared" ca="1" si="15"/>
        <v>0.29599999999999999</v>
      </c>
      <c r="Y45" s="68">
        <f ca="1">MAX(X45,S45,N45)</f>
        <v>0.29599999999999999</v>
      </c>
      <c r="Z45" s="338">
        <f t="shared" ca="1" si="29"/>
        <v>0.30280000000000001</v>
      </c>
      <c r="AA45" s="67">
        <f t="shared" ca="1" si="17"/>
        <v>0.1108</v>
      </c>
      <c r="AB45" s="66">
        <f t="shared" ca="1" si="18"/>
        <v>297.04680000000002</v>
      </c>
      <c r="AC45" s="59">
        <f t="shared" ca="1" si="19"/>
        <v>0.37552610507881856</v>
      </c>
      <c r="AD45" s="59">
        <f ca="1">IF(AC45&gt;0.15,0.15,IF(AC45&lt;0.0625,0.0625,AC45))</f>
        <v>0.15</v>
      </c>
      <c r="AE45" s="59">
        <f t="shared" ca="1" si="20"/>
        <v>0.17159999999999997</v>
      </c>
      <c r="AF45" s="59">
        <f t="shared" ca="1" si="21"/>
        <v>0.13728000000000001</v>
      </c>
      <c r="AG45" s="59">
        <f t="shared" ca="1" si="22"/>
        <v>0.11497199999999999</v>
      </c>
      <c r="AH45" s="59">
        <f t="shared" ca="1" si="23"/>
        <v>1.2610283632319041</v>
      </c>
      <c r="AI45" s="59">
        <f t="shared" ca="1" si="24"/>
        <v>1.718</v>
      </c>
      <c r="AJ45" s="59">
        <f ca="1">AI45/AH45</f>
        <v>1.362380141551232</v>
      </c>
      <c r="AK45" s="59">
        <f ca="1">IF(AJ45&gt;1,1,AJ45)</f>
        <v>1</v>
      </c>
      <c r="AL45" s="59">
        <f ca="1">$U$5*$U$11*AK45/1.4/$U$6*$AG$5</f>
        <v>0.15661904761904763</v>
      </c>
      <c r="AM45" s="59">
        <f ca="1">$W$5*$W$11*AK45/1.4/$W$6*$AG$5</f>
        <v>0.22471428571428573</v>
      </c>
      <c r="AN45" s="59">
        <f ca="1">Y45/1.5*$AG$5</f>
        <v>0.28218666666666664</v>
      </c>
      <c r="AP45"/>
      <c r="AQ45"/>
      <c r="AR45"/>
    </row>
    <row r="46" spans="1:44" ht="18.75">
      <c r="A46" s="360"/>
      <c r="B46" s="345">
        <f ca="1">A$44*B27</f>
        <v>0.33433333333333326</v>
      </c>
      <c r="C46" s="345">
        <f ca="1">ROUND(IF($C$39&gt;=D$17,C$41,IF($C$39&gt;=F$17,E$41+(C$41-E$41)*($C$39-0.6*D$17)/0.4/D$17,IF($C$39&lt;E$17,E$41+(E$41-1)*($C$39-E$17)/E$17,E$41))),4)</f>
        <v>2.3332999999999999</v>
      </c>
      <c r="D46" s="345">
        <f ca="1">ROUND(B46/C46,4)</f>
        <v>0.14330000000000001</v>
      </c>
      <c r="E46" s="345">
        <f ca="1">IF(D46&lt;=0.3,D46,IF(D46&lt;0.8,ROUND(0.52*D46+0.144,4),0.7*D46))</f>
        <v>0.14330000000000001</v>
      </c>
      <c r="F46" s="343">
        <f ca="1">B$13*C46*E46/4.2/B$14</f>
        <v>7.960997380952381E-2</v>
      </c>
      <c r="I46" s="341">
        <f ca="1">LARGE(E17:E21,2)</f>
        <v>0.1124</v>
      </c>
      <c r="J46" s="64">
        <f t="shared" ca="1" si="1"/>
        <v>1.6930000000000001</v>
      </c>
      <c r="K46" s="64">
        <f t="shared" ca="1" si="2"/>
        <v>0.80689999999999995</v>
      </c>
      <c r="L46" s="64">
        <f ca="1">ROUND(K46/J46,4)</f>
        <v>0.47660000000000002</v>
      </c>
      <c r="M46" s="64">
        <f ca="1">IF(L46&lt;=0.3,L46,IF(L46&lt;0.8,ROUND(0.52*L46+0.144,3),0.7*L46))</f>
        <v>0.39200000000000002</v>
      </c>
      <c r="N46" s="69">
        <f t="shared" ca="1" si="5"/>
        <v>0.28000000000000003</v>
      </c>
      <c r="O46" s="69">
        <f t="shared" ca="1" si="6"/>
        <v>1.6919999999999999</v>
      </c>
      <c r="P46" s="69">
        <f t="shared" ca="1" si="7"/>
        <v>0.8</v>
      </c>
      <c r="Q46" s="69">
        <f ca="1">ROUND(P46/O46,4)</f>
        <v>0.4728</v>
      </c>
      <c r="R46" s="69">
        <f ca="1">IF(Q46&lt;=0.3,Q46,IF(Q46&lt;0.8,ROUND(0.52*Q46+0.144,3),0.7*Q46))</f>
        <v>0.39</v>
      </c>
      <c r="S46" s="69">
        <f t="shared" ca="1" si="10"/>
        <v>0.157</v>
      </c>
      <c r="T46" s="69">
        <f t="shared" ca="1" si="11"/>
        <v>1.9490000000000001</v>
      </c>
      <c r="U46" s="69">
        <f t="shared" ca="1" si="12"/>
        <v>1.01715</v>
      </c>
      <c r="V46" s="69">
        <f ca="1">ROUND(U46/T46,4)</f>
        <v>0.52190000000000003</v>
      </c>
      <c r="W46" s="69">
        <f ca="1">IF(V46&lt;=0.3,V46,IF(V46&lt;0.8,ROUND(0.52*V46+0.144,3),0.7*V46))</f>
        <v>0.41499999999999998</v>
      </c>
      <c r="X46" s="69">
        <f t="shared" ca="1" si="15"/>
        <v>0.29599999999999999</v>
      </c>
      <c r="Y46" s="69">
        <f ca="1">MAX(X46,S46,N46)</f>
        <v>0.29599999999999999</v>
      </c>
      <c r="Z46" s="338">
        <f t="shared" ca="1" si="29"/>
        <v>0.2402</v>
      </c>
      <c r="AA46" s="69">
        <f t="shared" ca="1" si="17"/>
        <v>0.1124</v>
      </c>
      <c r="AB46" s="349">
        <f t="shared" ca="1" si="18"/>
        <v>235.6362</v>
      </c>
      <c r="AC46" s="59">
        <f t="shared" ca="1" si="19"/>
        <v>0.37284374141993348</v>
      </c>
      <c r="AD46" s="59">
        <f ca="1">IF(AC46&gt;0.15,0.15,IF(AC46&lt;0.0625,0.0625,AC46))</f>
        <v>0.15</v>
      </c>
      <c r="AE46" s="59">
        <f t="shared" ca="1" si="20"/>
        <v>0.17159999999999997</v>
      </c>
      <c r="AF46" s="59">
        <f t="shared" ca="1" si="21"/>
        <v>0.13728000000000001</v>
      </c>
      <c r="AG46" s="59">
        <f t="shared" ca="1" si="22"/>
        <v>0.11497199999999999</v>
      </c>
      <c r="AH46" s="59">
        <f t="shared" ca="1" si="23"/>
        <v>1.266197241711744</v>
      </c>
      <c r="AI46" s="59">
        <f t="shared" ca="1" si="24"/>
        <v>1.738</v>
      </c>
      <c r="AJ46" s="59">
        <f ca="1">AI46/AH46</f>
        <v>1.3726139520335996</v>
      </c>
      <c r="AK46" s="59">
        <f ca="1">IF(AJ46&gt;1,1,AJ46)</f>
        <v>1</v>
      </c>
      <c r="AL46" s="59">
        <f ca="1">$U$5*$U$11*AK46/1.4/$U$6*$AG$5</f>
        <v>0.15661904761904763</v>
      </c>
      <c r="AM46" s="59">
        <f ca="1">$W$5*$W$11*AK46/1.4/$W$6*$AG$5</f>
        <v>0.22471428571428573</v>
      </c>
      <c r="AN46" s="59">
        <f ca="1">Y46/1.5*$AG$5</f>
        <v>0.28218666666666664</v>
      </c>
    </row>
    <row r="47" spans="1:44" ht="20.25">
      <c r="A47" s="360"/>
      <c r="B47" s="274" t="s">
        <v>1764</v>
      </c>
      <c r="C47" s="274" t="s">
        <v>1771</v>
      </c>
      <c r="D47" s="274" t="s">
        <v>1767</v>
      </c>
      <c r="E47" s="274" t="s">
        <v>1770</v>
      </c>
      <c r="F47" s="357"/>
      <c r="H47" s="39" t="s">
        <v>1376</v>
      </c>
      <c r="I47" s="342">
        <f ca="1">MAX(E17,E19,E21)</f>
        <v>0.1125</v>
      </c>
      <c r="J47" s="64">
        <f t="shared" ca="1" si="1"/>
        <v>1.6930000000000001</v>
      </c>
      <c r="K47" s="64">
        <f t="shared" ca="1" si="2"/>
        <v>0.80689999999999995</v>
      </c>
      <c r="L47" s="64">
        <f t="shared" ca="1" si="3"/>
        <v>0.47660000000000002</v>
      </c>
      <c r="M47" s="64">
        <f t="shared" ca="1" si="4"/>
        <v>0.39200000000000002</v>
      </c>
      <c r="N47" s="72">
        <f t="shared" ca="1" si="5"/>
        <v>0.28000000000000003</v>
      </c>
      <c r="O47" s="72">
        <f t="shared" ca="1" si="6"/>
        <v>1.6930000000000001</v>
      </c>
      <c r="P47" s="72">
        <f t="shared" ca="1" si="7"/>
        <v>0.8</v>
      </c>
      <c r="Q47" s="72">
        <f t="shared" ca="1" si="8"/>
        <v>0.47249999999999998</v>
      </c>
      <c r="R47" s="72">
        <f t="shared" ca="1" si="9"/>
        <v>0.39</v>
      </c>
      <c r="S47" s="72">
        <f t="shared" ca="1" si="10"/>
        <v>0.157</v>
      </c>
      <c r="T47" s="72">
        <f t="shared" ca="1" si="11"/>
        <v>1.9490000000000001</v>
      </c>
      <c r="U47" s="72">
        <f t="shared" ca="1" si="12"/>
        <v>1.01715</v>
      </c>
      <c r="V47" s="72">
        <f t="shared" ca="1" si="13"/>
        <v>0.52190000000000003</v>
      </c>
      <c r="W47" s="72">
        <f t="shared" ca="1" si="14"/>
        <v>0.41499999999999998</v>
      </c>
      <c r="X47" s="72">
        <f t="shared" ca="1" si="15"/>
        <v>0.29599999999999999</v>
      </c>
      <c r="Y47" s="72">
        <f t="shared" ca="1" si="16"/>
        <v>0.29599999999999999</v>
      </c>
      <c r="Z47" s="338">
        <f t="shared" ca="1" si="29"/>
        <v>0.2402</v>
      </c>
      <c r="AA47" s="71">
        <f t="shared" ca="1" si="17"/>
        <v>0.1125</v>
      </c>
      <c r="AB47" s="350">
        <f t="shared" ca="1" si="18"/>
        <v>235.6362</v>
      </c>
      <c r="AC47" s="59">
        <f t="shared" ca="1" si="19"/>
        <v>0.37267799624996495</v>
      </c>
      <c r="AD47" s="59">
        <f t="shared" ca="1" si="30"/>
        <v>0.15</v>
      </c>
      <c r="AE47" s="59">
        <f t="shared" ca="1" si="20"/>
        <v>0.17159999999999997</v>
      </c>
      <c r="AF47" s="59">
        <f t="shared" ca="1" si="21"/>
        <v>0.13728000000000001</v>
      </c>
      <c r="AG47" s="59">
        <f t="shared" ca="1" si="22"/>
        <v>0.11497199999999999</v>
      </c>
      <c r="AH47" s="59">
        <f t="shared" ca="1" si="23"/>
        <v>1.2665202966167339</v>
      </c>
      <c r="AI47" s="59">
        <f t="shared" ca="1" si="24"/>
        <v>1.73925</v>
      </c>
      <c r="AJ47" s="59">
        <f t="shared" ca="1" si="25"/>
        <v>1.3732507916739058</v>
      </c>
      <c r="AK47" s="59">
        <f t="shared" ca="1" si="31"/>
        <v>1</v>
      </c>
      <c r="AL47" s="59">
        <f t="shared" ca="1" si="26"/>
        <v>0.15661904761904763</v>
      </c>
      <c r="AM47" s="59">
        <f t="shared" ca="1" si="27"/>
        <v>0.22471428571428573</v>
      </c>
      <c r="AN47" s="59">
        <f t="shared" ca="1" si="28"/>
        <v>0.28218666666666664</v>
      </c>
    </row>
    <row r="48" spans="1:44" ht="18.75">
      <c r="A48" s="360"/>
      <c r="B48" s="345">
        <f ca="1">A$44*B29</f>
        <v>0.41882685092313976</v>
      </c>
      <c r="C48" s="345">
        <f ca="1">ROUND(IF($C$39&gt;=D$17,C$40,IF($C$39&gt;=F$17,E$40+(C$40-E$40)*($C$39-0.6*D$17)/0.4/D$17,IF($C$39&lt;E$17,E$40+(E$40-1)*($C$39-E$17)/E$17,E$40))),4)</f>
        <v>3</v>
      </c>
      <c r="D48" s="345">
        <f ca="1">ROUND(B48/C48,4)</f>
        <v>0.1396</v>
      </c>
      <c r="E48" s="345">
        <f ca="1">IF(D48&lt;=0.3,D48,IF(D48&lt;0.8,ROUND(0.52*D48+0.144,4),0.7*D48))</f>
        <v>0.1396</v>
      </c>
      <c r="F48" s="343">
        <f ca="1">B$13*E48/1.4/B$14</f>
        <v>9.9714285714285728E-2</v>
      </c>
      <c r="H48" s="39"/>
      <c r="I48" s="339">
        <f ca="1">ROUND((I47+I49)/2,2)</f>
        <v>0.17</v>
      </c>
      <c r="J48" s="64">
        <f t="shared" ca="1" si="1"/>
        <v>1.6930000000000001</v>
      </c>
      <c r="K48" s="64">
        <f t="shared" ca="1" si="2"/>
        <v>0.80689999999999995</v>
      </c>
      <c r="L48" s="64">
        <f t="shared" ref="L48" ca="1" si="32">ROUND(K48/J48,4)</f>
        <v>0.47660000000000002</v>
      </c>
      <c r="M48" s="64">
        <f t="shared" ref="M48" ca="1" si="33">IF(L48&lt;=0.3,L48,IF(L48&lt;0.8,ROUND(0.52*L48+0.144,3),0.7*L48))</f>
        <v>0.39200000000000002</v>
      </c>
      <c r="N48" s="72">
        <f t="shared" ca="1" si="5"/>
        <v>0.28000000000000003</v>
      </c>
      <c r="O48" s="72">
        <f t="shared" ca="1" si="6"/>
        <v>1.6930000000000001</v>
      </c>
      <c r="P48" s="72">
        <f t="shared" ca="1" si="7"/>
        <v>0.8</v>
      </c>
      <c r="Q48" s="72">
        <f t="shared" ref="Q48" ca="1" si="34">ROUND(P48/O48,4)</f>
        <v>0.47249999999999998</v>
      </c>
      <c r="R48" s="72">
        <f t="shared" ref="R48" ca="1" si="35">IF(Q48&lt;=0.3,Q48,IF(Q48&lt;0.8,ROUND(0.52*Q48+0.144,3),0.7*Q48))</f>
        <v>0.39</v>
      </c>
      <c r="S48" s="72">
        <f t="shared" ca="1" si="10"/>
        <v>0.157</v>
      </c>
      <c r="T48" s="72">
        <f t="shared" ca="1" si="11"/>
        <v>1.9490000000000001</v>
      </c>
      <c r="U48" s="72">
        <f t="shared" ca="1" si="12"/>
        <v>1.01715</v>
      </c>
      <c r="V48" s="72">
        <f t="shared" ref="V48" ca="1" si="36">ROUND(U48/T48,4)</f>
        <v>0.52190000000000003</v>
      </c>
      <c r="W48" s="72">
        <f t="shared" ref="W48" ca="1" si="37">IF(V48&lt;=0.3,V48,IF(V48&lt;0.8,ROUND(0.52*V48+0.144,3),0.7*V48))</f>
        <v>0.41499999999999998</v>
      </c>
      <c r="X48" s="72">
        <f t="shared" ca="1" si="15"/>
        <v>0.29599999999999999</v>
      </c>
      <c r="Y48" s="72">
        <f t="shared" ref="Y48" ca="1" si="38">MAX(X48,S48,N48)</f>
        <v>0.29599999999999999</v>
      </c>
      <c r="Z48" s="338">
        <f t="shared" ca="1" si="29"/>
        <v>0.2402</v>
      </c>
      <c r="AA48" s="71">
        <f t="shared" ca="1" si="17"/>
        <v>0.17</v>
      </c>
      <c r="AB48" s="350">
        <f t="shared" ca="1" si="18"/>
        <v>235.6362</v>
      </c>
      <c r="AC48" s="59">
        <f t="shared" ca="1" si="19"/>
        <v>0.30316953129541618</v>
      </c>
      <c r="AD48" s="59">
        <f t="shared" ref="AD48" ca="1" si="39">IF(AC48&gt;0.15,0.15,IF(AC48&lt;0.0625,0.0625,AC48))</f>
        <v>0.15</v>
      </c>
      <c r="AE48" s="59">
        <f t="shared" ca="1" si="20"/>
        <v>0.17159999999999997</v>
      </c>
      <c r="AF48" s="59">
        <f t="shared" ca="1" si="21"/>
        <v>0.13728000000000001</v>
      </c>
      <c r="AG48" s="59">
        <f t="shared" ca="1" si="22"/>
        <v>0.11497199999999999</v>
      </c>
      <c r="AH48" s="59">
        <f t="shared" ca="1" si="23"/>
        <v>1.4522768669859727</v>
      </c>
      <c r="AI48" s="59">
        <f t="shared" ca="1" si="24"/>
        <v>2.5</v>
      </c>
      <c r="AJ48" s="59">
        <f t="shared" ref="AJ48" ca="1" si="40">AI48/AH48</f>
        <v>1.7214348426470854</v>
      </c>
      <c r="AK48" s="59">
        <f t="shared" ref="AK48" ca="1" si="41">IF(AJ48&gt;1,1,AJ48)</f>
        <v>1</v>
      </c>
      <c r="AL48" s="59">
        <f t="shared" ref="AL48" ca="1" si="42">$U$5*$U$11*AK48/1.4/$U$6*$AG$5</f>
        <v>0.15661904761904763</v>
      </c>
      <c r="AM48" s="59">
        <f t="shared" ref="AM48" ca="1" si="43">$W$5*$W$11*AK48/1.4/$W$6*$AG$5</f>
        <v>0.22471428571428573</v>
      </c>
      <c r="AN48" s="59">
        <f t="shared" ref="AN48" ca="1" si="44">Y48/1.5*$AG$5</f>
        <v>0.28218666666666664</v>
      </c>
    </row>
    <row r="49" spans="1:40" ht="18.75">
      <c r="A49" s="292" t="s">
        <v>1774</v>
      </c>
      <c r="B49" s="53"/>
      <c r="C49" s="53"/>
      <c r="D49" s="53"/>
      <c r="E49" s="53"/>
      <c r="F49" s="363">
        <f ca="1">MAX(F44,F46,F48)</f>
        <v>0.1031239221784801</v>
      </c>
      <c r="I49" s="339">
        <f ca="1">ROUND((I47+I51)/2,2)</f>
        <v>0.22</v>
      </c>
      <c r="J49" s="64">
        <f t="shared" ca="1" si="1"/>
        <v>1.6930000000000001</v>
      </c>
      <c r="K49" s="64">
        <f t="shared" ca="1" si="2"/>
        <v>0.80689999999999995</v>
      </c>
      <c r="L49" s="64">
        <f t="shared" ca="1" si="3"/>
        <v>0.47660000000000002</v>
      </c>
      <c r="M49" s="64">
        <f t="shared" ca="1" si="4"/>
        <v>0.39200000000000002</v>
      </c>
      <c r="N49" s="61">
        <f t="shared" ca="1" si="5"/>
        <v>0.28000000000000003</v>
      </c>
      <c r="O49" s="61">
        <f t="shared" ca="1" si="6"/>
        <v>1.6930000000000001</v>
      </c>
      <c r="P49" s="61">
        <f t="shared" ca="1" si="7"/>
        <v>0.8</v>
      </c>
      <c r="Q49" s="61">
        <f t="shared" ca="1" si="8"/>
        <v>0.47249999999999998</v>
      </c>
      <c r="R49" s="61">
        <f t="shared" ca="1" si="9"/>
        <v>0.39</v>
      </c>
      <c r="S49" s="61">
        <f t="shared" ca="1" si="10"/>
        <v>0.157</v>
      </c>
      <c r="T49" s="61">
        <f t="shared" ca="1" si="11"/>
        <v>1.9490000000000001</v>
      </c>
      <c r="U49" s="61">
        <f t="shared" ca="1" si="12"/>
        <v>1.01715</v>
      </c>
      <c r="V49" s="61">
        <f t="shared" ca="1" si="13"/>
        <v>0.52190000000000003</v>
      </c>
      <c r="W49" s="61">
        <f t="shared" ca="1" si="14"/>
        <v>0.41499999999999998</v>
      </c>
      <c r="X49" s="61">
        <f t="shared" ca="1" si="15"/>
        <v>0.29599999999999999</v>
      </c>
      <c r="Y49" s="61">
        <f t="shared" ca="1" si="16"/>
        <v>0.29599999999999999</v>
      </c>
      <c r="Z49" s="338">
        <f t="shared" ca="1" si="29"/>
        <v>0.2402</v>
      </c>
      <c r="AA49" s="64">
        <f t="shared" ca="1" si="17"/>
        <v>0.22</v>
      </c>
      <c r="AB49" s="270">
        <f t="shared" ca="1" si="18"/>
        <v>235.6362</v>
      </c>
      <c r="AC49" s="59">
        <f t="shared" ca="1" si="19"/>
        <v>0.26650089544451305</v>
      </c>
      <c r="AD49" s="59">
        <f t="shared" ca="1" si="30"/>
        <v>0.15</v>
      </c>
      <c r="AE49" s="59">
        <f t="shared" ca="1" si="20"/>
        <v>0.17159999999999997</v>
      </c>
      <c r="AF49" s="59">
        <f t="shared" ca="1" si="21"/>
        <v>0.13728000000000001</v>
      </c>
      <c r="AG49" s="59">
        <f t="shared" ca="1" si="22"/>
        <v>0.11497199999999999</v>
      </c>
      <c r="AH49" s="59">
        <f t="shared" ca="1" si="23"/>
        <v>1.5491933384829668</v>
      </c>
      <c r="AI49" s="59">
        <f t="shared" ca="1" si="24"/>
        <v>2.5</v>
      </c>
      <c r="AJ49" s="59">
        <f t="shared" ca="1" si="25"/>
        <v>1.6137430609197569</v>
      </c>
      <c r="AK49" s="59">
        <f t="shared" ca="1" si="31"/>
        <v>1</v>
      </c>
      <c r="AL49" s="59">
        <f t="shared" ca="1" si="26"/>
        <v>0.15661904761904763</v>
      </c>
      <c r="AM49" s="59">
        <f t="shared" ca="1" si="27"/>
        <v>0.22471428571428573</v>
      </c>
      <c r="AN49" s="59">
        <f t="shared" ca="1" si="28"/>
        <v>0.28218666666666664</v>
      </c>
    </row>
    <row r="50" spans="1:40" ht="18.75">
      <c r="A50" s="292" t="s">
        <v>1773</v>
      </c>
      <c r="B50" s="364">
        <v>0.4</v>
      </c>
      <c r="C50" s="345" t="str">
        <f ca="1">IF(F49=F44,"SDS",IF(F49=F46,"SDS*","SMS"))</f>
        <v>SDS</v>
      </c>
      <c r="D50" s="345">
        <f ca="1">IF(F49=F44,B17,IF(F49=F46,B19,B21))</f>
        <v>0.80689999999999995</v>
      </c>
      <c r="E50" s="53"/>
      <c r="F50" s="363">
        <f ca="1">0.4*D50*A44</f>
        <v>0.21517333333333333</v>
      </c>
      <c r="I50" s="339">
        <f ca="1">ROUND((I49+I52)/2,2)</f>
        <v>0.28000000000000003</v>
      </c>
      <c r="J50" s="64">
        <f t="shared" ca="1" si="1"/>
        <v>1.6930000000000001</v>
      </c>
      <c r="K50" s="64">
        <f t="shared" ca="1" si="2"/>
        <v>0.80689999999999995</v>
      </c>
      <c r="L50" s="64">
        <f t="shared" ref="L50" ca="1" si="45">ROUND(K50/J50,4)</f>
        <v>0.47660000000000002</v>
      </c>
      <c r="M50" s="64">
        <f t="shared" ref="M50" ca="1" si="46">IF(L50&lt;=0.3,L50,IF(L50&lt;0.8,ROUND(0.52*L50+0.144,3),0.7*L50))</f>
        <v>0.39200000000000002</v>
      </c>
      <c r="N50" s="61">
        <f t="shared" ca="1" si="5"/>
        <v>0.28000000000000003</v>
      </c>
      <c r="O50" s="61">
        <f t="shared" ca="1" si="6"/>
        <v>1.6930000000000001</v>
      </c>
      <c r="P50" s="61">
        <f t="shared" ca="1" si="7"/>
        <v>0.8</v>
      </c>
      <c r="Q50" s="61">
        <f t="shared" ref="Q50" ca="1" si="47">ROUND(P50/O50,4)</f>
        <v>0.47249999999999998</v>
      </c>
      <c r="R50" s="61">
        <f t="shared" ref="R50" ca="1" si="48">IF(Q50&lt;=0.3,Q50,IF(Q50&lt;0.8,ROUND(0.52*Q50+0.144,3),0.7*Q50))</f>
        <v>0.39</v>
      </c>
      <c r="S50" s="61">
        <f t="shared" ca="1" si="10"/>
        <v>0.157</v>
      </c>
      <c r="T50" s="61">
        <f t="shared" ca="1" si="11"/>
        <v>1.9490000000000001</v>
      </c>
      <c r="U50" s="61">
        <f t="shared" ca="1" si="12"/>
        <v>1.01715</v>
      </c>
      <c r="V50" s="61">
        <f t="shared" ref="V50" ca="1" si="49">ROUND(U50/T50,4)</f>
        <v>0.52190000000000003</v>
      </c>
      <c r="W50" s="61">
        <f t="shared" ref="W50" ca="1" si="50">IF(V50&lt;=0.3,V50,IF(V50&lt;0.8,ROUND(0.52*V50+0.144,3),0.7*V50))</f>
        <v>0.41499999999999998</v>
      </c>
      <c r="X50" s="61">
        <f t="shared" ca="1" si="15"/>
        <v>0.29599999999999999</v>
      </c>
      <c r="Y50" s="61">
        <f t="shared" ref="Y50" ca="1" si="51">MAX(X50,S50,N50)</f>
        <v>0.29599999999999999</v>
      </c>
      <c r="Z50" s="338">
        <f t="shared" ca="1" si="29"/>
        <v>0.2402</v>
      </c>
      <c r="AA50" s="64">
        <f t="shared" ca="1" si="17"/>
        <v>0.28000000000000003</v>
      </c>
      <c r="AB50" s="270">
        <f t="shared" ca="1" si="18"/>
        <v>235.6362</v>
      </c>
      <c r="AC50" s="59">
        <f t="shared" ca="1" si="19"/>
        <v>0.23622779563076698</v>
      </c>
      <c r="AD50" s="59">
        <f t="shared" ref="AD50" ca="1" si="52">IF(AC50&gt;0.15,0.15,IF(AC50&lt;0.0625,0.0625,AC50))</f>
        <v>0.15</v>
      </c>
      <c r="AE50" s="59">
        <f t="shared" ca="1" si="20"/>
        <v>0.17159999999999997</v>
      </c>
      <c r="AF50" s="59">
        <f t="shared" ca="1" si="21"/>
        <v>0.13728000000000001</v>
      </c>
      <c r="AG50" s="59">
        <f t="shared" ca="1" si="22"/>
        <v>0.11497199999999999</v>
      </c>
      <c r="AH50" s="59">
        <f t="shared" ca="1" si="23"/>
        <v>1.5491933384829668</v>
      </c>
      <c r="AI50" s="59">
        <f t="shared" ca="1" si="24"/>
        <v>2.5</v>
      </c>
      <c r="AJ50" s="59">
        <f t="shared" ref="AJ50" ca="1" si="53">AI50/AH50</f>
        <v>1.6137430609197569</v>
      </c>
      <c r="AK50" s="59">
        <f t="shared" ref="AK50" ca="1" si="54">IF(AJ50&gt;1,1,AJ50)</f>
        <v>1</v>
      </c>
      <c r="AL50" s="59">
        <f t="shared" ref="AL50" ca="1" si="55">$U$5*$U$11*AK50/1.4/$U$6*$AG$5</f>
        <v>0.15661904761904763</v>
      </c>
      <c r="AM50" s="59">
        <f t="shared" ref="AM50" ca="1" si="56">$W$5*$W$11*AK50/1.4/$W$6*$AG$5</f>
        <v>0.22471428571428573</v>
      </c>
      <c r="AN50" s="59">
        <f t="shared" ref="AN50" ca="1" si="57">Y50/1.5*$AG$5</f>
        <v>0.28218666666666664</v>
      </c>
    </row>
    <row r="51" spans="1:40" ht="29.25" customHeight="1" thickBot="1">
      <c r="A51" s="381" t="s">
        <v>1779</v>
      </c>
      <c r="B51" s="382"/>
      <c r="C51" s="382"/>
      <c r="D51" s="382"/>
      <c r="E51" s="382"/>
      <c r="F51" s="383"/>
      <c r="I51" s="340">
        <f ca="1">MIN(F17,F19,F21)</f>
        <v>0.33250000000000002</v>
      </c>
      <c r="J51" s="67">
        <f t="shared" ca="1" si="1"/>
        <v>1.6930000000000001</v>
      </c>
      <c r="K51" s="67">
        <f t="shared" ca="1" si="2"/>
        <v>0.80689999999999995</v>
      </c>
      <c r="L51" s="67">
        <f ca="1">ROUND(K51/J51,4)</f>
        <v>0.47660000000000002</v>
      </c>
      <c r="M51" s="67">
        <f ca="1">IF(L51&lt;=0.3,L51,IF(L51&lt;0.8,ROUND(0.52*L51+0.144,3),0.7*L51))</f>
        <v>0.39200000000000002</v>
      </c>
      <c r="N51" s="68">
        <f t="shared" ca="1" si="5"/>
        <v>0.28000000000000003</v>
      </c>
      <c r="O51" s="68">
        <f t="shared" ca="1" si="6"/>
        <v>1.6930000000000001</v>
      </c>
      <c r="P51" s="68">
        <f t="shared" ca="1" si="7"/>
        <v>0.8</v>
      </c>
      <c r="Q51" s="68">
        <f ca="1">ROUND(P51/O51,4)</f>
        <v>0.47249999999999998</v>
      </c>
      <c r="R51" s="68">
        <f ca="1">IF(Q51&lt;=0.3,Q51,IF(Q51&lt;0.8,ROUND(0.52*Q51+0.144,3),0.7*Q51))</f>
        <v>0.39</v>
      </c>
      <c r="S51" s="68">
        <f t="shared" ca="1" si="10"/>
        <v>0.157</v>
      </c>
      <c r="T51" s="68">
        <f t="shared" ca="1" si="11"/>
        <v>1.9490000000000001</v>
      </c>
      <c r="U51" s="68">
        <f t="shared" ca="1" si="12"/>
        <v>1.01715</v>
      </c>
      <c r="V51" s="68">
        <f ca="1">ROUND(U51/T51,4)</f>
        <v>0.52190000000000003</v>
      </c>
      <c r="W51" s="68">
        <f ca="1">IF(V51&lt;=0.3,V51,IF(V51&lt;0.8,ROUND(0.52*V51+0.144,3),0.7*V51))</f>
        <v>0.41499999999999998</v>
      </c>
      <c r="X51" s="68">
        <f t="shared" ca="1" si="15"/>
        <v>0.29599999999999999</v>
      </c>
      <c r="Y51" s="68">
        <f ca="1">MAX(X51,S51,N51)</f>
        <v>0.29599999999999999</v>
      </c>
      <c r="Z51" s="338">
        <f t="shared" ca="1" si="29"/>
        <v>0.2402</v>
      </c>
      <c r="AA51" s="67">
        <f t="shared" ca="1" si="17"/>
        <v>0.33250000000000002</v>
      </c>
      <c r="AB51" s="351">
        <f t="shared" ca="1" si="18"/>
        <v>235.6362</v>
      </c>
      <c r="AC51" s="59">
        <f t="shared" ca="1" si="19"/>
        <v>0.21677749238102997</v>
      </c>
      <c r="AD51" s="59">
        <f ca="1">IF(AC51&gt;0.15,0.15,IF(AC51&lt;0.0625,0.0625,AC51))</f>
        <v>0.15</v>
      </c>
      <c r="AE51" s="59">
        <f t="shared" ca="1" si="20"/>
        <v>0.17159999999999997</v>
      </c>
      <c r="AF51" s="59">
        <f t="shared" ca="1" si="21"/>
        <v>0.13728000000000001</v>
      </c>
      <c r="AG51" s="59">
        <f t="shared" ca="1" si="22"/>
        <v>0.11497199999999999</v>
      </c>
      <c r="AH51" s="59">
        <f t="shared" ca="1" si="23"/>
        <v>1.5491933384829668</v>
      </c>
      <c r="AI51" s="59">
        <f t="shared" ca="1" si="24"/>
        <v>2.5</v>
      </c>
      <c r="AJ51" s="59">
        <f ca="1">AI51/AH51</f>
        <v>1.6137430609197569</v>
      </c>
      <c r="AK51" s="59">
        <f ca="1">IF(AJ51&gt;1,1,AJ51)</f>
        <v>1</v>
      </c>
      <c r="AL51" s="59">
        <f ca="1">$U$5*$U$11*AK51/1.4/$U$6*$AG$5</f>
        <v>0.15661904761904763</v>
      </c>
      <c r="AM51" s="59">
        <f ca="1">$W$5*$W$11*AK51/1.4/$W$6*$AG$5</f>
        <v>0.22471428571428573</v>
      </c>
      <c r="AN51" s="59">
        <f ca="1">Y51/1.5*$AG$5</f>
        <v>0.28218666666666664</v>
      </c>
    </row>
    <row r="52" spans="1:40" ht="17.25" thickTop="1">
      <c r="A52" s="32"/>
      <c r="B52" s="313">
        <f>ROUND((ROUNDUP(B7,0)-1)/2,0)</f>
        <v>3</v>
      </c>
      <c r="C52" s="313">
        <f>IF(B52&lt;1,0,IF(B52&gt;7,7,B52))</f>
        <v>3</v>
      </c>
      <c r="D52" s="314">
        <f>IF(C52&gt;=1,C52-1,C52)</f>
        <v>2</v>
      </c>
      <c r="E52" s="315">
        <f>IF(B52&gt;=7,0,1)</f>
        <v>1</v>
      </c>
      <c r="F52" s="314">
        <f>IF(B52&gt;=7,1,2)</f>
        <v>2</v>
      </c>
      <c r="I52" s="341">
        <f ca="1">LARGE(F17:F21,2)</f>
        <v>0.33710000000000001</v>
      </c>
      <c r="J52" s="64">
        <f t="shared" ca="1" si="1"/>
        <v>1.6930000000000001</v>
      </c>
      <c r="K52" s="64">
        <f t="shared" ca="1" si="2"/>
        <v>0.80689999999999995</v>
      </c>
      <c r="L52" s="64">
        <f ca="1">ROUND(K52/J52,4)</f>
        <v>0.47660000000000002</v>
      </c>
      <c r="M52" s="64">
        <f ca="1">IF(L52&lt;=0.3,L52,IF(L52&lt;0.8,ROUND(0.52*L52+0.144,3),0.7*L52))</f>
        <v>0.39200000000000002</v>
      </c>
      <c r="N52" s="69">
        <f t="shared" ca="1" si="5"/>
        <v>0.28000000000000003</v>
      </c>
      <c r="O52" s="74">
        <f t="shared" ca="1" si="6"/>
        <v>1.6930000000000001</v>
      </c>
      <c r="P52" s="75">
        <f t="shared" ca="1" si="7"/>
        <v>0.8</v>
      </c>
      <c r="Q52" s="75">
        <f ca="1">ROUND(P52/O52,4)</f>
        <v>0.47249999999999998</v>
      </c>
      <c r="R52" s="76">
        <f ca="1">IF(Q52&lt;=0.3,Q52,IF(Q52&lt;0.8,ROUND(0.52*Q52+0.144,3),0.7*Q52))</f>
        <v>0.39</v>
      </c>
      <c r="S52" s="77">
        <f t="shared" ca="1" si="10"/>
        <v>0.157</v>
      </c>
      <c r="T52" s="69">
        <f t="shared" ca="1" si="11"/>
        <v>1.9590000000000001</v>
      </c>
      <c r="U52" s="69">
        <f t="shared" ca="1" si="12"/>
        <v>1.01715</v>
      </c>
      <c r="V52" s="69">
        <f ca="1">ROUND(U52/T52,4)</f>
        <v>0.51919999999999999</v>
      </c>
      <c r="W52" s="69">
        <f ca="1">IF(V52&lt;=0.3,V52,IF(V52&lt;0.8,ROUND(0.52*V52+0.144,3),0.7*V52))</f>
        <v>0.41399999999999998</v>
      </c>
      <c r="X52" s="69">
        <f t="shared" ca="1" si="15"/>
        <v>0.29599999999999999</v>
      </c>
      <c r="Y52" s="69">
        <f ca="1">MAX(X52,S52,N52)</f>
        <v>0.29599999999999999</v>
      </c>
      <c r="Z52" s="338">
        <f t="shared" ca="1" si="29"/>
        <v>0.2402</v>
      </c>
      <c r="AA52" s="69">
        <f t="shared" ca="1" si="17"/>
        <v>0.33710000000000001</v>
      </c>
      <c r="AB52" s="349">
        <f t="shared" ca="1" si="18"/>
        <v>235.6362</v>
      </c>
      <c r="AC52" s="59">
        <f t="shared" ca="1" si="19"/>
        <v>0.21529336053092235</v>
      </c>
      <c r="AD52" s="59">
        <f ca="1">IF(AC52&gt;0.15,0.15,IF(AC52&lt;0.0625,0.0625,AC52))</f>
        <v>0.15</v>
      </c>
      <c r="AE52" s="59">
        <f t="shared" ca="1" si="20"/>
        <v>0.17159999999999997</v>
      </c>
      <c r="AF52" s="59">
        <f t="shared" ca="1" si="21"/>
        <v>0.13728000000000001</v>
      </c>
      <c r="AG52" s="59">
        <f t="shared" ca="1" si="22"/>
        <v>0.11497199999999999</v>
      </c>
      <c r="AH52" s="59">
        <f t="shared" ca="1" si="23"/>
        <v>1.5491933384829668</v>
      </c>
      <c r="AI52" s="59">
        <f t="shared" ca="1" si="24"/>
        <v>2.5</v>
      </c>
      <c r="AJ52" s="59">
        <f ca="1">AI52/AH52</f>
        <v>1.6137430609197569</v>
      </c>
      <c r="AK52" s="59">
        <f ca="1">IF(AJ52&gt;1,1,AJ52)</f>
        <v>1</v>
      </c>
      <c r="AL52" s="59">
        <f ca="1">$U$5*$U$11*AK52/1.4/$U$6*$AG$5</f>
        <v>0.15661904761904763</v>
      </c>
      <c r="AM52" s="59">
        <f ca="1">$W$5*$W$11*AK52/1.4/$W$6*$AG$5</f>
        <v>0.22471428571428573</v>
      </c>
      <c r="AN52" s="59">
        <f ca="1">Y52/1.5*$AG$5</f>
        <v>0.28218666666666664</v>
      </c>
    </row>
    <row r="53" spans="1:40" ht="20.25">
      <c r="A53" s="181" t="s">
        <v>1359</v>
      </c>
      <c r="B53" s="168">
        <f>IF(C52&lt;1,1,C52*2-1)</f>
        <v>5</v>
      </c>
      <c r="C53" s="169">
        <f ca="1">IF($B6="",C3,VLOOKUP($B$3,INDIRECT($B$6),$D$52+2,FALSE))</f>
        <v>0.82</v>
      </c>
      <c r="D53" s="169">
        <f ca="1">IF($B6="",D3,VLOOKUP($B$3,INDIRECT($B$6),$D$52+10,FALSE))</f>
        <v>0.46</v>
      </c>
      <c r="E53" s="169">
        <f ca="1">IF($B6="", E3,VLOOKUP($B$3,INDIRECT($B$6),$D$52+18,FALSE))</f>
        <v>1.05</v>
      </c>
      <c r="F53" s="170">
        <f ca="1">IF($B6="", F3,VLOOKUP($B$3,INDIRECT($B$6),$D$52+26,FALSE))</f>
        <v>0.59</v>
      </c>
      <c r="H53" s="39" t="s">
        <v>1377</v>
      </c>
      <c r="I53" s="342">
        <f ca="1">MAX(F17,F19,F21)</f>
        <v>0.33749999999999997</v>
      </c>
      <c r="J53" s="64">
        <f t="shared" ca="1" si="1"/>
        <v>1.6930000000000001</v>
      </c>
      <c r="K53" s="64">
        <f t="shared" ca="1" si="2"/>
        <v>0.80689999999999995</v>
      </c>
      <c r="L53" s="64">
        <f t="shared" ca="1" si="3"/>
        <v>0.47660000000000002</v>
      </c>
      <c r="M53" s="64">
        <f t="shared" ca="1" si="4"/>
        <v>0.39200000000000002</v>
      </c>
      <c r="N53" s="72">
        <f t="shared" ca="1" si="5"/>
        <v>0.28000000000000003</v>
      </c>
      <c r="O53" s="78">
        <f t="shared" ca="1" si="6"/>
        <v>1.6930000000000001</v>
      </c>
      <c r="P53" s="72">
        <f t="shared" ca="1" si="7"/>
        <v>0.8</v>
      </c>
      <c r="Q53" s="72">
        <f t="shared" ca="1" si="8"/>
        <v>0.47249999999999998</v>
      </c>
      <c r="R53" s="79">
        <f t="shared" ca="1" si="9"/>
        <v>0.39</v>
      </c>
      <c r="S53" s="80">
        <f t="shared" ca="1" si="10"/>
        <v>0.157</v>
      </c>
      <c r="T53" s="72">
        <f t="shared" ca="1" si="11"/>
        <v>1.96</v>
      </c>
      <c r="U53" s="72">
        <f t="shared" ca="1" si="12"/>
        <v>1.01715</v>
      </c>
      <c r="V53" s="72">
        <f t="shared" ca="1" si="13"/>
        <v>0.51900000000000002</v>
      </c>
      <c r="W53" s="72">
        <f t="shared" ca="1" si="14"/>
        <v>0.41399999999999998</v>
      </c>
      <c r="X53" s="72">
        <f t="shared" ca="1" si="15"/>
        <v>0.29599999999999999</v>
      </c>
      <c r="Y53" s="72">
        <f t="shared" ca="1" si="16"/>
        <v>0.29599999999999999</v>
      </c>
      <c r="Z53" s="338">
        <f t="shared" ca="1" si="29"/>
        <v>0.2402</v>
      </c>
      <c r="AA53" s="71">
        <f t="shared" ca="1" si="17"/>
        <v>0.33749999999999997</v>
      </c>
      <c r="AB53" s="350">
        <f t="shared" ca="1" si="18"/>
        <v>235.6362</v>
      </c>
      <c r="AC53" s="59">
        <f t="shared" ca="1" si="19"/>
        <v>0.21516574145596759</v>
      </c>
      <c r="AD53" s="59">
        <f t="shared" ca="1" si="30"/>
        <v>0.15</v>
      </c>
      <c r="AE53" s="59">
        <f t="shared" ca="1" si="20"/>
        <v>0.17159999999999997</v>
      </c>
      <c r="AF53" s="59">
        <f t="shared" ca="1" si="21"/>
        <v>0.13728000000000001</v>
      </c>
      <c r="AG53" s="59">
        <f t="shared" ca="1" si="22"/>
        <v>0.11497199999999999</v>
      </c>
      <c r="AH53" s="59">
        <f t="shared" ca="1" si="23"/>
        <v>1.5491933384829668</v>
      </c>
      <c r="AI53" s="59">
        <f t="shared" ca="1" si="24"/>
        <v>2.5</v>
      </c>
      <c r="AJ53" s="59">
        <f t="shared" ca="1" si="25"/>
        <v>1.6137430609197569</v>
      </c>
      <c r="AK53" s="59">
        <f t="shared" ca="1" si="31"/>
        <v>1</v>
      </c>
      <c r="AL53" s="59">
        <f t="shared" ca="1" si="26"/>
        <v>0.15661904761904763</v>
      </c>
      <c r="AM53" s="59">
        <f t="shared" ca="1" si="27"/>
        <v>0.22471428571428573</v>
      </c>
      <c r="AN53" s="59">
        <f t="shared" ca="1" si="28"/>
        <v>0.28218666666666664</v>
      </c>
    </row>
    <row r="54" spans="1:40" ht="16.5">
      <c r="A54" s="145" t="s">
        <v>1359</v>
      </c>
      <c r="B54" s="168">
        <f>C52*2+E52</f>
        <v>7</v>
      </c>
      <c r="C54" s="169">
        <f ca="1">IF($B6="",C3,VLOOKUP($B$3,INDIRECT($B$6),$C$52+2,FALSE))</f>
        <v>0.8</v>
      </c>
      <c r="D54" s="169">
        <f ca="1">IF($B6="",D3,VLOOKUP($B$3,INDIRECT($B$6),$C$52+10,FALSE))</f>
        <v>0.45</v>
      </c>
      <c r="E54" s="169">
        <f ca="1">IF($B6="", E3,VLOOKUP($B$3,INDIRECT($B$6),$C$52+18,FALSE))</f>
        <v>1</v>
      </c>
      <c r="F54" s="170">
        <f ca="1">IF($B6="", F3,VLOOKUP($B$3,INDIRECT($B$6),$C$52+26,FALSE))</f>
        <v>0.55000000000000004</v>
      </c>
      <c r="H54" s="39"/>
      <c r="I54" s="339">
        <f ca="1">ROUND((I53+I55)/2,2)</f>
        <v>0.39</v>
      </c>
      <c r="J54" s="64">
        <f t="shared" ca="1" si="1"/>
        <v>1.75</v>
      </c>
      <c r="K54" s="64">
        <f t="shared" ca="1" si="2"/>
        <v>0.80689999999999995</v>
      </c>
      <c r="L54" s="64">
        <f t="shared" ref="L54" ca="1" si="58">ROUND(K54/J54,4)</f>
        <v>0.46110000000000001</v>
      </c>
      <c r="M54" s="64">
        <f t="shared" ref="M54" ca="1" si="59">IF(L54&lt;=0.3,L54,IF(L54&lt;0.8,ROUND(0.52*L54+0.144,3),0.7*L54))</f>
        <v>0.38400000000000001</v>
      </c>
      <c r="N54" s="72">
        <f t="shared" ca="1" si="5"/>
        <v>0.27400000000000002</v>
      </c>
      <c r="O54" s="78">
        <f t="shared" ca="1" si="6"/>
        <v>1.7490000000000001</v>
      </c>
      <c r="P54" s="72">
        <f t="shared" ca="1" si="7"/>
        <v>0.8</v>
      </c>
      <c r="Q54" s="72">
        <f t="shared" ref="Q54" ca="1" si="60">ROUND(P54/O54,4)</f>
        <v>0.45739999999999997</v>
      </c>
      <c r="R54" s="79">
        <f t="shared" ref="R54" ca="1" si="61">IF(Q54&lt;=0.3,Q54,IF(Q54&lt;0.8,ROUND(0.52*Q54+0.144,3),0.7*Q54))</f>
        <v>0.38200000000000001</v>
      </c>
      <c r="S54" s="80">
        <f t="shared" ca="1" si="10"/>
        <v>0.159</v>
      </c>
      <c r="T54" s="72">
        <f t="shared" ca="1" si="11"/>
        <v>2.0659999999999998</v>
      </c>
      <c r="U54" s="72">
        <f t="shared" ca="1" si="12"/>
        <v>1.01715</v>
      </c>
      <c r="V54" s="72">
        <f t="shared" ref="V54" ca="1" si="62">ROUND(U54/T54,4)</f>
        <v>0.49230000000000002</v>
      </c>
      <c r="W54" s="72">
        <f t="shared" ref="W54" ca="1" si="63">IF(V54&lt;=0.3,V54,IF(V54&lt;0.8,ROUND(0.52*V54+0.144,3),0.7*V54))</f>
        <v>0.4</v>
      </c>
      <c r="X54" s="72">
        <f t="shared" ca="1" si="15"/>
        <v>0.28599999999999998</v>
      </c>
      <c r="Y54" s="72">
        <f t="shared" ref="Y54" ca="1" si="64">MAX(X54,S54,N54)</f>
        <v>0.28599999999999998</v>
      </c>
      <c r="Z54" s="338">
        <f t="shared" ca="1" si="29"/>
        <v>0.2402</v>
      </c>
      <c r="AA54" s="71">
        <f t="shared" ca="1" si="17"/>
        <v>0.39</v>
      </c>
      <c r="AB54" s="350">
        <f t="shared" ca="1" si="18"/>
        <v>235.6362</v>
      </c>
      <c r="AC54" s="59">
        <f t="shared" ca="1" si="19"/>
        <v>0.20016019225635892</v>
      </c>
      <c r="AD54" s="59">
        <f t="shared" ref="AD54" ca="1" si="65">IF(AC54&gt;0.15,0.15,IF(AC54&lt;0.0625,0.0625,AC54))</f>
        <v>0.15</v>
      </c>
      <c r="AE54" s="59">
        <f t="shared" ca="1" si="20"/>
        <v>0.17159999999999997</v>
      </c>
      <c r="AF54" s="59">
        <f t="shared" ca="1" si="21"/>
        <v>0.13728000000000001</v>
      </c>
      <c r="AG54" s="59">
        <f t="shared" ca="1" si="22"/>
        <v>0.11497199999999999</v>
      </c>
      <c r="AH54" s="59">
        <f t="shared" ca="1" si="23"/>
        <v>1.5491933384829668</v>
      </c>
      <c r="AI54" s="59">
        <f t="shared" ca="1" si="24"/>
        <v>2.5</v>
      </c>
      <c r="AJ54" s="59">
        <f t="shared" ref="AJ54" ca="1" si="66">AI54/AH54</f>
        <v>1.6137430609197569</v>
      </c>
      <c r="AK54" s="59">
        <f t="shared" ref="AK54" ca="1" si="67">IF(AJ54&gt;1,1,AJ54)</f>
        <v>1</v>
      </c>
      <c r="AL54" s="59">
        <f t="shared" ref="AL54" ca="1" si="68">$U$5*$U$11*AK54/1.4/$U$6*$AG$5</f>
        <v>0.15661904761904763</v>
      </c>
      <c r="AM54" s="59">
        <f t="shared" ref="AM54" ca="1" si="69">$W$5*$W$11*AK54/1.4/$W$6*$AG$5</f>
        <v>0.22471428571428573</v>
      </c>
      <c r="AN54" s="59">
        <f t="shared" ref="AN54" ca="1" si="70">Y54/1.5*$AG$5</f>
        <v>0.2726533333333333</v>
      </c>
    </row>
    <row r="55" spans="1:40" ht="16.5">
      <c r="D55" s="54"/>
      <c r="F55" s="61"/>
      <c r="H55" s="39"/>
      <c r="I55" s="339">
        <f ca="1">ROUND((I53+I57)/2,2)</f>
        <v>0.45</v>
      </c>
      <c r="J55" s="64">
        <f t="shared" ca="1" si="1"/>
        <v>1.8140000000000001</v>
      </c>
      <c r="K55" s="64">
        <f t="shared" ca="1" si="2"/>
        <v>0.80689999999999995</v>
      </c>
      <c r="L55" s="64">
        <f t="shared" ref="L55" ca="1" si="71">ROUND(K55/J55,4)</f>
        <v>0.44479999999999997</v>
      </c>
      <c r="M55" s="64">
        <f t="shared" ref="M55" ca="1" si="72">IF(L55&lt;=0.3,L55,IF(L55&lt;0.8,ROUND(0.52*L55+0.144,3),0.7*L55))</f>
        <v>0.375</v>
      </c>
      <c r="N55" s="72">
        <f t="shared" ca="1" si="5"/>
        <v>0.26800000000000002</v>
      </c>
      <c r="O55" s="78">
        <f t="shared" ca="1" si="6"/>
        <v>1.8129999999999999</v>
      </c>
      <c r="P55" s="72">
        <f t="shared" ca="1" si="7"/>
        <v>0.8</v>
      </c>
      <c r="Q55" s="72">
        <f t="shared" ref="Q55" ca="1" si="73">ROUND(P55/O55,4)</f>
        <v>0.44130000000000003</v>
      </c>
      <c r="R55" s="79">
        <f t="shared" ref="R55" ca="1" si="74">IF(Q55&lt;=0.3,Q55,IF(Q55&lt;0.8,ROUND(0.52*Q55+0.144,3),0.7*Q55))</f>
        <v>0.373</v>
      </c>
      <c r="S55" s="80">
        <f t="shared" ca="1" si="10"/>
        <v>0.161</v>
      </c>
      <c r="T55" s="72">
        <f t="shared" ca="1" si="11"/>
        <v>2.1880000000000002</v>
      </c>
      <c r="U55" s="72">
        <f t="shared" ca="1" si="12"/>
        <v>1.01715</v>
      </c>
      <c r="V55" s="72">
        <f t="shared" ref="V55" ca="1" si="75">ROUND(U55/T55,4)</f>
        <v>0.46489999999999998</v>
      </c>
      <c r="W55" s="72">
        <f t="shared" ref="W55" ca="1" si="76">IF(V55&lt;=0.3,V55,IF(V55&lt;0.8,ROUND(0.52*V55+0.144,3),0.7*V55))</f>
        <v>0.38600000000000001</v>
      </c>
      <c r="X55" s="72">
        <f t="shared" ca="1" si="15"/>
        <v>0.27600000000000002</v>
      </c>
      <c r="Y55" s="72">
        <f t="shared" ref="Y55" ca="1" si="77">MAX(X55,S55,N55)</f>
        <v>0.27600000000000002</v>
      </c>
      <c r="Z55" s="338">
        <f t="shared" ca="1" si="29"/>
        <v>0.2402</v>
      </c>
      <c r="AA55" s="71">
        <f t="shared" ca="1" si="17"/>
        <v>0.45</v>
      </c>
      <c r="AB55" s="350">
        <f t="shared" ca="1" si="18"/>
        <v>235.6362</v>
      </c>
      <c r="AC55" s="59">
        <f t="shared" ca="1" si="19"/>
        <v>0.18633899812498247</v>
      </c>
      <c r="AD55" s="59">
        <f t="shared" ref="AD55" ca="1" si="78">IF(AC55&gt;0.15,0.15,IF(AC55&lt;0.0625,0.0625,AC55))</f>
        <v>0.15</v>
      </c>
      <c r="AE55" s="59">
        <f t="shared" ca="1" si="20"/>
        <v>0.17159999999999997</v>
      </c>
      <c r="AF55" s="59">
        <f t="shared" ca="1" si="21"/>
        <v>0.13728000000000001</v>
      </c>
      <c r="AG55" s="59">
        <f t="shared" ca="1" si="22"/>
        <v>0.11497199999999999</v>
      </c>
      <c r="AH55" s="59">
        <f t="shared" ca="1" si="23"/>
        <v>1.5815615975402812</v>
      </c>
      <c r="AI55" s="59">
        <f t="shared" ca="1" si="24"/>
        <v>2.5</v>
      </c>
      <c r="AJ55" s="59">
        <f t="shared" ref="AJ55" ca="1" si="79">AI55/AH55</f>
        <v>1.5807161756381269</v>
      </c>
      <c r="AK55" s="59">
        <f t="shared" ref="AK55" ca="1" si="80">IF(AJ55&gt;1,1,AJ55)</f>
        <v>1</v>
      </c>
      <c r="AL55" s="59">
        <f t="shared" ref="AL55" ca="1" si="81">$U$5*$U$11*AK55/1.4/$U$6*$AG$5</f>
        <v>0.15661904761904763</v>
      </c>
      <c r="AM55" s="59">
        <f t="shared" ref="AM55" ca="1" si="82">$W$5*$W$11*AK55/1.4/$W$6*$AG$5</f>
        <v>0.22471428571428573</v>
      </c>
      <c r="AN55" s="59">
        <f t="shared" ref="AN55" ca="1" si="83">Y55/1.5*$AG$5</f>
        <v>0.26312000000000002</v>
      </c>
    </row>
    <row r="56" spans="1:40" ht="16.5">
      <c r="H56" s="39"/>
      <c r="I56" s="339">
        <f ca="1">ROUND((I55+I58)/2,2)</f>
        <v>0.51</v>
      </c>
      <c r="J56" s="64">
        <f t="shared" ca="1" si="1"/>
        <v>1.8779999999999999</v>
      </c>
      <c r="K56" s="64">
        <f t="shared" ca="1" si="2"/>
        <v>0.80689999999999995</v>
      </c>
      <c r="L56" s="64">
        <f t="shared" ref="L56" ca="1" si="84">ROUND(K56/J56,4)</f>
        <v>0.42970000000000003</v>
      </c>
      <c r="M56" s="64">
        <f t="shared" ref="M56" ca="1" si="85">IF(L56&lt;=0.3,L56,IF(L56&lt;0.8,ROUND(0.52*L56+0.144,3),0.7*L56))</f>
        <v>0.36699999999999999</v>
      </c>
      <c r="N56" s="72">
        <f t="shared" ca="1" si="5"/>
        <v>0.26200000000000001</v>
      </c>
      <c r="O56" s="78">
        <f t="shared" ca="1" si="6"/>
        <v>1.877</v>
      </c>
      <c r="P56" s="72">
        <f t="shared" ca="1" si="7"/>
        <v>0.8</v>
      </c>
      <c r="Q56" s="72">
        <f t="shared" ref="Q56" ca="1" si="86">ROUND(P56/O56,4)</f>
        <v>0.42620000000000002</v>
      </c>
      <c r="R56" s="79">
        <f t="shared" ref="R56" ca="1" si="87">IF(Q56&lt;=0.3,Q56,IF(Q56&lt;0.8,ROUND(0.52*Q56+0.144,3),0.7*Q56))</f>
        <v>0.36599999999999999</v>
      </c>
      <c r="S56" s="80">
        <f t="shared" ca="1" si="10"/>
        <v>0.16400000000000001</v>
      </c>
      <c r="T56" s="72">
        <f t="shared" ca="1" si="11"/>
        <v>2.31</v>
      </c>
      <c r="U56" s="72">
        <f t="shared" ca="1" si="12"/>
        <v>1.01715</v>
      </c>
      <c r="V56" s="72">
        <f t="shared" ref="V56" ca="1" si="88">ROUND(U56/T56,4)</f>
        <v>0.44030000000000002</v>
      </c>
      <c r="W56" s="72">
        <f t="shared" ref="W56" ca="1" si="89">IF(V56&lt;=0.3,V56,IF(V56&lt;0.8,ROUND(0.52*V56+0.144,3),0.7*V56))</f>
        <v>0.373</v>
      </c>
      <c r="X56" s="72">
        <f t="shared" ca="1" si="15"/>
        <v>0.26600000000000001</v>
      </c>
      <c r="Y56" s="72">
        <f t="shared" ref="Y56" ca="1" si="90">MAX(X56,S56,N56)</f>
        <v>0.26600000000000001</v>
      </c>
      <c r="Z56" s="338">
        <f t="shared" ca="1" si="29"/>
        <v>0.2402</v>
      </c>
      <c r="AA56" s="71">
        <f t="shared" ca="1" si="17"/>
        <v>0.51</v>
      </c>
      <c r="AB56" s="350">
        <f t="shared" ca="1" si="18"/>
        <v>235.6362</v>
      </c>
      <c r="AC56" s="59">
        <f t="shared" ca="1" si="19"/>
        <v>0.17503501050350123</v>
      </c>
      <c r="AD56" s="59">
        <f t="shared" ref="AD56" ca="1" si="91">IF(AC56&gt;0.15,0.15,IF(AC56&lt;0.0625,0.0625,AC56))</f>
        <v>0.15</v>
      </c>
      <c r="AE56" s="59">
        <f t="shared" ca="1" si="20"/>
        <v>0.17159999999999997</v>
      </c>
      <c r="AF56" s="59">
        <f t="shared" ca="1" si="21"/>
        <v>0.13728000000000001</v>
      </c>
      <c r="AG56" s="59">
        <f t="shared" ca="1" si="22"/>
        <v>0.11497199999999999</v>
      </c>
      <c r="AH56" s="59">
        <f t="shared" ca="1" si="23"/>
        <v>1.6257001326184373</v>
      </c>
      <c r="AI56" s="59">
        <f t="shared" ca="1" si="24"/>
        <v>2.5</v>
      </c>
      <c r="AJ56" s="59">
        <f t="shared" ref="AJ56" ca="1" si="92">AI56/AH56</f>
        <v>1.5377989764775191</v>
      </c>
      <c r="AK56" s="59">
        <f t="shared" ref="AK56" ca="1" si="93">IF(AJ56&gt;1,1,AJ56)</f>
        <v>1</v>
      </c>
      <c r="AL56" s="59">
        <f t="shared" ref="AL56" ca="1" si="94">$U$5*$U$11*AK56/1.4/$U$6*$AG$5</f>
        <v>0.15661904761904763</v>
      </c>
      <c r="AM56" s="59">
        <f t="shared" ref="AM56" ca="1" si="95">$W$5*$W$11*AK56/1.4/$W$6*$AG$5</f>
        <v>0.22471428571428573</v>
      </c>
      <c r="AN56" s="59">
        <f t="shared" ref="AN56" ca="1" si="96">Y56/1.5*$AG$5</f>
        <v>0.25358666666666668</v>
      </c>
    </row>
    <row r="57" spans="1:40" ht="16.5">
      <c r="I57" s="340">
        <f ca="1">MIN(D17,D19,D21)</f>
        <v>0.55420000000000003</v>
      </c>
      <c r="J57" s="67">
        <f t="shared" ca="1" si="1"/>
        <v>1.925</v>
      </c>
      <c r="K57" s="67">
        <f t="shared" ca="1" si="2"/>
        <v>0.80689999999999995</v>
      </c>
      <c r="L57" s="67">
        <f ca="1">ROUND(K57/J57,4)</f>
        <v>0.41920000000000002</v>
      </c>
      <c r="M57" s="67">
        <f ca="1">IF(L57&lt;=0.3,L57,IF(L57&lt;0.8,ROUND(0.52*L57+0.144,3),0.7*L57))</f>
        <v>0.36199999999999999</v>
      </c>
      <c r="N57" s="68">
        <f t="shared" ca="1" si="5"/>
        <v>0.25900000000000001</v>
      </c>
      <c r="O57" s="81">
        <f t="shared" ca="1" si="6"/>
        <v>1.9239999999999999</v>
      </c>
      <c r="P57" s="68">
        <f t="shared" ca="1" si="7"/>
        <v>0.8</v>
      </c>
      <c r="Q57" s="68">
        <f ca="1">ROUND(P57/O57,4)</f>
        <v>0.4158</v>
      </c>
      <c r="R57" s="82">
        <f ca="1">IF(Q57&lt;=0.3,Q57,IF(Q57&lt;0.8,ROUND(0.52*Q57+0.144,3),0.7*Q57))</f>
        <v>0.36</v>
      </c>
      <c r="S57" s="83">
        <f t="shared" ca="1" si="10"/>
        <v>0.16500000000000001</v>
      </c>
      <c r="T57" s="68">
        <f t="shared" ca="1" si="11"/>
        <v>2.4</v>
      </c>
      <c r="U57" s="68">
        <f t="shared" ca="1" si="12"/>
        <v>1.01715</v>
      </c>
      <c r="V57" s="68">
        <f ca="1">ROUND(U57/T57,4)</f>
        <v>0.42380000000000001</v>
      </c>
      <c r="W57" s="68">
        <f ca="1">IF(V57&lt;=0.3,V57,IF(V57&lt;0.8,ROUND(0.52*V57+0.144,3),0.7*V57))</f>
        <v>0.36399999999999999</v>
      </c>
      <c r="X57" s="68">
        <f t="shared" ca="1" si="15"/>
        <v>0.26</v>
      </c>
      <c r="Y57" s="68">
        <f ca="1">MAX(X57,S57,N57)</f>
        <v>0.26</v>
      </c>
      <c r="Z57" s="338">
        <f t="shared" ca="1" si="29"/>
        <v>0.2402</v>
      </c>
      <c r="AA57" s="67">
        <f t="shared" ca="1" si="17"/>
        <v>0.55420000000000003</v>
      </c>
      <c r="AB57" s="351">
        <f t="shared" ca="1" si="18"/>
        <v>235.6362</v>
      </c>
      <c r="AC57" s="59">
        <f t="shared" ca="1" si="19"/>
        <v>0.16791007371377437</v>
      </c>
      <c r="AD57" s="59">
        <f ca="1">IF(AC57&gt;0.15,0.15,IF(AC57&lt;0.0625,0.0625,AC57))</f>
        <v>0.15</v>
      </c>
      <c r="AE57" s="59">
        <f t="shared" ca="1" si="20"/>
        <v>0.17159999999999997</v>
      </c>
      <c r="AF57" s="59">
        <f t="shared" ca="1" si="21"/>
        <v>0.13728000000000001</v>
      </c>
      <c r="AG57" s="59">
        <f t="shared" ca="1" si="22"/>
        <v>0.11497199999999999</v>
      </c>
      <c r="AH57" s="59">
        <f t="shared" ca="1" si="23"/>
        <v>1.6582155201260123</v>
      </c>
      <c r="AI57" s="59">
        <f t="shared" ca="1" si="24"/>
        <v>2.5</v>
      </c>
      <c r="AJ57" s="59">
        <f ca="1">AI57/AH57</f>
        <v>1.5076447962626827</v>
      </c>
      <c r="AK57" s="59">
        <f ca="1">IF(AJ57&gt;1,1,AJ57)</f>
        <v>1</v>
      </c>
      <c r="AL57" s="59">
        <f ca="1">$U$5*$U$11*AK57/1.4/$U$6*$AG$5</f>
        <v>0.15661904761904763</v>
      </c>
      <c r="AM57" s="59">
        <f ca="1">$W$5*$W$11*AK57/1.4/$W$6*$AG$5</f>
        <v>0.22471428571428573</v>
      </c>
      <c r="AN57" s="59">
        <f ca="1">Y57/1.5*$AG$5</f>
        <v>0.24786666666666665</v>
      </c>
    </row>
    <row r="58" spans="1:40" ht="17.25" thickBot="1">
      <c r="I58" s="341">
        <f ca="1">LARGE(D17:D21,2)</f>
        <v>0.56189999999999996</v>
      </c>
      <c r="J58" s="64">
        <f t="shared" ca="1" si="1"/>
        <v>1.9330000000000001</v>
      </c>
      <c r="K58" s="64">
        <f t="shared" ca="1" si="2"/>
        <v>0.80689999999999995</v>
      </c>
      <c r="L58" s="64">
        <f ca="1">ROUND(K58/J58,4)</f>
        <v>0.41739999999999999</v>
      </c>
      <c r="M58" s="64">
        <f ca="1">IF(L58&lt;=0.3,L58,IF(L58&lt;0.8,ROUND(0.52*L58+0.144,3),0.7*L58))</f>
        <v>0.36099999999999999</v>
      </c>
      <c r="N58" s="69">
        <f t="shared" ca="1" si="5"/>
        <v>0.25800000000000001</v>
      </c>
      <c r="O58" s="84">
        <f t="shared" ca="1" si="6"/>
        <v>1.9330000000000001</v>
      </c>
      <c r="P58" s="85">
        <f t="shared" ca="1" si="7"/>
        <v>0.8</v>
      </c>
      <c r="Q58" s="85">
        <f ca="1">ROUND(P58/O58,4)</f>
        <v>0.41389999999999999</v>
      </c>
      <c r="R58" s="86">
        <f ca="1">IF(Q58&lt;=0.3,Q58,IF(Q58&lt;0.8,ROUND(0.52*Q58+0.144,3),0.7*Q58))</f>
        <v>0.35899999999999999</v>
      </c>
      <c r="S58" s="87">
        <f t="shared" ca="1" si="10"/>
        <v>0.16500000000000001</v>
      </c>
      <c r="T58" s="69">
        <f t="shared" ca="1" si="11"/>
        <v>2.4</v>
      </c>
      <c r="U58" s="69">
        <f t="shared" ca="1" si="12"/>
        <v>1.003239010500089</v>
      </c>
      <c r="V58" s="69">
        <f ca="1">ROUND(U58/T58,4)</f>
        <v>0.41799999999999998</v>
      </c>
      <c r="W58" s="69">
        <f ca="1">IF(V58&lt;=0.3,V58,IF(V58&lt;0.8,ROUND(0.52*V58+0.144,3),0.7*V58))</f>
        <v>0.36099999999999999</v>
      </c>
      <c r="X58" s="69">
        <f t="shared" ca="1" si="15"/>
        <v>0.25800000000000001</v>
      </c>
      <c r="Y58" s="69">
        <f ca="1">MAX(X58,S58,N58)</f>
        <v>0.25800000000000001</v>
      </c>
      <c r="Z58" s="338">
        <f t="shared" ca="1" si="29"/>
        <v>0.2402</v>
      </c>
      <c r="AA58" s="69">
        <f t="shared" ca="1" si="17"/>
        <v>0.56189999999999996</v>
      </c>
      <c r="AB58" s="349">
        <f t="shared" ca="1" si="18"/>
        <v>235.6362</v>
      </c>
      <c r="AC58" s="59">
        <f t="shared" ca="1" si="19"/>
        <v>0.1667556267299356</v>
      </c>
      <c r="AD58" s="59">
        <f ca="1">IF(AC58&gt;0.15,0.15,IF(AC58&lt;0.0625,0.0625,AC58))</f>
        <v>0.15</v>
      </c>
      <c r="AE58" s="59">
        <f t="shared" ca="1" si="20"/>
        <v>0.17159999999999997</v>
      </c>
      <c r="AF58" s="59">
        <f t="shared" ca="1" si="21"/>
        <v>0.13728000000000001</v>
      </c>
      <c r="AG58" s="59">
        <f t="shared" ca="1" si="22"/>
        <v>0.11497199999999999</v>
      </c>
      <c r="AH58" s="59">
        <f t="shared" ca="1" si="23"/>
        <v>1.6638799654610421</v>
      </c>
      <c r="AI58" s="59">
        <f t="shared" ca="1" si="24"/>
        <v>2.5</v>
      </c>
      <c r="AJ58" s="59">
        <f ca="1">AI58/AH58</f>
        <v>1.5025122315883397</v>
      </c>
      <c r="AK58" s="59">
        <f ca="1">IF(AJ58&gt;1,1,AJ58)</f>
        <v>1</v>
      </c>
      <c r="AL58" s="59">
        <f ca="1">$U$5*$U$11*AK58/1.4/$U$6*$AG$5</f>
        <v>0.15661904761904763</v>
      </c>
      <c r="AM58" s="59">
        <f ca="1">$W$5*$W$11*AK58/1.4/$W$6*$AG$5</f>
        <v>0.22471428571428573</v>
      </c>
      <c r="AN58" s="59">
        <f ca="1">Y58/1.5*$AG$5</f>
        <v>0.24596000000000001</v>
      </c>
    </row>
    <row r="59" spans="1:40" ht="20.25">
      <c r="H59" s="39" t="s">
        <v>1419</v>
      </c>
      <c r="I59" s="342">
        <f ca="1">MAX(D17,D19,D21)</f>
        <v>0.5625</v>
      </c>
      <c r="J59" s="64">
        <f t="shared" ca="1" si="1"/>
        <v>1.9330000000000001</v>
      </c>
      <c r="K59" s="64">
        <f t="shared" ca="1" si="2"/>
        <v>0.80604444444444445</v>
      </c>
      <c r="L59" s="64">
        <f t="shared" ca="1" si="3"/>
        <v>0.41699999999999998</v>
      </c>
      <c r="M59" s="64">
        <f t="shared" ca="1" si="4"/>
        <v>0.36099999999999999</v>
      </c>
      <c r="N59" s="71">
        <f t="shared" ca="1" si="5"/>
        <v>0.25800000000000001</v>
      </c>
      <c r="O59" s="88">
        <f t="shared" ca="1" si="6"/>
        <v>1.9330000000000001</v>
      </c>
      <c r="P59" s="88">
        <f t="shared" ca="1" si="7"/>
        <v>0.8</v>
      </c>
      <c r="Q59" s="88">
        <f t="shared" ca="1" si="8"/>
        <v>0.41389999999999999</v>
      </c>
      <c r="R59" s="88">
        <f t="shared" ca="1" si="9"/>
        <v>0.35899999999999999</v>
      </c>
      <c r="S59" s="88">
        <f t="shared" ca="1" si="10"/>
        <v>0.16500000000000001</v>
      </c>
      <c r="T59" s="71">
        <f t="shared" ca="1" si="11"/>
        <v>2.4</v>
      </c>
      <c r="U59" s="71">
        <f t="shared" ca="1" si="12"/>
        <v>1.0021688888888889</v>
      </c>
      <c r="V59" s="71">
        <f t="shared" ca="1" si="13"/>
        <v>0.41760000000000003</v>
      </c>
      <c r="W59" s="71">
        <f t="shared" ca="1" si="14"/>
        <v>0.36099999999999999</v>
      </c>
      <c r="X59" s="71">
        <f t="shared" ca="1" si="15"/>
        <v>0.25800000000000001</v>
      </c>
      <c r="Y59" s="71">
        <f t="shared" ca="1" si="16"/>
        <v>0.25800000000000001</v>
      </c>
      <c r="Z59" s="338">
        <f t="shared" ca="1" si="29"/>
        <v>0.24</v>
      </c>
      <c r="AA59" s="71">
        <f t="shared" ca="1" si="17"/>
        <v>0.5625</v>
      </c>
      <c r="AB59" s="73">
        <f t="shared" ca="1" si="18"/>
        <v>235.44</v>
      </c>
      <c r="AC59" s="59">
        <f t="shared" ca="1" si="19"/>
        <v>0.16666666666666666</v>
      </c>
      <c r="AD59" s="59">
        <f t="shared" ca="1" si="30"/>
        <v>0.15</v>
      </c>
      <c r="AE59" s="59">
        <f t="shared" ca="1" si="20"/>
        <v>0.17159999999999997</v>
      </c>
      <c r="AF59" s="59">
        <f t="shared" ca="1" si="21"/>
        <v>0.13728000000000001</v>
      </c>
      <c r="AG59" s="59">
        <f t="shared" ca="1" si="22"/>
        <v>0.11497199999999999</v>
      </c>
      <c r="AH59" s="59">
        <f t="shared" ca="1" si="23"/>
        <v>1.6643213508118238</v>
      </c>
      <c r="AI59" s="59">
        <f t="shared" ca="1" si="24"/>
        <v>2.5</v>
      </c>
      <c r="AJ59" s="59">
        <f t="shared" ca="1" si="25"/>
        <v>1.5021137587284741</v>
      </c>
      <c r="AK59" s="59">
        <f t="shared" ca="1" si="31"/>
        <v>1</v>
      </c>
      <c r="AL59" s="59">
        <f t="shared" ca="1" si="26"/>
        <v>0.15661904761904763</v>
      </c>
      <c r="AM59" s="59">
        <f t="shared" ca="1" si="27"/>
        <v>0.22471428571428573</v>
      </c>
      <c r="AN59" s="59">
        <f t="shared" ca="1" si="28"/>
        <v>0.24596000000000001</v>
      </c>
    </row>
    <row r="60" spans="1:40" ht="16.5">
      <c r="H60" s="39"/>
      <c r="I60" s="342">
        <f ca="1">ROUNDUP(I59,2)+0.05</f>
        <v>0.62000000000000011</v>
      </c>
      <c r="J60" s="64">
        <f t="shared" ca="1" si="1"/>
        <v>1.9330000000000001</v>
      </c>
      <c r="K60" s="64">
        <f t="shared" ca="1" si="2"/>
        <v>0.73129032258064508</v>
      </c>
      <c r="L60" s="64">
        <f t="shared" ref="L60" ca="1" si="97">ROUND(K60/J60,4)</f>
        <v>0.37830000000000003</v>
      </c>
      <c r="M60" s="64">
        <f t="shared" ref="M60" ca="1" si="98">IF(L60&lt;=0.3,L60,IF(L60&lt;0.8,ROUND(0.52*L60+0.144,3),0.7*L60))</f>
        <v>0.34100000000000003</v>
      </c>
      <c r="N60" s="71">
        <f t="shared" ca="1" si="5"/>
        <v>0.24399999999999999</v>
      </c>
      <c r="O60" s="88">
        <f t="shared" ca="1" si="6"/>
        <v>1.9330000000000001</v>
      </c>
      <c r="P60" s="88">
        <f t="shared" ca="1" si="7"/>
        <v>0.72580645161290314</v>
      </c>
      <c r="Q60" s="88">
        <f t="shared" ref="Q60" ca="1" si="99">ROUND(P60/O60,4)</f>
        <v>0.3755</v>
      </c>
      <c r="R60" s="88">
        <f t="shared" ref="R60" ca="1" si="100">IF(Q60&lt;=0.3,Q60,IF(Q60&lt;0.8,ROUND(0.52*Q60+0.144,3),0.7*Q60))</f>
        <v>0.33900000000000002</v>
      </c>
      <c r="S60" s="88">
        <f t="shared" ca="1" si="10"/>
        <v>0.156</v>
      </c>
      <c r="T60" s="71">
        <f t="shared" ca="1" si="11"/>
        <v>2.4</v>
      </c>
      <c r="U60" s="71">
        <f t="shared" ca="1" si="12"/>
        <v>0.90922580645161277</v>
      </c>
      <c r="V60" s="71">
        <f t="shared" ref="V60" ca="1" si="101">ROUND(U60/T60,4)</f>
        <v>0.37880000000000003</v>
      </c>
      <c r="W60" s="71">
        <f t="shared" ref="W60" ca="1" si="102">IF(V60&lt;=0.3,V60,IF(V60&lt;0.8,ROUND(0.52*V60+0.144,3),0.7*V60))</f>
        <v>0.34100000000000003</v>
      </c>
      <c r="X60" s="71">
        <f t="shared" ca="1" si="15"/>
        <v>0.24399999999999999</v>
      </c>
      <c r="Y60" s="71">
        <f t="shared" ref="Y60" ca="1" si="103">MAX(X60,S60,N60)</f>
        <v>0.24399999999999999</v>
      </c>
      <c r="Z60" s="338">
        <f t="shared" ca="1" si="29"/>
        <v>0.2177</v>
      </c>
      <c r="AA60" s="71">
        <f t="shared" ca="1" si="17"/>
        <v>0.62000000000000011</v>
      </c>
      <c r="AB60" s="73">
        <f t="shared" ca="1" si="18"/>
        <v>213.56370000000001</v>
      </c>
      <c r="AC60" s="59">
        <f t="shared" ca="1" si="19"/>
        <v>0.15875015875023812</v>
      </c>
      <c r="AD60" s="59">
        <f t="shared" ref="AD60" ca="1" si="104">IF(AC60&gt;0.15,0.15,IF(AC60&lt;0.0625,0.0625,AC60))</f>
        <v>0.15</v>
      </c>
      <c r="AE60" s="59">
        <f t="shared" ca="1" si="20"/>
        <v>0.17159999999999997</v>
      </c>
      <c r="AF60" s="59">
        <f t="shared" ca="1" si="21"/>
        <v>0.13728000000000001</v>
      </c>
      <c r="AG60" s="59">
        <f t="shared" ca="1" si="22"/>
        <v>0.11497199999999999</v>
      </c>
      <c r="AH60" s="59">
        <f t="shared" ca="1" si="23"/>
        <v>1.7</v>
      </c>
      <c r="AI60" s="59">
        <f t="shared" ca="1" si="24"/>
        <v>2.5</v>
      </c>
      <c r="AJ60" s="59">
        <f t="shared" ref="AJ60" ca="1" si="105">AI60/AH60</f>
        <v>1.4705882352941178</v>
      </c>
      <c r="AK60" s="59">
        <f t="shared" ref="AK60" ca="1" si="106">IF(AJ60&gt;1,1,AJ60)</f>
        <v>1</v>
      </c>
      <c r="AL60" s="59">
        <f t="shared" ref="AL60" ca="1" si="107">$U$5*$U$11*AK60/1.4/$U$6*$AG$5</f>
        <v>0.15661904761904763</v>
      </c>
      <c r="AM60" s="59">
        <f t="shared" ref="AM60" ca="1" si="108">$W$5*$W$11*AK60/1.4/$W$6*$AG$5</f>
        <v>0.22471428571428573</v>
      </c>
      <c r="AN60" s="59">
        <f t="shared" ref="AN60" ca="1" si="109">Y60/1.5*$AG$5</f>
        <v>0.23261333333333331</v>
      </c>
    </row>
    <row r="61" spans="1:40" ht="16.5">
      <c r="I61" s="339">
        <f ca="1">I60+0.05</f>
        <v>0.67000000000000015</v>
      </c>
      <c r="J61" s="64">
        <f t="shared" ca="1" si="1"/>
        <v>1.9330000000000001</v>
      </c>
      <c r="K61" s="64">
        <f t="shared" ca="1" si="2"/>
        <v>0.67671641791044768</v>
      </c>
      <c r="L61" s="64">
        <f t="shared" ca="1" si="3"/>
        <v>0.35010000000000002</v>
      </c>
      <c r="M61" s="64">
        <f t="shared" ca="1" si="4"/>
        <v>0.32600000000000001</v>
      </c>
      <c r="N61" s="61">
        <f t="shared" ca="1" si="5"/>
        <v>0.23300000000000001</v>
      </c>
      <c r="O61" s="64">
        <f t="shared" ca="1" si="6"/>
        <v>1.9330000000000001</v>
      </c>
      <c r="P61" s="64">
        <f t="shared" ca="1" si="7"/>
        <v>0.67164179104477595</v>
      </c>
      <c r="Q61" s="64">
        <f t="shared" ca="1" si="8"/>
        <v>0.34749999999999998</v>
      </c>
      <c r="R61" s="64">
        <f t="shared" ca="1" si="9"/>
        <v>0.32500000000000001</v>
      </c>
      <c r="S61" s="61">
        <f t="shared" ca="1" si="10"/>
        <v>0.15</v>
      </c>
      <c r="T61" s="64">
        <f t="shared" ca="1" si="11"/>
        <v>2.4</v>
      </c>
      <c r="U61" s="64">
        <f t="shared" ca="1" si="12"/>
        <v>0.84137313432835803</v>
      </c>
      <c r="V61" s="64">
        <f t="shared" ca="1" si="13"/>
        <v>0.35060000000000002</v>
      </c>
      <c r="W61" s="61">
        <f t="shared" ca="1" si="14"/>
        <v>0.32600000000000001</v>
      </c>
      <c r="X61" s="61">
        <f t="shared" ca="1" si="15"/>
        <v>0.23300000000000001</v>
      </c>
      <c r="Y61" s="89">
        <f t="shared" ca="1" si="16"/>
        <v>0.23300000000000001</v>
      </c>
      <c r="Z61" s="338">
        <f t="shared" ca="1" si="29"/>
        <v>0.20150000000000001</v>
      </c>
      <c r="AA61" s="64">
        <f t="shared" ca="1" si="17"/>
        <v>0.67000000000000015</v>
      </c>
      <c r="AB61" s="270">
        <f t="shared" ca="1" si="18"/>
        <v>197.67150000000001</v>
      </c>
      <c r="AC61" s="59">
        <f t="shared" ca="1" si="19"/>
        <v>0.15271180544538152</v>
      </c>
      <c r="AD61" s="59">
        <f t="shared" ca="1" si="30"/>
        <v>0.15</v>
      </c>
      <c r="AE61" s="59">
        <f t="shared" ca="1" si="20"/>
        <v>0.17159999999999997</v>
      </c>
      <c r="AF61" s="59">
        <f t="shared" ca="1" si="21"/>
        <v>0.13728000000000001</v>
      </c>
      <c r="AG61" s="59">
        <f t="shared" ca="1" si="22"/>
        <v>0.11497199999999999</v>
      </c>
      <c r="AH61" s="59">
        <f t="shared" ca="1" si="23"/>
        <v>1.7</v>
      </c>
      <c r="AI61" s="59">
        <f t="shared" ca="1" si="24"/>
        <v>1.5672250966268548</v>
      </c>
      <c r="AJ61" s="59">
        <f t="shared" ca="1" si="25"/>
        <v>0.92189711566285582</v>
      </c>
      <c r="AK61" s="59">
        <f t="shared" ca="1" si="31"/>
        <v>0.92189711566285582</v>
      </c>
      <c r="AL61" s="59">
        <f t="shared" ca="1" si="26"/>
        <v>0.14438664825786349</v>
      </c>
      <c r="AM61" s="59">
        <f t="shared" ca="1" si="27"/>
        <v>0.20716345184823889</v>
      </c>
      <c r="AN61" s="59">
        <f t="shared" ca="1" si="28"/>
        <v>0.22212666666666669</v>
      </c>
    </row>
    <row r="62" spans="1:40" ht="16.5">
      <c r="I62" s="339">
        <f ca="1">I61+0.05</f>
        <v>0.7200000000000002</v>
      </c>
      <c r="J62" s="64">
        <f t="shared" ca="1" si="1"/>
        <v>1.9330000000000001</v>
      </c>
      <c r="K62" s="64">
        <f t="shared" ca="1" si="2"/>
        <v>0.62972222222222207</v>
      </c>
      <c r="L62" s="64">
        <f t="shared" ca="1" si="3"/>
        <v>0.32579999999999998</v>
      </c>
      <c r="M62" s="64">
        <f t="shared" ca="1" si="4"/>
        <v>0.313</v>
      </c>
      <c r="N62" s="61">
        <f t="shared" ca="1" si="5"/>
        <v>0.224</v>
      </c>
      <c r="O62" s="64">
        <f t="shared" ca="1" si="6"/>
        <v>1.9330000000000001</v>
      </c>
      <c r="P62" s="64">
        <f t="shared" ca="1" si="7"/>
        <v>0.62499999999999989</v>
      </c>
      <c r="Q62" s="64">
        <f t="shared" ca="1" si="8"/>
        <v>0.32329999999999998</v>
      </c>
      <c r="R62" s="64">
        <f t="shared" ca="1" si="9"/>
        <v>0.312</v>
      </c>
      <c r="S62" s="61">
        <f t="shared" ca="1" si="10"/>
        <v>0.14399999999999999</v>
      </c>
      <c r="T62" s="64">
        <f t="shared" ca="1" si="11"/>
        <v>2.4</v>
      </c>
      <c r="U62" s="64">
        <f t="shared" ca="1" si="12"/>
        <v>0.78294444444444422</v>
      </c>
      <c r="V62" s="64">
        <f t="shared" ca="1" si="13"/>
        <v>0.32619999999999999</v>
      </c>
      <c r="W62" s="61">
        <f t="shared" ca="1" si="14"/>
        <v>0.314</v>
      </c>
      <c r="X62" s="61">
        <f t="shared" ca="1" si="15"/>
        <v>0.224</v>
      </c>
      <c r="Y62" s="89">
        <f t="shared" ca="1" si="16"/>
        <v>0.224</v>
      </c>
      <c r="Z62" s="338">
        <f t="shared" ca="1" si="29"/>
        <v>0.1875</v>
      </c>
      <c r="AA62" s="64">
        <f t="shared" ca="1" si="17"/>
        <v>0.7200000000000002</v>
      </c>
      <c r="AB62" s="270">
        <f t="shared" ca="1" si="18"/>
        <v>183.9375</v>
      </c>
      <c r="AC62" s="59">
        <f t="shared" ca="1" si="19"/>
        <v>0.14731391274719738</v>
      </c>
      <c r="AD62" s="59">
        <f t="shared" ca="1" si="30"/>
        <v>0.14731391274719738</v>
      </c>
      <c r="AE62" s="59">
        <f t="shared" ca="1" si="20"/>
        <v>0.16852711618279378</v>
      </c>
      <c r="AF62" s="59">
        <f t="shared" ca="1" si="21"/>
        <v>0.13482169294623506</v>
      </c>
      <c r="AG62" s="59">
        <f t="shared" ca="1" si="22"/>
        <v>0.11291316784247185</v>
      </c>
      <c r="AH62" s="59">
        <f t="shared" ca="1" si="23"/>
        <v>1.7</v>
      </c>
      <c r="AI62" s="59">
        <f t="shared" ca="1" si="24"/>
        <v>1.4938015821857211</v>
      </c>
      <c r="AJ62" s="59">
        <f t="shared" ca="1" si="25"/>
        <v>0.8787068130504242</v>
      </c>
      <c r="AK62" s="59">
        <f t="shared" ca="1" si="31"/>
        <v>0.8787068130504242</v>
      </c>
      <c r="AL62" s="59">
        <f t="shared" ca="1" si="26"/>
        <v>0.13762222419632594</v>
      </c>
      <c r="AM62" s="59">
        <f t="shared" ca="1" si="27"/>
        <v>0.19745797384690247</v>
      </c>
      <c r="AN62" s="59">
        <f t="shared" ca="1" si="28"/>
        <v>0.21354666666666666</v>
      </c>
    </row>
    <row r="63" spans="1:40" s="97" customFormat="1" ht="16.5">
      <c r="A63" s="270"/>
      <c r="B63" s="270"/>
      <c r="C63" s="270"/>
      <c r="D63" s="270"/>
      <c r="E63" s="270"/>
      <c r="F63" s="270"/>
      <c r="I63" s="339">
        <f t="shared" ref="I63:I90" ca="1" si="110">I62+0.05</f>
        <v>0.77000000000000024</v>
      </c>
      <c r="J63" s="96">
        <f t="shared" ca="1" si="1"/>
        <v>1.9330000000000001</v>
      </c>
      <c r="K63" s="96">
        <f t="shared" ca="1" si="2"/>
        <v>0.58883116883116871</v>
      </c>
      <c r="L63" s="96">
        <f t="shared" ca="1" si="3"/>
        <v>0.30459999999999998</v>
      </c>
      <c r="M63" s="96">
        <f t="shared" ca="1" si="4"/>
        <v>0.30199999999999999</v>
      </c>
      <c r="N63" s="100">
        <f t="shared" ca="1" si="5"/>
        <v>0.216</v>
      </c>
      <c r="O63" s="96">
        <f t="shared" ca="1" si="6"/>
        <v>1.9330000000000001</v>
      </c>
      <c r="P63" s="96">
        <f t="shared" ca="1" si="7"/>
        <v>0.58441558441558428</v>
      </c>
      <c r="Q63" s="96">
        <f t="shared" ca="1" si="8"/>
        <v>0.30230000000000001</v>
      </c>
      <c r="R63" s="96">
        <f t="shared" ca="1" si="9"/>
        <v>0.30099999999999999</v>
      </c>
      <c r="S63" s="100">
        <f t="shared" ca="1" si="10"/>
        <v>0.13900000000000001</v>
      </c>
      <c r="T63" s="96">
        <f t="shared" ca="1" si="11"/>
        <v>2.4</v>
      </c>
      <c r="U63" s="96">
        <f t="shared" ca="1" si="12"/>
        <v>0.73210389610389592</v>
      </c>
      <c r="V63" s="96">
        <f t="shared" ca="1" si="13"/>
        <v>0.30499999999999999</v>
      </c>
      <c r="W63" s="100">
        <f t="shared" ca="1" si="14"/>
        <v>0.30299999999999999</v>
      </c>
      <c r="X63" s="100">
        <f t="shared" ca="1" si="15"/>
        <v>0.216</v>
      </c>
      <c r="Y63" s="94">
        <f t="shared" ca="1" si="16"/>
        <v>0.216</v>
      </c>
      <c r="Z63" s="338">
        <f t="shared" ca="1" si="29"/>
        <v>0.21790000000000001</v>
      </c>
      <c r="AA63" s="96">
        <f t="shared" ca="1" si="17"/>
        <v>0.77000000000000024</v>
      </c>
      <c r="AB63" s="97">
        <f t="shared" ca="1" si="18"/>
        <v>213.75990000000002</v>
      </c>
      <c r="AC63" s="101">
        <f t="shared" ca="1" si="19"/>
        <v>0.14245072057454741</v>
      </c>
      <c r="AD63" s="101">
        <f t="shared" ca="1" si="30"/>
        <v>0.14245072057454741</v>
      </c>
      <c r="AE63" s="102">
        <f t="shared" ca="1" si="20"/>
        <v>0.16296362433728223</v>
      </c>
      <c r="AF63" s="101">
        <f t="shared" ca="1" si="21"/>
        <v>0.13037089946982583</v>
      </c>
      <c r="AG63" s="101">
        <f t="shared" ca="1" si="22"/>
        <v>0.1091856283059791</v>
      </c>
      <c r="AH63" s="101">
        <f t="shared" ca="1" si="23"/>
        <v>1.7</v>
      </c>
      <c r="AI63" s="59">
        <f t="shared" ca="1" si="24"/>
        <v>1.4284139928826318</v>
      </c>
      <c r="AJ63" s="101">
        <f t="shared" ca="1" si="25"/>
        <v>0.84024352522507761</v>
      </c>
      <c r="AK63" s="101">
        <f t="shared" ca="1" si="31"/>
        <v>0.84024352522507761</v>
      </c>
      <c r="AL63" s="101">
        <f t="shared" ca="1" si="26"/>
        <v>0.13159814068882289</v>
      </c>
      <c r="AM63" s="101">
        <f t="shared" ca="1" si="27"/>
        <v>0.18881472359700674</v>
      </c>
      <c r="AN63" s="101">
        <f t="shared" ca="1" si="28"/>
        <v>0.20591999999999996</v>
      </c>
    </row>
    <row r="64" spans="1:40" ht="16.5">
      <c r="I64" s="339">
        <f t="shared" ca="1" si="110"/>
        <v>0.82000000000000028</v>
      </c>
      <c r="J64" s="64">
        <f t="shared" ca="1" si="1"/>
        <v>1.9330000000000001</v>
      </c>
      <c r="K64" s="64">
        <f t="shared" ca="1" si="2"/>
        <v>0.55292682926829251</v>
      </c>
      <c r="L64" s="64">
        <f t="shared" ca="1" si="3"/>
        <v>0.28599999999999998</v>
      </c>
      <c r="M64" s="64">
        <f t="shared" ca="1" si="4"/>
        <v>0.28599999999999998</v>
      </c>
      <c r="N64" s="61">
        <f t="shared" ca="1" si="5"/>
        <v>0.20399999999999999</v>
      </c>
      <c r="O64" s="64">
        <f t="shared" ca="1" si="6"/>
        <v>1.9330000000000001</v>
      </c>
      <c r="P64" s="64">
        <f t="shared" ca="1" si="7"/>
        <v>0.54878048780487787</v>
      </c>
      <c r="Q64" s="64">
        <f t="shared" ca="1" si="8"/>
        <v>0.28389999999999999</v>
      </c>
      <c r="R64" s="64">
        <f t="shared" ca="1" si="9"/>
        <v>0.28389999999999999</v>
      </c>
      <c r="S64" s="61">
        <f t="shared" ca="1" si="10"/>
        <v>0.13100000000000001</v>
      </c>
      <c r="T64" s="64">
        <f t="shared" ca="1" si="11"/>
        <v>2.4</v>
      </c>
      <c r="U64" s="64">
        <f t="shared" ca="1" si="12"/>
        <v>0.68746341463414606</v>
      </c>
      <c r="V64" s="64">
        <f t="shared" ca="1" si="13"/>
        <v>0.28639999999999999</v>
      </c>
      <c r="W64" s="61">
        <f t="shared" ca="1" si="14"/>
        <v>0.28639999999999999</v>
      </c>
      <c r="X64" s="61">
        <f t="shared" ca="1" si="15"/>
        <v>0.20499999999999999</v>
      </c>
      <c r="Y64" s="89">
        <f t="shared" ca="1" si="16"/>
        <v>0.20499999999999999</v>
      </c>
      <c r="Z64" s="338">
        <f t="shared" ca="1" si="29"/>
        <v>0.20469999999999999</v>
      </c>
      <c r="AA64" s="64">
        <f t="shared" ca="1" si="17"/>
        <v>0.82000000000000028</v>
      </c>
      <c r="AB64" s="270">
        <f t="shared" ca="1" si="18"/>
        <v>200.8107</v>
      </c>
      <c r="AC64" s="59">
        <f t="shared" ca="1" si="19"/>
        <v>0.13803940759355815</v>
      </c>
      <c r="AD64" s="59">
        <f t="shared" ca="1" si="30"/>
        <v>0.13803940759355815</v>
      </c>
      <c r="AE64" s="59">
        <f t="shared" ca="1" si="20"/>
        <v>0.15791708228703052</v>
      </c>
      <c r="AF64" s="59">
        <f t="shared" ca="1" si="21"/>
        <v>0.12633366582962444</v>
      </c>
      <c r="AG64" s="59">
        <f t="shared" ca="1" si="22"/>
        <v>0.10580444513231045</v>
      </c>
      <c r="AH64" s="59">
        <f t="shared" ca="1" si="23"/>
        <v>1.7</v>
      </c>
      <c r="AI64" s="59">
        <f t="shared" ca="1" si="24"/>
        <v>1.3697417009474859</v>
      </c>
      <c r="AJ64" s="59">
        <f t="shared" ca="1" si="25"/>
        <v>0.80573041232205056</v>
      </c>
      <c r="AK64" s="59">
        <f t="shared" ca="1" si="31"/>
        <v>0.80573041232205056</v>
      </c>
      <c r="AL64" s="59">
        <f t="shared" ca="1" si="26"/>
        <v>0.12619272981558211</v>
      </c>
      <c r="AM64" s="59">
        <f t="shared" ca="1" si="27"/>
        <v>0.18105913408322649</v>
      </c>
      <c r="AN64" s="59">
        <f t="shared" ca="1" si="28"/>
        <v>0.19543333333333332</v>
      </c>
    </row>
    <row r="65" spans="1:40" ht="16.5">
      <c r="I65" s="339">
        <f t="shared" ca="1" si="110"/>
        <v>0.87000000000000033</v>
      </c>
      <c r="J65" s="90">
        <f t="shared" ca="1" si="1"/>
        <v>1.9330000000000001</v>
      </c>
      <c r="K65" s="90">
        <f t="shared" ca="1" si="2"/>
        <v>0.52114942528735619</v>
      </c>
      <c r="L65" s="90">
        <f t="shared" ca="1" si="3"/>
        <v>0.26960000000000001</v>
      </c>
      <c r="M65" s="90">
        <f t="shared" ca="1" si="4"/>
        <v>0.26960000000000001</v>
      </c>
      <c r="N65" s="91">
        <f t="shared" ca="1" si="5"/>
        <v>0.193</v>
      </c>
      <c r="O65" s="90">
        <f t="shared" ca="1" si="6"/>
        <v>1.9330000000000001</v>
      </c>
      <c r="P65" s="90">
        <f t="shared" ca="1" si="7"/>
        <v>0.51724137931034464</v>
      </c>
      <c r="Q65" s="90">
        <f t="shared" ca="1" si="8"/>
        <v>0.2676</v>
      </c>
      <c r="R65" s="90">
        <f t="shared" ca="1" si="9"/>
        <v>0.2676</v>
      </c>
      <c r="S65" s="91">
        <f t="shared" ca="1" si="10"/>
        <v>0.123</v>
      </c>
      <c r="T65" s="90">
        <f t="shared" ca="1" si="11"/>
        <v>2.4</v>
      </c>
      <c r="U65" s="90">
        <f t="shared" ca="1" si="12"/>
        <v>0.64795402298850546</v>
      </c>
      <c r="V65" s="90">
        <f t="shared" ca="1" si="13"/>
        <v>0.27</v>
      </c>
      <c r="W65" s="91">
        <f t="shared" ca="1" si="14"/>
        <v>0.27</v>
      </c>
      <c r="X65" s="91">
        <f t="shared" ca="1" si="15"/>
        <v>0.193</v>
      </c>
      <c r="Y65" s="92">
        <f t="shared" ca="1" si="16"/>
        <v>0.193</v>
      </c>
      <c r="Z65" s="338">
        <f t="shared" ca="1" si="29"/>
        <v>0.19289999999999999</v>
      </c>
      <c r="AA65" s="90">
        <f t="shared" ca="1" si="17"/>
        <v>0.87000000000000033</v>
      </c>
      <c r="AB65" s="270">
        <f t="shared" ca="1" si="18"/>
        <v>189.23489999999998</v>
      </c>
      <c r="AC65" s="59">
        <f t="shared" ca="1" si="19"/>
        <v>0.13401406685472433</v>
      </c>
      <c r="AD65" s="59">
        <f t="shared" ca="1" si="30"/>
        <v>0.13401406685472433</v>
      </c>
      <c r="AE65" s="59">
        <f t="shared" ca="1" si="20"/>
        <v>0.15331209248180463</v>
      </c>
      <c r="AF65" s="59">
        <f t="shared" ca="1" si="21"/>
        <v>0.12264967398544374</v>
      </c>
      <c r="AG65" s="59">
        <f t="shared" ca="1" si="22"/>
        <v>0.10271910196280912</v>
      </c>
      <c r="AH65" s="59">
        <f t="shared" ca="1" si="23"/>
        <v>1.7</v>
      </c>
      <c r="AI65" s="59">
        <f t="shared" ca="1" si="24"/>
        <v>1.3167452012910397</v>
      </c>
      <c r="AJ65" s="59">
        <f t="shared" ca="1" si="25"/>
        <v>0.77455600075943509</v>
      </c>
      <c r="AK65" s="59">
        <f t="shared" ca="1" si="31"/>
        <v>0.77455600075943509</v>
      </c>
      <c r="AL65" s="59">
        <f t="shared" ca="1" si="26"/>
        <v>0.12131022316656107</v>
      </c>
      <c r="AM65" s="59">
        <f t="shared" ca="1" si="27"/>
        <v>0.17405379845637017</v>
      </c>
      <c r="AN65" s="59">
        <f t="shared" ca="1" si="28"/>
        <v>0.18399333333333334</v>
      </c>
    </row>
    <row r="66" spans="1:40" s="97" customFormat="1" ht="16.5">
      <c r="A66" s="270"/>
      <c r="B66" s="270"/>
      <c r="C66" s="270"/>
      <c r="D66" s="270"/>
      <c r="E66" s="270"/>
      <c r="F66" s="270"/>
      <c r="I66" s="339">
        <f t="shared" ca="1" si="110"/>
        <v>0.92000000000000037</v>
      </c>
      <c r="J66" s="96">
        <f t="shared" ca="1" si="1"/>
        <v>1.9330000000000001</v>
      </c>
      <c r="K66" s="96">
        <f t="shared" ca="1" si="2"/>
        <v>0.49282608695652158</v>
      </c>
      <c r="L66" s="96">
        <f t="shared" ca="1" si="3"/>
        <v>0.255</v>
      </c>
      <c r="M66" s="96">
        <f t="shared" ca="1" si="4"/>
        <v>0.255</v>
      </c>
      <c r="N66" s="100">
        <f t="shared" ca="1" si="5"/>
        <v>0.182</v>
      </c>
      <c r="O66" s="96">
        <f t="shared" ca="1" si="6"/>
        <v>1.9330000000000001</v>
      </c>
      <c r="P66" s="96">
        <f t="shared" ca="1" si="7"/>
        <v>0.48913043478260854</v>
      </c>
      <c r="Q66" s="96">
        <f t="shared" ca="1" si="8"/>
        <v>0.253</v>
      </c>
      <c r="R66" s="96">
        <f t="shared" ca="1" si="9"/>
        <v>0.253</v>
      </c>
      <c r="S66" s="100">
        <f t="shared" ca="1" si="10"/>
        <v>0.11600000000000001</v>
      </c>
      <c r="T66" s="96">
        <f t="shared" ca="1" si="11"/>
        <v>2.4</v>
      </c>
      <c r="U66" s="96">
        <f t="shared" ca="1" si="12"/>
        <v>0.61273913043478234</v>
      </c>
      <c r="V66" s="96">
        <f t="shared" ca="1" si="13"/>
        <v>0.25530000000000003</v>
      </c>
      <c r="W66" s="100">
        <f t="shared" ca="1" si="14"/>
        <v>0.25530000000000003</v>
      </c>
      <c r="X66" s="100">
        <f t="shared" ca="1" si="15"/>
        <v>0.182</v>
      </c>
      <c r="Y66" s="103">
        <f t="shared" ca="1" si="16"/>
        <v>0.182</v>
      </c>
      <c r="Z66" s="338">
        <f t="shared" ca="1" si="29"/>
        <v>0.18240000000000001</v>
      </c>
      <c r="AA66" s="96">
        <f t="shared" ca="1" si="17"/>
        <v>0.92000000000000037</v>
      </c>
      <c r="AB66" s="97">
        <f t="shared" ca="1" si="18"/>
        <v>178.93440000000001</v>
      </c>
      <c r="AC66" s="101">
        <f t="shared" ca="1" si="19"/>
        <v>0.1303215087856717</v>
      </c>
      <c r="AD66" s="101">
        <f t="shared" ca="1" si="30"/>
        <v>0.1303215087856717</v>
      </c>
      <c r="AE66" s="101">
        <f t="shared" ca="1" si="20"/>
        <v>0.1490878060508084</v>
      </c>
      <c r="AF66" s="101">
        <f t="shared" ca="1" si="21"/>
        <v>0.11927024484064676</v>
      </c>
      <c r="AG66" s="101">
        <f t="shared" ca="1" si="22"/>
        <v>9.9888830054041644E-2</v>
      </c>
      <c r="AH66" s="101">
        <f t="shared" ca="1" si="23"/>
        <v>1.7</v>
      </c>
      <c r="AI66" s="59">
        <f t="shared" ca="1" si="24"/>
        <v>1.2685941211550291</v>
      </c>
      <c r="AJ66" s="101">
        <f t="shared" ca="1" si="25"/>
        <v>0.74623183597354659</v>
      </c>
      <c r="AK66" s="101">
        <f t="shared" ca="1" si="31"/>
        <v>0.74623183597354659</v>
      </c>
      <c r="AL66" s="101">
        <f t="shared" ca="1" si="26"/>
        <v>0.11687411945319023</v>
      </c>
      <c r="AM66" s="101">
        <f t="shared" ca="1" si="27"/>
        <v>0.16768895399805556</v>
      </c>
      <c r="AN66" s="101">
        <f t="shared" ca="1" si="28"/>
        <v>0.17350666666666667</v>
      </c>
    </row>
    <row r="67" spans="1:40" ht="16.5">
      <c r="I67" s="339">
        <f t="shared" ca="1" si="110"/>
        <v>0.97000000000000042</v>
      </c>
      <c r="J67" s="90">
        <f t="shared" ca="1" si="1"/>
        <v>1.9330000000000001</v>
      </c>
      <c r="K67" s="90">
        <f t="shared" ca="1" si="2"/>
        <v>0.46742268041237095</v>
      </c>
      <c r="L67" s="90">
        <f t="shared" ca="1" si="3"/>
        <v>0.24179999999999999</v>
      </c>
      <c r="M67" s="90">
        <f t="shared" ca="1" si="4"/>
        <v>0.24179999999999999</v>
      </c>
      <c r="N67" s="91">
        <f t="shared" ca="1" si="5"/>
        <v>0.17299999999999999</v>
      </c>
      <c r="O67" s="90">
        <f t="shared" ca="1" si="6"/>
        <v>1.9330000000000001</v>
      </c>
      <c r="P67" s="90">
        <f t="shared" ca="1" si="7"/>
        <v>0.46391752577319567</v>
      </c>
      <c r="Q67" s="90">
        <f t="shared" ca="1" si="8"/>
        <v>0.24</v>
      </c>
      <c r="R67" s="90">
        <f t="shared" ca="1" si="9"/>
        <v>0.24</v>
      </c>
      <c r="S67" s="91">
        <f t="shared" ca="1" si="10"/>
        <v>0.11</v>
      </c>
      <c r="T67" s="90">
        <f t="shared" ca="1" si="11"/>
        <v>2.4</v>
      </c>
      <c r="U67" s="90">
        <f t="shared" ca="1" si="12"/>
        <v>0.58115463917525745</v>
      </c>
      <c r="V67" s="90">
        <f t="shared" ca="1" si="13"/>
        <v>0.24210000000000001</v>
      </c>
      <c r="W67" s="91">
        <f t="shared" ca="1" si="14"/>
        <v>0.24210000000000001</v>
      </c>
      <c r="X67" s="91">
        <f t="shared" ca="1" si="15"/>
        <v>0.17299999999999999</v>
      </c>
      <c r="Y67" s="94">
        <f t="shared" ca="1" si="16"/>
        <v>0.17299999999999999</v>
      </c>
      <c r="Z67" s="338">
        <f t="shared" ca="1" si="29"/>
        <v>0.17299999999999999</v>
      </c>
      <c r="AA67" s="96">
        <f t="shared" ca="1" si="17"/>
        <v>0.97000000000000042</v>
      </c>
      <c r="AB67" s="97">
        <f t="shared" ca="1" si="18"/>
        <v>169.71299999999999</v>
      </c>
      <c r="AC67" s="59">
        <f t="shared" ca="1" si="19"/>
        <v>0.12691827064170236</v>
      </c>
      <c r="AD67" s="59">
        <f t="shared" ca="1" si="30"/>
        <v>0.12691827064170236</v>
      </c>
      <c r="AE67" s="59">
        <f t="shared" ca="1" si="20"/>
        <v>0.14519450161410749</v>
      </c>
      <c r="AF67" s="59">
        <f t="shared" ca="1" si="21"/>
        <v>0.11615560129128602</v>
      </c>
      <c r="AG67" s="59">
        <f t="shared" ca="1" si="22"/>
        <v>9.7280316081452031E-2</v>
      </c>
      <c r="AH67" s="59">
        <f t="shared" ca="1" si="23"/>
        <v>1.7</v>
      </c>
      <c r="AI67" s="59">
        <f t="shared" ca="1" si="24"/>
        <v>1.2246164526793348</v>
      </c>
      <c r="AJ67" s="59">
        <f t="shared" ca="1" si="25"/>
        <v>0.72036261922313816</v>
      </c>
      <c r="AK67" s="59">
        <f t="shared" ca="1" si="31"/>
        <v>0.72036261922313816</v>
      </c>
      <c r="AL67" s="59">
        <f t="shared" ca="1" si="26"/>
        <v>0.11282250736309056</v>
      </c>
      <c r="AM67" s="59">
        <f t="shared" ca="1" si="27"/>
        <v>0.16187577143399948</v>
      </c>
      <c r="AN67" s="59">
        <f t="shared" ca="1" si="28"/>
        <v>0.16492666666666667</v>
      </c>
    </row>
    <row r="68" spans="1:40" ht="16.5">
      <c r="I68" s="339">
        <f t="shared" ca="1" si="110"/>
        <v>1.0200000000000005</v>
      </c>
      <c r="J68" s="90">
        <f t="shared" ca="1" si="1"/>
        <v>1.9330000000000001</v>
      </c>
      <c r="K68" s="90">
        <f t="shared" ca="1" si="2"/>
        <v>0.44450980392156847</v>
      </c>
      <c r="L68" s="90">
        <f t="shared" ca="1" si="3"/>
        <v>0.23</v>
      </c>
      <c r="M68" s="90">
        <f t="shared" ca="1" si="4"/>
        <v>0.23</v>
      </c>
      <c r="N68" s="91">
        <f t="shared" ca="1" si="5"/>
        <v>0.16400000000000001</v>
      </c>
      <c r="O68" s="90">
        <f t="shared" ca="1" si="6"/>
        <v>1.9330000000000001</v>
      </c>
      <c r="P68" s="90">
        <f t="shared" ca="1" si="7"/>
        <v>0.44117647058823511</v>
      </c>
      <c r="Q68" s="90">
        <f t="shared" ca="1" si="8"/>
        <v>0.22819999999999999</v>
      </c>
      <c r="R68" s="90">
        <f t="shared" ca="1" si="9"/>
        <v>0.22819999999999999</v>
      </c>
      <c r="S68" s="91">
        <f t="shared" ca="1" si="10"/>
        <v>0.105</v>
      </c>
      <c r="T68" s="90">
        <f t="shared" ca="1" si="11"/>
        <v>2.4</v>
      </c>
      <c r="U68" s="90">
        <f t="shared" ca="1" si="12"/>
        <v>0.55266666666666642</v>
      </c>
      <c r="V68" s="90">
        <f t="shared" ca="1" si="13"/>
        <v>0.2303</v>
      </c>
      <c r="W68" s="91">
        <f t="shared" ca="1" si="14"/>
        <v>0.2303</v>
      </c>
      <c r="X68" s="91">
        <f t="shared" ca="1" si="15"/>
        <v>0.16500000000000001</v>
      </c>
      <c r="Y68" s="92">
        <f t="shared" ca="1" si="16"/>
        <v>0.16500000000000001</v>
      </c>
      <c r="Z68" s="338">
        <f t="shared" ca="1" si="29"/>
        <v>0.16450000000000001</v>
      </c>
      <c r="AA68" s="90">
        <f t="shared" ca="1" si="17"/>
        <v>1.0200000000000005</v>
      </c>
      <c r="AB68" s="270">
        <f t="shared" ca="1" si="18"/>
        <v>161.37450000000001</v>
      </c>
      <c r="AC68" s="59">
        <f t="shared" ca="1" si="19"/>
        <v>0.12376844287208426</v>
      </c>
      <c r="AD68" s="59">
        <f t="shared" ca="1" si="30"/>
        <v>0.12376844287208426</v>
      </c>
      <c r="AE68" s="59">
        <f t="shared" ca="1" si="20"/>
        <v>0.14159109864566441</v>
      </c>
      <c r="AF68" s="59">
        <f t="shared" ca="1" si="21"/>
        <v>0.11327287891653154</v>
      </c>
      <c r="AG68" s="59">
        <f t="shared" ca="1" si="22"/>
        <v>9.4866036092595141E-2</v>
      </c>
      <c r="AH68" s="59">
        <f t="shared" ca="1" si="23"/>
        <v>1.7</v>
      </c>
      <c r="AI68" s="59">
        <f t="shared" ca="1" si="24"/>
        <v>1.1842620112471913</v>
      </c>
      <c r="AJ68" s="59">
        <f t="shared" ca="1" si="25"/>
        <v>0.6966247124983479</v>
      </c>
      <c r="AK68" s="59">
        <f t="shared" ca="1" si="31"/>
        <v>0.6966247124983479</v>
      </c>
      <c r="AL68" s="59">
        <f t="shared" ca="1" si="26"/>
        <v>0.1091046990193841</v>
      </c>
      <c r="AM68" s="59">
        <f t="shared" ca="1" si="27"/>
        <v>0.15654152467998592</v>
      </c>
      <c r="AN68" s="59">
        <f t="shared" ca="1" si="28"/>
        <v>0.1573</v>
      </c>
    </row>
    <row r="69" spans="1:40" ht="16.5">
      <c r="I69" s="339">
        <f t="shared" ca="1" si="110"/>
        <v>1.0700000000000005</v>
      </c>
      <c r="J69" s="64">
        <f t="shared" ca="1" si="1"/>
        <v>1.9330000000000001</v>
      </c>
      <c r="K69" s="64">
        <f t="shared" ca="1" si="2"/>
        <v>0.42373831775700915</v>
      </c>
      <c r="L69" s="64">
        <f t="shared" ca="1" si="3"/>
        <v>0.21920000000000001</v>
      </c>
      <c r="M69" s="64">
        <f t="shared" ca="1" si="4"/>
        <v>0.21920000000000001</v>
      </c>
      <c r="N69" s="61">
        <f t="shared" ca="1" si="5"/>
        <v>0.157</v>
      </c>
      <c r="O69" s="64">
        <f t="shared" ca="1" si="6"/>
        <v>1.9330000000000001</v>
      </c>
      <c r="P69" s="64">
        <f t="shared" ca="1" si="7"/>
        <v>0.42056074766355123</v>
      </c>
      <c r="Q69" s="64">
        <f t="shared" ca="1" si="8"/>
        <v>0.21759999999999999</v>
      </c>
      <c r="R69" s="64">
        <f t="shared" ca="1" si="9"/>
        <v>0.21759999999999999</v>
      </c>
      <c r="S69" s="61">
        <f t="shared" ca="1" si="10"/>
        <v>0.1</v>
      </c>
      <c r="T69" s="64">
        <f t="shared" ca="1" si="11"/>
        <v>2.4</v>
      </c>
      <c r="U69" s="64">
        <f t="shared" ca="1" si="12"/>
        <v>0.5268411214953268</v>
      </c>
      <c r="V69" s="64">
        <f t="shared" ca="1" si="13"/>
        <v>0.2195</v>
      </c>
      <c r="W69" s="61">
        <f t="shared" ca="1" si="14"/>
        <v>0.2195</v>
      </c>
      <c r="X69" s="61">
        <f t="shared" ca="1" si="15"/>
        <v>0.157</v>
      </c>
      <c r="Y69" s="89">
        <f t="shared" ca="1" si="16"/>
        <v>0.157</v>
      </c>
      <c r="Z69" s="338">
        <f t="shared" ca="1" si="29"/>
        <v>0.15679999999999999</v>
      </c>
      <c r="AA69" s="64">
        <f t="shared" ca="1" si="17"/>
        <v>1.0700000000000005</v>
      </c>
      <c r="AB69" s="270">
        <f t="shared" ca="1" si="18"/>
        <v>153.82079999999999</v>
      </c>
      <c r="AC69" s="59">
        <f t="shared" ca="1" si="19"/>
        <v>0.12084206113070792</v>
      </c>
      <c r="AD69" s="59">
        <f t="shared" ca="1" si="30"/>
        <v>0.12084206113070792</v>
      </c>
      <c r="AE69" s="59">
        <f t="shared" ca="1" si="20"/>
        <v>0.13824331793352987</v>
      </c>
      <c r="AF69" s="59">
        <f t="shared" ca="1" si="21"/>
        <v>0.1105946543468239</v>
      </c>
      <c r="AG69" s="59">
        <f t="shared" ca="1" si="22"/>
        <v>9.2623023015465003E-2</v>
      </c>
      <c r="AH69" s="59">
        <f t="shared" ca="1" si="23"/>
        <v>1.7</v>
      </c>
      <c r="AI69" s="59">
        <f t="shared" ca="1" si="24"/>
        <v>1.1470756505828088</v>
      </c>
      <c r="AJ69" s="59">
        <f t="shared" ca="1" si="25"/>
        <v>0.67475038269576992</v>
      </c>
      <c r="AK69" s="59">
        <f t="shared" ca="1" si="31"/>
        <v>0.67475038269576992</v>
      </c>
      <c r="AL69" s="59">
        <f t="shared" ca="1" si="26"/>
        <v>0.1056787623183994</v>
      </c>
      <c r="AM69" s="59">
        <f t="shared" ca="1" si="27"/>
        <v>0.15162605028292089</v>
      </c>
      <c r="AN69" s="59">
        <f t="shared" ca="1" si="28"/>
        <v>0.14967333333333332</v>
      </c>
    </row>
    <row r="70" spans="1:40" ht="16.5">
      <c r="I70" s="339">
        <f t="shared" ca="1" si="110"/>
        <v>1.1200000000000006</v>
      </c>
      <c r="J70" s="64">
        <f t="shared" ca="1" si="1"/>
        <v>1.9330000000000001</v>
      </c>
      <c r="K70" s="64">
        <f t="shared" ca="1" si="2"/>
        <v>0.40482142857142839</v>
      </c>
      <c r="L70" s="64">
        <f t="shared" ca="1" si="3"/>
        <v>0.2094</v>
      </c>
      <c r="M70" s="64">
        <f t="shared" ca="1" si="4"/>
        <v>0.2094</v>
      </c>
      <c r="N70" s="61">
        <f t="shared" ca="1" si="5"/>
        <v>0.15</v>
      </c>
      <c r="O70" s="64">
        <f t="shared" ca="1" si="6"/>
        <v>1.9330000000000001</v>
      </c>
      <c r="P70" s="64">
        <f t="shared" ca="1" si="7"/>
        <v>0.40178571428571408</v>
      </c>
      <c r="Q70" s="64">
        <f t="shared" ca="1" si="8"/>
        <v>0.2079</v>
      </c>
      <c r="R70" s="64">
        <f t="shared" ca="1" si="9"/>
        <v>0.2079</v>
      </c>
      <c r="S70" s="61">
        <f t="shared" ca="1" si="10"/>
        <v>9.6000000000000002E-2</v>
      </c>
      <c r="T70" s="64">
        <f t="shared" ca="1" si="11"/>
        <v>2.4</v>
      </c>
      <c r="U70" s="64">
        <f t="shared" ca="1" si="12"/>
        <v>0.50332142857142836</v>
      </c>
      <c r="V70" s="64">
        <f t="shared" ca="1" si="13"/>
        <v>0.2097</v>
      </c>
      <c r="W70" s="61">
        <f t="shared" ca="1" si="14"/>
        <v>0.2097</v>
      </c>
      <c r="X70" s="61">
        <f t="shared" ca="1" si="15"/>
        <v>0.15</v>
      </c>
      <c r="Y70" s="89">
        <f t="shared" ca="1" si="16"/>
        <v>0.15</v>
      </c>
      <c r="Z70" s="338">
        <f t="shared" ca="1" si="29"/>
        <v>0.14979999999999999</v>
      </c>
      <c r="AA70" s="64">
        <f t="shared" ca="1" si="17"/>
        <v>1.1200000000000006</v>
      </c>
      <c r="AB70" s="270">
        <f t="shared" ca="1" si="18"/>
        <v>146.9538</v>
      </c>
      <c r="AC70" s="59">
        <f t="shared" ca="1" si="19"/>
        <v>0.11811389781538348</v>
      </c>
      <c r="AD70" s="59">
        <f t="shared" ca="1" si="30"/>
        <v>0.11811389781538348</v>
      </c>
      <c r="AE70" s="59">
        <f t="shared" ca="1" si="20"/>
        <v>0.1351222991007987</v>
      </c>
      <c r="AF70" s="59">
        <f t="shared" ca="1" si="21"/>
        <v>0.10809783928063897</v>
      </c>
      <c r="AG70" s="59">
        <f t="shared" ca="1" si="22"/>
        <v>9.0531940397535135E-2</v>
      </c>
      <c r="AH70" s="59">
        <f t="shared" ca="1" si="23"/>
        <v>1.7</v>
      </c>
      <c r="AI70" s="59">
        <f t="shared" ca="1" si="24"/>
        <v>1.112677307539522</v>
      </c>
      <c r="AJ70" s="59">
        <f t="shared" ca="1" si="25"/>
        <v>0.65451606325854239</v>
      </c>
      <c r="AK70" s="59">
        <f t="shared" ca="1" si="31"/>
        <v>0.65451606325854239</v>
      </c>
      <c r="AL70" s="59">
        <f t="shared" ca="1" si="26"/>
        <v>0.10250968247892124</v>
      </c>
      <c r="AM70" s="59">
        <f t="shared" ca="1" si="27"/>
        <v>0.1470791096436696</v>
      </c>
      <c r="AN70" s="59">
        <f t="shared" ca="1" si="28"/>
        <v>0.14299999999999999</v>
      </c>
    </row>
    <row r="71" spans="1:40" ht="16.5">
      <c r="I71" s="339">
        <f t="shared" ca="1" si="110"/>
        <v>1.1700000000000006</v>
      </c>
      <c r="J71" s="64">
        <f t="shared" ca="1" si="1"/>
        <v>1.9330000000000001</v>
      </c>
      <c r="K71" s="64">
        <f t="shared" ca="1" si="2"/>
        <v>0.38752136752136734</v>
      </c>
      <c r="L71" s="64">
        <f t="shared" ca="1" si="3"/>
        <v>0.20050000000000001</v>
      </c>
      <c r="M71" s="64">
        <f t="shared" ca="1" si="4"/>
        <v>0.20050000000000001</v>
      </c>
      <c r="N71" s="61">
        <f t="shared" ca="1" si="5"/>
        <v>0.14299999999999999</v>
      </c>
      <c r="O71" s="64">
        <f t="shared" ca="1" si="6"/>
        <v>1.9330000000000001</v>
      </c>
      <c r="P71" s="64">
        <f t="shared" ca="1" si="7"/>
        <v>0.38461538461538441</v>
      </c>
      <c r="Q71" s="64">
        <f t="shared" ca="1" si="8"/>
        <v>0.19900000000000001</v>
      </c>
      <c r="R71" s="64">
        <f t="shared" ca="1" si="9"/>
        <v>0.19900000000000001</v>
      </c>
      <c r="S71" s="61">
        <f t="shared" ca="1" si="10"/>
        <v>9.1999999999999998E-2</v>
      </c>
      <c r="T71" s="64">
        <f t="shared" ca="1" si="11"/>
        <v>2.4</v>
      </c>
      <c r="U71" s="64">
        <f t="shared" ca="1" si="12"/>
        <v>0.48181196581196556</v>
      </c>
      <c r="V71" s="64">
        <f t="shared" ca="1" si="13"/>
        <v>0.20080000000000001</v>
      </c>
      <c r="W71" s="61">
        <f t="shared" ca="1" si="14"/>
        <v>0.20080000000000001</v>
      </c>
      <c r="X71" s="61">
        <f t="shared" ca="1" si="15"/>
        <v>0.14299999999999999</v>
      </c>
      <c r="Y71" s="89">
        <f t="shared" ca="1" si="16"/>
        <v>0.14299999999999999</v>
      </c>
      <c r="Z71" s="338">
        <f t="shared" ca="1" si="29"/>
        <v>0.1434</v>
      </c>
      <c r="AA71" s="64">
        <f t="shared" ca="1" si="17"/>
        <v>1.1700000000000006</v>
      </c>
      <c r="AB71" s="270">
        <f t="shared" ca="1" si="18"/>
        <v>140.6754</v>
      </c>
      <c r="AC71" s="59">
        <f t="shared" ca="1" si="19"/>
        <v>0.11556254088025604</v>
      </c>
      <c r="AD71" s="59">
        <f t="shared" ca="1" si="30"/>
        <v>0.11556254088025604</v>
      </c>
      <c r="AE71" s="59">
        <f t="shared" ca="1" si="20"/>
        <v>0.1322035467670129</v>
      </c>
      <c r="AF71" s="59">
        <f t="shared" ca="1" si="21"/>
        <v>0.10576283741361034</v>
      </c>
      <c r="AG71" s="59">
        <f t="shared" ca="1" si="22"/>
        <v>8.8576376333898643E-2</v>
      </c>
      <c r="AH71" s="59">
        <f t="shared" ca="1" si="23"/>
        <v>1.7</v>
      </c>
      <c r="AI71" s="59">
        <f t="shared" ca="1" si="24"/>
        <v>1.0807469159278265</v>
      </c>
      <c r="AJ71" s="59">
        <f t="shared" ca="1" si="25"/>
        <v>0.63573347995754503</v>
      </c>
      <c r="AK71" s="59">
        <f t="shared" ca="1" si="31"/>
        <v>0.63573347995754503</v>
      </c>
      <c r="AL71" s="59">
        <f t="shared" ref="AL71:AL95" ca="1" si="111">$U$5*$U$11*AK71/1.4/$U$6*$AG$5</f>
        <v>9.9567972170493596E-2</v>
      </c>
      <c r="AM71" s="59">
        <f t="shared" ref="AM71:AM95" ca="1" si="112">$W$5*$W$11*AK71/1.4/$W$6*$AG$5</f>
        <v>0.14285839485331692</v>
      </c>
      <c r="AN71" s="59">
        <f t="shared" ca="1" si="28"/>
        <v>0.13632666666666665</v>
      </c>
    </row>
    <row r="72" spans="1:40" ht="16.5">
      <c r="I72" s="339">
        <f t="shared" ca="1" si="110"/>
        <v>1.2200000000000006</v>
      </c>
      <c r="J72" s="64">
        <f t="shared" ca="1" si="1"/>
        <v>1.9330000000000001</v>
      </c>
      <c r="K72" s="64">
        <f t="shared" ca="1" si="2"/>
        <v>0.37163934426229489</v>
      </c>
      <c r="L72" s="64">
        <f t="shared" ca="1" si="3"/>
        <v>0.1923</v>
      </c>
      <c r="M72" s="64">
        <f t="shared" ca="1" si="4"/>
        <v>0.1923</v>
      </c>
      <c r="N72" s="61">
        <f t="shared" ca="1" si="5"/>
        <v>0.13700000000000001</v>
      </c>
      <c r="O72" s="64">
        <f t="shared" ca="1" si="6"/>
        <v>1.9330000000000001</v>
      </c>
      <c r="P72" s="64">
        <f t="shared" ca="1" si="7"/>
        <v>0.36885245901639324</v>
      </c>
      <c r="Q72" s="64">
        <f t="shared" ca="1" si="8"/>
        <v>0.1908</v>
      </c>
      <c r="R72" s="64">
        <f t="shared" ca="1" si="9"/>
        <v>0.1908</v>
      </c>
      <c r="S72" s="61">
        <f t="shared" ca="1" si="10"/>
        <v>8.7999999999999995E-2</v>
      </c>
      <c r="T72" s="64">
        <f t="shared" ca="1" si="11"/>
        <v>2.4</v>
      </c>
      <c r="U72" s="64">
        <f t="shared" ca="1" si="12"/>
        <v>0.46206557377049157</v>
      </c>
      <c r="V72" s="64">
        <f t="shared" ca="1" si="13"/>
        <v>0.1925</v>
      </c>
      <c r="W72" s="61">
        <f t="shared" ca="1" si="14"/>
        <v>0.1925</v>
      </c>
      <c r="X72" s="61">
        <f t="shared" ca="1" si="15"/>
        <v>0.13800000000000001</v>
      </c>
      <c r="Y72" s="89">
        <f t="shared" ca="1" si="16"/>
        <v>0.13800000000000001</v>
      </c>
      <c r="Z72" s="338">
        <f t="shared" ca="1" si="29"/>
        <v>0.1376</v>
      </c>
      <c r="AA72" s="64">
        <f t="shared" ca="1" si="17"/>
        <v>1.2200000000000006</v>
      </c>
      <c r="AB72" s="270">
        <f t="shared" ca="1" si="18"/>
        <v>134.98560000000001</v>
      </c>
      <c r="AC72" s="59">
        <f t="shared" ca="1" si="19"/>
        <v>0.11316968255314815</v>
      </c>
      <c r="AD72" s="59">
        <f t="shared" ca="1" si="30"/>
        <v>0.11316968255314815</v>
      </c>
      <c r="AE72" s="59">
        <f t="shared" ca="1" si="20"/>
        <v>0.12946611684080148</v>
      </c>
      <c r="AF72" s="59">
        <f t="shared" ca="1" si="21"/>
        <v>0.1035728934726412</v>
      </c>
      <c r="AG72" s="59">
        <f t="shared" ca="1" si="22"/>
        <v>8.6742298283336988E-2</v>
      </c>
      <c r="AH72" s="59">
        <f t="shared" ca="1" si="23"/>
        <v>1.7</v>
      </c>
      <c r="AI72" s="59">
        <f t="shared" ca="1" si="24"/>
        <v>1.0510128493267632</v>
      </c>
      <c r="AJ72" s="59">
        <f t="shared" ca="1" si="25"/>
        <v>0.61824285254515488</v>
      </c>
      <c r="AK72" s="59">
        <f t="shared" ca="1" si="31"/>
        <v>0.61824285254515488</v>
      </c>
      <c r="AL72" s="59">
        <f t="shared" ca="1" si="111"/>
        <v>9.6828606762905445E-2</v>
      </c>
      <c r="AM72" s="59">
        <f t="shared" ca="1" si="112"/>
        <v>0.13892800100764696</v>
      </c>
      <c r="AN72" s="59">
        <f t="shared" ca="1" si="28"/>
        <v>0.13156000000000001</v>
      </c>
    </row>
    <row r="73" spans="1:40" ht="16.5">
      <c r="I73" s="339">
        <f t="shared" ca="1" si="110"/>
        <v>1.2700000000000007</v>
      </c>
      <c r="J73" s="64">
        <f t="shared" ca="1" si="1"/>
        <v>1.9330000000000001</v>
      </c>
      <c r="K73" s="64">
        <f t="shared" ca="1" si="2"/>
        <v>0.35700787401574785</v>
      </c>
      <c r="L73" s="64">
        <f t="shared" ca="1" si="3"/>
        <v>0.1847</v>
      </c>
      <c r="M73" s="64">
        <f t="shared" ca="1" si="4"/>
        <v>0.1847</v>
      </c>
      <c r="N73" s="61">
        <f t="shared" ca="1" si="5"/>
        <v>0.13200000000000001</v>
      </c>
      <c r="O73" s="64">
        <f t="shared" ca="1" si="6"/>
        <v>1.9330000000000001</v>
      </c>
      <c r="P73" s="64">
        <f t="shared" ca="1" si="7"/>
        <v>0.35433070866141714</v>
      </c>
      <c r="Q73" s="64">
        <f t="shared" ca="1" si="8"/>
        <v>0.18329999999999999</v>
      </c>
      <c r="R73" s="64">
        <f t="shared" ca="1" si="9"/>
        <v>0.18329999999999999</v>
      </c>
      <c r="S73" s="61">
        <f t="shared" ca="1" si="10"/>
        <v>8.4000000000000005E-2</v>
      </c>
      <c r="T73" s="64">
        <f t="shared" ca="1" si="11"/>
        <v>2.4</v>
      </c>
      <c r="U73" s="64">
        <f t="shared" ca="1" si="12"/>
        <v>0.44387401574803126</v>
      </c>
      <c r="V73" s="64">
        <f t="shared" ca="1" si="13"/>
        <v>0.18490000000000001</v>
      </c>
      <c r="W73" s="61">
        <f t="shared" ca="1" si="14"/>
        <v>0.18490000000000001</v>
      </c>
      <c r="X73" s="61">
        <f t="shared" ca="1" si="15"/>
        <v>0.13200000000000001</v>
      </c>
      <c r="Y73" s="89">
        <f t="shared" ca="1" si="16"/>
        <v>0.13200000000000001</v>
      </c>
      <c r="Z73" s="338">
        <f t="shared" ca="1" si="29"/>
        <v>0.1321</v>
      </c>
      <c r="AA73" s="64">
        <f t="shared" ca="1" si="17"/>
        <v>1.2700000000000007</v>
      </c>
      <c r="AB73" s="270">
        <f t="shared" ca="1" si="18"/>
        <v>129.59010000000001</v>
      </c>
      <c r="AC73" s="59">
        <f t="shared" ca="1" si="19"/>
        <v>0.11091956367701418</v>
      </c>
      <c r="AD73" s="59">
        <f t="shared" ca="1" si="30"/>
        <v>0.11091956367701418</v>
      </c>
      <c r="AE73" s="59">
        <f t="shared" ca="1" si="20"/>
        <v>0.12689198084650422</v>
      </c>
      <c r="AF73" s="59">
        <f t="shared" ca="1" si="21"/>
        <v>0.10151358467720338</v>
      </c>
      <c r="AG73" s="59">
        <f t="shared" ca="1" si="22"/>
        <v>8.5017627167157828E-2</v>
      </c>
      <c r="AH73" s="59">
        <f t="shared" ca="1" si="23"/>
        <v>1.7</v>
      </c>
      <c r="AI73" s="59">
        <f t="shared" ca="1" si="24"/>
        <v>1.0232429601562196</v>
      </c>
      <c r="AJ73" s="59">
        <f t="shared" ca="1" si="25"/>
        <v>0.60190762362130568</v>
      </c>
      <c r="AK73" s="59">
        <f t="shared" ca="1" si="31"/>
        <v>0.60190762362130568</v>
      </c>
      <c r="AL73" s="59">
        <f t="shared" ca="1" si="111"/>
        <v>9.4270198766213079E-2</v>
      </c>
      <c r="AM73" s="59">
        <f t="shared" ca="1" si="112"/>
        <v>0.13525724170804485</v>
      </c>
      <c r="AN73" s="59">
        <f t="shared" ca="1" si="28"/>
        <v>0.12584000000000001</v>
      </c>
    </row>
    <row r="74" spans="1:40" ht="16.5">
      <c r="I74" s="339">
        <f t="shared" ca="1" si="110"/>
        <v>1.3200000000000007</v>
      </c>
      <c r="J74" s="64">
        <f t="shared" ca="1" si="1"/>
        <v>1.9330000000000001</v>
      </c>
      <c r="K74" s="64">
        <f t="shared" ca="1" si="2"/>
        <v>0.34348484848484834</v>
      </c>
      <c r="L74" s="64">
        <f t="shared" ca="1" si="3"/>
        <v>0.1777</v>
      </c>
      <c r="M74" s="64">
        <f t="shared" ca="1" si="4"/>
        <v>0.1777</v>
      </c>
      <c r="N74" s="61">
        <f t="shared" ca="1" si="5"/>
        <v>0.127</v>
      </c>
      <c r="O74" s="64">
        <f t="shared" ca="1" si="6"/>
        <v>1.9330000000000001</v>
      </c>
      <c r="P74" s="64">
        <f t="shared" ca="1" si="7"/>
        <v>0.34090909090909072</v>
      </c>
      <c r="Q74" s="64">
        <f t="shared" ca="1" si="8"/>
        <v>0.1764</v>
      </c>
      <c r="R74" s="64">
        <f t="shared" ca="1" si="9"/>
        <v>0.1764</v>
      </c>
      <c r="S74" s="61">
        <f t="shared" ca="1" si="10"/>
        <v>8.1000000000000003E-2</v>
      </c>
      <c r="T74" s="64">
        <f t="shared" ca="1" si="11"/>
        <v>2.4</v>
      </c>
      <c r="U74" s="64">
        <f t="shared" ca="1" si="12"/>
        <v>0.42706060606060581</v>
      </c>
      <c r="V74" s="64">
        <f t="shared" ca="1" si="13"/>
        <v>0.1779</v>
      </c>
      <c r="W74" s="61">
        <f t="shared" ca="1" si="14"/>
        <v>0.1779</v>
      </c>
      <c r="X74" s="61">
        <f t="shared" ca="1" si="15"/>
        <v>0.127</v>
      </c>
      <c r="Y74" s="89">
        <f t="shared" ca="1" si="16"/>
        <v>0.127</v>
      </c>
      <c r="Z74" s="338">
        <f t="shared" ca="1" si="29"/>
        <v>0.12709999999999999</v>
      </c>
      <c r="AA74" s="64">
        <f t="shared" ca="1" si="17"/>
        <v>1.3200000000000007</v>
      </c>
      <c r="AB74" s="270">
        <f t="shared" ca="1" si="18"/>
        <v>124.68509999999999</v>
      </c>
      <c r="AC74" s="59">
        <f t="shared" ca="1" si="19"/>
        <v>0.10879853497231111</v>
      </c>
      <c r="AD74" s="59">
        <f t="shared" ca="1" si="30"/>
        <v>0.10879853497231111</v>
      </c>
      <c r="AE74" s="59">
        <f t="shared" ca="1" si="20"/>
        <v>0.12446552400832392</v>
      </c>
      <c r="AF74" s="59">
        <f t="shared" ca="1" si="21"/>
        <v>9.957241920665913E-2</v>
      </c>
      <c r="AG74" s="59">
        <f t="shared" ca="1" si="22"/>
        <v>8.3391901085577022E-2</v>
      </c>
      <c r="AH74" s="59">
        <f t="shared" ca="1" si="23"/>
        <v>1.7</v>
      </c>
      <c r="AI74" s="59">
        <f t="shared" ca="1" si="24"/>
        <v>1</v>
      </c>
      <c r="AJ74" s="59">
        <f t="shared" ca="1" si="25"/>
        <v>0.58823529411764708</v>
      </c>
      <c r="AK74" s="59">
        <f t="shared" ca="1" si="31"/>
        <v>0.58823529411764708</v>
      </c>
      <c r="AL74" s="59">
        <f t="shared" ca="1" si="111"/>
        <v>9.2128851540616258E-2</v>
      </c>
      <c r="AM74" s="59">
        <f t="shared" ca="1" si="112"/>
        <v>0.13218487394957984</v>
      </c>
      <c r="AN74" s="59">
        <f t="shared" ca="1" si="28"/>
        <v>0.12107333333333332</v>
      </c>
    </row>
    <row r="75" spans="1:40" ht="16.5">
      <c r="I75" s="339">
        <f t="shared" ca="1" si="110"/>
        <v>1.3700000000000008</v>
      </c>
      <c r="J75" s="64">
        <f t="shared" ca="1" si="1"/>
        <v>1.9330000000000001</v>
      </c>
      <c r="K75" s="64">
        <f t="shared" ca="1" si="2"/>
        <v>0.33094890510948888</v>
      </c>
      <c r="L75" s="64">
        <f t="shared" ca="1" si="3"/>
        <v>0.17119999999999999</v>
      </c>
      <c r="M75" s="64">
        <f t="shared" ca="1" si="4"/>
        <v>0.17119999999999999</v>
      </c>
      <c r="N75" s="61">
        <f t="shared" ref="N75:N95" ca="1" si="113">ROUND(B$13*M75/1.4/B$14,3)</f>
        <v>0.122</v>
      </c>
      <c r="O75" s="64">
        <f t="shared" ref="O75:O95" ca="1" si="114">ROUND(IF($I75&gt;=D$19,D$12,IF($I75&gt;=F$19,D$13+(D$12-D$13)*($I75-0.6*D$19)/0.4/D$19,IF($I75&lt;E$19,D$13+(D$13-1)*($I75-E$19)/E$19,D$13))),3)</f>
        <v>1.9330000000000001</v>
      </c>
      <c r="P75" s="64">
        <f t="shared" ref="P75:P95" ca="1" si="115">IF($I75&lt;E$19,ROUND(B$19*(0.4+3*$I75/D$19),3),IF($I75&lt;=D$19,B$19,IF($I75&lt;=2.5*D$19,C$19/$I75,0.4*B$19)))</f>
        <v>0.32846715328467135</v>
      </c>
      <c r="Q75" s="64">
        <f t="shared" ca="1" si="8"/>
        <v>0.1699</v>
      </c>
      <c r="R75" s="64">
        <f t="shared" ca="1" si="9"/>
        <v>0.1699</v>
      </c>
      <c r="S75" s="61">
        <f t="shared" ref="S75:S95" ca="1" si="116">ROUND(B$13*O75*R75/4.2/B$14,3)</f>
        <v>7.8E-2</v>
      </c>
      <c r="T75" s="64">
        <f t="shared" ref="T75:T95" ca="1" si="117">ROUND(IF($I75&gt;=D$21,B$12,IF($I75&gt;=F$21,D$14+(B$12-D$14)*($I75-0.6*D$21)/0.4/D$21,IF($I75&lt;E$21,D$14+(D$14-1)*($I75-E$21)/E$21,D$14))),3)</f>
        <v>2.4</v>
      </c>
      <c r="U75" s="64">
        <f t="shared" ref="U75:U95" ca="1" si="118">IF($I75&lt;E$21,ROUND(B$21*(0.4+3*$I75/D$21),3),IF($I75&lt;=D$21,B$21,IF($I75&lt;=2.5*D$21,C$21/$I75,0.4*B$21)))</f>
        <v>0.4114744525547443</v>
      </c>
      <c r="V75" s="64">
        <f t="shared" ca="1" si="13"/>
        <v>0.1714</v>
      </c>
      <c r="W75" s="61">
        <f t="shared" ca="1" si="14"/>
        <v>0.1714</v>
      </c>
      <c r="X75" s="61">
        <f t="shared" ref="X75:X95" ca="1" si="119">ROUND(B$13*W75/1.4/B$14,3)</f>
        <v>0.122</v>
      </c>
      <c r="Y75" s="89">
        <f t="shared" ca="1" si="16"/>
        <v>0.122</v>
      </c>
      <c r="Z75" s="338">
        <f t="shared" ca="1" si="29"/>
        <v>0.1225</v>
      </c>
      <c r="AA75" s="64">
        <f t="shared" ref="AA75:AA95" ca="1" si="120">I75</f>
        <v>1.3700000000000008</v>
      </c>
      <c r="AB75" s="270">
        <f t="shared" ref="AB75:AB95" ca="1" si="121">Z75*T$41</f>
        <v>120.1725</v>
      </c>
      <c r="AC75" s="59">
        <f t="shared" ref="AC75:AC95" ca="1" si="122">1/8/I75^0.5</f>
        <v>0.10679470721459508</v>
      </c>
      <c r="AD75" s="59">
        <f t="shared" ca="1" si="30"/>
        <v>0.10679470721459508</v>
      </c>
      <c r="AE75" s="59">
        <f t="shared" ref="AE75:AE95" ca="1" si="123">$R$5*W$41*$R$11*$AD75*$AG$5</f>
        <v>0.12217314505349677</v>
      </c>
      <c r="AF75" s="59">
        <f t="shared" ref="AF75:AF95" ca="1" si="124">$R$5*X$41*$R$11*$AD75*$AG$5</f>
        <v>9.773851604279743E-2</v>
      </c>
      <c r="AG75" s="59">
        <f t="shared" ref="AG75:AG95" ca="1" si="125">$R$5*Y$41*$R$11*$AD75*$AG$5</f>
        <v>8.1856007185842836E-2</v>
      </c>
      <c r="AH75" s="59">
        <f t="shared" ref="AH75:AH95" ca="1" si="126">IF(I75&gt;0.611,$U$12,IF(I75&gt;0.406,AD$5+($U$12-AD$5)*(I75-0.406)/0.205,IF(I75&gt;0.2,AD$5,IF(I75&gt;0.03,AD$5+(AD$5-1)*(I75-0.2)/0.17,1))))</f>
        <v>1.7</v>
      </c>
      <c r="AI75" s="59">
        <f t="shared" ref="AI75:AI95" ca="1" si="127">IF(I75&lt;T$17,X$17,IF(I75&lt;U$17,Y$17*I75+V$17,IF(I75&lt;Z$17,AA$17,IF(I75&lt;W$17,AB$17/I75^(AC$17),1))))</f>
        <v>1</v>
      </c>
      <c r="AJ75" s="59">
        <f t="shared" ca="1" si="25"/>
        <v>0.58823529411764708</v>
      </c>
      <c r="AK75" s="59">
        <f t="shared" ca="1" si="31"/>
        <v>0.58823529411764708</v>
      </c>
      <c r="AL75" s="59">
        <f t="shared" ca="1" si="111"/>
        <v>9.2128851540616258E-2</v>
      </c>
      <c r="AM75" s="59">
        <f t="shared" ca="1" si="112"/>
        <v>0.13218487394957984</v>
      </c>
      <c r="AN75" s="59">
        <f t="shared" ca="1" si="28"/>
        <v>0.11630666666666666</v>
      </c>
    </row>
    <row r="76" spans="1:40" ht="16.5">
      <c r="I76" s="339">
        <f t="shared" ca="1" si="110"/>
        <v>1.4200000000000008</v>
      </c>
      <c r="J76" s="64">
        <f t="shared" ca="1" si="1"/>
        <v>1.9330000000000001</v>
      </c>
      <c r="K76" s="64">
        <f t="shared" ca="1" si="2"/>
        <v>0.32275999999999999</v>
      </c>
      <c r="L76" s="64">
        <f t="shared" ca="1" si="3"/>
        <v>0.16700000000000001</v>
      </c>
      <c r="M76" s="64">
        <f t="shared" ca="1" si="4"/>
        <v>0.16700000000000001</v>
      </c>
      <c r="N76" s="61">
        <f t="shared" ca="1" si="113"/>
        <v>0.11899999999999999</v>
      </c>
      <c r="O76" s="64">
        <f t="shared" ca="1" si="114"/>
        <v>1.9330000000000001</v>
      </c>
      <c r="P76" s="64">
        <f t="shared" ca="1" si="115"/>
        <v>0.32000000000000006</v>
      </c>
      <c r="Q76" s="64">
        <f t="shared" ca="1" si="8"/>
        <v>0.16550000000000001</v>
      </c>
      <c r="R76" s="64">
        <f t="shared" ca="1" si="9"/>
        <v>0.16550000000000001</v>
      </c>
      <c r="S76" s="61">
        <f t="shared" ca="1" si="116"/>
        <v>7.5999999999999998E-2</v>
      </c>
      <c r="T76" s="64">
        <f t="shared" ca="1" si="117"/>
        <v>2.4</v>
      </c>
      <c r="U76" s="64">
        <f t="shared" ca="1" si="118"/>
        <v>0.40686</v>
      </c>
      <c r="V76" s="64">
        <f t="shared" ca="1" si="13"/>
        <v>0.16950000000000001</v>
      </c>
      <c r="W76" s="61">
        <f t="shared" ca="1" si="14"/>
        <v>0.16950000000000001</v>
      </c>
      <c r="X76" s="61">
        <f t="shared" ca="1" si="119"/>
        <v>0.121</v>
      </c>
      <c r="Y76" s="89">
        <f t="shared" ca="1" si="16"/>
        <v>0.121</v>
      </c>
      <c r="Z76" s="338">
        <f t="shared" ca="1" si="29"/>
        <v>0.1211</v>
      </c>
      <c r="AA76" s="64">
        <f t="shared" ca="1" si="120"/>
        <v>1.4200000000000008</v>
      </c>
      <c r="AB76" s="270">
        <f t="shared" ca="1" si="121"/>
        <v>118.7991</v>
      </c>
      <c r="AC76" s="59">
        <f t="shared" ca="1" si="122"/>
        <v>0.1048976697870861</v>
      </c>
      <c r="AD76" s="59">
        <f t="shared" ca="1" si="30"/>
        <v>0.1048976697870861</v>
      </c>
      <c r="AE76" s="59">
        <f t="shared" ca="1" si="123"/>
        <v>0.12000293423642651</v>
      </c>
      <c r="AF76" s="59">
        <f t="shared" ca="1" si="124"/>
        <v>9.6002347389141221E-2</v>
      </c>
      <c r="AG76" s="59">
        <f t="shared" ca="1" si="125"/>
        <v>8.0401965938405762E-2</v>
      </c>
      <c r="AH76" s="59">
        <f t="shared" ca="1" si="126"/>
        <v>1.7</v>
      </c>
      <c r="AI76" s="59">
        <f t="shared" ca="1" si="127"/>
        <v>1</v>
      </c>
      <c r="AJ76" s="59">
        <f t="shared" ca="1" si="25"/>
        <v>0.58823529411764708</v>
      </c>
      <c r="AK76" s="59">
        <f t="shared" ca="1" si="31"/>
        <v>0.58823529411764708</v>
      </c>
      <c r="AL76" s="59">
        <f t="shared" ca="1" si="111"/>
        <v>9.2128851540616258E-2</v>
      </c>
      <c r="AM76" s="59">
        <f t="shared" ca="1" si="112"/>
        <v>0.13218487394957984</v>
      </c>
      <c r="AN76" s="59">
        <f t="shared" ca="1" si="28"/>
        <v>0.11535333333333332</v>
      </c>
    </row>
    <row r="77" spans="1:40" ht="16.5">
      <c r="A77" s="97"/>
      <c r="B77" s="97"/>
      <c r="C77" s="97"/>
      <c r="D77" s="97"/>
      <c r="E77" s="97"/>
      <c r="F77" s="97"/>
      <c r="I77" s="339">
        <f t="shared" ca="1" si="110"/>
        <v>1.4700000000000009</v>
      </c>
      <c r="J77" s="64">
        <f t="shared" ca="1" si="1"/>
        <v>1.9330000000000001</v>
      </c>
      <c r="K77" s="64">
        <f t="shared" ca="1" si="2"/>
        <v>0.32275999999999999</v>
      </c>
      <c r="L77" s="64">
        <f t="shared" ca="1" si="3"/>
        <v>0.16700000000000001</v>
      </c>
      <c r="M77" s="64">
        <f t="shared" ca="1" si="4"/>
        <v>0.16700000000000001</v>
      </c>
      <c r="N77" s="61">
        <f t="shared" ca="1" si="113"/>
        <v>0.11899999999999999</v>
      </c>
      <c r="O77" s="64">
        <f t="shared" ca="1" si="114"/>
        <v>1.9330000000000001</v>
      </c>
      <c r="P77" s="64">
        <f t="shared" ca="1" si="115"/>
        <v>0.32000000000000006</v>
      </c>
      <c r="Q77" s="64">
        <f t="shared" ca="1" si="8"/>
        <v>0.16550000000000001</v>
      </c>
      <c r="R77" s="64">
        <f t="shared" ca="1" si="9"/>
        <v>0.16550000000000001</v>
      </c>
      <c r="S77" s="61">
        <f t="shared" ca="1" si="116"/>
        <v>7.5999999999999998E-2</v>
      </c>
      <c r="T77" s="64">
        <f t="shared" ca="1" si="117"/>
        <v>2.4</v>
      </c>
      <c r="U77" s="64">
        <f t="shared" ca="1" si="118"/>
        <v>0.40686</v>
      </c>
      <c r="V77" s="64">
        <f t="shared" ca="1" si="13"/>
        <v>0.16950000000000001</v>
      </c>
      <c r="W77" s="61">
        <f t="shared" ca="1" si="14"/>
        <v>0.16950000000000001</v>
      </c>
      <c r="X77" s="61">
        <f t="shared" ca="1" si="119"/>
        <v>0.121</v>
      </c>
      <c r="Y77" s="89">
        <f t="shared" ca="1" si="16"/>
        <v>0.121</v>
      </c>
      <c r="Z77" s="338">
        <f t="shared" ca="1" si="29"/>
        <v>0.1211</v>
      </c>
      <c r="AA77" s="64">
        <f t="shared" ca="1" si="120"/>
        <v>1.4700000000000009</v>
      </c>
      <c r="AB77" s="270">
        <f t="shared" ca="1" si="121"/>
        <v>118.7991</v>
      </c>
      <c r="AC77" s="59">
        <f t="shared" ca="1" si="122"/>
        <v>0.10309826235529029</v>
      </c>
      <c r="AD77" s="59">
        <f t="shared" ca="1" si="30"/>
        <v>0.10309826235529029</v>
      </c>
      <c r="AE77" s="59">
        <f t="shared" ca="1" si="123"/>
        <v>0.1179444121344521</v>
      </c>
      <c r="AF77" s="59">
        <f t="shared" ca="1" si="124"/>
        <v>9.4355529707561683E-2</v>
      </c>
      <c r="AG77" s="59">
        <f t="shared" ca="1" si="125"/>
        <v>7.9022756130082902E-2</v>
      </c>
      <c r="AH77" s="59">
        <f t="shared" ca="1" si="126"/>
        <v>1.7</v>
      </c>
      <c r="AI77" s="59">
        <f t="shared" ca="1" si="127"/>
        <v>1</v>
      </c>
      <c r="AJ77" s="59">
        <f t="shared" ca="1" si="25"/>
        <v>0.58823529411764708</v>
      </c>
      <c r="AK77" s="59">
        <f t="shared" ca="1" si="31"/>
        <v>0.58823529411764708</v>
      </c>
      <c r="AL77" s="59">
        <f t="shared" ca="1" si="111"/>
        <v>9.2128851540616258E-2</v>
      </c>
      <c r="AM77" s="59">
        <f t="shared" ca="1" si="112"/>
        <v>0.13218487394957984</v>
      </c>
      <c r="AN77" s="59">
        <f t="shared" ca="1" si="28"/>
        <v>0.11535333333333332</v>
      </c>
    </row>
    <row r="78" spans="1:40" ht="16.5">
      <c r="I78" s="339">
        <f t="shared" ca="1" si="110"/>
        <v>1.5200000000000009</v>
      </c>
      <c r="J78" s="64">
        <f t="shared" ca="1" si="1"/>
        <v>1.9330000000000001</v>
      </c>
      <c r="K78" s="64">
        <f t="shared" ca="1" si="2"/>
        <v>0.32275999999999999</v>
      </c>
      <c r="L78" s="64">
        <f t="shared" ca="1" si="3"/>
        <v>0.16700000000000001</v>
      </c>
      <c r="M78" s="64">
        <f t="shared" ca="1" si="4"/>
        <v>0.16700000000000001</v>
      </c>
      <c r="N78" s="61">
        <f t="shared" ca="1" si="113"/>
        <v>0.11899999999999999</v>
      </c>
      <c r="O78" s="64">
        <f t="shared" ca="1" si="114"/>
        <v>1.9330000000000001</v>
      </c>
      <c r="P78" s="64">
        <f t="shared" ca="1" si="115"/>
        <v>0.32000000000000006</v>
      </c>
      <c r="Q78" s="64">
        <f t="shared" ca="1" si="8"/>
        <v>0.16550000000000001</v>
      </c>
      <c r="R78" s="64">
        <f t="shared" ca="1" si="9"/>
        <v>0.16550000000000001</v>
      </c>
      <c r="S78" s="61">
        <f t="shared" ca="1" si="116"/>
        <v>7.5999999999999998E-2</v>
      </c>
      <c r="T78" s="64">
        <f t="shared" ca="1" si="117"/>
        <v>2.4</v>
      </c>
      <c r="U78" s="64">
        <f t="shared" ca="1" si="118"/>
        <v>0.40686</v>
      </c>
      <c r="V78" s="64">
        <f t="shared" ca="1" si="13"/>
        <v>0.16950000000000001</v>
      </c>
      <c r="W78" s="61">
        <f t="shared" ca="1" si="14"/>
        <v>0.16950000000000001</v>
      </c>
      <c r="X78" s="61">
        <f t="shared" ca="1" si="119"/>
        <v>0.121</v>
      </c>
      <c r="Y78" s="89">
        <f t="shared" ca="1" si="16"/>
        <v>0.121</v>
      </c>
      <c r="Z78" s="338">
        <f t="shared" ca="1" si="29"/>
        <v>0.1211</v>
      </c>
      <c r="AA78" s="64">
        <f t="shared" ca="1" si="120"/>
        <v>1.5200000000000009</v>
      </c>
      <c r="AB78" s="270">
        <f t="shared" ca="1" si="121"/>
        <v>118.7991</v>
      </c>
      <c r="AC78" s="59">
        <f t="shared" ca="1" si="122"/>
        <v>0.10138838820672655</v>
      </c>
      <c r="AD78" s="59">
        <f t="shared" ca="1" si="30"/>
        <v>0.10138838820672655</v>
      </c>
      <c r="AE78" s="59">
        <f t="shared" ca="1" si="123"/>
        <v>0.11598831610849518</v>
      </c>
      <c r="AF78" s="59">
        <f t="shared" ca="1" si="124"/>
        <v>9.2790652886796152E-2</v>
      </c>
      <c r="AG78" s="59">
        <f t="shared" ca="1" si="125"/>
        <v>7.771217179269177E-2</v>
      </c>
      <c r="AH78" s="59">
        <f t="shared" ca="1" si="126"/>
        <v>1.7</v>
      </c>
      <c r="AI78" s="59">
        <f t="shared" ca="1" si="127"/>
        <v>1</v>
      </c>
      <c r="AJ78" s="59">
        <f t="shared" ca="1" si="25"/>
        <v>0.58823529411764708</v>
      </c>
      <c r="AK78" s="59">
        <f t="shared" ca="1" si="31"/>
        <v>0.58823529411764708</v>
      </c>
      <c r="AL78" s="59">
        <f t="shared" ca="1" si="111"/>
        <v>9.2128851540616258E-2</v>
      </c>
      <c r="AM78" s="59">
        <f t="shared" ca="1" si="112"/>
        <v>0.13218487394957984</v>
      </c>
      <c r="AN78" s="59">
        <f t="shared" ca="1" si="28"/>
        <v>0.11535333333333332</v>
      </c>
    </row>
    <row r="79" spans="1:40" ht="16.5">
      <c r="I79" s="339">
        <f t="shared" ca="1" si="110"/>
        <v>1.570000000000001</v>
      </c>
      <c r="J79" s="64">
        <f t="shared" ca="1" si="1"/>
        <v>1.9330000000000001</v>
      </c>
      <c r="K79" s="64">
        <f t="shared" ca="1" si="2"/>
        <v>0.32275999999999999</v>
      </c>
      <c r="L79" s="64">
        <f t="shared" ca="1" si="3"/>
        <v>0.16700000000000001</v>
      </c>
      <c r="M79" s="64">
        <f t="shared" ca="1" si="4"/>
        <v>0.16700000000000001</v>
      </c>
      <c r="N79" s="61">
        <f t="shared" ca="1" si="113"/>
        <v>0.11899999999999999</v>
      </c>
      <c r="O79" s="64">
        <f t="shared" ca="1" si="114"/>
        <v>1.9330000000000001</v>
      </c>
      <c r="P79" s="64">
        <f t="shared" ca="1" si="115"/>
        <v>0.32000000000000006</v>
      </c>
      <c r="Q79" s="64">
        <f t="shared" ca="1" si="8"/>
        <v>0.16550000000000001</v>
      </c>
      <c r="R79" s="64">
        <f t="shared" ca="1" si="9"/>
        <v>0.16550000000000001</v>
      </c>
      <c r="S79" s="61">
        <f t="shared" ca="1" si="116"/>
        <v>7.5999999999999998E-2</v>
      </c>
      <c r="T79" s="64">
        <f t="shared" ca="1" si="117"/>
        <v>2.4</v>
      </c>
      <c r="U79" s="64">
        <f t="shared" ca="1" si="118"/>
        <v>0.40686</v>
      </c>
      <c r="V79" s="64">
        <f t="shared" ca="1" si="13"/>
        <v>0.16950000000000001</v>
      </c>
      <c r="W79" s="61">
        <f t="shared" ca="1" si="14"/>
        <v>0.16950000000000001</v>
      </c>
      <c r="X79" s="61">
        <f t="shared" ca="1" si="119"/>
        <v>0.121</v>
      </c>
      <c r="Y79" s="89">
        <f t="shared" ca="1" si="16"/>
        <v>0.121</v>
      </c>
      <c r="Z79" s="338">
        <f t="shared" ca="1" si="29"/>
        <v>0.1211</v>
      </c>
      <c r="AA79" s="64">
        <f t="shared" ca="1" si="120"/>
        <v>1.570000000000001</v>
      </c>
      <c r="AB79" s="270">
        <f t="shared" ca="1" si="121"/>
        <v>118.7991</v>
      </c>
      <c r="AC79" s="59">
        <f t="shared" ca="1" si="122"/>
        <v>9.9760860558452735E-2</v>
      </c>
      <c r="AD79" s="59">
        <f t="shared" ca="1" si="30"/>
        <v>9.9760860558452735E-2</v>
      </c>
      <c r="AE79" s="59">
        <f t="shared" ca="1" si="123"/>
        <v>0.11412642447886993</v>
      </c>
      <c r="AF79" s="59">
        <f t="shared" ca="1" si="124"/>
        <v>9.130113958309595E-2</v>
      </c>
      <c r="AG79" s="59">
        <f t="shared" ca="1" si="125"/>
        <v>7.6464704400842853E-2</v>
      </c>
      <c r="AH79" s="59">
        <f t="shared" ca="1" si="126"/>
        <v>1.7</v>
      </c>
      <c r="AI79" s="59">
        <f t="shared" ca="1" si="127"/>
        <v>1</v>
      </c>
      <c r="AJ79" s="59">
        <f t="shared" ca="1" si="25"/>
        <v>0.58823529411764708</v>
      </c>
      <c r="AK79" s="59">
        <f t="shared" ca="1" si="31"/>
        <v>0.58823529411764708</v>
      </c>
      <c r="AL79" s="59">
        <f t="shared" ca="1" si="111"/>
        <v>9.2128851540616258E-2</v>
      </c>
      <c r="AM79" s="59">
        <f t="shared" ca="1" si="112"/>
        <v>0.13218487394957984</v>
      </c>
      <c r="AN79" s="59">
        <f t="shared" ca="1" si="28"/>
        <v>0.11535333333333332</v>
      </c>
    </row>
    <row r="80" spans="1:40" ht="16.5">
      <c r="A80" s="97"/>
      <c r="B80" s="97"/>
      <c r="C80" s="97"/>
      <c r="D80" s="97"/>
      <c r="E80" s="97"/>
      <c r="F80" s="97"/>
      <c r="I80" s="339">
        <f t="shared" ca="1" si="110"/>
        <v>1.620000000000001</v>
      </c>
      <c r="J80" s="64">
        <f t="shared" ca="1" si="1"/>
        <v>1.9330000000000001</v>
      </c>
      <c r="K80" s="64">
        <f t="shared" ca="1" si="2"/>
        <v>0.32275999999999999</v>
      </c>
      <c r="L80" s="64">
        <f t="shared" ca="1" si="3"/>
        <v>0.16700000000000001</v>
      </c>
      <c r="M80" s="64">
        <f t="shared" ca="1" si="4"/>
        <v>0.16700000000000001</v>
      </c>
      <c r="N80" s="61">
        <f t="shared" ca="1" si="113"/>
        <v>0.11899999999999999</v>
      </c>
      <c r="O80" s="64">
        <f t="shared" ca="1" si="114"/>
        <v>1.9330000000000001</v>
      </c>
      <c r="P80" s="64">
        <f t="shared" ca="1" si="115"/>
        <v>0.32000000000000006</v>
      </c>
      <c r="Q80" s="64">
        <f t="shared" ca="1" si="8"/>
        <v>0.16550000000000001</v>
      </c>
      <c r="R80" s="64">
        <f t="shared" ca="1" si="9"/>
        <v>0.16550000000000001</v>
      </c>
      <c r="S80" s="61">
        <f t="shared" ca="1" si="116"/>
        <v>7.5999999999999998E-2</v>
      </c>
      <c r="T80" s="64">
        <f t="shared" ca="1" si="117"/>
        <v>2.4</v>
      </c>
      <c r="U80" s="64">
        <f t="shared" ca="1" si="118"/>
        <v>0.40686</v>
      </c>
      <c r="V80" s="64">
        <f t="shared" ca="1" si="13"/>
        <v>0.16950000000000001</v>
      </c>
      <c r="W80" s="61">
        <f t="shared" ca="1" si="14"/>
        <v>0.16950000000000001</v>
      </c>
      <c r="X80" s="61">
        <f t="shared" ca="1" si="119"/>
        <v>0.121</v>
      </c>
      <c r="Y80" s="89">
        <f t="shared" ca="1" si="16"/>
        <v>0.121</v>
      </c>
      <c r="Z80" s="338">
        <f t="shared" ca="1" si="29"/>
        <v>0.1211</v>
      </c>
      <c r="AA80" s="64">
        <f t="shared" ca="1" si="120"/>
        <v>1.620000000000001</v>
      </c>
      <c r="AB80" s="270">
        <f t="shared" ca="1" si="121"/>
        <v>118.7991</v>
      </c>
      <c r="AC80" s="59">
        <f t="shared" ca="1" si="122"/>
        <v>9.8209275164798243E-2</v>
      </c>
      <c r="AD80" s="59">
        <f t="shared" ca="1" si="30"/>
        <v>9.8209275164798243E-2</v>
      </c>
      <c r="AE80" s="59">
        <f t="shared" ca="1" si="123"/>
        <v>0.11235141078852919</v>
      </c>
      <c r="AF80" s="59">
        <f t="shared" ca="1" si="124"/>
        <v>8.9881128630823356E-2</v>
      </c>
      <c r="AG80" s="59">
        <f t="shared" ca="1" si="125"/>
        <v>7.5275445228314558E-2</v>
      </c>
      <c r="AH80" s="59">
        <f t="shared" ca="1" si="126"/>
        <v>1.7</v>
      </c>
      <c r="AI80" s="59">
        <f t="shared" ca="1" si="127"/>
        <v>1</v>
      </c>
      <c r="AJ80" s="59">
        <f t="shared" ca="1" si="25"/>
        <v>0.58823529411764708</v>
      </c>
      <c r="AK80" s="59">
        <f t="shared" ca="1" si="31"/>
        <v>0.58823529411764708</v>
      </c>
      <c r="AL80" s="59">
        <f t="shared" ca="1" si="111"/>
        <v>9.2128851540616258E-2</v>
      </c>
      <c r="AM80" s="59">
        <f t="shared" ca="1" si="112"/>
        <v>0.13218487394957984</v>
      </c>
      <c r="AN80" s="59">
        <f t="shared" ca="1" si="28"/>
        <v>0.11535333333333332</v>
      </c>
    </row>
    <row r="81" spans="8:40" ht="16.5">
      <c r="I81" s="339">
        <f t="shared" ca="1" si="110"/>
        <v>1.670000000000001</v>
      </c>
      <c r="J81" s="64">
        <f t="shared" ca="1" si="1"/>
        <v>1.9330000000000001</v>
      </c>
      <c r="K81" s="64">
        <f t="shared" ca="1" si="2"/>
        <v>0.32275999999999999</v>
      </c>
      <c r="L81" s="64">
        <f t="shared" ca="1" si="3"/>
        <v>0.16700000000000001</v>
      </c>
      <c r="M81" s="64">
        <f t="shared" ca="1" si="4"/>
        <v>0.16700000000000001</v>
      </c>
      <c r="N81" s="61">
        <f t="shared" ca="1" si="113"/>
        <v>0.11899999999999999</v>
      </c>
      <c r="O81" s="64">
        <f t="shared" ca="1" si="114"/>
        <v>1.9330000000000001</v>
      </c>
      <c r="P81" s="64">
        <f t="shared" ca="1" si="115"/>
        <v>0.32000000000000006</v>
      </c>
      <c r="Q81" s="64">
        <f t="shared" ca="1" si="8"/>
        <v>0.16550000000000001</v>
      </c>
      <c r="R81" s="64">
        <f t="shared" ca="1" si="9"/>
        <v>0.16550000000000001</v>
      </c>
      <c r="S81" s="61">
        <f t="shared" ca="1" si="116"/>
        <v>7.5999999999999998E-2</v>
      </c>
      <c r="T81" s="64">
        <f t="shared" ca="1" si="117"/>
        <v>2.4</v>
      </c>
      <c r="U81" s="64">
        <f t="shared" ca="1" si="118"/>
        <v>0.40686</v>
      </c>
      <c r="V81" s="64">
        <f t="shared" ca="1" si="13"/>
        <v>0.16950000000000001</v>
      </c>
      <c r="W81" s="61">
        <f t="shared" ca="1" si="14"/>
        <v>0.16950000000000001</v>
      </c>
      <c r="X81" s="61">
        <f t="shared" ca="1" si="119"/>
        <v>0.121</v>
      </c>
      <c r="Y81" s="89">
        <f t="shared" ca="1" si="16"/>
        <v>0.121</v>
      </c>
      <c r="Z81" s="338">
        <f t="shared" ca="1" si="29"/>
        <v>0.1211</v>
      </c>
      <c r="AA81" s="64">
        <f t="shared" ca="1" si="120"/>
        <v>1.670000000000001</v>
      </c>
      <c r="AB81" s="270">
        <f t="shared" ca="1" si="121"/>
        <v>118.7991</v>
      </c>
      <c r="AC81" s="59">
        <f t="shared" ca="1" si="122"/>
        <v>9.6727904066767081E-2</v>
      </c>
      <c r="AD81" s="59">
        <f t="shared" ca="1" si="30"/>
        <v>9.6727904066767081E-2</v>
      </c>
      <c r="AE81" s="59">
        <f t="shared" ca="1" si="123"/>
        <v>0.11065672225238155</v>
      </c>
      <c r="AF81" s="59">
        <f t="shared" ca="1" si="124"/>
        <v>8.8525377801905239E-2</v>
      </c>
      <c r="AG81" s="59">
        <f t="shared" ca="1" si="125"/>
        <v>7.4140003909095642E-2</v>
      </c>
      <c r="AH81" s="59">
        <f t="shared" ca="1" si="126"/>
        <v>1.7</v>
      </c>
      <c r="AI81" s="59">
        <f t="shared" ca="1" si="127"/>
        <v>1</v>
      </c>
      <c r="AJ81" s="59">
        <f t="shared" ca="1" si="25"/>
        <v>0.58823529411764708</v>
      </c>
      <c r="AK81" s="59">
        <f t="shared" ca="1" si="31"/>
        <v>0.58823529411764708</v>
      </c>
      <c r="AL81" s="59">
        <f t="shared" ca="1" si="111"/>
        <v>9.2128851540616258E-2</v>
      </c>
      <c r="AM81" s="59">
        <f t="shared" ca="1" si="112"/>
        <v>0.13218487394957984</v>
      </c>
      <c r="AN81" s="59">
        <f t="shared" ca="1" si="28"/>
        <v>0.11535333333333332</v>
      </c>
    </row>
    <row r="82" spans="8:40" ht="16.5">
      <c r="I82" s="339">
        <f t="shared" ca="1" si="110"/>
        <v>1.7200000000000011</v>
      </c>
      <c r="J82" s="64">
        <f t="shared" ca="1" si="1"/>
        <v>1.9330000000000001</v>
      </c>
      <c r="K82" s="64">
        <f t="shared" ca="1" si="2"/>
        <v>0.32275999999999999</v>
      </c>
      <c r="L82" s="64">
        <f t="shared" ca="1" si="3"/>
        <v>0.16700000000000001</v>
      </c>
      <c r="M82" s="64">
        <f t="shared" ca="1" si="4"/>
        <v>0.16700000000000001</v>
      </c>
      <c r="N82" s="61">
        <f t="shared" ca="1" si="113"/>
        <v>0.11899999999999999</v>
      </c>
      <c r="O82" s="64">
        <f t="shared" ca="1" si="114"/>
        <v>1.9330000000000001</v>
      </c>
      <c r="P82" s="64">
        <f t="shared" ca="1" si="115"/>
        <v>0.32000000000000006</v>
      </c>
      <c r="Q82" s="64">
        <f t="shared" ca="1" si="8"/>
        <v>0.16550000000000001</v>
      </c>
      <c r="R82" s="64">
        <f t="shared" ca="1" si="9"/>
        <v>0.16550000000000001</v>
      </c>
      <c r="S82" s="61">
        <f t="shared" ca="1" si="116"/>
        <v>7.5999999999999998E-2</v>
      </c>
      <c r="T82" s="64">
        <f t="shared" ca="1" si="117"/>
        <v>2.4</v>
      </c>
      <c r="U82" s="64">
        <f t="shared" ca="1" si="118"/>
        <v>0.40686</v>
      </c>
      <c r="V82" s="64">
        <f t="shared" ca="1" si="13"/>
        <v>0.16950000000000001</v>
      </c>
      <c r="W82" s="61">
        <f t="shared" ca="1" si="14"/>
        <v>0.16950000000000001</v>
      </c>
      <c r="X82" s="61">
        <f t="shared" ca="1" si="119"/>
        <v>0.121</v>
      </c>
      <c r="Y82" s="89">
        <f t="shared" ca="1" si="16"/>
        <v>0.121</v>
      </c>
      <c r="Z82" s="338">
        <f t="shared" ca="1" si="29"/>
        <v>0.1211</v>
      </c>
      <c r="AA82" s="64">
        <f t="shared" ca="1" si="120"/>
        <v>1.7200000000000011</v>
      </c>
      <c r="AB82" s="270">
        <f t="shared" ca="1" si="121"/>
        <v>118.7991</v>
      </c>
      <c r="AC82" s="59">
        <f t="shared" ca="1" si="122"/>
        <v>9.5311606457877882E-2</v>
      </c>
      <c r="AD82" s="59">
        <f t="shared" ca="1" si="30"/>
        <v>9.5311606457877882E-2</v>
      </c>
      <c r="AE82" s="59">
        <f t="shared" ca="1" si="123"/>
        <v>0.10903647778781229</v>
      </c>
      <c r="AF82" s="59">
        <f t="shared" ca="1" si="124"/>
        <v>8.7229182230249849E-2</v>
      </c>
      <c r="AG82" s="59">
        <f t="shared" ca="1" si="125"/>
        <v>7.3054440117834241E-2</v>
      </c>
      <c r="AH82" s="59">
        <f t="shared" ca="1" si="126"/>
        <v>1.7</v>
      </c>
      <c r="AI82" s="59">
        <f t="shared" ca="1" si="127"/>
        <v>1</v>
      </c>
      <c r="AJ82" s="59">
        <f t="shared" ca="1" si="25"/>
        <v>0.58823529411764708</v>
      </c>
      <c r="AK82" s="59">
        <f t="shared" ca="1" si="31"/>
        <v>0.58823529411764708</v>
      </c>
      <c r="AL82" s="59">
        <f t="shared" ca="1" si="111"/>
        <v>9.2128851540616258E-2</v>
      </c>
      <c r="AM82" s="59">
        <f t="shared" ca="1" si="112"/>
        <v>0.13218487394957984</v>
      </c>
      <c r="AN82" s="59">
        <f t="shared" ca="1" si="28"/>
        <v>0.11535333333333332</v>
      </c>
    </row>
    <row r="83" spans="8:40" ht="16.5">
      <c r="I83" s="339">
        <f t="shared" ca="1" si="110"/>
        <v>1.7700000000000011</v>
      </c>
      <c r="J83" s="64">
        <f t="shared" ca="1" si="1"/>
        <v>1.9330000000000001</v>
      </c>
      <c r="K83" s="64">
        <f t="shared" ca="1" si="2"/>
        <v>0.32275999999999999</v>
      </c>
      <c r="L83" s="64">
        <f t="shared" ca="1" si="3"/>
        <v>0.16700000000000001</v>
      </c>
      <c r="M83" s="64">
        <f t="shared" ca="1" si="4"/>
        <v>0.16700000000000001</v>
      </c>
      <c r="N83" s="61">
        <f t="shared" ca="1" si="113"/>
        <v>0.11899999999999999</v>
      </c>
      <c r="O83" s="64">
        <f t="shared" ca="1" si="114"/>
        <v>1.9330000000000001</v>
      </c>
      <c r="P83" s="64">
        <f t="shared" ca="1" si="115"/>
        <v>0.32000000000000006</v>
      </c>
      <c r="Q83" s="64">
        <f t="shared" ca="1" si="8"/>
        <v>0.16550000000000001</v>
      </c>
      <c r="R83" s="64">
        <f t="shared" ca="1" si="9"/>
        <v>0.16550000000000001</v>
      </c>
      <c r="S83" s="61">
        <f t="shared" ca="1" si="116"/>
        <v>7.5999999999999998E-2</v>
      </c>
      <c r="T83" s="64">
        <f t="shared" ca="1" si="117"/>
        <v>2.4</v>
      </c>
      <c r="U83" s="64">
        <f t="shared" ca="1" si="118"/>
        <v>0.40686</v>
      </c>
      <c r="V83" s="64">
        <f t="shared" ca="1" si="13"/>
        <v>0.16950000000000001</v>
      </c>
      <c r="W83" s="61">
        <f t="shared" ca="1" si="14"/>
        <v>0.16950000000000001</v>
      </c>
      <c r="X83" s="61">
        <f t="shared" ca="1" si="119"/>
        <v>0.121</v>
      </c>
      <c r="Y83" s="89">
        <f t="shared" ca="1" si="16"/>
        <v>0.121</v>
      </c>
      <c r="Z83" s="338">
        <f t="shared" ca="1" si="29"/>
        <v>0.1211</v>
      </c>
      <c r="AA83" s="64">
        <f t="shared" ca="1" si="120"/>
        <v>1.7700000000000011</v>
      </c>
      <c r="AB83" s="270">
        <f t="shared" ca="1" si="121"/>
        <v>118.7991</v>
      </c>
      <c r="AC83" s="59">
        <f t="shared" ca="1" si="122"/>
        <v>9.3955753500353581E-2</v>
      </c>
      <c r="AD83" s="59">
        <f t="shared" ca="1" si="30"/>
        <v>9.3955753500353581E-2</v>
      </c>
      <c r="AE83" s="59">
        <f t="shared" ca="1" si="123"/>
        <v>0.10748538200440449</v>
      </c>
      <c r="AF83" s="59">
        <f t="shared" ca="1" si="124"/>
        <v>8.5988305603523607E-2</v>
      </c>
      <c r="AG83" s="59">
        <f t="shared" ca="1" si="125"/>
        <v>7.2015205942951008E-2</v>
      </c>
      <c r="AH83" s="59">
        <f t="shared" ca="1" si="126"/>
        <v>1.7</v>
      </c>
      <c r="AI83" s="59">
        <f t="shared" ca="1" si="127"/>
        <v>1</v>
      </c>
      <c r="AJ83" s="59">
        <f t="shared" ca="1" si="25"/>
        <v>0.58823529411764708</v>
      </c>
      <c r="AK83" s="59">
        <f t="shared" ca="1" si="31"/>
        <v>0.58823529411764708</v>
      </c>
      <c r="AL83" s="59">
        <f t="shared" ca="1" si="111"/>
        <v>9.2128851540616258E-2</v>
      </c>
      <c r="AM83" s="59">
        <f t="shared" ca="1" si="112"/>
        <v>0.13218487394957984</v>
      </c>
      <c r="AN83" s="59">
        <f t="shared" ca="1" si="28"/>
        <v>0.11535333333333332</v>
      </c>
    </row>
    <row r="84" spans="8:40" ht="16.5">
      <c r="I84" s="339">
        <f t="shared" ca="1" si="110"/>
        <v>1.8200000000000012</v>
      </c>
      <c r="J84" s="64">
        <f t="shared" ca="1" si="1"/>
        <v>1.9330000000000001</v>
      </c>
      <c r="K84" s="64">
        <f t="shared" ca="1" si="2"/>
        <v>0.32275999999999999</v>
      </c>
      <c r="L84" s="64">
        <f t="shared" ca="1" si="3"/>
        <v>0.16700000000000001</v>
      </c>
      <c r="M84" s="64">
        <f t="shared" ca="1" si="4"/>
        <v>0.16700000000000001</v>
      </c>
      <c r="N84" s="61">
        <f t="shared" ca="1" si="113"/>
        <v>0.11899999999999999</v>
      </c>
      <c r="O84" s="64">
        <f t="shared" ca="1" si="114"/>
        <v>1.9330000000000001</v>
      </c>
      <c r="P84" s="64">
        <f t="shared" ca="1" si="115"/>
        <v>0.32000000000000006</v>
      </c>
      <c r="Q84" s="64">
        <f t="shared" ca="1" si="8"/>
        <v>0.16550000000000001</v>
      </c>
      <c r="R84" s="64">
        <f t="shared" ca="1" si="9"/>
        <v>0.16550000000000001</v>
      </c>
      <c r="S84" s="61">
        <f t="shared" ca="1" si="116"/>
        <v>7.5999999999999998E-2</v>
      </c>
      <c r="T84" s="64">
        <f t="shared" ca="1" si="117"/>
        <v>2.4</v>
      </c>
      <c r="U84" s="64">
        <f t="shared" ca="1" si="118"/>
        <v>0.40686</v>
      </c>
      <c r="V84" s="64">
        <f t="shared" ca="1" si="13"/>
        <v>0.16950000000000001</v>
      </c>
      <c r="W84" s="61">
        <f t="shared" ca="1" si="14"/>
        <v>0.16950000000000001</v>
      </c>
      <c r="X84" s="61">
        <f t="shared" ca="1" si="119"/>
        <v>0.121</v>
      </c>
      <c r="Y84" s="89">
        <f t="shared" ca="1" si="16"/>
        <v>0.121</v>
      </c>
      <c r="Z84" s="338">
        <f t="shared" ca="1" si="29"/>
        <v>0.1211</v>
      </c>
      <c r="AA84" s="64">
        <f t="shared" ca="1" si="120"/>
        <v>1.8200000000000012</v>
      </c>
      <c r="AB84" s="270">
        <f t="shared" ca="1" si="121"/>
        <v>118.7991</v>
      </c>
      <c r="AC84" s="59">
        <f t="shared" ca="1" si="122"/>
        <v>9.2656164582637618E-2</v>
      </c>
      <c r="AD84" s="59">
        <f t="shared" ca="1" si="30"/>
        <v>9.2656164582637618E-2</v>
      </c>
      <c r="AE84" s="59">
        <f t="shared" ca="1" si="123"/>
        <v>0.10599865228253744</v>
      </c>
      <c r="AF84" s="59">
        <f t="shared" ca="1" si="124"/>
        <v>8.4798921826029952E-2</v>
      </c>
      <c r="AG84" s="59">
        <f t="shared" ca="1" si="125"/>
        <v>7.101909702930008E-2</v>
      </c>
      <c r="AH84" s="59">
        <f t="shared" ca="1" si="126"/>
        <v>1.7</v>
      </c>
      <c r="AI84" s="59">
        <f t="shared" ca="1" si="127"/>
        <v>1</v>
      </c>
      <c r="AJ84" s="59">
        <f t="shared" ca="1" si="25"/>
        <v>0.58823529411764708</v>
      </c>
      <c r="AK84" s="59">
        <f t="shared" ca="1" si="31"/>
        <v>0.58823529411764708</v>
      </c>
      <c r="AL84" s="59">
        <f t="shared" ca="1" si="111"/>
        <v>9.2128851540616258E-2</v>
      </c>
      <c r="AM84" s="59">
        <f t="shared" ca="1" si="112"/>
        <v>0.13218487394957984</v>
      </c>
      <c r="AN84" s="59">
        <f t="shared" ca="1" si="28"/>
        <v>0.11535333333333332</v>
      </c>
    </row>
    <row r="85" spans="8:40" ht="16.5">
      <c r="I85" s="339">
        <f t="shared" ca="1" si="110"/>
        <v>1.8700000000000012</v>
      </c>
      <c r="J85" s="64">
        <f t="shared" ca="1" si="1"/>
        <v>1.9330000000000001</v>
      </c>
      <c r="K85" s="64">
        <f t="shared" ca="1" si="2"/>
        <v>0.32275999999999999</v>
      </c>
      <c r="L85" s="64">
        <f t="shared" ca="1" si="3"/>
        <v>0.16700000000000001</v>
      </c>
      <c r="M85" s="64">
        <f t="shared" ca="1" si="4"/>
        <v>0.16700000000000001</v>
      </c>
      <c r="N85" s="61">
        <f t="shared" ca="1" si="113"/>
        <v>0.11899999999999999</v>
      </c>
      <c r="O85" s="64">
        <f t="shared" ca="1" si="114"/>
        <v>1.9330000000000001</v>
      </c>
      <c r="P85" s="64">
        <f t="shared" ca="1" si="115"/>
        <v>0.32000000000000006</v>
      </c>
      <c r="Q85" s="64">
        <f t="shared" ca="1" si="8"/>
        <v>0.16550000000000001</v>
      </c>
      <c r="R85" s="64">
        <f t="shared" ca="1" si="9"/>
        <v>0.16550000000000001</v>
      </c>
      <c r="S85" s="61">
        <f t="shared" ca="1" si="116"/>
        <v>7.5999999999999998E-2</v>
      </c>
      <c r="T85" s="64">
        <f t="shared" ca="1" si="117"/>
        <v>2.4</v>
      </c>
      <c r="U85" s="64">
        <f t="shared" ca="1" si="118"/>
        <v>0.40686</v>
      </c>
      <c r="V85" s="64">
        <f t="shared" ca="1" si="13"/>
        <v>0.16950000000000001</v>
      </c>
      <c r="W85" s="61">
        <f t="shared" ca="1" si="14"/>
        <v>0.16950000000000001</v>
      </c>
      <c r="X85" s="61">
        <f t="shared" ca="1" si="119"/>
        <v>0.121</v>
      </c>
      <c r="Y85" s="89">
        <f t="shared" ca="1" si="16"/>
        <v>0.121</v>
      </c>
      <c r="Z85" s="338">
        <f t="shared" ca="1" si="29"/>
        <v>0.1211</v>
      </c>
      <c r="AA85" s="64">
        <f t="shared" ca="1" si="120"/>
        <v>1.8700000000000012</v>
      </c>
      <c r="AB85" s="270">
        <f t="shared" ca="1" si="121"/>
        <v>118.7991</v>
      </c>
      <c r="AC85" s="59">
        <f t="shared" ca="1" si="122"/>
        <v>9.1409053015891306E-2</v>
      </c>
      <c r="AD85" s="59">
        <f t="shared" ca="1" si="30"/>
        <v>9.1409053015891306E-2</v>
      </c>
      <c r="AE85" s="59">
        <f t="shared" ca="1" si="123"/>
        <v>0.10457195665017967</v>
      </c>
      <c r="AF85" s="59">
        <f t="shared" ca="1" si="124"/>
        <v>8.3657565320143734E-2</v>
      </c>
      <c r="AG85" s="59">
        <f t="shared" ca="1" si="125"/>
        <v>7.0063210955620361E-2</v>
      </c>
      <c r="AH85" s="59">
        <f t="shared" ca="1" si="126"/>
        <v>1.7</v>
      </c>
      <c r="AI85" s="59">
        <f t="shared" ca="1" si="127"/>
        <v>1</v>
      </c>
      <c r="AJ85" s="59">
        <f t="shared" ca="1" si="25"/>
        <v>0.58823529411764708</v>
      </c>
      <c r="AK85" s="59">
        <f t="shared" ca="1" si="31"/>
        <v>0.58823529411764708</v>
      </c>
      <c r="AL85" s="59">
        <f t="shared" ca="1" si="111"/>
        <v>9.2128851540616258E-2</v>
      </c>
      <c r="AM85" s="59">
        <f t="shared" ca="1" si="112"/>
        <v>0.13218487394957984</v>
      </c>
      <c r="AN85" s="59">
        <f t="shared" ca="1" si="28"/>
        <v>0.11535333333333332</v>
      </c>
    </row>
    <row r="86" spans="8:40" ht="16.5">
      <c r="I86" s="339">
        <f t="shared" ca="1" si="110"/>
        <v>1.9200000000000013</v>
      </c>
      <c r="J86" s="64">
        <f t="shared" ca="1" si="1"/>
        <v>1.9330000000000001</v>
      </c>
      <c r="K86" s="64">
        <f t="shared" ca="1" si="2"/>
        <v>0.32275999999999999</v>
      </c>
      <c r="L86" s="64">
        <f t="shared" ca="1" si="3"/>
        <v>0.16700000000000001</v>
      </c>
      <c r="M86" s="64">
        <f t="shared" ca="1" si="4"/>
        <v>0.16700000000000001</v>
      </c>
      <c r="N86" s="61">
        <f t="shared" ca="1" si="113"/>
        <v>0.11899999999999999</v>
      </c>
      <c r="O86" s="64">
        <f t="shared" ca="1" si="114"/>
        <v>1.9330000000000001</v>
      </c>
      <c r="P86" s="64">
        <f t="shared" ca="1" si="115"/>
        <v>0.32000000000000006</v>
      </c>
      <c r="Q86" s="64">
        <f t="shared" ca="1" si="8"/>
        <v>0.16550000000000001</v>
      </c>
      <c r="R86" s="64">
        <f t="shared" ca="1" si="9"/>
        <v>0.16550000000000001</v>
      </c>
      <c r="S86" s="61">
        <f t="shared" ca="1" si="116"/>
        <v>7.5999999999999998E-2</v>
      </c>
      <c r="T86" s="64">
        <f t="shared" ca="1" si="117"/>
        <v>2.4</v>
      </c>
      <c r="U86" s="64">
        <f t="shared" ca="1" si="118"/>
        <v>0.40686</v>
      </c>
      <c r="V86" s="64">
        <f t="shared" ca="1" si="13"/>
        <v>0.16950000000000001</v>
      </c>
      <c r="W86" s="61">
        <f t="shared" ca="1" si="14"/>
        <v>0.16950000000000001</v>
      </c>
      <c r="X86" s="61">
        <f t="shared" ca="1" si="119"/>
        <v>0.121</v>
      </c>
      <c r="Y86" s="89">
        <f t="shared" ca="1" si="16"/>
        <v>0.121</v>
      </c>
      <c r="Z86" s="338">
        <f t="shared" ca="1" si="29"/>
        <v>0.1211</v>
      </c>
      <c r="AA86" s="64">
        <f t="shared" ca="1" si="120"/>
        <v>1.9200000000000013</v>
      </c>
      <c r="AB86" s="270">
        <f t="shared" ca="1" si="121"/>
        <v>118.7991</v>
      </c>
      <c r="AC86" s="59">
        <f t="shared" ca="1" si="122"/>
        <v>9.0210979560878993E-2</v>
      </c>
      <c r="AD86" s="59">
        <f t="shared" ca="1" si="30"/>
        <v>9.0210979560878993E-2</v>
      </c>
      <c r="AE86" s="59">
        <f t="shared" ca="1" si="123"/>
        <v>0.10320136061764558</v>
      </c>
      <c r="AF86" s="59">
        <f t="shared" ca="1" si="124"/>
        <v>8.2561088494116475E-2</v>
      </c>
      <c r="AG86" s="59">
        <f t="shared" ca="1" si="125"/>
        <v>6.9144911613822538E-2</v>
      </c>
      <c r="AH86" s="59">
        <f t="shared" ca="1" si="126"/>
        <v>1.7</v>
      </c>
      <c r="AI86" s="59">
        <f t="shared" ca="1" si="127"/>
        <v>1</v>
      </c>
      <c r="AJ86" s="59">
        <f t="shared" ca="1" si="25"/>
        <v>0.58823529411764708</v>
      </c>
      <c r="AK86" s="59">
        <f t="shared" ca="1" si="31"/>
        <v>0.58823529411764708</v>
      </c>
      <c r="AL86" s="59">
        <f t="shared" ca="1" si="111"/>
        <v>9.2128851540616258E-2</v>
      </c>
      <c r="AM86" s="59">
        <f t="shared" ca="1" si="112"/>
        <v>0.13218487394957984</v>
      </c>
      <c r="AN86" s="59">
        <f t="shared" ca="1" si="28"/>
        <v>0.11535333333333332</v>
      </c>
    </row>
    <row r="87" spans="8:40" ht="16.5">
      <c r="I87" s="339">
        <f t="shared" ca="1" si="110"/>
        <v>1.9700000000000013</v>
      </c>
      <c r="J87" s="64">
        <f t="shared" ca="1" si="1"/>
        <v>1.9330000000000001</v>
      </c>
      <c r="K87" s="64">
        <f t="shared" ca="1" si="2"/>
        <v>0.32275999999999999</v>
      </c>
      <c r="L87" s="64">
        <f t="shared" ca="1" si="3"/>
        <v>0.16700000000000001</v>
      </c>
      <c r="M87" s="64">
        <f t="shared" ca="1" si="4"/>
        <v>0.16700000000000001</v>
      </c>
      <c r="N87" s="61">
        <f t="shared" ca="1" si="113"/>
        <v>0.11899999999999999</v>
      </c>
      <c r="O87" s="64">
        <f t="shared" ca="1" si="114"/>
        <v>1.9330000000000001</v>
      </c>
      <c r="P87" s="64">
        <f t="shared" ca="1" si="115"/>
        <v>0.32000000000000006</v>
      </c>
      <c r="Q87" s="64">
        <f t="shared" ca="1" si="8"/>
        <v>0.16550000000000001</v>
      </c>
      <c r="R87" s="64">
        <f t="shared" ca="1" si="9"/>
        <v>0.16550000000000001</v>
      </c>
      <c r="S87" s="61">
        <f t="shared" ca="1" si="116"/>
        <v>7.5999999999999998E-2</v>
      </c>
      <c r="T87" s="64">
        <f t="shared" ca="1" si="117"/>
        <v>2.4</v>
      </c>
      <c r="U87" s="64">
        <f t="shared" ca="1" si="118"/>
        <v>0.40686</v>
      </c>
      <c r="V87" s="64">
        <f t="shared" ca="1" si="13"/>
        <v>0.16950000000000001</v>
      </c>
      <c r="W87" s="61">
        <f t="shared" ca="1" si="14"/>
        <v>0.16950000000000001</v>
      </c>
      <c r="X87" s="61">
        <f t="shared" ca="1" si="119"/>
        <v>0.121</v>
      </c>
      <c r="Y87" s="89">
        <f t="shared" ca="1" si="16"/>
        <v>0.121</v>
      </c>
      <c r="Z87" s="338">
        <f t="shared" ca="1" si="29"/>
        <v>0.1211</v>
      </c>
      <c r="AA87" s="64">
        <f t="shared" ca="1" si="120"/>
        <v>1.9700000000000013</v>
      </c>
      <c r="AB87" s="270">
        <f t="shared" ca="1" si="121"/>
        <v>118.7991</v>
      </c>
      <c r="AC87" s="59">
        <f t="shared" ca="1" si="122"/>
        <v>8.9058812484887034E-2</v>
      </c>
      <c r="AD87" s="59">
        <f t="shared" ca="1" si="30"/>
        <v>8.9058812484887034E-2</v>
      </c>
      <c r="AE87" s="59">
        <f t="shared" ca="1" si="123"/>
        <v>0.10188328148271078</v>
      </c>
      <c r="AF87" s="59">
        <f t="shared" ca="1" si="124"/>
        <v>8.1506625186168621E-2</v>
      </c>
      <c r="AG87" s="59">
        <f t="shared" ca="1" si="125"/>
        <v>6.8261798593416217E-2</v>
      </c>
      <c r="AH87" s="59">
        <f t="shared" ca="1" si="126"/>
        <v>1.7</v>
      </c>
      <c r="AI87" s="59">
        <f t="shared" ca="1" si="127"/>
        <v>1</v>
      </c>
      <c r="AJ87" s="59">
        <f t="shared" ca="1" si="25"/>
        <v>0.58823529411764708</v>
      </c>
      <c r="AK87" s="59">
        <f t="shared" ca="1" si="31"/>
        <v>0.58823529411764708</v>
      </c>
      <c r="AL87" s="59">
        <f t="shared" ca="1" si="111"/>
        <v>9.2128851540616258E-2</v>
      </c>
      <c r="AM87" s="59">
        <f t="shared" ca="1" si="112"/>
        <v>0.13218487394957984</v>
      </c>
      <c r="AN87" s="59">
        <f t="shared" ca="1" si="28"/>
        <v>0.11535333333333332</v>
      </c>
    </row>
    <row r="88" spans="8:40" ht="16.5">
      <c r="I88" s="339">
        <f t="shared" ca="1" si="110"/>
        <v>2.0200000000000014</v>
      </c>
      <c r="J88" s="64">
        <f t="shared" ref="J88:J90" ca="1" si="128">ROUND(IF($I88&gt;=D$17,D$12,IF($I88&gt;=F$17,D$13+(D$12-D$13)*($I88-0.6*D$17)/0.4/D$17,IF($I88&lt;E$17,D$13+(D$13-1)*($I88-E$17)/E$17,D$13))),3)</f>
        <v>1.9330000000000001</v>
      </c>
      <c r="K88" s="64">
        <f t="shared" ref="K88:K90" ca="1" si="129">IF($I88&lt;E$17,ROUND(B$17*(0.4+3*$I88/D$17),3),IF($I88&lt;=D$17,B$17,IF($I88&lt;=2.5*D$17,C$17/$I88,0.4*B$17)))</f>
        <v>0.32275999999999999</v>
      </c>
      <c r="L88" s="64">
        <f t="shared" ref="L88:L90" ca="1" si="130">ROUND(K88/J88,4)</f>
        <v>0.16700000000000001</v>
      </c>
      <c r="M88" s="64">
        <f t="shared" ref="M88:M90" ca="1" si="131">IF(L88&lt;=0.3,L88,IF(L88&lt;0.8,ROUND(0.52*L88+0.144,3),0.7*L88))</f>
        <v>0.16700000000000001</v>
      </c>
      <c r="N88" s="61">
        <f t="shared" ca="1" si="113"/>
        <v>0.11899999999999999</v>
      </c>
      <c r="O88" s="64">
        <f t="shared" ca="1" si="114"/>
        <v>1.9330000000000001</v>
      </c>
      <c r="P88" s="64">
        <f t="shared" ca="1" si="115"/>
        <v>0.32000000000000006</v>
      </c>
      <c r="Q88" s="64">
        <f t="shared" ref="Q88:Q90" ca="1" si="132">ROUND(P88/O88,4)</f>
        <v>0.16550000000000001</v>
      </c>
      <c r="R88" s="64">
        <f t="shared" ref="R88:R90" ca="1" si="133">IF(Q88&lt;=0.3,Q88,IF(Q88&lt;0.8,ROUND(0.52*Q88+0.144,3),0.7*Q88))</f>
        <v>0.16550000000000001</v>
      </c>
      <c r="S88" s="61">
        <f t="shared" ca="1" si="116"/>
        <v>7.5999999999999998E-2</v>
      </c>
      <c r="T88" s="64">
        <f t="shared" ca="1" si="117"/>
        <v>2.4</v>
      </c>
      <c r="U88" s="64">
        <f t="shared" ca="1" si="118"/>
        <v>0.40686</v>
      </c>
      <c r="V88" s="64">
        <f t="shared" ref="V88:V90" ca="1" si="134">ROUND(U88/T88,4)</f>
        <v>0.16950000000000001</v>
      </c>
      <c r="W88" s="61">
        <f t="shared" ref="W88:W90" ca="1" si="135">IF(V88&lt;=0.3,V88,IF(V88&lt;0.8,ROUND(0.52*V88+0.144,3),0.7*V88))</f>
        <v>0.16950000000000001</v>
      </c>
      <c r="X88" s="61">
        <f t="shared" ca="1" si="119"/>
        <v>0.121</v>
      </c>
      <c r="Y88" s="89">
        <f t="shared" ref="Y88:Y90" ca="1" si="136">MAX(X88,S88,N88)</f>
        <v>0.121</v>
      </c>
      <c r="Z88" s="338">
        <f t="shared" ca="1" si="29"/>
        <v>0.1211</v>
      </c>
      <c r="AA88" s="64">
        <f t="shared" ca="1" si="120"/>
        <v>2.0200000000000014</v>
      </c>
      <c r="AB88" s="270">
        <f t="shared" ca="1" si="121"/>
        <v>118.7991</v>
      </c>
      <c r="AC88" s="59">
        <f t="shared" ca="1" si="122"/>
        <v>8.794969309128646E-2</v>
      </c>
      <c r="AD88" s="59">
        <f t="shared" ref="AD88:AD90" ca="1" si="137">IF(AC88&gt;0.15,0.15,IF(AC88&lt;0.0625,0.0625,AC88))</f>
        <v>8.794969309128646E-2</v>
      </c>
      <c r="AE88" s="59">
        <f t="shared" ca="1" si="123"/>
        <v>0.1006144488964317</v>
      </c>
      <c r="AF88" s="59">
        <f t="shared" ca="1" si="124"/>
        <v>8.0491559117145381E-2</v>
      </c>
      <c r="AG88" s="59">
        <f t="shared" ca="1" si="125"/>
        <v>6.7411680760609244E-2</v>
      </c>
      <c r="AH88" s="59">
        <f t="shared" ca="1" si="126"/>
        <v>1.7</v>
      </c>
      <c r="AI88" s="59">
        <f t="shared" ca="1" si="127"/>
        <v>1</v>
      </c>
      <c r="AJ88" s="59">
        <f t="shared" ref="AJ88:AJ90" ca="1" si="138">AI88/AH88</f>
        <v>0.58823529411764708</v>
      </c>
      <c r="AK88" s="59">
        <f t="shared" ref="AK88:AK90" ca="1" si="139">IF(AJ88&gt;1,1,AJ88)</f>
        <v>0.58823529411764708</v>
      </c>
      <c r="AL88" s="59">
        <f t="shared" ref="AL88:AL90" ca="1" si="140">$U$5*$U$11*AK88/1.4/$U$6*$AG$5</f>
        <v>9.2128851540616258E-2</v>
      </c>
      <c r="AM88" s="59">
        <f t="shared" ref="AM88:AM90" ca="1" si="141">$W$5*$W$11*AK88/1.4/$W$6*$AG$5</f>
        <v>0.13218487394957984</v>
      </c>
      <c r="AN88" s="59">
        <f t="shared" ref="AN88:AN90" ca="1" si="142">Y88/1.5*$AG$5</f>
        <v>0.11535333333333332</v>
      </c>
    </row>
    <row r="89" spans="8:40" ht="16.5">
      <c r="I89" s="339">
        <f t="shared" ca="1" si="110"/>
        <v>2.0700000000000012</v>
      </c>
      <c r="J89" s="64">
        <f t="shared" ca="1" si="128"/>
        <v>1.9330000000000001</v>
      </c>
      <c r="K89" s="64">
        <f t="shared" ca="1" si="129"/>
        <v>0.32275999999999999</v>
      </c>
      <c r="L89" s="64">
        <f t="shared" ca="1" si="130"/>
        <v>0.16700000000000001</v>
      </c>
      <c r="M89" s="64">
        <f t="shared" ca="1" si="131"/>
        <v>0.16700000000000001</v>
      </c>
      <c r="N89" s="61">
        <f t="shared" ca="1" si="113"/>
        <v>0.11899999999999999</v>
      </c>
      <c r="O89" s="64">
        <f t="shared" ca="1" si="114"/>
        <v>1.9330000000000001</v>
      </c>
      <c r="P89" s="64">
        <f t="shared" ca="1" si="115"/>
        <v>0.32000000000000006</v>
      </c>
      <c r="Q89" s="64">
        <f t="shared" ca="1" si="132"/>
        <v>0.16550000000000001</v>
      </c>
      <c r="R89" s="64">
        <f t="shared" ca="1" si="133"/>
        <v>0.16550000000000001</v>
      </c>
      <c r="S89" s="61">
        <f t="shared" ca="1" si="116"/>
        <v>7.5999999999999998E-2</v>
      </c>
      <c r="T89" s="64">
        <f t="shared" ca="1" si="117"/>
        <v>2.4</v>
      </c>
      <c r="U89" s="64">
        <f t="shared" ca="1" si="118"/>
        <v>0.40686</v>
      </c>
      <c r="V89" s="64">
        <f t="shared" ca="1" si="134"/>
        <v>0.16950000000000001</v>
      </c>
      <c r="W89" s="61">
        <f t="shared" ca="1" si="135"/>
        <v>0.16950000000000001</v>
      </c>
      <c r="X89" s="61">
        <f t="shared" ca="1" si="119"/>
        <v>0.121</v>
      </c>
      <c r="Y89" s="89">
        <f t="shared" ca="1" si="136"/>
        <v>0.121</v>
      </c>
      <c r="Z89" s="338">
        <f t="shared" ca="1" si="29"/>
        <v>0.1211</v>
      </c>
      <c r="AA89" s="64">
        <f t="shared" ca="1" si="120"/>
        <v>2.0700000000000012</v>
      </c>
      <c r="AB89" s="270">
        <f t="shared" ca="1" si="121"/>
        <v>118.7991</v>
      </c>
      <c r="AC89" s="59">
        <f t="shared" ca="1" si="122"/>
        <v>8.688100585711446E-2</v>
      </c>
      <c r="AD89" s="59">
        <f t="shared" ca="1" si="137"/>
        <v>8.688100585711446E-2</v>
      </c>
      <c r="AE89" s="59">
        <f t="shared" ca="1" si="123"/>
        <v>9.9391870700538953E-2</v>
      </c>
      <c r="AF89" s="59">
        <f t="shared" ca="1" si="124"/>
        <v>7.9513496560431177E-2</v>
      </c>
      <c r="AG89" s="59">
        <f t="shared" ca="1" si="125"/>
        <v>6.6592553369361082E-2</v>
      </c>
      <c r="AH89" s="59">
        <f t="shared" ca="1" si="126"/>
        <v>1.7</v>
      </c>
      <c r="AI89" s="59">
        <f t="shared" ca="1" si="127"/>
        <v>1</v>
      </c>
      <c r="AJ89" s="59">
        <f t="shared" ca="1" si="138"/>
        <v>0.58823529411764708</v>
      </c>
      <c r="AK89" s="59">
        <f t="shared" ca="1" si="139"/>
        <v>0.58823529411764708</v>
      </c>
      <c r="AL89" s="59">
        <f t="shared" ca="1" si="140"/>
        <v>9.2128851540616258E-2</v>
      </c>
      <c r="AM89" s="59">
        <f t="shared" ca="1" si="141"/>
        <v>0.13218487394957984</v>
      </c>
      <c r="AN89" s="59">
        <f t="shared" ca="1" si="142"/>
        <v>0.11535333333333332</v>
      </c>
    </row>
    <row r="90" spans="8:40" ht="16.5">
      <c r="I90" s="339">
        <f t="shared" ca="1" si="110"/>
        <v>2.120000000000001</v>
      </c>
      <c r="J90" s="64">
        <f t="shared" ca="1" si="128"/>
        <v>1.9330000000000001</v>
      </c>
      <c r="K90" s="64">
        <f t="shared" ca="1" si="129"/>
        <v>0.32275999999999999</v>
      </c>
      <c r="L90" s="64">
        <f t="shared" ca="1" si="130"/>
        <v>0.16700000000000001</v>
      </c>
      <c r="M90" s="64">
        <f t="shared" ca="1" si="131"/>
        <v>0.16700000000000001</v>
      </c>
      <c r="N90" s="61">
        <f t="shared" ca="1" si="113"/>
        <v>0.11899999999999999</v>
      </c>
      <c r="O90" s="64">
        <f t="shared" ca="1" si="114"/>
        <v>1.9330000000000001</v>
      </c>
      <c r="P90" s="64">
        <f t="shared" ca="1" si="115"/>
        <v>0.32000000000000006</v>
      </c>
      <c r="Q90" s="64">
        <f t="shared" ca="1" si="132"/>
        <v>0.16550000000000001</v>
      </c>
      <c r="R90" s="64">
        <f t="shared" ca="1" si="133"/>
        <v>0.16550000000000001</v>
      </c>
      <c r="S90" s="61">
        <f t="shared" ca="1" si="116"/>
        <v>7.5999999999999998E-2</v>
      </c>
      <c r="T90" s="64">
        <f t="shared" ca="1" si="117"/>
        <v>2.4</v>
      </c>
      <c r="U90" s="64">
        <f t="shared" ca="1" si="118"/>
        <v>0.40686</v>
      </c>
      <c r="V90" s="64">
        <f t="shared" ca="1" si="134"/>
        <v>0.16950000000000001</v>
      </c>
      <c r="W90" s="61">
        <f t="shared" ca="1" si="135"/>
        <v>0.16950000000000001</v>
      </c>
      <c r="X90" s="61">
        <f t="shared" ca="1" si="119"/>
        <v>0.121</v>
      </c>
      <c r="Y90" s="89">
        <f t="shared" ca="1" si="136"/>
        <v>0.121</v>
      </c>
      <c r="Z90" s="338">
        <f t="shared" ca="1" si="29"/>
        <v>0.1211</v>
      </c>
      <c r="AA90" s="64">
        <f t="shared" ca="1" si="120"/>
        <v>2.120000000000001</v>
      </c>
      <c r="AB90" s="270">
        <f t="shared" ca="1" si="121"/>
        <v>118.7991</v>
      </c>
      <c r="AC90" s="59">
        <f t="shared" ca="1" si="122"/>
        <v>8.5850352467930616E-2</v>
      </c>
      <c r="AD90" s="59">
        <f t="shared" ca="1" si="137"/>
        <v>8.5850352467930616E-2</v>
      </c>
      <c r="AE90" s="59">
        <f t="shared" ca="1" si="123"/>
        <v>9.821280322331262E-2</v>
      </c>
      <c r="AF90" s="59">
        <f t="shared" ca="1" si="124"/>
        <v>7.8570242578650112E-2</v>
      </c>
      <c r="AG90" s="59">
        <f t="shared" ca="1" si="125"/>
        <v>6.5802578159619457E-2</v>
      </c>
      <c r="AH90" s="59">
        <f t="shared" ca="1" si="126"/>
        <v>1.7</v>
      </c>
      <c r="AI90" s="59">
        <f t="shared" ca="1" si="127"/>
        <v>1</v>
      </c>
      <c r="AJ90" s="59">
        <f t="shared" ca="1" si="138"/>
        <v>0.58823529411764708</v>
      </c>
      <c r="AK90" s="59">
        <f t="shared" ca="1" si="139"/>
        <v>0.58823529411764708</v>
      </c>
      <c r="AL90" s="59">
        <f t="shared" ca="1" si="140"/>
        <v>9.2128851540616258E-2</v>
      </c>
      <c r="AM90" s="59">
        <f t="shared" ca="1" si="141"/>
        <v>0.13218487394957984</v>
      </c>
      <c r="AN90" s="59">
        <f t="shared" ca="1" si="142"/>
        <v>0.11535333333333332</v>
      </c>
    </row>
    <row r="91" spans="8:40" ht="16.5">
      <c r="I91" s="339">
        <v>2.2999999999999998</v>
      </c>
      <c r="J91" s="64">
        <f ca="1">ROUND(IF($I91&gt;=D$17,D$12,IF($I91&gt;=F$17,D$13+(D$12-D$13)*($I91-0.6*D$17)/0.4/D$17,IF($I91&lt;E$17,D$13+(D$13-1)*($I91-E$17)/E$17,D$13))),3)</f>
        <v>1.9330000000000001</v>
      </c>
      <c r="K91" s="64">
        <f ca="1">IF($I91&lt;E$17,ROUND(B$17*(0.4+3*$I91/D$17),3),IF($I91&lt;=D$17,B$17,IF($I91&lt;=2.5*D$17,C$17/$I91,0.4*B$17)))</f>
        <v>0.32275999999999999</v>
      </c>
      <c r="L91" s="64">
        <f t="shared" ca="1" si="3"/>
        <v>0.16700000000000001</v>
      </c>
      <c r="M91" s="64">
        <f t="shared" ca="1" si="4"/>
        <v>0.16700000000000001</v>
      </c>
      <c r="N91" s="61">
        <f t="shared" ca="1" si="113"/>
        <v>0.11899999999999999</v>
      </c>
      <c r="O91" s="64">
        <f t="shared" ca="1" si="114"/>
        <v>1.9330000000000001</v>
      </c>
      <c r="P91" s="64">
        <f t="shared" ca="1" si="115"/>
        <v>0.32000000000000006</v>
      </c>
      <c r="Q91" s="64">
        <f t="shared" ca="1" si="8"/>
        <v>0.16550000000000001</v>
      </c>
      <c r="R91" s="64">
        <f t="shared" ca="1" si="9"/>
        <v>0.16550000000000001</v>
      </c>
      <c r="S91" s="61">
        <f t="shared" ca="1" si="116"/>
        <v>7.5999999999999998E-2</v>
      </c>
      <c r="T91" s="64">
        <f t="shared" ca="1" si="117"/>
        <v>2.4</v>
      </c>
      <c r="U91" s="64">
        <f t="shared" ca="1" si="118"/>
        <v>0.40686</v>
      </c>
      <c r="V91" s="64">
        <f t="shared" ca="1" si="13"/>
        <v>0.16950000000000001</v>
      </c>
      <c r="W91" s="61">
        <f t="shared" ca="1" si="14"/>
        <v>0.16950000000000001</v>
      </c>
      <c r="X91" s="61">
        <f t="shared" ca="1" si="119"/>
        <v>0.121</v>
      </c>
      <c r="Y91" s="89">
        <f t="shared" ca="1" si="16"/>
        <v>0.121</v>
      </c>
      <c r="Z91" s="338">
        <f t="shared" ca="1" si="29"/>
        <v>0.1211</v>
      </c>
      <c r="AA91" s="64">
        <f t="shared" si="120"/>
        <v>2.2999999999999998</v>
      </c>
      <c r="AB91" s="270">
        <f t="shared" ca="1" si="121"/>
        <v>118.7991</v>
      </c>
      <c r="AC91" s="59">
        <f t="shared" si="122"/>
        <v>8.2422559174473387E-2</v>
      </c>
      <c r="AD91" s="59">
        <f t="shared" si="30"/>
        <v>8.2422559174473387E-2</v>
      </c>
      <c r="AE91" s="59">
        <f t="shared" si="123"/>
        <v>9.4291407695597559E-2</v>
      </c>
      <c r="AF91" s="59">
        <f t="shared" si="124"/>
        <v>7.5433126156478056E-2</v>
      </c>
      <c r="AG91" s="59">
        <f t="shared" si="125"/>
        <v>6.3175243156050359E-2</v>
      </c>
      <c r="AH91" s="59">
        <f t="shared" si="126"/>
        <v>1.7</v>
      </c>
      <c r="AI91" s="59">
        <f t="shared" si="127"/>
        <v>1</v>
      </c>
      <c r="AJ91" s="59">
        <f t="shared" si="25"/>
        <v>0.58823529411764708</v>
      </c>
      <c r="AK91" s="59">
        <f t="shared" si="31"/>
        <v>0.58823529411764708</v>
      </c>
      <c r="AL91" s="59">
        <f t="shared" si="111"/>
        <v>9.2128851540616258E-2</v>
      </c>
      <c r="AM91" s="59">
        <f t="shared" si="112"/>
        <v>0.13218487394957984</v>
      </c>
      <c r="AN91" s="59">
        <f t="shared" ca="1" si="28"/>
        <v>0.11535333333333332</v>
      </c>
    </row>
    <row r="92" spans="8:40" ht="16.5">
      <c r="I92" s="339">
        <v>2.35</v>
      </c>
      <c r="J92" s="64">
        <f ca="1">ROUND(IF($I92&gt;=D$17,D$12,IF($I92&gt;=F$17,D$13+(D$12-D$13)*($I92-0.6*D$17)/0.4/D$17,IF($I92&lt;E$17,D$13+(D$13-1)*($I92-E$17)/E$17,D$13))),3)</f>
        <v>1.9330000000000001</v>
      </c>
      <c r="K92" s="64">
        <f ca="1">IF($I92&lt;E$17,ROUND(B$17*(0.4+3*$I92/D$17),3),IF($I92&lt;=D$17,B$17,IF($I92&lt;=2.5*D$17,C$17/$I92,0.4*B$17)))</f>
        <v>0.32275999999999999</v>
      </c>
      <c r="L92" s="64">
        <f t="shared" ca="1" si="3"/>
        <v>0.16700000000000001</v>
      </c>
      <c r="M92" s="64">
        <f t="shared" ca="1" si="4"/>
        <v>0.16700000000000001</v>
      </c>
      <c r="N92" s="61">
        <f t="shared" ca="1" si="113"/>
        <v>0.11899999999999999</v>
      </c>
      <c r="O92" s="64">
        <f t="shared" ca="1" si="114"/>
        <v>1.9330000000000001</v>
      </c>
      <c r="P92" s="64">
        <f t="shared" ca="1" si="115"/>
        <v>0.32000000000000006</v>
      </c>
      <c r="Q92" s="64">
        <f t="shared" ca="1" si="8"/>
        <v>0.16550000000000001</v>
      </c>
      <c r="R92" s="64">
        <f t="shared" ca="1" si="9"/>
        <v>0.16550000000000001</v>
      </c>
      <c r="S92" s="61">
        <f t="shared" ca="1" si="116"/>
        <v>7.5999999999999998E-2</v>
      </c>
      <c r="T92" s="64">
        <f t="shared" ca="1" si="117"/>
        <v>2.4</v>
      </c>
      <c r="U92" s="64">
        <f t="shared" ca="1" si="118"/>
        <v>0.40686</v>
      </c>
      <c r="V92" s="64">
        <f t="shared" ca="1" si="13"/>
        <v>0.16950000000000001</v>
      </c>
      <c r="W92" s="61">
        <f t="shared" ca="1" si="14"/>
        <v>0.16950000000000001</v>
      </c>
      <c r="X92" s="61">
        <f t="shared" ca="1" si="119"/>
        <v>0.121</v>
      </c>
      <c r="Y92" s="89">
        <f t="shared" ca="1" si="16"/>
        <v>0.121</v>
      </c>
      <c r="Z92" s="338">
        <f t="shared" ca="1" si="29"/>
        <v>0.1211</v>
      </c>
      <c r="AA92" s="64">
        <f t="shared" si="120"/>
        <v>2.35</v>
      </c>
      <c r="AB92" s="270">
        <f t="shared" ca="1" si="121"/>
        <v>118.7991</v>
      </c>
      <c r="AC92" s="59">
        <f t="shared" si="122"/>
        <v>8.1541009131680275E-2</v>
      </c>
      <c r="AD92" s="59">
        <f t="shared" si="30"/>
        <v>8.1541009131680275E-2</v>
      </c>
      <c r="AE92" s="59">
        <f t="shared" si="123"/>
        <v>9.3282914446642246E-2</v>
      </c>
      <c r="AF92" s="59">
        <f t="shared" si="124"/>
        <v>7.4626331557313796E-2</v>
      </c>
      <c r="AG92" s="59">
        <f t="shared" si="125"/>
        <v>6.2499552679250302E-2</v>
      </c>
      <c r="AH92" s="59">
        <f t="shared" si="126"/>
        <v>1.7</v>
      </c>
      <c r="AI92" s="59">
        <f t="shared" si="127"/>
        <v>1</v>
      </c>
      <c r="AJ92" s="59">
        <f t="shared" si="25"/>
        <v>0.58823529411764708</v>
      </c>
      <c r="AK92" s="59">
        <f t="shared" si="31"/>
        <v>0.58823529411764708</v>
      </c>
      <c r="AL92" s="59">
        <f t="shared" si="111"/>
        <v>9.2128851540616258E-2</v>
      </c>
      <c r="AM92" s="59">
        <f t="shared" si="112"/>
        <v>0.13218487394957984</v>
      </c>
      <c r="AN92" s="59">
        <f t="shared" ca="1" si="28"/>
        <v>0.11535333333333332</v>
      </c>
    </row>
    <row r="93" spans="8:40" ht="16.5">
      <c r="I93" s="339">
        <v>2.4</v>
      </c>
      <c r="J93" s="64">
        <f ca="1">ROUND(IF($I93&gt;=D$17,D$12,IF($I93&gt;=F$17,D$13+(D$12-D$13)*($I93-0.6*D$17)/0.4/D$17,IF($I93&lt;E$17,D$13+(D$13-1)*($I93-E$17)/E$17,D$13))),3)</f>
        <v>1.9330000000000001</v>
      </c>
      <c r="K93" s="64">
        <f ca="1">IF($I93&lt;E$17,ROUND(B$17*(0.4+3*$I93/D$17),3),IF($I93&lt;=D$17,B$17,IF($I93&lt;=2.5*D$17,C$17/$I93,0.4*B$17)))</f>
        <v>0.32275999999999999</v>
      </c>
      <c r="L93" s="64">
        <f t="shared" ca="1" si="3"/>
        <v>0.16700000000000001</v>
      </c>
      <c r="M93" s="64">
        <f t="shared" ca="1" si="4"/>
        <v>0.16700000000000001</v>
      </c>
      <c r="N93" s="61">
        <f t="shared" ca="1" si="113"/>
        <v>0.11899999999999999</v>
      </c>
      <c r="O93" s="64">
        <f t="shared" ca="1" si="114"/>
        <v>1.9330000000000001</v>
      </c>
      <c r="P93" s="64">
        <f t="shared" ca="1" si="115"/>
        <v>0.32000000000000006</v>
      </c>
      <c r="Q93" s="64">
        <f t="shared" ca="1" si="8"/>
        <v>0.16550000000000001</v>
      </c>
      <c r="R93" s="64">
        <f t="shared" ca="1" si="9"/>
        <v>0.16550000000000001</v>
      </c>
      <c r="S93" s="61">
        <f t="shared" ca="1" si="116"/>
        <v>7.5999999999999998E-2</v>
      </c>
      <c r="T93" s="64">
        <f t="shared" ca="1" si="117"/>
        <v>2.4</v>
      </c>
      <c r="U93" s="64">
        <f t="shared" ca="1" si="118"/>
        <v>0.40686</v>
      </c>
      <c r="V93" s="64">
        <f t="shared" ca="1" si="13"/>
        <v>0.16950000000000001</v>
      </c>
      <c r="W93" s="61">
        <f t="shared" ca="1" si="14"/>
        <v>0.16950000000000001</v>
      </c>
      <c r="X93" s="61">
        <f t="shared" ca="1" si="119"/>
        <v>0.121</v>
      </c>
      <c r="Y93" s="89">
        <f t="shared" ca="1" si="16"/>
        <v>0.121</v>
      </c>
      <c r="Z93" s="338">
        <f t="shared" ca="1" si="29"/>
        <v>0.1211</v>
      </c>
      <c r="AA93" s="64">
        <f t="shared" si="120"/>
        <v>2.4</v>
      </c>
      <c r="AB93" s="270">
        <f t="shared" ca="1" si="121"/>
        <v>118.7991</v>
      </c>
      <c r="AC93" s="59">
        <f t="shared" si="122"/>
        <v>8.068715304598785E-2</v>
      </c>
      <c r="AD93" s="59">
        <f t="shared" si="30"/>
        <v>8.068715304598785E-2</v>
      </c>
      <c r="AE93" s="59">
        <f t="shared" si="123"/>
        <v>9.2306103084610111E-2</v>
      </c>
      <c r="AF93" s="59">
        <f t="shared" si="124"/>
        <v>7.3844882467688083E-2</v>
      </c>
      <c r="AG93" s="59">
        <f t="shared" si="125"/>
        <v>6.1845089066688771E-2</v>
      </c>
      <c r="AH93" s="59">
        <f t="shared" si="126"/>
        <v>1.7</v>
      </c>
      <c r="AI93" s="59">
        <f t="shared" si="127"/>
        <v>1</v>
      </c>
      <c r="AJ93" s="59">
        <f t="shared" si="25"/>
        <v>0.58823529411764708</v>
      </c>
      <c r="AK93" s="59">
        <f t="shared" si="31"/>
        <v>0.58823529411764708</v>
      </c>
      <c r="AL93" s="59">
        <f t="shared" si="111"/>
        <v>9.2128851540616258E-2</v>
      </c>
      <c r="AM93" s="59">
        <f t="shared" si="112"/>
        <v>0.13218487394957984</v>
      </c>
      <c r="AN93" s="59">
        <f t="shared" ca="1" si="28"/>
        <v>0.11535333333333332</v>
      </c>
    </row>
    <row r="94" spans="8:40" ht="16.5">
      <c r="I94" s="339">
        <v>2.4500000000000002</v>
      </c>
      <c r="J94" s="64">
        <f ca="1">ROUND(IF($I94&gt;=D$17,D$12,IF($I94&gt;=F$17,D$13+(D$12-D$13)*($I94-0.6*D$17)/0.4/D$17,IF($I94&lt;E$17,D$13+(D$13-1)*($I94-E$17)/E$17,D$13))),3)</f>
        <v>1.9330000000000001</v>
      </c>
      <c r="K94" s="64">
        <f ca="1">IF($I94&lt;E$17,ROUND(B$17*(0.4+3*$I94/D$17),3),IF($I94&lt;=D$17,B$17,IF($I94&lt;=2.5*D$17,C$17/$I94,0.4*B$17)))</f>
        <v>0.32275999999999999</v>
      </c>
      <c r="L94" s="64">
        <f t="shared" ca="1" si="3"/>
        <v>0.16700000000000001</v>
      </c>
      <c r="M94" s="64">
        <f t="shared" ca="1" si="4"/>
        <v>0.16700000000000001</v>
      </c>
      <c r="N94" s="61">
        <f t="shared" ca="1" si="113"/>
        <v>0.11899999999999999</v>
      </c>
      <c r="O94" s="64">
        <f t="shared" ca="1" si="114"/>
        <v>1.9330000000000001</v>
      </c>
      <c r="P94" s="64">
        <f t="shared" ca="1" si="115"/>
        <v>0.32000000000000006</v>
      </c>
      <c r="Q94" s="64">
        <f t="shared" ca="1" si="8"/>
        <v>0.16550000000000001</v>
      </c>
      <c r="R94" s="64">
        <f t="shared" ca="1" si="9"/>
        <v>0.16550000000000001</v>
      </c>
      <c r="S94" s="61">
        <f t="shared" ca="1" si="116"/>
        <v>7.5999999999999998E-2</v>
      </c>
      <c r="T94" s="64">
        <f t="shared" ca="1" si="117"/>
        <v>2.4</v>
      </c>
      <c r="U94" s="64">
        <f t="shared" ca="1" si="118"/>
        <v>0.40686</v>
      </c>
      <c r="V94" s="64">
        <f t="shared" ca="1" si="13"/>
        <v>0.16950000000000001</v>
      </c>
      <c r="W94" s="61">
        <f t="shared" ca="1" si="14"/>
        <v>0.16950000000000001</v>
      </c>
      <c r="X94" s="61">
        <f t="shared" ca="1" si="119"/>
        <v>0.121</v>
      </c>
      <c r="Y94" s="89">
        <f t="shared" ca="1" si="16"/>
        <v>0.121</v>
      </c>
      <c r="Z94" s="338">
        <f t="shared" ca="1" si="29"/>
        <v>0.1211</v>
      </c>
      <c r="AA94" s="64">
        <f t="shared" si="120"/>
        <v>2.4500000000000002</v>
      </c>
      <c r="AB94" s="270">
        <f t="shared" ca="1" si="121"/>
        <v>118.7991</v>
      </c>
      <c r="AC94" s="59">
        <f t="shared" si="122"/>
        <v>7.9859570624992493E-2</v>
      </c>
      <c r="AD94" s="59">
        <f t="shared" si="30"/>
        <v>7.9859570624992493E-2</v>
      </c>
      <c r="AE94" s="59">
        <f t="shared" si="123"/>
        <v>9.1359348794991399E-2</v>
      </c>
      <c r="AF94" s="59">
        <f t="shared" si="124"/>
        <v>7.308747903599315E-2</v>
      </c>
      <c r="AG94" s="59">
        <f t="shared" si="125"/>
        <v>6.1210763692644242E-2</v>
      </c>
      <c r="AH94" s="59">
        <f t="shared" si="126"/>
        <v>1.7</v>
      </c>
      <c r="AI94" s="59">
        <f t="shared" si="127"/>
        <v>1</v>
      </c>
      <c r="AJ94" s="59">
        <f t="shared" si="25"/>
        <v>0.58823529411764708</v>
      </c>
      <c r="AK94" s="59">
        <f t="shared" si="31"/>
        <v>0.58823529411764708</v>
      </c>
      <c r="AL94" s="59">
        <f t="shared" si="111"/>
        <v>9.2128851540616258E-2</v>
      </c>
      <c r="AM94" s="59">
        <f t="shared" si="112"/>
        <v>0.13218487394957984</v>
      </c>
      <c r="AN94" s="59">
        <f t="shared" ca="1" si="28"/>
        <v>0.11535333333333332</v>
      </c>
    </row>
    <row r="95" spans="8:40" ht="16.5">
      <c r="I95" s="339">
        <v>2.5</v>
      </c>
      <c r="J95" s="64">
        <f ca="1">ROUND(IF($I95&gt;=D$17,D$12,IF($I95&gt;=F$17,D$13+(D$12-D$13)*($I95-0.6*D$17)/0.4/D$17,IF($I95&lt;E$17,D$13+(D$13-1)*($I95-E$17)/E$17,D$13))),3)</f>
        <v>1.9330000000000001</v>
      </c>
      <c r="K95" s="64">
        <f ca="1">IF($I95&lt;E$17,ROUND(B$17*(0.4+3*$I95/D$17),3),IF($I95&lt;=D$17,B$17,IF($I95&lt;=2.5*D$17,C$17/$I95,0.4*B$17)))</f>
        <v>0.32275999999999999</v>
      </c>
      <c r="L95" s="64">
        <f t="shared" ca="1" si="3"/>
        <v>0.16700000000000001</v>
      </c>
      <c r="M95" s="64">
        <f t="shared" ca="1" si="4"/>
        <v>0.16700000000000001</v>
      </c>
      <c r="N95" s="61">
        <f t="shared" ca="1" si="113"/>
        <v>0.11899999999999999</v>
      </c>
      <c r="O95" s="64">
        <f t="shared" ca="1" si="114"/>
        <v>1.9330000000000001</v>
      </c>
      <c r="P95" s="64">
        <f t="shared" ca="1" si="115"/>
        <v>0.32000000000000006</v>
      </c>
      <c r="Q95" s="64">
        <f t="shared" ca="1" si="8"/>
        <v>0.16550000000000001</v>
      </c>
      <c r="R95" s="64">
        <f t="shared" ca="1" si="9"/>
        <v>0.16550000000000001</v>
      </c>
      <c r="S95" s="61">
        <f t="shared" ca="1" si="116"/>
        <v>7.5999999999999998E-2</v>
      </c>
      <c r="T95" s="64">
        <f t="shared" ca="1" si="117"/>
        <v>2.4</v>
      </c>
      <c r="U95" s="64">
        <f t="shared" ca="1" si="118"/>
        <v>0.40686</v>
      </c>
      <c r="V95" s="64">
        <f t="shared" ca="1" si="13"/>
        <v>0.16950000000000001</v>
      </c>
      <c r="W95" s="61">
        <f t="shared" ca="1" si="14"/>
        <v>0.16950000000000001</v>
      </c>
      <c r="X95" s="61">
        <f t="shared" ca="1" si="119"/>
        <v>0.121</v>
      </c>
      <c r="Y95" s="89">
        <f t="shared" ca="1" si="16"/>
        <v>0.121</v>
      </c>
      <c r="Z95" s="338">
        <f t="shared" ca="1" si="29"/>
        <v>0.1211</v>
      </c>
      <c r="AA95" s="64">
        <f t="shared" si="120"/>
        <v>2.5</v>
      </c>
      <c r="AB95" s="270">
        <f t="shared" ca="1" si="121"/>
        <v>118.7991</v>
      </c>
      <c r="AC95" s="59">
        <f t="shared" si="122"/>
        <v>7.9056941504209485E-2</v>
      </c>
      <c r="AD95" s="59">
        <f t="shared" si="30"/>
        <v>7.9056941504209485E-2</v>
      </c>
      <c r="AE95" s="59">
        <f t="shared" si="123"/>
        <v>9.0441141080815662E-2</v>
      </c>
      <c r="AF95" s="59">
        <f t="shared" si="124"/>
        <v>7.2352912864652522E-2</v>
      </c>
      <c r="AG95" s="59">
        <f t="shared" si="125"/>
        <v>6.0595564524146481E-2</v>
      </c>
      <c r="AH95" s="59">
        <f t="shared" si="126"/>
        <v>1.7</v>
      </c>
      <c r="AI95" s="59">
        <f t="shared" si="127"/>
        <v>1</v>
      </c>
      <c r="AJ95" s="59">
        <f t="shared" si="25"/>
        <v>0.58823529411764708</v>
      </c>
      <c r="AK95" s="59">
        <f t="shared" si="31"/>
        <v>0.58823529411764708</v>
      </c>
      <c r="AL95" s="59">
        <f t="shared" si="111"/>
        <v>9.2128851540616258E-2</v>
      </c>
      <c r="AM95" s="59">
        <f t="shared" si="112"/>
        <v>0.13218487394957984</v>
      </c>
      <c r="AN95" s="59">
        <f t="shared" ca="1" si="28"/>
        <v>0.11535333333333332</v>
      </c>
    </row>
    <row r="96" spans="8:40" ht="16.5">
      <c r="H96" t="s">
        <v>520</v>
      </c>
      <c r="I96" s="16">
        <f>F11</f>
        <v>0.89729999999999999</v>
      </c>
      <c r="J96" t="s">
        <v>521</v>
      </c>
    </row>
    <row r="97" spans="8:24" ht="16.5">
      <c r="H97" t="s">
        <v>505</v>
      </c>
      <c r="I97" s="16">
        <f>I96</f>
        <v>0.89729999999999999</v>
      </c>
      <c r="J97" s="16">
        <v>0</v>
      </c>
      <c r="K97" s="16">
        <v>0</v>
      </c>
      <c r="P97" s="16">
        <v>0</v>
      </c>
      <c r="T97" s="16">
        <v>0</v>
      </c>
      <c r="U97" s="16">
        <v>0</v>
      </c>
      <c r="X97" s="16">
        <v>0</v>
      </c>
    </row>
    <row r="98" spans="8:24" ht="16.5">
      <c r="I98" s="16">
        <f>I96</f>
        <v>0.89729999999999999</v>
      </c>
      <c r="J98" s="16">
        <f ca="1">ROUNDUP(MAX(J43:J95),2)</f>
        <v>1.94</v>
      </c>
      <c r="K98" s="16">
        <f ca="1">ROUNDUP(MAX(K43:K95),2)</f>
        <v>0.81</v>
      </c>
      <c r="P98" s="16">
        <f ca="1">ROUNDUP(MAX(P43:P95),2)</f>
        <v>0.8</v>
      </c>
      <c r="T98" s="16">
        <f ca="1">ROUNDUP(MAX(T43:T95),2)</f>
        <v>2.4</v>
      </c>
      <c r="U98" s="16">
        <f ca="1">ROUNDUP(MAX(U43:U95),2)</f>
        <v>1.02</v>
      </c>
      <c r="X98" s="16">
        <f ca="1">ROUNDUP(MAX(X43:X95),2)</f>
        <v>0.3</v>
      </c>
    </row>
    <row r="99" spans="8:24" ht="20.25">
      <c r="J99" s="39" t="s">
        <v>1406</v>
      </c>
      <c r="K99" s="39" t="s">
        <v>1407</v>
      </c>
      <c r="P99" s="39" t="s">
        <v>1410</v>
      </c>
      <c r="T99" s="39" t="s">
        <v>1412</v>
      </c>
      <c r="U99" s="39" t="s">
        <v>1413</v>
      </c>
      <c r="X99" s="39" t="s">
        <v>1757</v>
      </c>
    </row>
    <row r="155" spans="2:8">
      <c r="H155" s="365">
        <v>44858</v>
      </c>
    </row>
    <row r="156" spans="2:8">
      <c r="G156" s="270">
        <v>1</v>
      </c>
      <c r="H156" s="270" t="s">
        <v>1777</v>
      </c>
    </row>
    <row r="157" spans="2:8">
      <c r="G157" s="270">
        <v>2</v>
      </c>
      <c r="H157" s="270" t="s">
        <v>1778</v>
      </c>
    </row>
    <row r="158" spans="2:8">
      <c r="G158" s="270">
        <v>3</v>
      </c>
      <c r="H158" s="270" t="s">
        <v>1784</v>
      </c>
    </row>
    <row r="159" spans="2:8" ht="17.25">
      <c r="B159" s="319"/>
      <c r="G159" s="270">
        <v>4</v>
      </c>
      <c r="H159" s="270" t="s">
        <v>1785</v>
      </c>
    </row>
    <row r="160" spans="2:8">
      <c r="B160" s="318"/>
    </row>
  </sheetData>
  <mergeCells count="22">
    <mergeCell ref="A34:B34"/>
    <mergeCell ref="H34:I34"/>
    <mergeCell ref="D35:F35"/>
    <mergeCell ref="K35:L35"/>
    <mergeCell ref="A37:F37"/>
    <mergeCell ref="H37:M37"/>
    <mergeCell ref="A51:F51"/>
    <mergeCell ref="A30:B30"/>
    <mergeCell ref="H30:I30"/>
    <mergeCell ref="P3:S3"/>
    <mergeCell ref="A15:B15"/>
    <mergeCell ref="H15:I15"/>
    <mergeCell ref="A23:B23"/>
    <mergeCell ref="H23:I23"/>
    <mergeCell ref="I14:J14"/>
    <mergeCell ref="K14:L14"/>
    <mergeCell ref="D31:F31"/>
    <mergeCell ref="K31:L31"/>
    <mergeCell ref="A32:B32"/>
    <mergeCell ref="H32:I32"/>
    <mergeCell ref="D33:F33"/>
    <mergeCell ref="K33:L33"/>
  </mergeCells>
  <phoneticPr fontId="1" type="noConversion"/>
  <dataValidations count="8">
    <dataValidation type="list" allowBlank="1" showInputMessage="1" showErrorMessage="1" sqref="H6" xr:uid="{2F65F279-EE3E-45F6-BD37-7048E372FF0E}">
      <formula1>INDIRECT("斷層"&amp;$N$1)</formula1>
    </dataValidation>
    <dataValidation type="list" allowBlank="1" showInputMessage="1" showErrorMessage="1" sqref="B2 H2" xr:uid="{2ACDF580-257E-46CA-A52B-8ECD4D62E425}">
      <formula1>縣市</formula1>
    </dataValidation>
    <dataValidation type="list" allowBlank="1" showInputMessage="1" showErrorMessage="1" sqref="B6" xr:uid="{3866FE57-5E4C-4888-A821-FC212F3EB36E}">
      <formula1>INDIRECT($B$2&amp;$B$3)</formula1>
    </dataValidation>
    <dataValidation type="list" allowBlank="1" showInputMessage="1" showErrorMessage="1" sqref="B5 H5" xr:uid="{F2F163BA-59C6-47D4-BB0E-62E105A038B8}">
      <formula1>地盤種類</formula1>
    </dataValidation>
    <dataValidation type="list" allowBlank="1" showInputMessage="1" showErrorMessage="1" sqref="HW4 WUI4 WKM4 WAQ4 VQU4 VGY4 UXC4 UNG4 UDK4 TTO4 TJS4 SZW4 SQA4 SGE4 RWI4 RMM4 RCQ4 QSU4 QIY4 PZC4 PPG4 PFK4 OVO4 OLS4 OBW4 NSA4 NIE4 MYI4 MOM4 MEQ4 LUU4 LKY4 LBC4 KRG4 KHK4 JXO4 JNS4 JDW4 IUA4 IKE4 IAI4 HQM4 HGQ4 GWU4 GMY4 GDC4 FTG4 FJK4 EZO4 EPS4 EFW4 DWA4 DME4 DCI4 CSM4 CIQ4 BYU4 BOY4 BFC4 AVG4 ALK4 ABO4 RS4" xr:uid="{5BA62A7B-428B-4DB6-A813-574CE5583DE3}">
      <formula1>INDIRECT(#REF!)</formula1>
    </dataValidation>
    <dataValidation type="list" allowBlank="1" showInputMessage="1" showErrorMessage="1" sqref="HW3 WUI3 WKM3 WAQ3 VQU3 VGY3 UXC3 UNG3 UDK3 TTO3 TJS3 SZW3 SQA3 SGE3 RWI3 RMM3 RCQ3 QSU3 QIY3 PZC3 PPG3 PFK3 OVO3 OLS3 OBW3 NSA3 NIE3 MYI3 MOM3 MEQ3 LUU3 LKY3 LBC3 KRG3 KHK3 JXO3 JNS3 JDW3 IUA3 IKE3 IAI3 HQM3 HGQ3 GWU3 GMY3 GDC3 FTG3 FJK3 EZO3 EPS3 EFW3 DWA3 DME3 DCI3 CSM3 CIQ3 BYU3 BOY3 BFC3 AVG3 ALK3 ABO3 RS3" xr:uid="{D2FF01A8-9644-41A7-9153-890A87320424}">
      <formula1>行政區</formula1>
    </dataValidation>
    <dataValidation type="list" allowBlank="1" showInputMessage="1" showErrorMessage="1" sqref="B11" xr:uid="{9561F7F0-1868-4462-9AA7-FF22FD8F3F20}">
      <formula1>構造</formula1>
    </dataValidation>
    <dataValidation type="list" allowBlank="1" showInputMessage="1" showErrorMessage="1" sqref="B3 H3" xr:uid="{761A6167-EA1E-40E1-8FA6-ADF4F76DC137}">
      <formula1>INDEX(INDIRECT(B2),,1)</formula1>
    </dataValidation>
  </dataValidations>
  <pageMargins left="0.74803149606299213" right="0.19685039370078741" top="0.78740157480314965" bottom="0.59055118110236227" header="0.51181102362204722" footer="0.51181102362204722"/>
  <pageSetup paperSize="9" scale="9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9EA1-CBBC-4BAC-838A-B64ED9425AE7}">
  <sheetPr codeName="工作表6"/>
  <dimension ref="A1:AR160"/>
  <sheetViews>
    <sheetView topLeftCell="A36" zoomScaleNormal="100" workbookViewId="0">
      <selection activeCell="A38" sqref="A38"/>
    </sheetView>
  </sheetViews>
  <sheetFormatPr defaultColWidth="9" defaultRowHeight="15.75"/>
  <cols>
    <col min="1" max="1" width="27.625" style="270" bestFit="1" customWidth="1"/>
    <col min="2" max="2" width="19.625" style="270" customWidth="1"/>
    <col min="3" max="3" width="17.5" style="270" bestFit="1" customWidth="1"/>
    <col min="4" max="4" width="13.125" style="270" bestFit="1" customWidth="1"/>
    <col min="5" max="5" width="13.375" style="270" bestFit="1" customWidth="1"/>
    <col min="6" max="6" width="11.5" style="270" bestFit="1" customWidth="1"/>
    <col min="7" max="7" width="3.125" style="270" customWidth="1"/>
    <col min="8" max="8" width="31.875" style="270" bestFit="1" customWidth="1"/>
    <col min="9" max="9" width="11.5" style="270" bestFit="1" customWidth="1"/>
    <col min="10" max="10" width="14.875" style="270" bestFit="1" customWidth="1"/>
    <col min="11" max="11" width="10.125" style="270" bestFit="1" customWidth="1"/>
    <col min="12" max="12" width="12.875" style="270" bestFit="1" customWidth="1"/>
    <col min="13" max="13" width="21.875" style="270" bestFit="1" customWidth="1"/>
    <col min="14" max="14" width="18.125" style="270" bestFit="1" customWidth="1"/>
    <col min="15" max="15" width="18.125" style="270" customWidth="1"/>
    <col min="16" max="16" width="16.375" style="270" bestFit="1" customWidth="1"/>
    <col min="17" max="17" width="12.125" style="270" bestFit="1" customWidth="1"/>
    <col min="18" max="18" width="11.75" style="270" bestFit="1" customWidth="1"/>
    <col min="19" max="19" width="34.625" style="270" bestFit="1" customWidth="1"/>
    <col min="20" max="20" width="11.75" style="270" bestFit="1" customWidth="1"/>
    <col min="21" max="21" width="15.5" style="270" bestFit="1" customWidth="1"/>
    <col min="22" max="22" width="10.75" style="270" bestFit="1" customWidth="1"/>
    <col min="23" max="23" width="12.375" style="270" bestFit="1" customWidth="1"/>
    <col min="24" max="24" width="22" style="270" bestFit="1" customWidth="1"/>
    <col min="25" max="25" width="11.75" style="270" bestFit="1" customWidth="1"/>
    <col min="26" max="26" width="21.75" style="270" bestFit="1" customWidth="1"/>
    <col min="27" max="27" width="9.875" style="270" bestFit="1" customWidth="1"/>
    <col min="28" max="28" width="11.375" style="270" bestFit="1" customWidth="1"/>
    <col min="29" max="29" width="12.25" style="270" bestFit="1" customWidth="1"/>
    <col min="30" max="30" width="13.625" style="270" bestFit="1" customWidth="1"/>
    <col min="31" max="33" width="9.875" style="270" bestFit="1" customWidth="1"/>
    <col min="34" max="34" width="12.25" style="270" bestFit="1" customWidth="1"/>
    <col min="35" max="35" width="9.875" style="270" bestFit="1" customWidth="1"/>
    <col min="36" max="36" width="8.375" style="270" bestFit="1" customWidth="1"/>
    <col min="37" max="37" width="16.25" style="270" bestFit="1" customWidth="1"/>
    <col min="38" max="43" width="9" style="270"/>
    <col min="44" max="44" width="16.25" style="270" bestFit="1" customWidth="1"/>
    <col min="45" max="16384" width="9" style="270"/>
  </cols>
  <sheetData>
    <row r="1" spans="1:40" ht="16.5" thickBot="1">
      <c r="A1" s="164" t="s">
        <v>1364</v>
      </c>
      <c r="H1" s="164" t="s">
        <v>1430</v>
      </c>
      <c r="M1" s="232" t="str">
        <f ca="1">VLOOKUP($H3,INDIRECT($H2),17,FALSE)</f>
        <v>屯子腳、車籠埔斷層</v>
      </c>
      <c r="N1" s="232">
        <f ca="1">VLOOKUP($H3,INDIRECT($H2),18,FALSE)</f>
        <v>2</v>
      </c>
      <c r="O1" s="322"/>
    </row>
    <row r="2" spans="1:40" ht="23.25" thickTop="1">
      <c r="A2" s="141" t="s">
        <v>1365</v>
      </c>
      <c r="B2" s="337" t="str">
        <f>一般工址Cs!B2</f>
        <v>臺南市</v>
      </c>
      <c r="C2" s="263" t="s">
        <v>1694</v>
      </c>
      <c r="D2" s="263" t="s">
        <v>1695</v>
      </c>
      <c r="E2" s="263" t="s">
        <v>1696</v>
      </c>
      <c r="F2" s="264" t="s">
        <v>1697</v>
      </c>
      <c r="G2" s="157"/>
      <c r="H2" s="237" t="s">
        <v>1432</v>
      </c>
      <c r="I2" s="263" t="s">
        <v>1694</v>
      </c>
      <c r="J2" s="263" t="s">
        <v>1695</v>
      </c>
      <c r="K2" s="263" t="s">
        <v>1696</v>
      </c>
      <c r="L2" s="263" t="s">
        <v>1697</v>
      </c>
      <c r="M2" s="157"/>
      <c r="N2" s="157"/>
      <c r="O2" s="99"/>
    </row>
    <row r="3" spans="1:40" s="32" customFormat="1" ht="24" customHeight="1">
      <c r="A3" s="142"/>
      <c r="B3" s="333" t="str">
        <f>一般工址Cs!B3</f>
        <v>左鎮區</v>
      </c>
      <c r="C3" s="334">
        <f ca="1">VLOOKUP($B3,INDIRECT($B2),4,FALSE)</f>
        <v>0.8</v>
      </c>
      <c r="D3" s="334">
        <f ca="1">VLOOKUP($B3,INDIRECT($B2),5,FALSE)</f>
        <v>0.45</v>
      </c>
      <c r="E3" s="334">
        <f ca="1">VLOOKUP($B3,INDIRECT($B2),6,FALSE)</f>
        <v>1</v>
      </c>
      <c r="F3" s="346">
        <f ca="1">VLOOKUP($B3,INDIRECT($B2),7,FALSE)</f>
        <v>0.55000000000000004</v>
      </c>
      <c r="G3" s="158"/>
      <c r="H3" s="238" t="s">
        <v>1440</v>
      </c>
      <c r="I3" s="282">
        <f ca="1">VLOOKUP($H3,INDIRECT($H2),13,FALSE)</f>
        <v>0.8</v>
      </c>
      <c r="J3" s="282">
        <f ca="1">VLOOKUP($H3,INDIRECT($H2),14,FALSE)</f>
        <v>0.45</v>
      </c>
      <c r="K3" s="282">
        <f ca="1">VLOOKUP($H3,INDIRECT($H2),15,FALSE)</f>
        <v>1</v>
      </c>
      <c r="L3" s="282">
        <f ca="1">VLOOKUP($H3,INDIRECT($H2),16,FALSE)</f>
        <v>0.55000000000000004</v>
      </c>
      <c r="M3" s="159"/>
      <c r="N3" s="159"/>
      <c r="O3" s="99"/>
      <c r="P3" s="386" t="str">
        <f>"規範最小地震橫力係數 Cs*載重組合係數之比較 ["&amp;B5  &amp; ", R=" &amp; B12 &amp; "]"</f>
        <v>規範最小地震橫力係數 Cs*載重組合係數之比較 [第一類, R=2.4]</v>
      </c>
      <c r="Q3" s="385"/>
      <c r="R3" s="385"/>
      <c r="S3" s="385"/>
      <c r="T3" s="270" t="str">
        <f>B5</f>
        <v>第一類</v>
      </c>
      <c r="U3" s="98">
        <f>IF($B5="第一類",1.2,IF($B5="第二類",1.5,1.8))</f>
        <v>1.2</v>
      </c>
      <c r="V3" s="270"/>
      <c r="W3" s="270"/>
      <c r="X3" s="270"/>
      <c r="Y3" s="270"/>
      <c r="Z3" s="270"/>
      <c r="AA3" s="270"/>
      <c r="AB3" s="270"/>
      <c r="AC3" s="270"/>
      <c r="AD3" s="270"/>
      <c r="AE3" s="270" t="s">
        <v>1285</v>
      </c>
      <c r="AF3" s="270" t="s">
        <v>1286</v>
      </c>
      <c r="AG3" s="270" t="s">
        <v>1287</v>
      </c>
    </row>
    <row r="4" spans="1:40" s="32" customFormat="1" ht="24" customHeight="1">
      <c r="A4" s="143"/>
      <c r="B4" s="248" t="s">
        <v>383</v>
      </c>
      <c r="C4" s="248" t="s">
        <v>1698</v>
      </c>
      <c r="D4" s="248" t="s">
        <v>1699</v>
      </c>
      <c r="E4" s="248" t="s">
        <v>1700</v>
      </c>
      <c r="F4" s="267" t="s">
        <v>1701</v>
      </c>
      <c r="G4" s="159"/>
      <c r="H4" s="241" t="s">
        <v>383</v>
      </c>
      <c r="I4" s="247" t="s">
        <v>1708</v>
      </c>
      <c r="J4" s="247" t="s">
        <v>1709</v>
      </c>
      <c r="K4" s="247" t="s">
        <v>1710</v>
      </c>
      <c r="L4" s="247" t="s">
        <v>1711</v>
      </c>
      <c r="M4" s="159"/>
      <c r="N4" s="159"/>
      <c r="O4" s="99"/>
      <c r="P4" s="44"/>
      <c r="Q4" s="39" t="s">
        <v>385</v>
      </c>
      <c r="R4" s="39" t="s">
        <v>391</v>
      </c>
      <c r="S4" s="270"/>
      <c r="T4" s="39" t="s">
        <v>393</v>
      </c>
      <c r="U4" s="39" t="s">
        <v>392</v>
      </c>
      <c r="V4" s="39" t="s">
        <v>398</v>
      </c>
      <c r="W4" s="39" t="s">
        <v>395</v>
      </c>
      <c r="X4" s="39" t="s">
        <v>385</v>
      </c>
      <c r="Y4" s="39" t="s">
        <v>384</v>
      </c>
      <c r="Z4" s="39" t="s">
        <v>393</v>
      </c>
      <c r="AA4" s="39" t="s">
        <v>384</v>
      </c>
      <c r="AB4" s="39" t="s">
        <v>398</v>
      </c>
      <c r="AC4" s="39" t="s">
        <v>384</v>
      </c>
      <c r="AD4" s="39" t="s">
        <v>413</v>
      </c>
      <c r="AE4" s="270" t="s">
        <v>423</v>
      </c>
      <c r="AF4" s="270" t="s">
        <v>424</v>
      </c>
      <c r="AG4" s="270" t="s">
        <v>425</v>
      </c>
    </row>
    <row r="5" spans="1:40" s="32" customFormat="1" ht="24" customHeight="1">
      <c r="A5" s="144"/>
      <c r="B5" s="333" t="str">
        <f>一般工址Cs!B5</f>
        <v>第一類</v>
      </c>
      <c r="C5" s="334">
        <f>IF($B5="第一類",1,IF($B5="第二類",IF(C3&lt;=0.6,1.1,IF(C3&gt;=0.7,1,1.1+(0.6-C3))),IF(C3&lt;=0.6,1.2,IF(C3&gt;=0.8,1,1.2+(0.6-C3)))))</f>
        <v>1</v>
      </c>
      <c r="D5" s="334">
        <f>IF($B5="第一類",1,IF($B5="第二類",IF(D3&lt;=0.3,1.5,IF(D3&gt;=0.5,1.1,1.5+(0.3-D3)*2)),IF(D3&lt;=0.3,1.8,IF(D3&gt;=0.5,1.4,1.8+(0.3-D3)*2))))</f>
        <v>1</v>
      </c>
      <c r="E5" s="334" t="s">
        <v>1687</v>
      </c>
      <c r="F5" s="346" t="s">
        <v>1687</v>
      </c>
      <c r="G5" s="177"/>
      <c r="H5" s="242" t="s">
        <v>1690</v>
      </c>
      <c r="I5" s="284">
        <f>VLOOKUP($H6,$S21:$W28,2,FALSE)</f>
        <v>1.1599999999999999</v>
      </c>
      <c r="J5" s="284">
        <f>VLOOKUP($H6,$S21:$W28,3,FALSE)</f>
        <v>1.32</v>
      </c>
      <c r="K5" s="284">
        <f>VLOOKUP($H6,$S21:$W28,4,FALSE)</f>
        <v>1.2</v>
      </c>
      <c r="L5" s="284">
        <f>VLOOKUP($H6,$S21:$W28,5,FALSE)</f>
        <v>1.45</v>
      </c>
      <c r="M5" s="160"/>
      <c r="N5" s="160"/>
      <c r="O5" s="323"/>
      <c r="P5" s="44" t="s">
        <v>407</v>
      </c>
      <c r="Q5" s="45" t="s">
        <v>402</v>
      </c>
      <c r="R5" s="45">
        <v>0.8</v>
      </c>
      <c r="S5" s="46" t="s">
        <v>417</v>
      </c>
      <c r="T5" s="45" t="s">
        <v>402</v>
      </c>
      <c r="U5" s="45">
        <v>0.23</v>
      </c>
      <c r="V5" s="45" t="s">
        <v>402</v>
      </c>
      <c r="W5" s="45">
        <v>0.33</v>
      </c>
      <c r="X5" s="39" t="s">
        <v>394</v>
      </c>
      <c r="Y5" s="39">
        <v>1</v>
      </c>
      <c r="Z5" s="39" t="s">
        <v>395</v>
      </c>
      <c r="AA5" s="39">
        <v>0.33</v>
      </c>
      <c r="AB5" s="45" t="s">
        <v>399</v>
      </c>
      <c r="AC5" s="45">
        <v>0.33</v>
      </c>
      <c r="AD5" s="270">
        <f>(2*U12-1)^0.5</f>
        <v>1.5491933384829668</v>
      </c>
      <c r="AE5" s="270">
        <v>0.9</v>
      </c>
      <c r="AF5" s="270"/>
      <c r="AG5" s="270">
        <v>1.43</v>
      </c>
    </row>
    <row r="6" spans="1:40" s="32" customFormat="1" ht="31.5">
      <c r="A6" s="143"/>
      <c r="B6" s="47" t="s">
        <v>1669</v>
      </c>
      <c r="C6" s="265" t="s">
        <v>1702</v>
      </c>
      <c r="D6" s="265" t="s">
        <v>1703</v>
      </c>
      <c r="E6" s="265" t="s">
        <v>1704</v>
      </c>
      <c r="F6" s="266" t="s">
        <v>1705</v>
      </c>
      <c r="G6" s="178"/>
      <c r="H6" s="243" t="s">
        <v>1689</v>
      </c>
      <c r="I6" s="247" t="s">
        <v>1712</v>
      </c>
      <c r="J6" s="247" t="s">
        <v>1713</v>
      </c>
      <c r="K6" s="247" t="s">
        <v>1714</v>
      </c>
      <c r="L6" s="247" t="s">
        <v>1715</v>
      </c>
      <c r="M6" s="161"/>
      <c r="N6" s="161"/>
      <c r="O6" s="39"/>
      <c r="P6" s="44" t="s">
        <v>408</v>
      </c>
      <c r="Q6" s="39" t="s">
        <v>387</v>
      </c>
      <c r="R6" s="39">
        <v>1</v>
      </c>
      <c r="S6" s="46" t="s">
        <v>418</v>
      </c>
      <c r="T6" s="39" t="s">
        <v>1366</v>
      </c>
      <c r="U6" s="99">
        <v>1.5</v>
      </c>
      <c r="V6" s="39" t="s">
        <v>1366</v>
      </c>
      <c r="W6" s="99">
        <f t="shared" ref="W6:W7" si="0">U6</f>
        <v>1.5</v>
      </c>
      <c r="X6" s="45" t="s">
        <v>391</v>
      </c>
      <c r="Y6" s="45">
        <v>0.8</v>
      </c>
      <c r="Z6" s="39" t="s">
        <v>396</v>
      </c>
      <c r="AA6" s="39">
        <v>0.28000000000000003</v>
      </c>
      <c r="AB6" s="39" t="s">
        <v>400</v>
      </c>
      <c r="AC6" s="39">
        <v>0.23</v>
      </c>
      <c r="AD6" s="270"/>
      <c r="AE6" s="270">
        <v>1.05</v>
      </c>
      <c r="AF6" s="270">
        <v>1.2749999999999999</v>
      </c>
      <c r="AG6" s="270">
        <v>1.4025000000000001</v>
      </c>
    </row>
    <row r="7" spans="1:40" s="32" customFormat="1" ht="21" customHeight="1">
      <c r="A7" s="145" t="s">
        <v>1359</v>
      </c>
      <c r="B7" s="244">
        <v>7</v>
      </c>
      <c r="C7" s="345" t="e">
        <f ca="1">IF($B6="", C3,IF($B7&gt;=14,C54,C53+($B7-$B53)*(C54-C53)/$F52))</f>
        <v>#N/A</v>
      </c>
      <c r="D7" s="345" t="e">
        <f ca="1">IF($B6="", D3,IF($B7&gt;=14,D54,D53+($B7-$B53)*(D54-D53)/$F52))</f>
        <v>#N/A</v>
      </c>
      <c r="E7" s="345" t="e">
        <f ca="1">IF($B6="", E3,IF($B7&gt;=14,E54,E53+($B7-$B53)*(E54-E53)/$F52))</f>
        <v>#N/A</v>
      </c>
      <c r="F7" s="343" t="e">
        <f ca="1">IF($B6="", F3,IF($B7&gt;=14,F54,F53+($B7-$B53)*(F54-F53)/$F52))</f>
        <v>#N/A</v>
      </c>
      <c r="G7" s="179"/>
      <c r="H7" s="244">
        <v>5</v>
      </c>
      <c r="I7" s="284">
        <f ca="1">I3*I5</f>
        <v>0.92799999999999994</v>
      </c>
      <c r="J7" s="284">
        <f ca="1">J3*J5</f>
        <v>0.59400000000000008</v>
      </c>
      <c r="K7" s="284">
        <f ca="1">K3*K5</f>
        <v>1.2</v>
      </c>
      <c r="L7" s="284">
        <f ca="1">L3*L5</f>
        <v>0.79749999999999999</v>
      </c>
      <c r="M7" s="161"/>
      <c r="N7" s="161"/>
      <c r="O7" s="39"/>
      <c r="P7" s="44" t="s">
        <v>409</v>
      </c>
      <c r="Q7" s="39" t="s">
        <v>386</v>
      </c>
      <c r="R7" s="48">
        <f>0.06*B10^0.75</f>
        <v>0.7691166115132213</v>
      </c>
      <c r="S7" s="46" t="s">
        <v>409</v>
      </c>
      <c r="T7" s="39" t="s">
        <v>386</v>
      </c>
      <c r="U7" s="49">
        <f>0.07*$B10^0.75</f>
        <v>0.89730271343209156</v>
      </c>
      <c r="V7" s="39" t="s">
        <v>386</v>
      </c>
      <c r="W7" s="49">
        <f t="shared" si="0"/>
        <v>0.89730271343209156</v>
      </c>
      <c r="X7" s="39" t="s">
        <v>401</v>
      </c>
      <c r="Y7" s="39">
        <v>0.6</v>
      </c>
      <c r="Z7" s="45" t="s">
        <v>392</v>
      </c>
      <c r="AA7" s="45">
        <v>0.23</v>
      </c>
      <c r="AB7" s="45"/>
      <c r="AC7" s="45"/>
      <c r="AD7" s="270"/>
      <c r="AE7" s="270">
        <v>1.2</v>
      </c>
      <c r="AF7" s="270">
        <v>1</v>
      </c>
      <c r="AG7" s="270">
        <v>1</v>
      </c>
    </row>
    <row r="8" spans="1:40" s="32" customFormat="1" ht="24" customHeight="1">
      <c r="A8" s="281" t="s">
        <v>1729</v>
      </c>
      <c r="B8" s="277"/>
      <c r="C8" s="248" t="s">
        <v>1706</v>
      </c>
      <c r="D8" s="248" t="s">
        <v>1707</v>
      </c>
      <c r="E8" s="248" t="s">
        <v>1700</v>
      </c>
      <c r="F8" s="267" t="s">
        <v>1701</v>
      </c>
      <c r="G8" s="272"/>
      <c r="H8" s="162" t="s">
        <v>1729</v>
      </c>
      <c r="I8" s="248" t="s">
        <v>1706</v>
      </c>
      <c r="J8" s="248" t="s">
        <v>1707</v>
      </c>
      <c r="K8" s="248" t="s">
        <v>1700</v>
      </c>
      <c r="L8" s="248" t="s">
        <v>1701</v>
      </c>
      <c r="M8" s="161"/>
      <c r="N8" s="161"/>
      <c r="O8" s="39"/>
      <c r="P8" s="44" t="s">
        <v>406</v>
      </c>
      <c r="Q8" s="39" t="s">
        <v>405</v>
      </c>
      <c r="R8" s="49">
        <f>MIN(R13,R14)</f>
        <v>0.14249999999999999</v>
      </c>
      <c r="S8" s="46" t="s">
        <v>419</v>
      </c>
      <c r="T8" s="39" t="s">
        <v>388</v>
      </c>
      <c r="U8" s="49">
        <f>IF(U7&lt;=T17,X17,IF(U7&lt;=U17,Y17*U7+Z17,IF(U7&lt;=V17,AA17,IF(U7&lt;=W17,AB17/U7^(AC17)))))</f>
        <v>1.2898976712111931</v>
      </c>
      <c r="V8" s="39" t="s">
        <v>388</v>
      </c>
      <c r="W8" s="49">
        <f>U8</f>
        <v>1.2898976712111931</v>
      </c>
      <c r="X8" s="270"/>
      <c r="Y8" s="270"/>
      <c r="Z8" s="39" t="s">
        <v>397</v>
      </c>
      <c r="AA8" s="39">
        <v>0.18</v>
      </c>
      <c r="AB8" s="39"/>
      <c r="AC8" s="39"/>
      <c r="AD8" s="270"/>
      <c r="AE8" s="270"/>
      <c r="AF8" s="270"/>
      <c r="AG8" s="270"/>
    </row>
    <row r="9" spans="1:40" s="32" customFormat="1" ht="24" customHeight="1">
      <c r="A9" s="278"/>
      <c r="B9" s="279"/>
      <c r="C9" s="334">
        <f>IF($B5="第一類",1,IF($B5="第二類",IF(C7&lt;=0.6,1.1,IF(C7&gt;=0.7,1,1.1+(0.6-C7))),IF(C7&lt;=0.6,1.2,IF(C7&gt;=0.8,1,1.2+(0.6-C7)))))</f>
        <v>1</v>
      </c>
      <c r="D9" s="334">
        <f>IF($B5="第一類",1,IF($B5="第二類",IF(D7&lt;=0.3,1.5,IF(D7&gt;=0.5,1.1,1.5+(0.3-D7)*2)),IF(D7&lt;=0.3,1.8,IF(D7&gt;=0.5,1.4,1.8+(0.3-D7)*2))))</f>
        <v>1</v>
      </c>
      <c r="E9" s="334">
        <f>IF($B5="第一類",1,IF($B5="第二類",IF(E7&lt;=0.6,1.1,IF(E7&gt;=0.7,1,1.1+(0.6-E7))),IF(E7&lt;=0.6,1.2,IF(E7&gt;=0.8,1,1.2+(0.6-E7)))))</f>
        <v>1</v>
      </c>
      <c r="F9" s="346">
        <f>IF($B5="第一類",1,IF($B5="第二類",IF(F7&lt;=0.3,1.5,IF(F7&gt;=0.5,1.1,1.5+(0.3-F7)*2)),IF(F7&lt;=0.3,1.8,IF(F7&gt;=0.5,1.4,1.8+(0.3-F7)*2))))</f>
        <v>1</v>
      </c>
      <c r="G9" s="272"/>
      <c r="I9" s="282">
        <f>IF($H5="第一類",1,IF($H5="第二類",IF(I7&lt;=0.6,1.1,IF(I7&gt;=0.7,1,1.1+(0.6-I7))),IF(I7&lt;=0.6,1.2,IF(I7&gt;=0.8,1,1.2+(0.6-I7)))))</f>
        <v>1</v>
      </c>
      <c r="J9" s="282">
        <f>IF($H5="第一類",1,IF($H5="第二類",IF(J7&lt;=0.3,1.5,IF(J7&gt;=0.5,1.1,1.5+(0.3-J7)*2)),IF(J7&lt;=0.3,1.8,IF(J7&gt;=0.5,1.4,1.8+(0.3-J7)*2))))</f>
        <v>1</v>
      </c>
      <c r="K9" s="282">
        <f>IF($H5="第一類",1,IF($H5="第二類",IF(K7&lt;=0.6,1.1,IF(K7&gt;=0.7,1,1.1+(0.6-K7))),IF(K7&lt;=0.6,1.2,IF(K7&gt;=0.8,1,1.2+(0.6-K7)))))</f>
        <v>1</v>
      </c>
      <c r="L9" s="282">
        <f>IF($H5="第一類",1,IF($H5="第二類",IF(L7&lt;=0.3,1.5,IF(L7&gt;=0.5,1.1,1.5+(0.3-L7)*2)),IF(L7&lt;=0.3,1.8,IF(L7&gt;=0.5,1.4,1.8+(0.3-L7)*2))))</f>
        <v>1</v>
      </c>
      <c r="M9" s="161"/>
      <c r="N9" s="161"/>
      <c r="O9" s="39"/>
      <c r="P9" s="44"/>
      <c r="Q9" s="39"/>
      <c r="R9" s="49"/>
      <c r="S9" s="46"/>
      <c r="T9" s="39"/>
      <c r="U9" s="49"/>
      <c r="V9" s="39"/>
      <c r="W9" s="49"/>
      <c r="X9" s="270"/>
      <c r="Y9" s="270"/>
      <c r="Z9" s="39"/>
      <c r="AA9" s="39"/>
      <c r="AB9" s="39"/>
      <c r="AC9" s="39"/>
      <c r="AD9" s="270"/>
      <c r="AE9" s="270"/>
      <c r="AF9" s="270"/>
      <c r="AG9" s="270"/>
    </row>
    <row r="10" spans="1:40" s="32" customFormat="1" ht="24" customHeight="1">
      <c r="A10" s="146" t="s">
        <v>1369</v>
      </c>
      <c r="B10" s="333">
        <f>一般工址Cs!B10</f>
        <v>30</v>
      </c>
      <c r="C10" s="104" t="s">
        <v>1723</v>
      </c>
      <c r="D10" s="104" t="s">
        <v>1721</v>
      </c>
      <c r="E10" s="104" t="s">
        <v>1724</v>
      </c>
      <c r="F10" s="275" t="s">
        <v>1726</v>
      </c>
      <c r="G10" s="272"/>
      <c r="H10" s="282" t="str">
        <f>A10&amp;" = " &amp;B10</f>
        <v>屋頂面高度 hn(m) = 30</v>
      </c>
      <c r="I10" s="104" t="s">
        <v>1722</v>
      </c>
      <c r="J10" s="104" t="s">
        <v>1725</v>
      </c>
      <c r="K10" s="104" t="s">
        <v>1724</v>
      </c>
      <c r="L10" s="104" t="s">
        <v>1726</v>
      </c>
      <c r="M10" s="161"/>
      <c r="N10" s="288" t="s">
        <v>1732</v>
      </c>
      <c r="O10" s="324"/>
      <c r="P10" s="44"/>
      <c r="Q10" s="39"/>
      <c r="R10" s="49"/>
      <c r="S10" s="46"/>
      <c r="T10" s="39"/>
      <c r="U10" s="49"/>
      <c r="V10" s="39"/>
      <c r="W10" s="49"/>
      <c r="X10" s="270"/>
      <c r="Y10" s="270"/>
      <c r="Z10" s="39"/>
      <c r="AA10" s="39"/>
      <c r="AB10" s="39"/>
      <c r="AC10" s="39"/>
      <c r="AD10" s="270"/>
      <c r="AE10" s="270"/>
      <c r="AF10" s="270"/>
      <c r="AG10" s="270"/>
    </row>
    <row r="11" spans="1:40" s="32" customFormat="1" ht="24" customHeight="1">
      <c r="A11" s="146" t="s">
        <v>1426</v>
      </c>
      <c r="B11" s="333" t="str">
        <f>一般工址Cs!B11</f>
        <v>RC</v>
      </c>
      <c r="C11" s="333">
        <f>一般工址Cs!C11</f>
        <v>0.89729999999999999</v>
      </c>
      <c r="D11" s="333">
        <f>一般工址Cs!D11</f>
        <v>0.89729999999999999</v>
      </c>
      <c r="E11" s="333">
        <f>一般工址Cs!E11</f>
        <v>1.2562199999999999</v>
      </c>
      <c r="F11" s="347">
        <f>一般工址Cs!F11</f>
        <v>0.89729999999999999</v>
      </c>
      <c r="G11" s="180"/>
      <c r="H11" s="282" t="str">
        <f>A11&amp;" = " &amp;B11</f>
        <v>經驗公式構造分類 = RC</v>
      </c>
      <c r="I11" s="284">
        <f>C11</f>
        <v>0.89729999999999999</v>
      </c>
      <c r="J11" s="280">
        <f>D11</f>
        <v>0.89729999999999999</v>
      </c>
      <c r="K11" s="284">
        <f>E11</f>
        <v>1.2562199999999999</v>
      </c>
      <c r="L11" s="284">
        <f>ROUND(IF(I11&gt;=J11,J11,IF(J11&gt;=K11,K11,J11)),4)</f>
        <v>0.89729999999999999</v>
      </c>
      <c r="M11" s="285" t="str">
        <f ca="1">IF(L11&lt;=0.2*K17,"較短週期",IF(L11&lt;=K17,"短週期",IF(L11&lt;=2.5*K17,"中週期","長週期")))</f>
        <v>中週期</v>
      </c>
      <c r="N11" s="289">
        <v>1E-3</v>
      </c>
      <c r="O11" s="325"/>
      <c r="P11" s="50" t="s">
        <v>404</v>
      </c>
      <c r="Q11" s="39" t="s">
        <v>403</v>
      </c>
      <c r="R11" s="39">
        <v>1</v>
      </c>
      <c r="S11" s="46" t="s">
        <v>416</v>
      </c>
      <c r="T11" s="39" t="s">
        <v>389</v>
      </c>
      <c r="U11" s="39">
        <v>1</v>
      </c>
      <c r="V11" s="39" t="s">
        <v>389</v>
      </c>
      <c r="W11" s="39">
        <f>U11</f>
        <v>1</v>
      </c>
      <c r="X11" s="39"/>
      <c r="Y11" s="39"/>
      <c r="Z11" s="270"/>
      <c r="AA11" s="270"/>
      <c r="AB11" s="270"/>
      <c r="AC11" s="270"/>
      <c r="AD11" s="270"/>
      <c r="AE11" s="270"/>
      <c r="AF11" s="270"/>
      <c r="AG11" s="270"/>
    </row>
    <row r="12" spans="1:40" s="32" customFormat="1" ht="24" customHeight="1">
      <c r="A12" s="146" t="s">
        <v>1371</v>
      </c>
      <c r="B12" s="335">
        <f>一般工址Cs!B12</f>
        <v>2.4</v>
      </c>
      <c r="C12" s="104" t="s">
        <v>1372</v>
      </c>
      <c r="D12" s="333">
        <f>一般工址Cs!D12</f>
        <v>1.9333</v>
      </c>
      <c r="E12" s="105"/>
      <c r="F12" s="343" t="e">
        <f ca="1">IF(F11&lt;=0.2*D17,"較短週期",IF(F11&lt;=D17,"短週期",IF(F11&lt;=2.5*D17,"中週期","長週期")))</f>
        <v>#N/A</v>
      </c>
      <c r="G12" s="272"/>
      <c r="H12" s="282" t="str">
        <f>A12&amp;" = " &amp;B12</f>
        <v>系統韌性容量 R = 2.4</v>
      </c>
      <c r="I12" s="248" t="s">
        <v>1716</v>
      </c>
      <c r="J12" s="248" t="s">
        <v>1717</v>
      </c>
      <c r="K12" s="248" t="s">
        <v>1718</v>
      </c>
      <c r="L12" s="248" t="s">
        <v>1719</v>
      </c>
      <c r="M12" s="276" t="s">
        <v>1372</v>
      </c>
      <c r="N12" s="272"/>
      <c r="P12" s="50" t="s">
        <v>1367</v>
      </c>
      <c r="Q12" s="45" t="s">
        <v>390</v>
      </c>
      <c r="R12" s="51">
        <f>R5*R6*R8*R11</f>
        <v>0.11399999999999999</v>
      </c>
      <c r="S12" s="46" t="s">
        <v>415</v>
      </c>
      <c r="T12" s="39" t="s">
        <v>1368</v>
      </c>
      <c r="U12" s="39">
        <f>1+($B12-1)/2</f>
        <v>1.7</v>
      </c>
      <c r="V12" s="39" t="s">
        <v>1368</v>
      </c>
      <c r="W12" s="39">
        <f>U12</f>
        <v>1.7</v>
      </c>
      <c r="X12" s="39"/>
      <c r="Y12" s="39"/>
      <c r="Z12" s="270"/>
      <c r="AA12" s="270"/>
      <c r="AB12" s="270"/>
      <c r="AD12" s="270"/>
      <c r="AE12" s="270"/>
      <c r="AF12" s="270"/>
      <c r="AG12" s="270"/>
      <c r="AI12" s="270"/>
    </row>
    <row r="13" spans="1:40" s="32" customFormat="1" ht="24" customHeight="1">
      <c r="A13" s="146" t="s">
        <v>459</v>
      </c>
      <c r="B13" s="333">
        <f>一般工址Cs!B13</f>
        <v>1</v>
      </c>
      <c r="C13" s="247" t="s">
        <v>1728</v>
      </c>
      <c r="D13" s="333">
        <f>一般工址Cs!D13</f>
        <v>1.6931</v>
      </c>
      <c r="F13" s="272"/>
      <c r="G13" s="272"/>
      <c r="H13" s="282" t="str">
        <f>A13&amp;" = " &amp;B13</f>
        <v>用途係數 I = 1</v>
      </c>
      <c r="I13" s="282">
        <f>IF($H5="第一類",1,IF($H5="第二類",IF(I3&lt;=0.6,1.1,IF(I3&gt;=0.7,1,1.1+(0.6-I3))),IF(I3&lt;=0.6,1.2,IF(I3&gt;=0.8,1,1.2+(0.6-I3)))))</f>
        <v>1</v>
      </c>
      <c r="J13" s="282">
        <f>IF($H5="第一類",1,IF($H5="第二類",IF(J3&lt;=0.3,1.5,IF(J3&gt;=0.5,1.1,1.5+(0.3-J3)*2)),IF(J3&lt;=0.3,1.8,IF(J3&gt;=0.5,1.4,1.8+(0.3-J3)*2))))</f>
        <v>1</v>
      </c>
      <c r="K13" s="282">
        <f>IF($H5="第一類",1,IF($H5="第二類",IF(K3&lt;=0.6,1.1,IF(K3&gt;=0.7,1,1.1+(0.6-K3))),IF(K3&lt;=0.6,1.2,IF(K3&gt;=0.8,1,1.2+(0.6-K3)))))</f>
        <v>1</v>
      </c>
      <c r="L13" s="282">
        <f>IF($H5="第一類",1,IF($H5="第二類",IF(L3&lt;=0.3,1.5,IF(L3&gt;=0.5,1.1,1.5+(0.3-L3)*2)),IF(L3&lt;=0.3,1.8,IF(L3&gt;=0.5,1.4,1.8+(0.3-L3)*2))))</f>
        <v>1</v>
      </c>
      <c r="M13" s="285">
        <f>D12</f>
        <v>1.9333</v>
      </c>
      <c r="N13" s="272"/>
      <c r="Q13" s="52" t="s">
        <v>1294</v>
      </c>
      <c r="R13" s="52">
        <f>ROUND(1/8/(R7^0.5),4)</f>
        <v>0.14249999999999999</v>
      </c>
      <c r="S13" s="46" t="s">
        <v>414</v>
      </c>
      <c r="T13" s="39" t="s">
        <v>1370</v>
      </c>
      <c r="U13" s="39">
        <f>IF(U7&gt;0.611,U$12,IF(IF(U7&gt;0.611,U$12,IF(U7&gt;0.406,AD$5+(U$12-AD$5)*(U7-0.406)/0.205,IF(U7&gt;0.2,AD$5,IF(U7&gt;0.03,AD$5+(AD$5-1)*(U7-0.2)/0.17,1))))&gt;0.406,AD$5+(U$12-AD$5)*(U7-0.406)/0.205,IF(U7&gt;0.2,AD$5,IF(U7&gt;0.03,AD$5+(AD$5-1)*(U7-0.2)/0.17,1))))</f>
        <v>1.7</v>
      </c>
      <c r="V13" s="39" t="s">
        <v>1370</v>
      </c>
      <c r="W13" s="39">
        <f>U13</f>
        <v>1.7</v>
      </c>
      <c r="X13" s="39"/>
      <c r="Y13" s="49"/>
      <c r="Z13" s="270"/>
      <c r="AA13" s="270"/>
      <c r="AB13" s="270"/>
      <c r="AD13" s="270"/>
      <c r="AE13" s="270"/>
      <c r="AF13" s="270"/>
      <c r="AG13" s="270"/>
      <c r="AH13" s="270"/>
      <c r="AI13" s="270"/>
      <c r="AJ13" s="270"/>
      <c r="AK13" s="270"/>
      <c r="AL13" s="270"/>
      <c r="AM13" s="270"/>
      <c r="AN13" s="270"/>
    </row>
    <row r="14" spans="1:40" s="32" customFormat="1" ht="24" customHeight="1">
      <c r="A14" s="147" t="s">
        <v>1688</v>
      </c>
      <c r="B14" s="333">
        <f>一般工址Cs!B14</f>
        <v>1</v>
      </c>
      <c r="C14" s="247" t="s">
        <v>1727</v>
      </c>
      <c r="D14" s="333">
        <f>一般工址Cs!D14</f>
        <v>1.9494</v>
      </c>
      <c r="E14" s="270"/>
      <c r="F14" s="272"/>
      <c r="G14" s="272"/>
      <c r="H14" s="287" t="str">
        <f>A14&amp;" = " &amp;B14</f>
        <v>起始降伏地震力放大倍數αy = 1</v>
      </c>
      <c r="I14" s="392" t="str">
        <f>C13 &amp; "="&amp;D13</f>
        <v>√(2Ra-1)=1.6931</v>
      </c>
      <c r="J14" s="393"/>
      <c r="K14" s="392" t="str">
        <f>C14 &amp; "="&amp;D14</f>
        <v>√(2R-1)=1.9494</v>
      </c>
      <c r="L14" s="393"/>
      <c r="M14" s="275"/>
      <c r="N14" s="272"/>
      <c r="R14" s="54">
        <v>0.15</v>
      </c>
      <c r="S14" s="270"/>
      <c r="T14" s="39" t="s">
        <v>1295</v>
      </c>
      <c r="U14" s="35">
        <f>ROUND(U8/U13,4)</f>
        <v>0.75880000000000003</v>
      </c>
      <c r="V14" s="39" t="s">
        <v>1295</v>
      </c>
      <c r="W14" s="35">
        <f>ROUND(W8/W13,4)</f>
        <v>0.75880000000000003</v>
      </c>
      <c r="X14" s="270"/>
      <c r="Z14" s="270"/>
      <c r="AD14" s="270"/>
      <c r="AE14" s="270"/>
      <c r="AF14" s="270"/>
      <c r="AG14" s="270"/>
      <c r="AH14" s="270"/>
    </row>
    <row r="15" spans="1:40" s="32" customFormat="1" ht="24" customHeight="1">
      <c r="A15" s="387" t="s">
        <v>442</v>
      </c>
      <c r="B15" s="388"/>
      <c r="D15" s="270"/>
      <c r="E15" s="270"/>
      <c r="F15" s="272"/>
      <c r="G15" s="272"/>
      <c r="H15" s="389" t="s">
        <v>442</v>
      </c>
      <c r="I15" s="390"/>
      <c r="L15" s="233"/>
      <c r="M15" s="163"/>
      <c r="N15" s="163"/>
      <c r="O15" s="306"/>
      <c r="P15" s="270"/>
      <c r="Q15" s="45" t="s">
        <v>390</v>
      </c>
      <c r="R15" s="51">
        <f>R5*R6*R14*R11</f>
        <v>0.12</v>
      </c>
      <c r="T15" s="39" t="s">
        <v>1296</v>
      </c>
      <c r="U15" s="51">
        <f>IF(U14&gt;1,1,U14)</f>
        <v>0.75880000000000003</v>
      </c>
      <c r="V15" s="39" t="s">
        <v>1296</v>
      </c>
      <c r="W15" s="51">
        <f>IF(W14&gt;1,1,W14)</f>
        <v>0.75880000000000003</v>
      </c>
      <c r="AD15" s="270"/>
      <c r="AE15" s="270"/>
      <c r="AF15" s="270"/>
      <c r="AG15" s="270"/>
      <c r="AH15" s="270"/>
    </row>
    <row r="16" spans="1:40" s="32" customFormat="1" ht="24" customHeight="1">
      <c r="A16" s="149" t="s">
        <v>1281</v>
      </c>
      <c r="B16" s="107" t="s">
        <v>1421</v>
      </c>
      <c r="C16" s="55" t="s">
        <v>1422</v>
      </c>
      <c r="D16" s="274" t="s">
        <v>1375</v>
      </c>
      <c r="E16" s="55" t="s">
        <v>1376</v>
      </c>
      <c r="F16" s="150" t="s">
        <v>1377</v>
      </c>
      <c r="G16" s="161"/>
      <c r="H16" s="149" t="s">
        <v>1281</v>
      </c>
      <c r="I16" s="55" t="s">
        <v>1373</v>
      </c>
      <c r="J16" s="55" t="s">
        <v>1374</v>
      </c>
      <c r="K16" s="274" t="s">
        <v>1375</v>
      </c>
      <c r="L16" s="55" t="s">
        <v>1376</v>
      </c>
      <c r="M16" s="150" t="s">
        <v>1377</v>
      </c>
      <c r="N16" s="174" t="s">
        <v>1378</v>
      </c>
      <c r="O16" s="326"/>
      <c r="P16" s="140"/>
      <c r="T16" s="45" t="s">
        <v>390</v>
      </c>
      <c r="U16" s="51">
        <f>U5*U11/1.4/U6*U15</f>
        <v>8.3106666666666676E-2</v>
      </c>
      <c r="V16" s="45" t="s">
        <v>390</v>
      </c>
      <c r="W16" s="51">
        <f>W5*W11*W8/1.4/W6/W13</f>
        <v>0.11923423851532038</v>
      </c>
      <c r="AD16" s="270"/>
      <c r="AE16" s="270"/>
      <c r="AF16" s="270"/>
      <c r="AG16" s="270"/>
    </row>
    <row r="17" spans="1:29" s="32" customFormat="1" ht="24" customHeight="1">
      <c r="A17" s="142"/>
      <c r="B17" s="345" t="e">
        <f ca="1">ROUND(C$9*C$7,4)</f>
        <v>#N/A</v>
      </c>
      <c r="C17" s="345" t="e">
        <f ca="1">ROUND(D$9*D$7,4)</f>
        <v>#N/A</v>
      </c>
      <c r="D17" s="345" t="e">
        <f ca="1">ROUND(C$17/B$17,4)</f>
        <v>#N/A</v>
      </c>
      <c r="E17" s="345" t="e">
        <f ca="1">ROUND(D17*0.2,4)</f>
        <v>#N/A</v>
      </c>
      <c r="F17" s="343" t="e">
        <f ca="1">ROUND(D17*0.6,4)</f>
        <v>#N/A</v>
      </c>
      <c r="G17" s="171"/>
      <c r="H17" s="142"/>
      <c r="I17" s="284">
        <f ca="1">ROUND(I3*I$9*I$5,4)</f>
        <v>0.92800000000000005</v>
      </c>
      <c r="J17" s="284">
        <f ca="1">ROUND(J3*J$9*J$5,4)</f>
        <v>0.59399999999999997</v>
      </c>
      <c r="K17" s="284">
        <f ca="1">ROUND(J$17/I$17,4)</f>
        <v>0.6401</v>
      </c>
      <c r="L17" s="284">
        <f ca="1">ROUND(K17*0.2,4)</f>
        <v>0.128</v>
      </c>
      <c r="M17" s="285">
        <f ca="1">ROUND(K17*0.6,4)</f>
        <v>0.3841</v>
      </c>
      <c r="N17" s="174">
        <f ca="1">K17*2.5</f>
        <v>1.60025</v>
      </c>
      <c r="O17" s="39"/>
      <c r="T17" s="39">
        <f>VLOOKUP($B$5,工址放大係數!$B$12:$L$14,2,FALSE)</f>
        <v>0.03</v>
      </c>
      <c r="U17" s="39">
        <f>VLOOKUP($B$5,工址放大係數!$B$12:$L$14,3,FALSE)</f>
        <v>0.15</v>
      </c>
      <c r="V17" s="39">
        <f>VLOOKUP($B$5,工址放大係數!$B$12:$L$14,4,FALSE)</f>
        <v>0.33300000000000002</v>
      </c>
      <c r="W17" s="39">
        <f>VLOOKUP($B$5,工址放大係數!$B$12:$L$14,5,FALSE)</f>
        <v>1.3149999999999999</v>
      </c>
      <c r="X17" s="39">
        <f>VLOOKUP($B$5,工址放大係數!$B$12:$I$14,6,FALSE)</f>
        <v>1</v>
      </c>
      <c r="Y17" s="39">
        <f>VLOOKUP($B$5,工址放大係數!$B$12:$L$14,7,FALSE)</f>
        <v>12.5</v>
      </c>
      <c r="Z17" s="39">
        <f>VLOOKUP($B$5,工址放大係數!$B$12:$L$14,8,FALSE)</f>
        <v>0.625</v>
      </c>
      <c r="AA17" s="39">
        <f>VLOOKUP($B$5,工址放大係數!$B$12:$L$14,9,FALSE)</f>
        <v>2.5</v>
      </c>
      <c r="AB17" s="39">
        <f>VLOOKUP($B$5,工址放大係數!$B$12:$K$14,10,FALSE)</f>
        <v>1.2</v>
      </c>
      <c r="AC17" s="42">
        <f>VLOOKUP($B$5,工址放大係數!$B$12:$L$14,11,FALSE)</f>
        <v>0.66666666666666663</v>
      </c>
    </row>
    <row r="18" spans="1:29" s="32" customFormat="1" ht="24" customHeight="1" thickBot="1">
      <c r="A18" s="149" t="s">
        <v>1288</v>
      </c>
      <c r="B18" s="55" t="s">
        <v>1379</v>
      </c>
      <c r="C18" s="55" t="s">
        <v>1380</v>
      </c>
      <c r="D18" s="274" t="s">
        <v>1375</v>
      </c>
      <c r="E18" s="55" t="s">
        <v>1376</v>
      </c>
      <c r="F18" s="150" t="s">
        <v>1377</v>
      </c>
      <c r="G18" s="161"/>
      <c r="H18" s="149" t="s">
        <v>1288</v>
      </c>
      <c r="I18" s="55" t="s">
        <v>1379</v>
      </c>
      <c r="J18" s="55" t="s">
        <v>1380</v>
      </c>
      <c r="K18" s="274" t="s">
        <v>1375</v>
      </c>
      <c r="L18" s="55" t="s">
        <v>1376</v>
      </c>
      <c r="M18" s="150" t="s">
        <v>1377</v>
      </c>
      <c r="N18" s="174" t="s">
        <v>1378</v>
      </c>
      <c r="O18" s="39"/>
    </row>
    <row r="19" spans="1:29" s="32" customFormat="1" ht="24" customHeight="1" thickTop="1">
      <c r="A19" s="142"/>
      <c r="B19" s="345">
        <f ca="1">C3*C5</f>
        <v>0.8</v>
      </c>
      <c r="C19" s="345">
        <f ca="1">D3*D5</f>
        <v>0.45</v>
      </c>
      <c r="D19" s="345">
        <f ca="1">ROUND(C19/B19,4)</f>
        <v>0.5625</v>
      </c>
      <c r="E19" s="345">
        <f ca="1">D19*0.2</f>
        <v>0.1125</v>
      </c>
      <c r="F19" s="343">
        <f ca="1">D19*0.6</f>
        <v>0.33749999999999997</v>
      </c>
      <c r="G19" s="171"/>
      <c r="H19" s="142"/>
      <c r="I19" s="284">
        <f ca="1">I3*I13</f>
        <v>0.8</v>
      </c>
      <c r="J19" s="284">
        <f ca="1">J3*J13</f>
        <v>0.45</v>
      </c>
      <c r="K19" s="284">
        <f ca="1">ROUND(J19/I19,4)</f>
        <v>0.5625</v>
      </c>
      <c r="L19" s="284">
        <f ca="1">K19*0.2</f>
        <v>0.1125</v>
      </c>
      <c r="M19" s="285">
        <f ca="1">K19*0.6</f>
        <v>0.33749999999999997</v>
      </c>
      <c r="N19" s="175">
        <f ca="1">K19*2.5</f>
        <v>1.40625</v>
      </c>
      <c r="O19" s="327"/>
      <c r="R19" s="256" t="s">
        <v>427</v>
      </c>
      <c r="S19" s="250">
        <f>H7</f>
        <v>5</v>
      </c>
      <c r="T19" s="257" t="s">
        <v>1693</v>
      </c>
      <c r="U19" s="257"/>
      <c r="V19" s="257"/>
      <c r="W19" s="258"/>
    </row>
    <row r="20" spans="1:29" s="32" customFormat="1" ht="24" customHeight="1" thickBot="1">
      <c r="A20" s="149" t="s">
        <v>1289</v>
      </c>
      <c r="B20" s="55" t="s">
        <v>1423</v>
      </c>
      <c r="C20" s="55" t="s">
        <v>1424</v>
      </c>
      <c r="D20" s="274" t="s">
        <v>1383</v>
      </c>
      <c r="E20" s="55" t="s">
        <v>1384</v>
      </c>
      <c r="F20" s="150" t="s">
        <v>1385</v>
      </c>
      <c r="G20" s="161"/>
      <c r="H20" s="149" t="s">
        <v>1289</v>
      </c>
      <c r="I20" s="274" t="s">
        <v>1381</v>
      </c>
      <c r="J20" s="55" t="s">
        <v>1382</v>
      </c>
      <c r="K20" s="274" t="s">
        <v>1383</v>
      </c>
      <c r="L20" s="55" t="s">
        <v>1384</v>
      </c>
      <c r="M20" s="150" t="s">
        <v>1385</v>
      </c>
      <c r="N20" s="174" t="s">
        <v>1378</v>
      </c>
      <c r="O20" s="39"/>
      <c r="R20" s="259"/>
      <c r="S20" s="260">
        <v>40725</v>
      </c>
      <c r="T20" s="261" t="s">
        <v>1360</v>
      </c>
      <c r="U20" s="261" t="s">
        <v>1361</v>
      </c>
      <c r="V20" s="261" t="s">
        <v>1362</v>
      </c>
      <c r="W20" s="262" t="s">
        <v>1363</v>
      </c>
    </row>
    <row r="21" spans="1:29" s="32" customFormat="1" ht="24" customHeight="1" thickTop="1">
      <c r="A21" s="142"/>
      <c r="B21" s="345" t="e">
        <f ca="1">E$9*E$7</f>
        <v>#N/A</v>
      </c>
      <c r="C21" s="345" t="e">
        <f ca="1">F$9*F$7</f>
        <v>#N/A</v>
      </c>
      <c r="D21" s="345" t="e">
        <f ca="1">ROUND(C$21/B$21,4)</f>
        <v>#N/A</v>
      </c>
      <c r="E21" s="345" t="e">
        <f ca="1">ROUND(D21*0.2,4)</f>
        <v>#N/A</v>
      </c>
      <c r="F21" s="343" t="e">
        <f ca="1">ROUND(D21*0.6,4)</f>
        <v>#N/A</v>
      </c>
      <c r="G21" s="171"/>
      <c r="H21" s="142"/>
      <c r="I21" s="284">
        <f ca="1">K3*K$9*K$5</f>
        <v>1.2</v>
      </c>
      <c r="J21" s="284">
        <f ca="1">L3*L$9*L$5</f>
        <v>0.79749999999999999</v>
      </c>
      <c r="K21" s="284">
        <f ca="1">ROUND(J$21/I$21,4)</f>
        <v>0.66459999999999997</v>
      </c>
      <c r="L21" s="284">
        <f ca="1">ROUND(K21*0.2,4)</f>
        <v>0.13289999999999999</v>
      </c>
      <c r="M21" s="285">
        <f ca="1">ROUND(K21*0.6,4)</f>
        <v>0.39879999999999999</v>
      </c>
      <c r="N21" s="175">
        <f ca="1">K21*2.5</f>
        <v>1.6615</v>
      </c>
      <c r="O21" s="327"/>
      <c r="R21" s="251"/>
      <c r="S21" s="37" t="s">
        <v>357</v>
      </c>
      <c r="T21" s="32">
        <v>1</v>
      </c>
      <c r="U21" s="32">
        <v>1</v>
      </c>
      <c r="V21" s="32">
        <v>1</v>
      </c>
      <c r="W21" s="272">
        <v>1</v>
      </c>
    </row>
    <row r="22" spans="1:29" s="32" customFormat="1" ht="24" customHeight="1">
      <c r="A22" s="173" t="s">
        <v>1420</v>
      </c>
      <c r="B22" s="344" t="e">
        <f ca="1">0.4*B17 &amp; " g"</f>
        <v>#N/A</v>
      </c>
      <c r="C22" s="344" t="e">
        <f ca="1">"= " &amp; ROUND(0.4*B17*981,1) &amp; " gal"</f>
        <v>#N/A</v>
      </c>
      <c r="G22" s="171"/>
      <c r="H22" s="173" t="s">
        <v>1420</v>
      </c>
      <c r="I22" s="286" t="str">
        <f ca="1">0.4*I17 &amp; " g"</f>
        <v>0.3712 g</v>
      </c>
      <c r="J22" s="286" t="str">
        <f ca="1">"= " &amp; ROUND(0.4*I17*981,1) &amp; " gal"</f>
        <v>= 364.1 gal</v>
      </c>
      <c r="K22" s="49"/>
      <c r="L22" s="49"/>
      <c r="M22" s="171"/>
      <c r="N22" s="172"/>
      <c r="O22" s="327"/>
      <c r="R22" s="252">
        <v>1</v>
      </c>
      <c r="S22" s="38" t="s">
        <v>81</v>
      </c>
      <c r="T22" s="32">
        <f>IF(S$19&lt;=2,1.23,IF(S$19&lt;=5,1.16,IF(S$19&lt;=8,1.07,IF(S$19&lt;=12,1.03,1))))</f>
        <v>1.1599999999999999</v>
      </c>
      <c r="U22" s="32">
        <f>IF(S$19&lt;=2,1.36,IF(S$19&lt;=5,1.32,IF(S$19&lt;=8,1.22,IF(S$19&lt;=12,1.1,1))))</f>
        <v>1.32</v>
      </c>
      <c r="V22" s="32">
        <f>IF(S$19&lt;=2,1.25,IF(S$19&lt;=5,1.2,IF(S$19&lt;=8,1.1,IF(S$19&lt;=12,1.03,1))))</f>
        <v>1.2</v>
      </c>
      <c r="W22" s="272">
        <f>IF(S$19&lt;=2,1.5,IF(S$19&lt;=5,1.45,IF(S$19&lt;=8,1.3,IF(S$19&lt;=12,1.15,1))))</f>
        <v>1.45</v>
      </c>
    </row>
    <row r="23" spans="1:29" s="32" customFormat="1" ht="24" customHeight="1">
      <c r="A23" s="391" t="s">
        <v>467</v>
      </c>
      <c r="B23" s="390"/>
      <c r="C23" s="34"/>
      <c r="G23" s="272"/>
      <c r="H23" s="391" t="s">
        <v>467</v>
      </c>
      <c r="I23" s="390"/>
      <c r="J23" s="34"/>
      <c r="M23" s="272"/>
      <c r="N23" s="211">
        <f>IF(H6="無",1/2,2/3)</f>
        <v>0.66666666666666663</v>
      </c>
      <c r="O23" s="328"/>
      <c r="R23" s="251">
        <v>2</v>
      </c>
      <c r="S23" s="38" t="s">
        <v>73</v>
      </c>
      <c r="T23" s="32">
        <f>IF(S$19&lt;=2,1.28,IF(S$19&lt;=5,1.2,IF(S$19&lt;=8,1.1,1)))</f>
        <v>1.2</v>
      </c>
      <c r="U23" s="32">
        <f>IF(S$19&lt;=2,1.33,IF(S$19&lt;=5,1.27,IF(S$19&lt;=8,1.1,1)))</f>
        <v>1.27</v>
      </c>
      <c r="V23" s="32">
        <f>IF(S$19&lt;=2,1.26,IF(S$19&lt;=5,1.18,IF(S$19&lt;=8,1.05,1)))</f>
        <v>1.18</v>
      </c>
      <c r="W23" s="272">
        <f>IF(S$19&lt;=2,1.42,IF(S$19&lt;=5,1.32,IF(S$19&lt;=8,1.15,1)))</f>
        <v>1.32</v>
      </c>
    </row>
    <row r="24" spans="1:29" s="32" customFormat="1" ht="24" customHeight="1">
      <c r="A24" s="143" t="s">
        <v>1281</v>
      </c>
      <c r="B24" s="108" t="s">
        <v>1386</v>
      </c>
      <c r="C24" s="274" t="s">
        <v>1387</v>
      </c>
      <c r="D24" s="274" t="s">
        <v>1388</v>
      </c>
      <c r="E24" s="274" t="s">
        <v>1389</v>
      </c>
      <c r="F24" s="148"/>
      <c r="G24" s="148"/>
      <c r="H24" s="143" t="s">
        <v>1281</v>
      </c>
      <c r="I24" s="274" t="s">
        <v>1386</v>
      </c>
      <c r="J24" s="274" t="s">
        <v>1387</v>
      </c>
      <c r="K24" s="274" t="s">
        <v>1388</v>
      </c>
      <c r="L24" s="274" t="s">
        <v>1389</v>
      </c>
      <c r="M24" s="213" t="s">
        <v>1664</v>
      </c>
      <c r="N24" s="216" t="s">
        <v>1661</v>
      </c>
      <c r="O24" s="216"/>
      <c r="P24" s="214" t="s">
        <v>1662</v>
      </c>
      <c r="Q24" s="249" t="s">
        <v>1663</v>
      </c>
      <c r="R24" s="251">
        <v>3</v>
      </c>
      <c r="S24" s="38" t="s">
        <v>372</v>
      </c>
      <c r="T24" s="32">
        <f>IF(S$19&lt;=2,1.28,IF(S$19&lt;=5,1.2,IF(S$19&lt;=10,1.1,1)))</f>
        <v>1.2</v>
      </c>
      <c r="U24" s="32">
        <f>IF(S$19&lt;=2,1.31,IF(S$19&lt;=5,1.25,IF(S$19&lt;=10,1.15,1)))</f>
        <v>1.25</v>
      </c>
      <c r="V24" s="32">
        <f>IF(S$19&lt;=2,1.26,IF(S$19&lt;=5,1.17,IF(S$19&lt;=10,1.05,1)))</f>
        <v>1.17</v>
      </c>
      <c r="W24" s="272">
        <f>IF(S$19&lt;=2,1.42,IF(S$19&lt;=5,1.32,IF(S$19&lt;=10,1.15,1)))</f>
        <v>1.32</v>
      </c>
    </row>
    <row r="25" spans="1:29" s="32" customFormat="1" ht="24" customHeight="1">
      <c r="A25" s="142"/>
      <c r="B25" s="53" t="e">
        <f ca="1">ROUND(IF($F$11&gt;2.5*D17,0.4*B17,IF($F$11&gt;D17,C17/$F$11,IF($F$11&gt;E17,B17,B17*(0.4+3*$F$11/D17)))),4)</f>
        <v>#N/A</v>
      </c>
      <c r="C25" s="53" t="e">
        <f ca="1">ROUND(IF($F11&gt;=D$17,$D$12,IF($F11&gt;=F$17,$D$13+($D$12-$D$13)*($F$11-0.6*$D$17)/0.4/$D$17,IF($F11&lt;E$17,$D$13+($D$13-1)*($F$11-$E$17)/$E$17,$D$13))),4)</f>
        <v>#N/A</v>
      </c>
      <c r="D25" s="53" t="e">
        <f ca="1">ROUND(B25/C25,4)</f>
        <v>#N/A</v>
      </c>
      <c r="E25" s="53" t="e">
        <f ca="1">IF(D25&lt;=0.3,D25,IF(D25&lt;0.8,ROUND(0.52*D25+0.144,4),0.7*D25))</f>
        <v>#N/A</v>
      </c>
      <c r="F25" s="148"/>
      <c r="G25" s="148"/>
      <c r="H25" s="142"/>
      <c r="I25" s="53">
        <f ca="1">ROUND(IF($F$11&gt;2.5*K17,0.4*I17,IF($F$11&gt;K17,J17/$F$11,IF($F$11&gt;L17,I17,I17*(0.4+3*$F$11/K17)))),4)</f>
        <v>0.66200000000000003</v>
      </c>
      <c r="J25" s="53">
        <f ca="1">ROUND(IF($F11&gt;=K$17,$D$12,IF($F11&gt;=M$17,$D$13+($D$12-$D$13)*($F11-0.6*K$17)/0.4/K$17,IF($F11&lt;L$17,$D$13+($D$13-1)*($F11-L$17)/L$17,$D$13))),4)</f>
        <v>1.9333</v>
      </c>
      <c r="K25" s="53">
        <f ca="1">ROUND(I25/J25,4)</f>
        <v>0.34239999999999998</v>
      </c>
      <c r="L25" s="53">
        <f ca="1">IF(K25&lt;=0.3,K25,IF(K25&lt;0.8,ROUND(0.52*K25+0.144,4),0.7*K25))</f>
        <v>0.32200000000000001</v>
      </c>
      <c r="M25" s="165">
        <f ca="1">IF(Q25&lt;=0.2,Q25,IF(Q25&lt;0.53,ROUND(0.52*Q25+0.096,4),0.7*Q25))</f>
        <v>0.32379999999999998</v>
      </c>
      <c r="N25" s="217">
        <f ca="1">I25*N$23</f>
        <v>0.44133333333333336</v>
      </c>
      <c r="O25" s="217"/>
      <c r="P25" s="215">
        <f ca="1">ROUND(IF($N$11&gt;=K17,$B$12,IF($N$11&gt;=M17,$D$14+($B$12-$D$14)*($N$11-0.6*M17)/0.4/K17,IF($N$11&lt;L17,$D$14+($D$14-1)*($N$11-L17)/L17,$D$14))),4)</f>
        <v>1.0074000000000001</v>
      </c>
      <c r="Q25" s="212">
        <f ca="1">ROUND(N25/P25,4)</f>
        <v>0.43809999999999999</v>
      </c>
      <c r="R25" s="251">
        <v>4</v>
      </c>
      <c r="S25" s="38" t="s">
        <v>169</v>
      </c>
      <c r="T25" s="32">
        <f>IF(S$19&lt;=2,1.37,IF(S$19&lt;=5,1.28,IF(S$19&lt;=8,1.15,1)))</f>
        <v>1.28</v>
      </c>
      <c r="U25" s="32">
        <f>IF(S$19&lt;=2,1.44,IF(S$19&lt;=5,1.36,IF(S$19&lt;=8,1.2,1)))</f>
        <v>1.36</v>
      </c>
      <c r="V25" s="32">
        <f>IF(S$19&lt;=2,1.3,IF(S$19&lt;=5,1.2,IF(S$19&lt;=8,1.05,1)))</f>
        <v>1.2</v>
      </c>
      <c r="W25" s="272">
        <f>IF(S$19&lt;=2,1.48,IF(S$19&lt;=5,1.36,IF(S$19&lt;=8,1.15,1)))</f>
        <v>1.36</v>
      </c>
    </row>
    <row r="26" spans="1:29" s="32" customFormat="1" ht="24" customHeight="1">
      <c r="A26" s="143" t="s">
        <v>1586</v>
      </c>
      <c r="B26" s="274" t="s">
        <v>1390</v>
      </c>
      <c r="C26" s="274" t="s">
        <v>1387</v>
      </c>
      <c r="D26" s="274" t="s">
        <v>1391</v>
      </c>
      <c r="E26" s="274" t="s">
        <v>1392</v>
      </c>
      <c r="F26" s="151"/>
      <c r="G26" s="151"/>
      <c r="H26" s="143" t="s">
        <v>1586</v>
      </c>
      <c r="I26" s="274" t="s">
        <v>1390</v>
      </c>
      <c r="J26" s="274" t="s">
        <v>1387</v>
      </c>
      <c r="K26" s="274" t="s">
        <v>1391</v>
      </c>
      <c r="L26" s="274" t="s">
        <v>1392</v>
      </c>
      <c r="M26" s="272"/>
      <c r="N26" s="151"/>
      <c r="O26" s="151"/>
      <c r="P26" s="151"/>
      <c r="R26" s="251">
        <v>5</v>
      </c>
      <c r="S26" s="38" t="s">
        <v>220</v>
      </c>
      <c r="T26" s="32">
        <f>IF(S$19&lt;=2,1.23,IF(S$19&lt;=5,1.06,1))</f>
        <v>1.06</v>
      </c>
      <c r="U26" s="32">
        <f>IF(S$19&lt;=2,1.15,IF(S$19&lt;=5,1.05,1))</f>
        <v>1.05</v>
      </c>
      <c r="V26" s="32">
        <f>IF(S$19&lt;=2,1.29,IF(S$19&lt;=5,1.1,1))</f>
        <v>1.1000000000000001</v>
      </c>
      <c r="W26" s="272">
        <f>IF(S$19&lt;=2,1.3,IF(S$19&lt;=5,1.15,1))</f>
        <v>1.1499999999999999</v>
      </c>
    </row>
    <row r="27" spans="1:29" s="32" customFormat="1" ht="24" customHeight="1">
      <c r="A27" s="142"/>
      <c r="B27" s="53">
        <f ca="1">ROUND(IF($F$11&gt;2.5*D19,0.4*B19,IF($F$11&gt;D19,C19/$F$11,IF($F$11&gt;E19,B19,B19*(0.4+3*$F$11/D19)))),4)</f>
        <v>0.50149999999999995</v>
      </c>
      <c r="C27" s="56">
        <f ca="1">ROUND(IF($F11&gt;=D$19,$D$12,IF($F11&gt;=F$19,$D$13+($D$12-$D$13)*($F11-0.6*D$19)/0.4/D$19,IF($F11&lt;E$19,$D$13+($D$13-1)*(F11-E$19)/E$19,$D$13))),4)</f>
        <v>1.9333</v>
      </c>
      <c r="D27" s="53">
        <f ca="1">ROUND(B27/C27,4)</f>
        <v>0.25940000000000002</v>
      </c>
      <c r="E27" s="53">
        <f ca="1">IF(D27&lt;=0.3,D27,IF(D27&lt;0.8,ROUND(0.52*D27+0.144,4),0.7*D27))</f>
        <v>0.25940000000000002</v>
      </c>
      <c r="F27" s="151"/>
      <c r="G27" s="151"/>
      <c r="H27" s="142"/>
      <c r="I27" s="53">
        <f ca="1">ROUND(IF($F$11&gt;2.5*K19,0.4*I19,IF($F$11&gt;K19,J19/$F$11,IF($F$11&gt;L19,I19,I19*(0.4+3*$F$11/K19)))),4)</f>
        <v>0.50149999999999995</v>
      </c>
      <c r="J27" s="56">
        <f ca="1">ROUND(IF($F11&gt;=K$19,$D$12,IF($F11&gt;=M$19,$D$13+($D$12-$D$13)*($F11-0.6*K$19)/0.4/K$19,IF($F11&lt;L$19,$D$13+($D$13-1)*($F11-L$19)/L$19,$D$13))),4)</f>
        <v>1.9333</v>
      </c>
      <c r="K27" s="53">
        <f ca="1">ROUND(I27/J27,4)</f>
        <v>0.25940000000000002</v>
      </c>
      <c r="L27" s="53">
        <f ca="1">IF(K27&lt;=0.3,K27,IF(K27&lt;0.8,ROUND(0.52*K27+0.144,4),0.7*K27))</f>
        <v>0.25940000000000002</v>
      </c>
      <c r="M27" s="165">
        <f ca="1">IF(Q27&lt;=0.2,Q27,IF(Q27&lt;0.53,ROUND(0.52*Q27+0.096,4),0.7*Q27))</f>
        <v>0.26840000000000003</v>
      </c>
      <c r="N27" s="217">
        <f ca="1">I27*N$23</f>
        <v>0.33433333333333326</v>
      </c>
      <c r="O27" s="217"/>
      <c r="P27" s="215">
        <f ca="1">ROUND(IF($N$11&gt;=K19,$B$12,IF($N$11&gt;=M19,$D$14+($B$12-$D$14)*($N$11-0.6*M19)/0.4/K19,IF($N$11&lt;L19,$D$14+($D$14-1)*($N$11-L19)/L19,$D$14))),4)</f>
        <v>1.0084</v>
      </c>
      <c r="Q27" s="212">
        <f ca="1">ROUND(N27/P27,4)</f>
        <v>0.33150000000000002</v>
      </c>
      <c r="R27" s="251">
        <v>6</v>
      </c>
      <c r="S27" s="38" t="s">
        <v>1720</v>
      </c>
      <c r="T27" s="32">
        <f>IF(S$19&lt;=2,1.15,IF(S$19&lt;=5,1.08,IF(S$19&lt;=8,1,1)))</f>
        <v>1.08</v>
      </c>
      <c r="U27" s="32">
        <f>IF(S$19&lt;=2,1.15,IF(S$19&lt;=5,1.1,IF(S$19&lt;=8,1.03,1)))</f>
        <v>1.1000000000000001</v>
      </c>
      <c r="V27" s="32">
        <f>IF(S$19&lt;=2,1.21,IF(S$19&lt;=5,1.17,IF(S$19&lt;=8,1.05,1)))</f>
        <v>1.17</v>
      </c>
      <c r="W27" s="272">
        <f>IF(S$19&lt;=2,1.42,IF(S$19&lt;=5,1.35,IF(S$19&lt;=8,1.15,1)))</f>
        <v>1.35</v>
      </c>
    </row>
    <row r="28" spans="1:29" s="32" customFormat="1" ht="24" customHeight="1" thickBot="1">
      <c r="A28" s="143" t="s">
        <v>1587</v>
      </c>
      <c r="B28" s="274" t="s">
        <v>1393</v>
      </c>
      <c r="C28" s="274" t="s">
        <v>1394</v>
      </c>
      <c r="D28" s="274" t="s">
        <v>1395</v>
      </c>
      <c r="E28" s="274" t="s">
        <v>1396</v>
      </c>
      <c r="F28" s="152"/>
      <c r="G28" s="152"/>
      <c r="H28" s="143" t="s">
        <v>1587</v>
      </c>
      <c r="I28" s="274" t="s">
        <v>1393</v>
      </c>
      <c r="J28" s="274" t="s">
        <v>1394</v>
      </c>
      <c r="K28" s="274" t="s">
        <v>1395</v>
      </c>
      <c r="L28" s="274" t="s">
        <v>1396</v>
      </c>
      <c r="M28" s="272"/>
      <c r="N28" s="152"/>
      <c r="O28" s="152"/>
      <c r="P28" s="152"/>
      <c r="R28" s="253">
        <v>7</v>
      </c>
      <c r="S28" s="268" t="s">
        <v>326</v>
      </c>
      <c r="T28" s="255">
        <f>IF(S$19&lt;=2,1.42,IF(S$19&lt;=5,1.37,IF(S$19&lt;=8,1.28,IF(S$19&lt;=12,1.14,1))))</f>
        <v>1.37</v>
      </c>
      <c r="U28" s="255">
        <f>IF(S$19&lt;=2,1.58,IF(S$19&lt;=5,1.53,IF(S$19&lt;=8,1.38,IF(S$19&lt;=12,1.2,1))))</f>
        <v>1.53</v>
      </c>
      <c r="V28" s="269">
        <f>IF(S$19&lt;=2,1.32,IF(S$19&lt;=5,1.26,IF(S$19&lt;=8,1.1,IF(S$19&lt;=12,1.02,IF(S$19&lt;=5,1,1)))))</f>
        <v>1.26</v>
      </c>
      <c r="W28" s="156">
        <f>IF(S$19&lt;=2,1.58,IF(S$19&lt;=5,1.48,IF(S$19&lt;=8,1.3,IF(S$19&lt;=12,1.16,IF(S$19&lt;=5,1.05,1)))))</f>
        <v>1.48</v>
      </c>
    </row>
    <row r="29" spans="1:29" s="32" customFormat="1" ht="24" customHeight="1" thickTop="1">
      <c r="A29" s="142"/>
      <c r="B29" s="53" t="e">
        <f ca="1">IF($F11&lt;E$21,ROUND(B$21*(0.4+3*$F11/D$21),3),IF($F11&lt;=D$21,B$21,IF($F11&lt;=2.5*D$21,C$21/$F11,0.4*B$21)))</f>
        <v>#N/A</v>
      </c>
      <c r="C29" s="53" t="e">
        <f ca="1">ROUND(IF($F11&gt;=D$21,$B$12,IF($F11&gt;=F$21,$D$14+($B$12-$D$14)*($F11-0.6*D$21)/0.4/D$21,IF($F11&lt;E$21,$D$14+($D$14-1)*($F11-E$21)/E$21,$D$14))),4)</f>
        <v>#N/A</v>
      </c>
      <c r="D29" s="53" t="e">
        <f ca="1">ROUND(B29/C29,4)</f>
        <v>#N/A</v>
      </c>
      <c r="E29" s="53" t="e">
        <f ca="1">IF(D29&lt;=0.3,D29,IF(D29&lt;0.8,ROUND(0.52*D29+0.144,4),0.7*D29))</f>
        <v>#N/A</v>
      </c>
      <c r="F29" s="272"/>
      <c r="G29" s="272"/>
      <c r="H29" s="142"/>
      <c r="I29" s="53">
        <f ca="1">IF($F11&lt;L$21,ROUND(I$21*(0.4+3*$F11/K$21),3),IF($F11&lt;=K$21,I$21,IF($F11&lt;=2.5*K$21,J$21/$F11,0.4*I$21)))</f>
        <v>0.88877744344143539</v>
      </c>
      <c r="J29" s="53">
        <f ca="1">ROUND(IF($F11&gt;=K$21,$B$12,IF($F11&gt;=M$21,$D$14+($B$12-$D$14)*($F11-0.6*K$21)/0.4/K$21,IF($F11&lt;L$21,$D$14+($D$14-1)*($F11-L$21)/L$21,$D$14))),4)</f>
        <v>2.4</v>
      </c>
      <c r="K29" s="53">
        <f ca="1">ROUND(I29/J29,4)</f>
        <v>0.37030000000000002</v>
      </c>
      <c r="L29" s="53">
        <f ca="1">IF(K29&lt;=0.3,K29,IF(K29&lt;0.8,ROUND(0.52*K29+0.144,4),0.7*K29))</f>
        <v>0.33660000000000001</v>
      </c>
      <c r="M29" s="165">
        <f ca="1">IF(Q29&lt;=0.2,Q29,IF(Q29&lt;0.53,ROUND(0.52*Q29+0.096,4),0.7*Q29))</f>
        <v>0.41181000000000001</v>
      </c>
      <c r="N29" s="217">
        <f ca="1">I29*N$23</f>
        <v>0.59251829562762359</v>
      </c>
      <c r="O29" s="217"/>
      <c r="P29" s="215">
        <f ca="1">ROUND(IF($N$11&gt;=K21,$B$12,IF($N$11&gt;=M21,$D$14+($B$12-$D$14)*($N$11-0.6*M21)/0.4/K21,IF($N$11&lt;L21,$D$14+($D$14-1)*($N$11-L21)/L21,$D$14))),4)</f>
        <v>1.0071000000000001</v>
      </c>
      <c r="Q29" s="212">
        <f ca="1">ROUND(N29/P29,4)</f>
        <v>0.58830000000000005</v>
      </c>
      <c r="R29" s="251"/>
      <c r="S29" s="38"/>
      <c r="W29" s="272"/>
    </row>
    <row r="30" spans="1:29" s="32" customFormat="1" ht="24" customHeight="1">
      <c r="A30" s="384" t="s">
        <v>1281</v>
      </c>
      <c r="B30" s="385"/>
      <c r="C30" s="57"/>
      <c r="D30" s="57"/>
      <c r="E30" s="57"/>
      <c r="F30" s="166"/>
      <c r="G30" s="166"/>
      <c r="H30" s="384" t="s">
        <v>1281</v>
      </c>
      <c r="I30" s="385"/>
      <c r="J30" s="57"/>
      <c r="K30" s="57"/>
      <c r="L30" s="57"/>
      <c r="M30" s="272"/>
      <c r="N30" s="272"/>
      <c r="R30" s="251"/>
      <c r="S30" s="38"/>
      <c r="W30" s="272"/>
    </row>
    <row r="31" spans="1:29" s="32" customFormat="1" ht="24" customHeight="1">
      <c r="A31" s="153" t="s">
        <v>1397</v>
      </c>
      <c r="B31" s="49" t="e">
        <f ca="1">ROUND($B$13*E25/1.4/$B$14,4)</f>
        <v>#N/A</v>
      </c>
      <c r="C31" s="271" t="s">
        <v>1290</v>
      </c>
      <c r="D31" s="394" t="s">
        <v>1398</v>
      </c>
      <c r="E31" s="385"/>
      <c r="F31" s="395"/>
      <c r="G31" s="272"/>
      <c r="H31" s="153" t="s">
        <v>1397</v>
      </c>
      <c r="I31" s="49">
        <f ca="1">ROUND($B$13*L25/1.4/$B$14,4)</f>
        <v>0.23</v>
      </c>
      <c r="J31" s="271" t="s">
        <v>1290</v>
      </c>
      <c r="K31" s="394" t="s">
        <v>1398</v>
      </c>
      <c r="L31" s="396"/>
      <c r="N31" s="218" t="s">
        <v>1667</v>
      </c>
      <c r="O31" s="329"/>
      <c r="P31" s="151">
        <f ca="1">ROUND($B$13*M25/1.4/$B$14,4)</f>
        <v>0.23130000000000001</v>
      </c>
      <c r="R31" s="251"/>
      <c r="S31" s="38"/>
      <c r="W31" s="272"/>
    </row>
    <row r="32" spans="1:29" s="32" customFormat="1" ht="24" customHeight="1">
      <c r="A32" s="384" t="s">
        <v>1282</v>
      </c>
      <c r="B32" s="385"/>
      <c r="C32" s="57"/>
      <c r="D32" s="57"/>
      <c r="F32" s="154"/>
      <c r="G32" s="154"/>
      <c r="H32" s="384" t="s">
        <v>1282</v>
      </c>
      <c r="I32" s="385"/>
      <c r="J32" s="57"/>
      <c r="K32" s="270"/>
      <c r="L32" s="271"/>
      <c r="M32" s="151"/>
      <c r="N32" s="219"/>
      <c r="O32" s="272"/>
      <c r="P32" s="151"/>
      <c r="R32" s="251"/>
      <c r="S32" s="38"/>
      <c r="W32" s="272"/>
    </row>
    <row r="33" spans="1:44" s="32" customFormat="1" ht="24" customHeight="1" thickBot="1">
      <c r="A33" s="153" t="s">
        <v>1284</v>
      </c>
      <c r="B33" s="49">
        <f ca="1">ROUND($B13*E27*C27/4.2/$B14,4)</f>
        <v>0.11940000000000001</v>
      </c>
      <c r="C33" s="271" t="s">
        <v>1290</v>
      </c>
      <c r="D33" s="394" t="s">
        <v>1399</v>
      </c>
      <c r="E33" s="385"/>
      <c r="F33" s="395"/>
      <c r="G33" s="272"/>
      <c r="H33" s="153" t="s">
        <v>1284</v>
      </c>
      <c r="I33" s="49">
        <f ca="1">ROUND($B13*L27*J27/4.2/$B14,4)</f>
        <v>0.11940000000000001</v>
      </c>
      <c r="J33" s="271" t="s">
        <v>1290</v>
      </c>
      <c r="K33" s="394" t="s">
        <v>1399</v>
      </c>
      <c r="L33" s="396"/>
      <c r="N33" s="218" t="s">
        <v>1668</v>
      </c>
      <c r="O33" s="329"/>
      <c r="P33" s="151">
        <f ca="1">ROUND($B13*J27*M27/4.2/$B14,4)</f>
        <v>0.1235</v>
      </c>
      <c r="R33" s="253"/>
      <c r="S33" s="254"/>
      <c r="T33" s="255"/>
      <c r="U33" s="255"/>
      <c r="V33" s="255"/>
      <c r="W33" s="156"/>
    </row>
    <row r="34" spans="1:44" s="32" customFormat="1" ht="24" customHeight="1" thickTop="1">
      <c r="A34" s="384" t="s">
        <v>1283</v>
      </c>
      <c r="B34" s="385"/>
      <c r="C34" s="57"/>
      <c r="D34" s="57"/>
      <c r="F34" s="154"/>
      <c r="G34" s="154"/>
      <c r="H34" s="384" t="s">
        <v>1283</v>
      </c>
      <c r="I34" s="385"/>
      <c r="J34" s="57"/>
      <c r="K34" s="270"/>
      <c r="L34" s="271"/>
      <c r="M34" s="151"/>
      <c r="N34" s="219"/>
      <c r="O34" s="272"/>
      <c r="P34" s="151"/>
      <c r="R34" s="41"/>
      <c r="S34" s="41"/>
      <c r="T34" s="43"/>
    </row>
    <row r="35" spans="1:44" s="32" customFormat="1" ht="24" customHeight="1">
      <c r="A35" s="153" t="s">
        <v>1400</v>
      </c>
      <c r="B35" s="49" t="e">
        <f ca="1">ROUND($B13*E29/1.4/$B14,4)</f>
        <v>#N/A</v>
      </c>
      <c r="C35" s="270" t="s">
        <v>1290</v>
      </c>
      <c r="D35" s="397" t="s">
        <v>1401</v>
      </c>
      <c r="E35" s="385"/>
      <c r="F35" s="395"/>
      <c r="G35" s="272"/>
      <c r="H35" s="153" t="s">
        <v>1400</v>
      </c>
      <c r="I35" s="49">
        <f ca="1">ROUND($B13*L29/1.4/$B14,4)</f>
        <v>0.2404</v>
      </c>
      <c r="J35" s="270" t="s">
        <v>1290</v>
      </c>
      <c r="K35" s="397" t="s">
        <v>1401</v>
      </c>
      <c r="L35" s="396"/>
      <c r="N35" s="218" t="s">
        <v>1666</v>
      </c>
      <c r="O35" s="329"/>
      <c r="P35" s="151">
        <f ca="1">ROUND($B$13*M29/1.4/$B$14,4)</f>
        <v>0.29420000000000002</v>
      </c>
    </row>
    <row r="36" spans="1:44" s="32" customFormat="1" ht="24" customHeight="1">
      <c r="A36" s="155" t="s">
        <v>1402</v>
      </c>
      <c r="B36" s="344" t="e">
        <f ca="1">MAX(B31,B33,B35)</f>
        <v>#N/A</v>
      </c>
      <c r="C36" s="58"/>
      <c r="D36" s="44" t="s">
        <v>1425</v>
      </c>
      <c r="E36" s="49" t="e">
        <f ca="1">B33/B36</f>
        <v>#N/A</v>
      </c>
      <c r="F36" s="272"/>
      <c r="G36" s="272"/>
      <c r="H36" s="155" t="s">
        <v>1402</v>
      </c>
      <c r="I36" s="286">
        <f ca="1">MAX(I31,I33,I35)</f>
        <v>0.2404</v>
      </c>
      <c r="J36" s="58"/>
      <c r="K36" s="44" t="s">
        <v>1425</v>
      </c>
      <c r="L36" s="49">
        <f ca="1">I33/I36</f>
        <v>0.49667221297836939</v>
      </c>
      <c r="N36" s="220" t="s">
        <v>1665</v>
      </c>
      <c r="O36" s="330"/>
      <c r="P36" s="151">
        <f ca="1">MAX(P31,P33,P35)</f>
        <v>0.29420000000000002</v>
      </c>
    </row>
    <row r="37" spans="1:44" s="32" customFormat="1" ht="24" customHeight="1" thickBot="1">
      <c r="A37" s="381" t="s">
        <v>1779</v>
      </c>
      <c r="B37" s="382"/>
      <c r="C37" s="382"/>
      <c r="D37" s="382"/>
      <c r="E37" s="382"/>
      <c r="F37" s="383"/>
      <c r="G37" s="273"/>
      <c r="H37" s="381" t="s">
        <v>1730</v>
      </c>
      <c r="I37" s="382"/>
      <c r="J37" s="382"/>
      <c r="K37" s="382"/>
      <c r="L37" s="382"/>
      <c r="M37" s="383"/>
      <c r="N37" s="156"/>
    </row>
    <row r="38" spans="1:44" s="32" customFormat="1" ht="24" customHeight="1" thickTop="1">
      <c r="A38" s="352"/>
      <c r="B38" s="353"/>
      <c r="C38" s="353"/>
      <c r="D38" s="353"/>
      <c r="E38" s="353"/>
      <c r="F38" s="354"/>
      <c r="G38" s="167"/>
      <c r="H38" s="184"/>
      <c r="M38" s="182"/>
      <c r="N38" s="182"/>
      <c r="O38" s="331"/>
      <c r="S38" s="270"/>
      <c r="T38" s="270"/>
      <c r="U38" s="270"/>
      <c r="V38" s="270"/>
    </row>
    <row r="39" spans="1:44" ht="24" customHeight="1">
      <c r="A39" s="292" t="s">
        <v>1762</v>
      </c>
      <c r="B39" s="355" t="s">
        <v>1761</v>
      </c>
      <c r="C39" s="280">
        <v>0.63180000000000003</v>
      </c>
      <c r="D39" s="345" t="e">
        <f ca="1">IF(C39&lt;=0.2*$D17,"較短週期",IF(C39&lt;=$D17,"短週期",IF(C39&lt;=2.5*$D17,"中週期","長週期")))</f>
        <v>#N/A</v>
      </c>
      <c r="E39" s="356"/>
      <c r="F39" s="357"/>
      <c r="G39" s="183"/>
      <c r="H39" s="32"/>
      <c r="U39" s="32"/>
      <c r="X39" s="39" t="s">
        <v>1302</v>
      </c>
      <c r="Y39" s="39">
        <f>R5</f>
        <v>0.8</v>
      </c>
    </row>
    <row r="40" spans="1:44" ht="30.75" customHeight="1">
      <c r="A40" s="358"/>
      <c r="B40" s="355" t="s">
        <v>1733</v>
      </c>
      <c r="C40" s="359">
        <v>3</v>
      </c>
      <c r="D40" s="247" t="s">
        <v>1727</v>
      </c>
      <c r="E40" s="345">
        <f>ROUND((2*C40-1)^0.5,4)</f>
        <v>2.2361</v>
      </c>
      <c r="F40" s="357"/>
      <c r="G40" s="183"/>
      <c r="H40" s="32"/>
      <c r="I40" s="39"/>
      <c r="J40" s="39"/>
      <c r="K40" s="39"/>
      <c r="L40" s="39"/>
      <c r="M40" s="39"/>
      <c r="N40" s="39"/>
      <c r="O40" s="39"/>
      <c r="U40" s="32"/>
      <c r="X40" s="39"/>
      <c r="Y40" s="39"/>
    </row>
    <row r="41" spans="1:44" ht="24.95" customHeight="1">
      <c r="A41" s="358"/>
      <c r="B41" s="355" t="s">
        <v>1734</v>
      </c>
      <c r="C41" s="345">
        <f>1+(C40-1)/1.5</f>
        <v>2.333333333333333</v>
      </c>
      <c r="D41" s="247" t="s">
        <v>1735</v>
      </c>
      <c r="E41" s="345">
        <f>ROUND((2*C41-1)^0.5,4)</f>
        <v>1.9149</v>
      </c>
      <c r="F41" s="357"/>
      <c r="G41" s="61"/>
      <c r="H41" s="60" t="s">
        <v>1403</v>
      </c>
      <c r="K41" s="60"/>
      <c r="M41" s="39" t="s">
        <v>1404</v>
      </c>
      <c r="N41" s="63"/>
      <c r="Q41" s="62" t="s">
        <v>1405</v>
      </c>
      <c r="R41" s="39" t="s">
        <v>1297</v>
      </c>
      <c r="S41" s="32"/>
      <c r="T41" s="270">
        <v>981</v>
      </c>
      <c r="U41" s="39" t="s">
        <v>385</v>
      </c>
      <c r="V41" s="39" t="s">
        <v>422</v>
      </c>
      <c r="W41" s="39">
        <v>1</v>
      </c>
      <c r="X41" s="39">
        <v>0.8</v>
      </c>
      <c r="Y41" s="39">
        <v>0.67</v>
      </c>
      <c r="Z41" s="39" t="s">
        <v>1775</v>
      </c>
      <c r="AA41" s="338" t="e">
        <f ca="1">ROUND(IF(B36=B35,B35/B29,IF(B36=B33,B33/B27,B31/B25)),4)</f>
        <v>#N/A</v>
      </c>
      <c r="AB41" s="39"/>
      <c r="AC41" s="39" t="s">
        <v>393</v>
      </c>
      <c r="AD41" s="39" t="s">
        <v>393</v>
      </c>
      <c r="AE41" s="39" t="s">
        <v>398</v>
      </c>
      <c r="AF41" s="39" t="s">
        <v>426</v>
      </c>
      <c r="AJ41"/>
      <c r="AK41"/>
    </row>
    <row r="42" spans="1:44" ht="20.25">
      <c r="A42" s="360"/>
      <c r="B42" s="361"/>
      <c r="C42" s="361"/>
      <c r="D42" s="361"/>
      <c r="E42" s="356"/>
      <c r="F42" s="357"/>
      <c r="I42" s="39" t="s">
        <v>0</v>
      </c>
      <c r="J42" s="39" t="s">
        <v>1406</v>
      </c>
      <c r="K42" s="39" t="s">
        <v>1407</v>
      </c>
      <c r="L42" s="39" t="s">
        <v>1408</v>
      </c>
      <c r="M42" s="39" t="s">
        <v>1409</v>
      </c>
      <c r="N42" s="39" t="s">
        <v>1584</v>
      </c>
      <c r="O42" s="39" t="s">
        <v>1754</v>
      </c>
      <c r="P42" s="39" t="s">
        <v>1410</v>
      </c>
      <c r="Q42" s="39" t="s">
        <v>1411</v>
      </c>
      <c r="R42" s="39" t="s">
        <v>1755</v>
      </c>
      <c r="S42" s="39" t="s">
        <v>1756</v>
      </c>
      <c r="T42" s="39" t="s">
        <v>1412</v>
      </c>
      <c r="U42" s="39" t="s">
        <v>1413</v>
      </c>
      <c r="V42" s="39" t="s">
        <v>1414</v>
      </c>
      <c r="W42" s="39" t="s">
        <v>1415</v>
      </c>
      <c r="X42" s="39" t="s">
        <v>1585</v>
      </c>
      <c r="Y42" s="39" t="s">
        <v>1416</v>
      </c>
      <c r="Z42" s="39" t="s">
        <v>1776</v>
      </c>
      <c r="AA42" s="39" t="s">
        <v>0</v>
      </c>
      <c r="AB42" s="39" t="s">
        <v>1417</v>
      </c>
      <c r="AC42" s="39" t="s">
        <v>410</v>
      </c>
      <c r="AD42" s="39" t="s">
        <v>411</v>
      </c>
      <c r="AE42" s="39" t="s">
        <v>1418</v>
      </c>
      <c r="AF42" s="39" t="s">
        <v>1418</v>
      </c>
      <c r="AG42" s="39" t="s">
        <v>1418</v>
      </c>
      <c r="AH42" s="39" t="s">
        <v>412</v>
      </c>
      <c r="AI42" s="39" t="s">
        <v>411</v>
      </c>
      <c r="AJ42" s="39" t="s">
        <v>421</v>
      </c>
      <c r="AK42" s="39" t="s">
        <v>420</v>
      </c>
      <c r="AL42" s="39" t="s">
        <v>1418</v>
      </c>
      <c r="AM42" s="39" t="s">
        <v>1418</v>
      </c>
      <c r="AN42" s="39" t="s">
        <v>1418</v>
      </c>
    </row>
    <row r="43" spans="1:44" ht="20.25">
      <c r="A43" s="292" t="e">
        <f ca="1">IF(C7&gt;C3,"近斷層工址","一般區域")</f>
        <v>#N/A</v>
      </c>
      <c r="B43" s="55" t="s">
        <v>1731</v>
      </c>
      <c r="C43" s="274" t="s">
        <v>1760</v>
      </c>
      <c r="D43" s="274" t="s">
        <v>1765</v>
      </c>
      <c r="E43" s="274" t="s">
        <v>1768</v>
      </c>
      <c r="F43" s="213" t="s">
        <v>1772</v>
      </c>
      <c r="I43" s="338">
        <f>一般工址Cs!I43</f>
        <v>0.01</v>
      </c>
      <c r="J43" s="64" t="e">
        <f t="shared" ref="J43:J90" ca="1" si="1">ROUND(IF($I43&gt;=D$17,D$12,IF($I43&gt;=F$17,D$13+(D$12-D$13)*($I43-0.6*D$17)/0.4/D$17,IF($I43&lt;E$17,D$13+(D$13-1)*($I43-E$17)/E$17,D$13))),3)</f>
        <v>#N/A</v>
      </c>
      <c r="K43" s="64" t="e">
        <f t="shared" ref="K43:K90" ca="1" si="2">IF($I43&lt;E$17,ROUND(B$17*(0.4+3*$I43/D$17),3),IF($I43&lt;=D$17,B$17,IF($I43&lt;=2.5*D$17,C$17/$I43,0.4*B$17)))</f>
        <v>#N/A</v>
      </c>
      <c r="L43" s="64" t="e">
        <f t="shared" ref="L43:L95" ca="1" si="3">ROUND(K43/J43,4)</f>
        <v>#N/A</v>
      </c>
      <c r="M43" s="64" t="e">
        <f t="shared" ref="M43:M95" ca="1" si="4">IF(L43&lt;=0.3,L43,IF(L43&lt;0.8,ROUND(0.52*L43+0.144,3),0.7*L43))</f>
        <v>#N/A</v>
      </c>
      <c r="N43" s="61" t="e">
        <f t="shared" ref="N43:N74" ca="1" si="5">ROUND(B$13*M43/1.4/B$14,3)</f>
        <v>#N/A</v>
      </c>
      <c r="O43" s="61">
        <f t="shared" ref="O43:O74" ca="1" si="6">ROUND(IF($I43&gt;=D$19,D$12,IF($I43&gt;=F$19,D$13+(D$12-D$13)*($I43-0.6*D$19)/0.4/D$19,IF($I43&lt;E$19,D$13+(D$13-1)*($I43-E$19)/E$19,D$13))),3)</f>
        <v>1.0620000000000001</v>
      </c>
      <c r="P43" s="61">
        <f t="shared" ref="P43:P74" ca="1" si="7">IF($I43&lt;E$19,ROUND(B$19*(0.4+3*$I43/D$19),3),IF($I43&lt;=D$19,B$19,IF($I43&lt;=2.5*D$19,C$19/$I43,0.4*B$19)))</f>
        <v>0.36299999999999999</v>
      </c>
      <c r="Q43" s="61">
        <f t="shared" ref="Q43:Q95" ca="1" si="8">ROUND(P43/O43,4)</f>
        <v>0.34179999999999999</v>
      </c>
      <c r="R43" s="61">
        <f t="shared" ref="R43:R95" ca="1" si="9">IF(Q43&lt;=0.3,Q43,IF(Q43&lt;0.8,ROUND(0.52*Q43+0.144,3),0.7*Q43))</f>
        <v>0.32200000000000001</v>
      </c>
      <c r="S43" s="61">
        <f t="shared" ref="S43:S74" ca="1" si="10">ROUND(B$13*O43*R43/4.2/B$14,3)</f>
        <v>8.1000000000000003E-2</v>
      </c>
      <c r="T43" s="61" t="e">
        <f t="shared" ref="T43:T74" ca="1" si="11">ROUND(IF($I43&gt;=D$21,B$12,IF($I43&gt;=F$21,D$14+(B$12-D$14)*($I43-0.6*D$21)/0.4/D$21,IF($I43&lt;E$21,D$14+(D$14-1)*($I43-E$21)/E$21,D$14))),3)</f>
        <v>#N/A</v>
      </c>
      <c r="U43" s="61" t="e">
        <f t="shared" ref="U43:U74" ca="1" si="12">IF($I43&lt;E$21,ROUND(B$21*(0.4+3*$I43/D$21),3),IF($I43&lt;=D$21,B$21,IF($I43&lt;=2.5*D$21,C$21/$I43,0.4*B$21)))</f>
        <v>#N/A</v>
      </c>
      <c r="V43" s="61" t="e">
        <f t="shared" ref="V43:V95" ca="1" si="13">ROUND(U43/T43,4)</f>
        <v>#N/A</v>
      </c>
      <c r="W43" s="61" t="e">
        <f t="shared" ref="W43:W95" ca="1" si="14">IF(V43&lt;=0.3,V43,IF(V43&lt;0.8,ROUND(0.52*V43+0.144,3),0.7*V43))</f>
        <v>#N/A</v>
      </c>
      <c r="X43" s="61" t="e">
        <f t="shared" ref="X43:X74" ca="1" si="15">ROUND(B$13*W43/1.4/B$14,3)</f>
        <v>#N/A</v>
      </c>
      <c r="Y43" s="61" t="e">
        <f t="shared" ref="Y43:Y95" ca="1" si="16">MAX(X43,S43,N43)</f>
        <v>#N/A</v>
      </c>
      <c r="Z43" s="338" t="e">
        <f ca="1">ROUND(IF(B36=B35,U43*AA$41,K43*AA$41),4)</f>
        <v>#N/A</v>
      </c>
      <c r="AA43" s="65">
        <f t="shared" ref="AA43:AA74" si="17">I43</f>
        <v>0.01</v>
      </c>
      <c r="AB43" s="270" t="e">
        <f t="shared" ref="AB43:AB74" ca="1" si="18">Z43*T$41</f>
        <v>#N/A</v>
      </c>
      <c r="AC43" s="59">
        <f t="shared" ref="AC43:AC74" si="19">1/8/I43^0.5</f>
        <v>1.25</v>
      </c>
      <c r="AD43" s="59">
        <f>IF(AC43&gt;0.15,0.15,IF(AC43&lt;0.0625,0.0625,AC43))</f>
        <v>0.15</v>
      </c>
      <c r="AE43" s="59">
        <f t="shared" ref="AE43:AE74" si="20">$R$5*W$41*$R$11*$AD43*$AG$5</f>
        <v>0.17159999999999997</v>
      </c>
      <c r="AF43" s="59">
        <f t="shared" ref="AF43:AF74" si="21">$R$5*X$41*$R$11*$AD43*$AG$5</f>
        <v>0.13728000000000001</v>
      </c>
      <c r="AG43" s="59">
        <f t="shared" ref="AG43:AG74" si="22">$R$5*Y$41*$R$11*$AD43*$AG$5</f>
        <v>0.11497199999999999</v>
      </c>
      <c r="AH43" s="59">
        <f t="shared" ref="AH43:AH74" si="23">IF(I43&gt;0.611,$U$12,IF(I43&gt;0.406,AD$5+($U$12-AD$5)*(I43-0.406)/0.205,IF(I43&gt;0.2,AD$5,IF(I43&gt;0.03,AD$5+(AD$5-1)*(I43-0.2)/0.17,1))))</f>
        <v>1</v>
      </c>
      <c r="AI43" s="59">
        <f t="shared" ref="AI43:AI74" si="24">IF(I43&lt;T$17,X$17,IF(I43&lt;U$17,Y$17*I43+V$17,IF(I43&lt;Z$17,AA$17,IF(I43&lt;W$17,AB$17/I43^(AC$17),1))))</f>
        <v>1</v>
      </c>
      <c r="AJ43" s="59">
        <f t="shared" ref="AJ43:AJ95" si="25">AI43/AH43</f>
        <v>1</v>
      </c>
      <c r="AK43" s="59">
        <f>IF(AJ43&gt;1,1,AJ43)</f>
        <v>1</v>
      </c>
      <c r="AL43" s="59">
        <f t="shared" ref="AL43:AL95" si="26">$U$5*$U$11*AK43/1.4/$U$6*$AG$5</f>
        <v>0.15661904761904763</v>
      </c>
      <c r="AM43" s="59">
        <f t="shared" ref="AM43:AM95" si="27">$W$5*$W$11*AK43/1.4/$W$6*$AG$5</f>
        <v>0.22471428571428573</v>
      </c>
      <c r="AN43" s="59" t="e">
        <f t="shared" ref="AN43:AN95" ca="1" si="28">Y43/1.5*$AG$5</f>
        <v>#N/A</v>
      </c>
    </row>
    <row r="44" spans="1:44" ht="18.75">
      <c r="A44" s="362" t="e">
        <f ca="1">IF(C7&gt;C3,2/3,1/2)</f>
        <v>#N/A</v>
      </c>
      <c r="B44" s="345" t="e">
        <f ca="1">A$44*B25</f>
        <v>#N/A</v>
      </c>
      <c r="C44" s="345" t="e">
        <f ca="1">ROUND(IF($C$39&gt;=D$17,C$41,IF($C$39&gt;=F$17,E$41+(C$41-E$41)*($C$39-0.6*D$17)/0.4/D$17,IF($C$39&lt;E$17,E$41+(E$41-1)*($C$39-E$17)/E$17,E$41))),4)</f>
        <v>#N/A</v>
      </c>
      <c r="D44" s="345" t="e">
        <f ca="1">B44/C44</f>
        <v>#N/A</v>
      </c>
      <c r="E44" s="345" t="e">
        <f ca="1">IF(D44&lt;=0.3*A44,D44,IF(D44&lt;0.8*A44,ROUND(0.52*D44+0.144*A44,4),0.7*D44))</f>
        <v>#N/A</v>
      </c>
      <c r="F44" s="343" t="e">
        <f ca="1">B$13*E44/1.4/B$14</f>
        <v>#N/A</v>
      </c>
      <c r="I44" s="338">
        <f>一般工址Cs!I44</f>
        <v>8.9300000000000004E-2</v>
      </c>
      <c r="J44" s="64" t="e">
        <f t="shared" ca="1" si="1"/>
        <v>#N/A</v>
      </c>
      <c r="K44" s="64" t="e">
        <f t="shared" ca="1" si="2"/>
        <v>#N/A</v>
      </c>
      <c r="L44" s="64" t="e">
        <f t="shared" ca="1" si="3"/>
        <v>#N/A</v>
      </c>
      <c r="M44" s="64" t="e">
        <f t="shared" ca="1" si="4"/>
        <v>#N/A</v>
      </c>
      <c r="N44" s="61" t="e">
        <f t="shared" ca="1" si="5"/>
        <v>#N/A</v>
      </c>
      <c r="O44" s="61">
        <f t="shared" ca="1" si="6"/>
        <v>1.55</v>
      </c>
      <c r="P44" s="61">
        <f t="shared" ca="1" si="7"/>
        <v>0.70099999999999996</v>
      </c>
      <c r="Q44" s="61">
        <f t="shared" ca="1" si="8"/>
        <v>0.45229999999999998</v>
      </c>
      <c r="R44" s="61">
        <f t="shared" ca="1" si="9"/>
        <v>0.379</v>
      </c>
      <c r="S44" s="61">
        <f t="shared" ca="1" si="10"/>
        <v>0.14000000000000001</v>
      </c>
      <c r="T44" s="61" t="e">
        <f t="shared" ca="1" si="11"/>
        <v>#N/A</v>
      </c>
      <c r="U44" s="61" t="e">
        <f t="shared" ca="1" si="12"/>
        <v>#N/A</v>
      </c>
      <c r="V44" s="61" t="e">
        <f t="shared" ca="1" si="13"/>
        <v>#N/A</v>
      </c>
      <c r="W44" s="61" t="e">
        <f t="shared" ca="1" si="14"/>
        <v>#N/A</v>
      </c>
      <c r="X44" s="61" t="e">
        <f t="shared" ca="1" si="15"/>
        <v>#N/A</v>
      </c>
      <c r="Y44" s="61" t="e">
        <f t="shared" ca="1" si="16"/>
        <v>#N/A</v>
      </c>
      <c r="Z44" s="338" t="e">
        <f t="shared" ref="Z44:Z95" ca="1" si="29">ROUND(IF(B37=B36,U44*AA$41,K44*AA$41),4)</f>
        <v>#N/A</v>
      </c>
      <c r="AA44" s="65">
        <f t="shared" si="17"/>
        <v>8.9300000000000004E-2</v>
      </c>
      <c r="AB44" s="66" t="e">
        <f t="shared" ca="1" si="18"/>
        <v>#N/A</v>
      </c>
      <c r="AC44" s="59">
        <f t="shared" si="19"/>
        <v>0.41829655088140916</v>
      </c>
      <c r="AD44" s="59">
        <f t="shared" ref="AD44:AD95" si="30">IF(AC44&gt;0.15,0.15,IF(AC44&lt;0.0625,0.0625,AC44))</f>
        <v>0.15</v>
      </c>
      <c r="AE44" s="59">
        <f t="shared" si="20"/>
        <v>0.17159999999999997</v>
      </c>
      <c r="AF44" s="59">
        <f t="shared" si="21"/>
        <v>0.13728000000000001</v>
      </c>
      <c r="AG44" s="59">
        <f t="shared" si="22"/>
        <v>0.11497199999999999</v>
      </c>
      <c r="AH44" s="59">
        <f t="shared" si="23"/>
        <v>1.1915715586590585</v>
      </c>
      <c r="AI44" s="59">
        <f t="shared" si="24"/>
        <v>1.4492499999999999</v>
      </c>
      <c r="AJ44" s="59">
        <f t="shared" si="25"/>
        <v>1.21625091625292</v>
      </c>
      <c r="AK44" s="59">
        <f t="shared" ref="AK44:AK95" si="31">IF(AJ44&gt;1,1,AJ44)</f>
        <v>1</v>
      </c>
      <c r="AL44" s="59">
        <f t="shared" si="26"/>
        <v>0.15661904761904763</v>
      </c>
      <c r="AM44" s="59">
        <f t="shared" si="27"/>
        <v>0.22471428571428573</v>
      </c>
      <c r="AN44" s="59" t="e">
        <f t="shared" ca="1" si="28"/>
        <v>#N/A</v>
      </c>
    </row>
    <row r="45" spans="1:44" ht="20.25">
      <c r="A45" s="358"/>
      <c r="B45" s="274" t="s">
        <v>1763</v>
      </c>
      <c r="C45" s="274" t="s">
        <v>1760</v>
      </c>
      <c r="D45" s="274" t="s">
        <v>1766</v>
      </c>
      <c r="E45" s="274" t="s">
        <v>1769</v>
      </c>
      <c r="F45" s="357"/>
      <c r="I45" s="338">
        <f ca="1">一般工址Cs!I45</f>
        <v>0.1108</v>
      </c>
      <c r="J45" s="67" t="e">
        <f t="shared" ca="1" si="1"/>
        <v>#N/A</v>
      </c>
      <c r="K45" s="67" t="e">
        <f t="shared" ca="1" si="2"/>
        <v>#N/A</v>
      </c>
      <c r="L45" s="67" t="e">
        <f ca="1">ROUND(K45/J45,4)</f>
        <v>#N/A</v>
      </c>
      <c r="M45" s="67" t="e">
        <f ca="1">IF(L45&lt;=0.3,L45,IF(L45&lt;0.8,ROUND(0.52*L45+0.144,3),0.7*L45))</f>
        <v>#N/A</v>
      </c>
      <c r="N45" s="68" t="e">
        <f t="shared" ca="1" si="5"/>
        <v>#N/A</v>
      </c>
      <c r="O45" s="68">
        <f t="shared" ca="1" si="6"/>
        <v>1.6830000000000001</v>
      </c>
      <c r="P45" s="68">
        <f t="shared" ca="1" si="7"/>
        <v>0.79300000000000004</v>
      </c>
      <c r="Q45" s="68">
        <f ca="1">ROUND(P45/O45,4)</f>
        <v>0.47120000000000001</v>
      </c>
      <c r="R45" s="68">
        <f ca="1">IF(Q45&lt;=0.3,Q45,IF(Q45&lt;0.8,ROUND(0.52*Q45+0.144,3),0.7*Q45))</f>
        <v>0.38900000000000001</v>
      </c>
      <c r="S45" s="68">
        <f t="shared" ca="1" si="10"/>
        <v>0.156</v>
      </c>
      <c r="T45" s="68" t="e">
        <f t="shared" ca="1" si="11"/>
        <v>#N/A</v>
      </c>
      <c r="U45" s="68" t="e">
        <f t="shared" ca="1" si="12"/>
        <v>#N/A</v>
      </c>
      <c r="V45" s="68" t="e">
        <f ca="1">ROUND(U45/T45,4)</f>
        <v>#N/A</v>
      </c>
      <c r="W45" s="68" t="e">
        <f ca="1">IF(V45&lt;=0.3,V45,IF(V45&lt;0.8,ROUND(0.52*V45+0.144,3),0.7*V45))</f>
        <v>#N/A</v>
      </c>
      <c r="X45" s="68" t="e">
        <f t="shared" ca="1" si="15"/>
        <v>#N/A</v>
      </c>
      <c r="Y45" s="68" t="e">
        <f ca="1">MAX(X45,S45,N45)</f>
        <v>#N/A</v>
      </c>
      <c r="Z45" s="338" t="e">
        <f t="shared" ca="1" si="29"/>
        <v>#N/A</v>
      </c>
      <c r="AA45" s="66">
        <f t="shared" ca="1" si="17"/>
        <v>0.1108</v>
      </c>
      <c r="AB45" s="66" t="e">
        <f t="shared" ca="1" si="18"/>
        <v>#N/A</v>
      </c>
      <c r="AC45" s="59">
        <f t="shared" ca="1" si="19"/>
        <v>0.37552610507881856</v>
      </c>
      <c r="AD45" s="59">
        <f ca="1">IF(AC45&gt;0.15,0.15,IF(AC45&lt;0.0625,0.0625,AC45))</f>
        <v>0.15</v>
      </c>
      <c r="AE45" s="59">
        <f t="shared" ca="1" si="20"/>
        <v>0.17159999999999997</v>
      </c>
      <c r="AF45" s="59">
        <f t="shared" ca="1" si="21"/>
        <v>0.13728000000000001</v>
      </c>
      <c r="AG45" s="59">
        <f t="shared" ca="1" si="22"/>
        <v>0.11497199999999999</v>
      </c>
      <c r="AH45" s="59">
        <f t="shared" ca="1" si="23"/>
        <v>1.2610283632319041</v>
      </c>
      <c r="AI45" s="59">
        <f t="shared" ca="1" si="24"/>
        <v>1.718</v>
      </c>
      <c r="AJ45" s="59">
        <f ca="1">AI45/AH45</f>
        <v>1.362380141551232</v>
      </c>
      <c r="AK45" s="59">
        <f ca="1">IF(AJ45&gt;1,1,AJ45)</f>
        <v>1</v>
      </c>
      <c r="AL45" s="59">
        <f ca="1">$U$5*$U$11*AK45/1.4/$U$6*$AG$5</f>
        <v>0.15661904761904763</v>
      </c>
      <c r="AM45" s="59">
        <f ca="1">$W$5*$W$11*AK45/1.4/$W$6*$AG$5</f>
        <v>0.22471428571428573</v>
      </c>
      <c r="AN45" s="59" t="e">
        <f ca="1">Y45/1.5*$AG$5</f>
        <v>#N/A</v>
      </c>
      <c r="AP45"/>
      <c r="AQ45"/>
      <c r="AR45"/>
    </row>
    <row r="46" spans="1:44" ht="18.75">
      <c r="A46" s="360"/>
      <c r="B46" s="345" t="e">
        <f ca="1">A$44*B27</f>
        <v>#N/A</v>
      </c>
      <c r="C46" s="345" t="e">
        <f ca="1">ROUND(IF($C$39&gt;=D$17,C$41,IF($C$39&gt;=F$17,E$41+(C$41-E$41)*($C$39-0.6*D$17)/0.4/D$17,IF($C$39&lt;E$17,E$41+(E$41-1)*($C$39-E$17)/E$17,E$41))),4)</f>
        <v>#N/A</v>
      </c>
      <c r="D46" s="345" t="e">
        <f ca="1">ROUND(B46/C46,4)</f>
        <v>#N/A</v>
      </c>
      <c r="E46" s="345" t="e">
        <f ca="1">IF(D46&lt;=0.3,D46,IF(D46&lt;0.8,ROUND(0.52*D46+0.144,4),0.7*D46))</f>
        <v>#N/A</v>
      </c>
      <c r="F46" s="343" t="e">
        <f ca="1">B$13*C46*E46/4.2/B$14</f>
        <v>#N/A</v>
      </c>
      <c r="I46" s="338">
        <f ca="1">一般工址Cs!I46</f>
        <v>0.1124</v>
      </c>
      <c r="J46" s="64" t="e">
        <f t="shared" ca="1" si="1"/>
        <v>#N/A</v>
      </c>
      <c r="K46" s="64" t="e">
        <f t="shared" ca="1" si="2"/>
        <v>#N/A</v>
      </c>
      <c r="L46" s="64" t="e">
        <f ca="1">ROUND(K46/J46,4)</f>
        <v>#N/A</v>
      </c>
      <c r="M46" s="64" t="e">
        <f ca="1">IF(L46&lt;=0.3,L46,IF(L46&lt;0.8,ROUND(0.52*L46+0.144,3),0.7*L46))</f>
        <v>#N/A</v>
      </c>
      <c r="N46" s="69" t="e">
        <f t="shared" ca="1" si="5"/>
        <v>#N/A</v>
      </c>
      <c r="O46" s="69">
        <f t="shared" ca="1" si="6"/>
        <v>1.6919999999999999</v>
      </c>
      <c r="P46" s="69">
        <f t="shared" ca="1" si="7"/>
        <v>0.8</v>
      </c>
      <c r="Q46" s="69">
        <f ca="1">ROUND(P46/O46,4)</f>
        <v>0.4728</v>
      </c>
      <c r="R46" s="69">
        <f ca="1">IF(Q46&lt;=0.3,Q46,IF(Q46&lt;0.8,ROUND(0.52*Q46+0.144,3),0.7*Q46))</f>
        <v>0.39</v>
      </c>
      <c r="S46" s="69">
        <f t="shared" ca="1" si="10"/>
        <v>0.157</v>
      </c>
      <c r="T46" s="69" t="e">
        <f t="shared" ca="1" si="11"/>
        <v>#N/A</v>
      </c>
      <c r="U46" s="69" t="e">
        <f t="shared" ca="1" si="12"/>
        <v>#N/A</v>
      </c>
      <c r="V46" s="69" t="e">
        <f ca="1">ROUND(U46/T46,4)</f>
        <v>#N/A</v>
      </c>
      <c r="W46" s="69" t="e">
        <f ca="1">IF(V46&lt;=0.3,V46,IF(V46&lt;0.8,ROUND(0.52*V46+0.144,3),0.7*V46))</f>
        <v>#N/A</v>
      </c>
      <c r="X46" s="69" t="e">
        <f t="shared" ca="1" si="15"/>
        <v>#N/A</v>
      </c>
      <c r="Y46" s="69" t="e">
        <f ca="1">MAX(X46,S46,N46)</f>
        <v>#N/A</v>
      </c>
      <c r="Z46" s="338" t="e">
        <f t="shared" ca="1" si="29"/>
        <v>#N/A</v>
      </c>
      <c r="AA46" s="70">
        <f t="shared" ca="1" si="17"/>
        <v>0.1124</v>
      </c>
      <c r="AB46" s="70" t="e">
        <f t="shared" ca="1" si="18"/>
        <v>#N/A</v>
      </c>
      <c r="AC46" s="59">
        <f t="shared" ca="1" si="19"/>
        <v>0.37284374141993348</v>
      </c>
      <c r="AD46" s="59">
        <f ca="1">IF(AC46&gt;0.15,0.15,IF(AC46&lt;0.0625,0.0625,AC46))</f>
        <v>0.15</v>
      </c>
      <c r="AE46" s="59">
        <f t="shared" ca="1" si="20"/>
        <v>0.17159999999999997</v>
      </c>
      <c r="AF46" s="59">
        <f t="shared" ca="1" si="21"/>
        <v>0.13728000000000001</v>
      </c>
      <c r="AG46" s="59">
        <f t="shared" ca="1" si="22"/>
        <v>0.11497199999999999</v>
      </c>
      <c r="AH46" s="59">
        <f t="shared" ca="1" si="23"/>
        <v>1.266197241711744</v>
      </c>
      <c r="AI46" s="59">
        <f t="shared" ca="1" si="24"/>
        <v>1.738</v>
      </c>
      <c r="AJ46" s="59">
        <f ca="1">AI46/AH46</f>
        <v>1.3726139520335996</v>
      </c>
      <c r="AK46" s="59">
        <f ca="1">IF(AJ46&gt;1,1,AJ46)</f>
        <v>1</v>
      </c>
      <c r="AL46" s="59">
        <f ca="1">$U$5*$U$11*AK46/1.4/$U$6*$AG$5</f>
        <v>0.15661904761904763</v>
      </c>
      <c r="AM46" s="59">
        <f ca="1">$W$5*$W$11*AK46/1.4/$W$6*$AG$5</f>
        <v>0.22471428571428573</v>
      </c>
      <c r="AN46" s="59" t="e">
        <f ca="1">Y46/1.5*$AG$5</f>
        <v>#N/A</v>
      </c>
    </row>
    <row r="47" spans="1:44" ht="20.25">
      <c r="A47" s="360"/>
      <c r="B47" s="274" t="s">
        <v>1764</v>
      </c>
      <c r="C47" s="274" t="s">
        <v>1771</v>
      </c>
      <c r="D47" s="274" t="s">
        <v>1767</v>
      </c>
      <c r="E47" s="274" t="s">
        <v>1770</v>
      </c>
      <c r="F47" s="357"/>
      <c r="H47" s="39" t="s">
        <v>1376</v>
      </c>
      <c r="I47" s="338">
        <f ca="1">一般工址Cs!I47</f>
        <v>0.1125</v>
      </c>
      <c r="J47" s="64" t="e">
        <f t="shared" ca="1" si="1"/>
        <v>#N/A</v>
      </c>
      <c r="K47" s="64" t="e">
        <f t="shared" ca="1" si="2"/>
        <v>#N/A</v>
      </c>
      <c r="L47" s="64" t="e">
        <f t="shared" ca="1" si="3"/>
        <v>#N/A</v>
      </c>
      <c r="M47" s="64" t="e">
        <f t="shared" ca="1" si="4"/>
        <v>#N/A</v>
      </c>
      <c r="N47" s="72" t="e">
        <f t="shared" ca="1" si="5"/>
        <v>#N/A</v>
      </c>
      <c r="O47" s="72">
        <f t="shared" ca="1" si="6"/>
        <v>1.6930000000000001</v>
      </c>
      <c r="P47" s="72">
        <f t="shared" ca="1" si="7"/>
        <v>0.8</v>
      </c>
      <c r="Q47" s="72">
        <f t="shared" ca="1" si="8"/>
        <v>0.47249999999999998</v>
      </c>
      <c r="R47" s="72">
        <f t="shared" ca="1" si="9"/>
        <v>0.39</v>
      </c>
      <c r="S47" s="72">
        <f t="shared" ca="1" si="10"/>
        <v>0.157</v>
      </c>
      <c r="T47" s="72" t="e">
        <f t="shared" ca="1" si="11"/>
        <v>#N/A</v>
      </c>
      <c r="U47" s="72" t="e">
        <f t="shared" ca="1" si="12"/>
        <v>#N/A</v>
      </c>
      <c r="V47" s="72" t="e">
        <f t="shared" ca="1" si="13"/>
        <v>#N/A</v>
      </c>
      <c r="W47" s="72" t="e">
        <f t="shared" ca="1" si="14"/>
        <v>#N/A</v>
      </c>
      <c r="X47" s="72" t="e">
        <f t="shared" ca="1" si="15"/>
        <v>#N/A</v>
      </c>
      <c r="Y47" s="72" t="e">
        <f t="shared" ca="1" si="16"/>
        <v>#N/A</v>
      </c>
      <c r="Z47" s="338" t="e">
        <f t="shared" ca="1" si="29"/>
        <v>#N/A</v>
      </c>
      <c r="AA47" s="73">
        <f t="shared" ca="1" si="17"/>
        <v>0.1125</v>
      </c>
      <c r="AB47" s="73" t="e">
        <f t="shared" ca="1" si="18"/>
        <v>#N/A</v>
      </c>
      <c r="AC47" s="59">
        <f t="shared" ca="1" si="19"/>
        <v>0.37267799624996495</v>
      </c>
      <c r="AD47" s="59">
        <f t="shared" ca="1" si="30"/>
        <v>0.15</v>
      </c>
      <c r="AE47" s="59">
        <f t="shared" ca="1" si="20"/>
        <v>0.17159999999999997</v>
      </c>
      <c r="AF47" s="59">
        <f t="shared" ca="1" si="21"/>
        <v>0.13728000000000001</v>
      </c>
      <c r="AG47" s="59">
        <f t="shared" ca="1" si="22"/>
        <v>0.11497199999999999</v>
      </c>
      <c r="AH47" s="59">
        <f t="shared" ca="1" si="23"/>
        <v>1.2665202966167339</v>
      </c>
      <c r="AI47" s="59">
        <f t="shared" ca="1" si="24"/>
        <v>1.73925</v>
      </c>
      <c r="AJ47" s="59">
        <f t="shared" ca="1" si="25"/>
        <v>1.3732507916739058</v>
      </c>
      <c r="AK47" s="59">
        <f t="shared" ca="1" si="31"/>
        <v>1</v>
      </c>
      <c r="AL47" s="59">
        <f t="shared" ca="1" si="26"/>
        <v>0.15661904761904763</v>
      </c>
      <c r="AM47" s="59">
        <f t="shared" ca="1" si="27"/>
        <v>0.22471428571428573</v>
      </c>
      <c r="AN47" s="59" t="e">
        <f t="shared" ca="1" si="28"/>
        <v>#N/A</v>
      </c>
    </row>
    <row r="48" spans="1:44" ht="18.75">
      <c r="A48" s="360"/>
      <c r="B48" s="345" t="e">
        <f ca="1">A$44*B29</f>
        <v>#N/A</v>
      </c>
      <c r="C48" s="345" t="e">
        <f ca="1">ROUND(IF($C$39&gt;=D$17,C$40,IF($C$39&gt;=F$17,E$40+(C$40-E$40)*($C$39-0.6*D$17)/0.4/D$17,IF($C$39&lt;E$17,E$40+(E$40-1)*($C$39-E$17)/E$17,E$40))),4)</f>
        <v>#N/A</v>
      </c>
      <c r="D48" s="345" t="e">
        <f ca="1">ROUND(B48/C48,4)</f>
        <v>#N/A</v>
      </c>
      <c r="E48" s="345" t="e">
        <f ca="1">IF(D48&lt;=0.3,D48,IF(D48&lt;0.8,ROUND(0.52*D48+0.144,4),0.7*D48))</f>
        <v>#N/A</v>
      </c>
      <c r="F48" s="343" t="e">
        <f ca="1">B$13*E48/1.4/B$14</f>
        <v>#N/A</v>
      </c>
      <c r="H48" s="39"/>
      <c r="I48" s="338">
        <f ca="1">一般工址Cs!I48</f>
        <v>0.17</v>
      </c>
      <c r="J48" s="64" t="e">
        <f t="shared" ca="1" si="1"/>
        <v>#N/A</v>
      </c>
      <c r="K48" s="64" t="e">
        <f t="shared" ca="1" si="2"/>
        <v>#N/A</v>
      </c>
      <c r="L48" s="64" t="e">
        <f t="shared" ca="1" si="3"/>
        <v>#N/A</v>
      </c>
      <c r="M48" s="64" t="e">
        <f t="shared" ca="1" si="4"/>
        <v>#N/A</v>
      </c>
      <c r="N48" s="72" t="e">
        <f t="shared" ca="1" si="5"/>
        <v>#N/A</v>
      </c>
      <c r="O48" s="72">
        <f t="shared" ca="1" si="6"/>
        <v>1.6930000000000001</v>
      </c>
      <c r="P48" s="72">
        <f t="shared" ca="1" si="7"/>
        <v>0.8</v>
      </c>
      <c r="Q48" s="72">
        <f t="shared" ca="1" si="8"/>
        <v>0.47249999999999998</v>
      </c>
      <c r="R48" s="72">
        <f t="shared" ca="1" si="9"/>
        <v>0.39</v>
      </c>
      <c r="S48" s="72">
        <f t="shared" ca="1" si="10"/>
        <v>0.157</v>
      </c>
      <c r="T48" s="72" t="e">
        <f t="shared" ca="1" si="11"/>
        <v>#N/A</v>
      </c>
      <c r="U48" s="72" t="e">
        <f t="shared" ca="1" si="12"/>
        <v>#N/A</v>
      </c>
      <c r="V48" s="72" t="e">
        <f t="shared" ca="1" si="13"/>
        <v>#N/A</v>
      </c>
      <c r="W48" s="72" t="e">
        <f t="shared" ca="1" si="14"/>
        <v>#N/A</v>
      </c>
      <c r="X48" s="72" t="e">
        <f t="shared" ca="1" si="15"/>
        <v>#N/A</v>
      </c>
      <c r="Y48" s="72" t="e">
        <f t="shared" ca="1" si="16"/>
        <v>#N/A</v>
      </c>
      <c r="Z48" s="338" t="e">
        <f t="shared" ca="1" si="29"/>
        <v>#N/A</v>
      </c>
      <c r="AA48" s="73">
        <f t="shared" ca="1" si="17"/>
        <v>0.17</v>
      </c>
      <c r="AB48" s="73" t="e">
        <f t="shared" ca="1" si="18"/>
        <v>#N/A</v>
      </c>
      <c r="AC48" s="59">
        <f t="shared" ca="1" si="19"/>
        <v>0.30316953129541618</v>
      </c>
      <c r="AD48" s="59">
        <f t="shared" ca="1" si="30"/>
        <v>0.15</v>
      </c>
      <c r="AE48" s="59">
        <f t="shared" ca="1" si="20"/>
        <v>0.17159999999999997</v>
      </c>
      <c r="AF48" s="59">
        <f t="shared" ca="1" si="21"/>
        <v>0.13728000000000001</v>
      </c>
      <c r="AG48" s="59">
        <f t="shared" ca="1" si="22"/>
        <v>0.11497199999999999</v>
      </c>
      <c r="AH48" s="59">
        <f t="shared" ca="1" si="23"/>
        <v>1.4522768669859727</v>
      </c>
      <c r="AI48" s="59">
        <f t="shared" ca="1" si="24"/>
        <v>2.5</v>
      </c>
      <c r="AJ48" s="59">
        <f t="shared" ca="1" si="25"/>
        <v>1.7214348426470854</v>
      </c>
      <c r="AK48" s="59">
        <f t="shared" ca="1" si="31"/>
        <v>1</v>
      </c>
      <c r="AL48" s="59">
        <f t="shared" ca="1" si="26"/>
        <v>0.15661904761904763</v>
      </c>
      <c r="AM48" s="59">
        <f t="shared" ca="1" si="27"/>
        <v>0.22471428571428573</v>
      </c>
      <c r="AN48" s="59" t="e">
        <f t="shared" ca="1" si="28"/>
        <v>#N/A</v>
      </c>
    </row>
    <row r="49" spans="1:40" ht="18.75">
      <c r="A49" s="292" t="s">
        <v>1774</v>
      </c>
      <c r="B49" s="53"/>
      <c r="C49" s="53"/>
      <c r="D49" s="53"/>
      <c r="E49" s="53"/>
      <c r="F49" s="363" t="e">
        <f ca="1">MAX(F44,F46,F48)</f>
        <v>#N/A</v>
      </c>
      <c r="I49" s="338">
        <f ca="1">一般工址Cs!I49</f>
        <v>0.22</v>
      </c>
      <c r="J49" s="64" t="e">
        <f t="shared" ca="1" si="1"/>
        <v>#N/A</v>
      </c>
      <c r="K49" s="64" t="e">
        <f t="shared" ca="1" si="2"/>
        <v>#N/A</v>
      </c>
      <c r="L49" s="64" t="e">
        <f t="shared" ca="1" si="3"/>
        <v>#N/A</v>
      </c>
      <c r="M49" s="64" t="e">
        <f t="shared" ca="1" si="4"/>
        <v>#N/A</v>
      </c>
      <c r="N49" s="61" t="e">
        <f t="shared" ca="1" si="5"/>
        <v>#N/A</v>
      </c>
      <c r="O49" s="61">
        <f t="shared" ca="1" si="6"/>
        <v>1.6930000000000001</v>
      </c>
      <c r="P49" s="61">
        <f t="shared" ca="1" si="7"/>
        <v>0.8</v>
      </c>
      <c r="Q49" s="61">
        <f t="shared" ca="1" si="8"/>
        <v>0.47249999999999998</v>
      </c>
      <c r="R49" s="61">
        <f t="shared" ca="1" si="9"/>
        <v>0.39</v>
      </c>
      <c r="S49" s="61">
        <f t="shared" ca="1" si="10"/>
        <v>0.157</v>
      </c>
      <c r="T49" s="61" t="e">
        <f t="shared" ca="1" si="11"/>
        <v>#N/A</v>
      </c>
      <c r="U49" s="61" t="e">
        <f t="shared" ca="1" si="12"/>
        <v>#N/A</v>
      </c>
      <c r="V49" s="61" t="e">
        <f t="shared" ca="1" si="13"/>
        <v>#N/A</v>
      </c>
      <c r="W49" s="61" t="e">
        <f t="shared" ca="1" si="14"/>
        <v>#N/A</v>
      </c>
      <c r="X49" s="61" t="e">
        <f t="shared" ca="1" si="15"/>
        <v>#N/A</v>
      </c>
      <c r="Y49" s="61" t="e">
        <f t="shared" ca="1" si="16"/>
        <v>#N/A</v>
      </c>
      <c r="Z49" s="338" t="e">
        <f t="shared" ca="1" si="29"/>
        <v>#N/A</v>
      </c>
      <c r="AA49" s="65">
        <f t="shared" ca="1" si="17"/>
        <v>0.22</v>
      </c>
      <c r="AB49" s="270" t="e">
        <f t="shared" ca="1" si="18"/>
        <v>#N/A</v>
      </c>
      <c r="AC49" s="59">
        <f t="shared" ca="1" si="19"/>
        <v>0.26650089544451305</v>
      </c>
      <c r="AD49" s="59">
        <f t="shared" ca="1" si="30"/>
        <v>0.15</v>
      </c>
      <c r="AE49" s="59">
        <f t="shared" ca="1" si="20"/>
        <v>0.17159999999999997</v>
      </c>
      <c r="AF49" s="59">
        <f t="shared" ca="1" si="21"/>
        <v>0.13728000000000001</v>
      </c>
      <c r="AG49" s="59">
        <f t="shared" ca="1" si="22"/>
        <v>0.11497199999999999</v>
      </c>
      <c r="AH49" s="59">
        <f t="shared" ca="1" si="23"/>
        <v>1.5491933384829668</v>
      </c>
      <c r="AI49" s="59">
        <f t="shared" ca="1" si="24"/>
        <v>2.5</v>
      </c>
      <c r="AJ49" s="59">
        <f t="shared" ca="1" si="25"/>
        <v>1.6137430609197569</v>
      </c>
      <c r="AK49" s="59">
        <f t="shared" ca="1" si="31"/>
        <v>1</v>
      </c>
      <c r="AL49" s="59">
        <f t="shared" ca="1" si="26"/>
        <v>0.15661904761904763</v>
      </c>
      <c r="AM49" s="59">
        <f t="shared" ca="1" si="27"/>
        <v>0.22471428571428573</v>
      </c>
      <c r="AN49" s="59" t="e">
        <f t="shared" ca="1" si="28"/>
        <v>#N/A</v>
      </c>
    </row>
    <row r="50" spans="1:40" ht="18.75">
      <c r="A50" s="292" t="s">
        <v>1773</v>
      </c>
      <c r="B50" s="364">
        <v>0.4</v>
      </c>
      <c r="C50" s="345" t="e">
        <f ca="1">IF(F49=F44,"SDS",IF(F49=F46,"SDS*","SMS"))</f>
        <v>#N/A</v>
      </c>
      <c r="D50" s="345" t="e">
        <f ca="1">IF(F49=F44,B17,IF(F49=F46,B19,B21))</f>
        <v>#N/A</v>
      </c>
      <c r="E50" s="53"/>
      <c r="F50" s="363" t="e">
        <f ca="1">0.4*D50*A44</f>
        <v>#N/A</v>
      </c>
      <c r="I50" s="338">
        <f ca="1">一般工址Cs!I50</f>
        <v>0.28000000000000003</v>
      </c>
      <c r="J50" s="64" t="e">
        <f t="shared" ca="1" si="1"/>
        <v>#N/A</v>
      </c>
      <c r="K50" s="64" t="e">
        <f t="shared" ca="1" si="2"/>
        <v>#N/A</v>
      </c>
      <c r="L50" s="64" t="e">
        <f t="shared" ca="1" si="3"/>
        <v>#N/A</v>
      </c>
      <c r="M50" s="64" t="e">
        <f t="shared" ca="1" si="4"/>
        <v>#N/A</v>
      </c>
      <c r="N50" s="61" t="e">
        <f t="shared" ca="1" si="5"/>
        <v>#N/A</v>
      </c>
      <c r="O50" s="61">
        <f t="shared" ca="1" si="6"/>
        <v>1.6930000000000001</v>
      </c>
      <c r="P50" s="61">
        <f t="shared" ca="1" si="7"/>
        <v>0.8</v>
      </c>
      <c r="Q50" s="61">
        <f t="shared" ca="1" si="8"/>
        <v>0.47249999999999998</v>
      </c>
      <c r="R50" s="61">
        <f t="shared" ca="1" si="9"/>
        <v>0.39</v>
      </c>
      <c r="S50" s="61">
        <f t="shared" ca="1" si="10"/>
        <v>0.157</v>
      </c>
      <c r="T50" s="61" t="e">
        <f t="shared" ca="1" si="11"/>
        <v>#N/A</v>
      </c>
      <c r="U50" s="61" t="e">
        <f t="shared" ca="1" si="12"/>
        <v>#N/A</v>
      </c>
      <c r="V50" s="61" t="e">
        <f t="shared" ca="1" si="13"/>
        <v>#N/A</v>
      </c>
      <c r="W50" s="61" t="e">
        <f t="shared" ca="1" si="14"/>
        <v>#N/A</v>
      </c>
      <c r="X50" s="61" t="e">
        <f t="shared" ca="1" si="15"/>
        <v>#N/A</v>
      </c>
      <c r="Y50" s="61" t="e">
        <f t="shared" ca="1" si="16"/>
        <v>#N/A</v>
      </c>
      <c r="Z50" s="338" t="e">
        <f t="shared" ca="1" si="29"/>
        <v>#N/A</v>
      </c>
      <c r="AA50" s="65">
        <f t="shared" ca="1" si="17"/>
        <v>0.28000000000000003</v>
      </c>
      <c r="AB50" s="270" t="e">
        <f t="shared" ca="1" si="18"/>
        <v>#N/A</v>
      </c>
      <c r="AC50" s="59">
        <f t="shared" ca="1" si="19"/>
        <v>0.23622779563076698</v>
      </c>
      <c r="AD50" s="59">
        <f t="shared" ca="1" si="30"/>
        <v>0.15</v>
      </c>
      <c r="AE50" s="59">
        <f t="shared" ca="1" si="20"/>
        <v>0.17159999999999997</v>
      </c>
      <c r="AF50" s="59">
        <f t="shared" ca="1" si="21"/>
        <v>0.13728000000000001</v>
      </c>
      <c r="AG50" s="59">
        <f t="shared" ca="1" si="22"/>
        <v>0.11497199999999999</v>
      </c>
      <c r="AH50" s="59">
        <f t="shared" ca="1" si="23"/>
        <v>1.5491933384829668</v>
      </c>
      <c r="AI50" s="59">
        <f t="shared" ca="1" si="24"/>
        <v>2.5</v>
      </c>
      <c r="AJ50" s="59">
        <f t="shared" ca="1" si="25"/>
        <v>1.6137430609197569</v>
      </c>
      <c r="AK50" s="59">
        <f t="shared" ca="1" si="31"/>
        <v>1</v>
      </c>
      <c r="AL50" s="59">
        <f t="shared" ca="1" si="26"/>
        <v>0.15661904761904763</v>
      </c>
      <c r="AM50" s="59">
        <f t="shared" ca="1" si="27"/>
        <v>0.22471428571428573</v>
      </c>
      <c r="AN50" s="59" t="e">
        <f t="shared" ca="1" si="28"/>
        <v>#N/A</v>
      </c>
    </row>
    <row r="51" spans="1:40" ht="24" customHeight="1" thickBot="1">
      <c r="A51" s="381" t="s">
        <v>1779</v>
      </c>
      <c r="B51" s="382"/>
      <c r="C51" s="382"/>
      <c r="D51" s="382"/>
      <c r="E51" s="382"/>
      <c r="F51" s="383"/>
      <c r="I51" s="338">
        <f ca="1">一般工址Cs!I51</f>
        <v>0.33250000000000002</v>
      </c>
      <c r="J51" s="67" t="e">
        <f t="shared" ca="1" si="1"/>
        <v>#N/A</v>
      </c>
      <c r="K51" s="67" t="e">
        <f t="shared" ca="1" si="2"/>
        <v>#N/A</v>
      </c>
      <c r="L51" s="67" t="e">
        <f ca="1">ROUND(K51/J51,4)</f>
        <v>#N/A</v>
      </c>
      <c r="M51" s="67" t="e">
        <f ca="1">IF(L51&lt;=0.3,L51,IF(L51&lt;0.8,ROUND(0.52*L51+0.144,3),0.7*L51))</f>
        <v>#N/A</v>
      </c>
      <c r="N51" s="68" t="e">
        <f t="shared" ca="1" si="5"/>
        <v>#N/A</v>
      </c>
      <c r="O51" s="68">
        <f t="shared" ca="1" si="6"/>
        <v>1.6930000000000001</v>
      </c>
      <c r="P51" s="68">
        <f t="shared" ca="1" si="7"/>
        <v>0.8</v>
      </c>
      <c r="Q51" s="68">
        <f ca="1">ROUND(P51/O51,4)</f>
        <v>0.47249999999999998</v>
      </c>
      <c r="R51" s="68">
        <f ca="1">IF(Q51&lt;=0.3,Q51,IF(Q51&lt;0.8,ROUND(0.52*Q51+0.144,3),0.7*Q51))</f>
        <v>0.39</v>
      </c>
      <c r="S51" s="68">
        <f t="shared" ca="1" si="10"/>
        <v>0.157</v>
      </c>
      <c r="T51" s="68" t="e">
        <f t="shared" ca="1" si="11"/>
        <v>#N/A</v>
      </c>
      <c r="U51" s="68" t="e">
        <f t="shared" ca="1" si="12"/>
        <v>#N/A</v>
      </c>
      <c r="V51" s="68" t="e">
        <f ca="1">ROUND(U51/T51,4)</f>
        <v>#N/A</v>
      </c>
      <c r="W51" s="68" t="e">
        <f ca="1">IF(V51&lt;=0.3,V51,IF(V51&lt;0.8,ROUND(0.52*V51+0.144,3),0.7*V51))</f>
        <v>#N/A</v>
      </c>
      <c r="X51" s="68" t="e">
        <f t="shared" ca="1" si="15"/>
        <v>#N/A</v>
      </c>
      <c r="Y51" s="68" t="e">
        <f ca="1">MAX(X51,S51,N51)</f>
        <v>#N/A</v>
      </c>
      <c r="Z51" s="338" t="e">
        <f t="shared" ca="1" si="29"/>
        <v>#N/A</v>
      </c>
      <c r="AA51" s="66">
        <f t="shared" ca="1" si="17"/>
        <v>0.33250000000000002</v>
      </c>
      <c r="AB51" s="66" t="e">
        <f t="shared" ca="1" si="18"/>
        <v>#N/A</v>
      </c>
      <c r="AC51" s="59">
        <f t="shared" ca="1" si="19"/>
        <v>0.21677749238102997</v>
      </c>
      <c r="AD51" s="59">
        <f ca="1">IF(AC51&gt;0.15,0.15,IF(AC51&lt;0.0625,0.0625,AC51))</f>
        <v>0.15</v>
      </c>
      <c r="AE51" s="59">
        <f t="shared" ca="1" si="20"/>
        <v>0.17159999999999997</v>
      </c>
      <c r="AF51" s="59">
        <f t="shared" ca="1" si="21"/>
        <v>0.13728000000000001</v>
      </c>
      <c r="AG51" s="59">
        <f t="shared" ca="1" si="22"/>
        <v>0.11497199999999999</v>
      </c>
      <c r="AH51" s="59">
        <f t="shared" ca="1" si="23"/>
        <v>1.5491933384829668</v>
      </c>
      <c r="AI51" s="59">
        <f t="shared" ca="1" si="24"/>
        <v>2.5</v>
      </c>
      <c r="AJ51" s="59">
        <f ca="1">AI51/AH51</f>
        <v>1.6137430609197569</v>
      </c>
      <c r="AK51" s="59">
        <f ca="1">IF(AJ51&gt;1,1,AJ51)</f>
        <v>1</v>
      </c>
      <c r="AL51" s="59">
        <f ca="1">$U$5*$U$11*AK51/1.4/$U$6*$AG$5</f>
        <v>0.15661904761904763</v>
      </c>
      <c r="AM51" s="59">
        <f ca="1">$W$5*$W$11*AK51/1.4/$W$6*$AG$5</f>
        <v>0.22471428571428573</v>
      </c>
      <c r="AN51" s="59" t="e">
        <f ca="1">Y51/1.5*$AG$5</f>
        <v>#N/A</v>
      </c>
    </row>
    <row r="52" spans="1:40" ht="17.25" thickTop="1">
      <c r="A52" s="32"/>
      <c r="B52" s="313">
        <f>ROUND((ROUNDUP(B7,0)-1)/2,0)</f>
        <v>3</v>
      </c>
      <c r="C52" s="313">
        <f>IF(B52&lt;1,0,IF(B52&gt;7,7,B52))</f>
        <v>3</v>
      </c>
      <c r="D52" s="314">
        <f>IF(C52&gt;=1,C52-1,C52)</f>
        <v>2</v>
      </c>
      <c r="E52" s="315">
        <f>IF(B52&gt;=7,0,1)</f>
        <v>1</v>
      </c>
      <c r="F52" s="314">
        <f>IF(B52&gt;=7,1,2)</f>
        <v>2</v>
      </c>
      <c r="I52" s="338">
        <f ca="1">一般工址Cs!I52</f>
        <v>0.33710000000000001</v>
      </c>
      <c r="J52" s="64" t="e">
        <f t="shared" ca="1" si="1"/>
        <v>#N/A</v>
      </c>
      <c r="K52" s="64" t="e">
        <f t="shared" ca="1" si="2"/>
        <v>#N/A</v>
      </c>
      <c r="L52" s="64" t="e">
        <f ca="1">ROUND(K52/J52,4)</f>
        <v>#N/A</v>
      </c>
      <c r="M52" s="64" t="e">
        <f ca="1">IF(L52&lt;=0.3,L52,IF(L52&lt;0.8,ROUND(0.52*L52+0.144,3),0.7*L52))</f>
        <v>#N/A</v>
      </c>
      <c r="N52" s="69" t="e">
        <f t="shared" ca="1" si="5"/>
        <v>#N/A</v>
      </c>
      <c r="O52" s="74">
        <f t="shared" ca="1" si="6"/>
        <v>1.6930000000000001</v>
      </c>
      <c r="P52" s="75">
        <f t="shared" ca="1" si="7"/>
        <v>0.8</v>
      </c>
      <c r="Q52" s="75">
        <f ca="1">ROUND(P52/O52,4)</f>
        <v>0.47249999999999998</v>
      </c>
      <c r="R52" s="76">
        <f ca="1">IF(Q52&lt;=0.3,Q52,IF(Q52&lt;0.8,ROUND(0.52*Q52+0.144,3),0.7*Q52))</f>
        <v>0.39</v>
      </c>
      <c r="S52" s="77">
        <f t="shared" ca="1" si="10"/>
        <v>0.157</v>
      </c>
      <c r="T52" s="69" t="e">
        <f t="shared" ca="1" si="11"/>
        <v>#N/A</v>
      </c>
      <c r="U52" s="69" t="e">
        <f t="shared" ca="1" si="12"/>
        <v>#N/A</v>
      </c>
      <c r="V52" s="69" t="e">
        <f ca="1">ROUND(U52/T52,4)</f>
        <v>#N/A</v>
      </c>
      <c r="W52" s="69" t="e">
        <f ca="1">IF(V52&lt;=0.3,V52,IF(V52&lt;0.8,ROUND(0.52*V52+0.144,3),0.7*V52))</f>
        <v>#N/A</v>
      </c>
      <c r="X52" s="69" t="e">
        <f t="shared" ca="1" si="15"/>
        <v>#N/A</v>
      </c>
      <c r="Y52" s="69" t="e">
        <f ca="1">MAX(X52,S52,N52)</f>
        <v>#N/A</v>
      </c>
      <c r="Z52" s="338" t="e">
        <f t="shared" ca="1" si="29"/>
        <v>#N/A</v>
      </c>
      <c r="AA52" s="70">
        <f t="shared" ca="1" si="17"/>
        <v>0.33710000000000001</v>
      </c>
      <c r="AB52" s="70" t="e">
        <f t="shared" ca="1" si="18"/>
        <v>#N/A</v>
      </c>
      <c r="AC52" s="59">
        <f t="shared" ca="1" si="19"/>
        <v>0.21529336053092235</v>
      </c>
      <c r="AD52" s="59">
        <f ca="1">IF(AC52&gt;0.15,0.15,IF(AC52&lt;0.0625,0.0625,AC52))</f>
        <v>0.15</v>
      </c>
      <c r="AE52" s="59">
        <f t="shared" ca="1" si="20"/>
        <v>0.17159999999999997</v>
      </c>
      <c r="AF52" s="59">
        <f t="shared" ca="1" si="21"/>
        <v>0.13728000000000001</v>
      </c>
      <c r="AG52" s="59">
        <f t="shared" ca="1" si="22"/>
        <v>0.11497199999999999</v>
      </c>
      <c r="AH52" s="59">
        <f t="shared" ca="1" si="23"/>
        <v>1.5491933384829668</v>
      </c>
      <c r="AI52" s="59">
        <f t="shared" ca="1" si="24"/>
        <v>2.5</v>
      </c>
      <c r="AJ52" s="59">
        <f ca="1">AI52/AH52</f>
        <v>1.6137430609197569</v>
      </c>
      <c r="AK52" s="59">
        <f ca="1">IF(AJ52&gt;1,1,AJ52)</f>
        <v>1</v>
      </c>
      <c r="AL52" s="59">
        <f ca="1">$U$5*$U$11*AK52/1.4/$U$6*$AG$5</f>
        <v>0.15661904761904763</v>
      </c>
      <c r="AM52" s="59">
        <f ca="1">$W$5*$W$11*AK52/1.4/$W$6*$AG$5</f>
        <v>0.22471428571428573</v>
      </c>
      <c r="AN52" s="59" t="e">
        <f ca="1">Y52/1.5*$AG$5</f>
        <v>#N/A</v>
      </c>
    </row>
    <row r="53" spans="1:40" ht="20.25">
      <c r="A53" s="181" t="s">
        <v>1359</v>
      </c>
      <c r="B53" s="168">
        <f>IF(C52&lt;1,1,C52*2-1)</f>
        <v>5</v>
      </c>
      <c r="C53" s="169" t="e">
        <f ca="1">IF($B6="",C3,VLOOKUP($B$3,INDIRECT($B$6),$D$52+2,FALSE))</f>
        <v>#N/A</v>
      </c>
      <c r="D53" s="169" t="e">
        <f ca="1">IF($B6="",D3,VLOOKUP($B$3,INDIRECT($B$6),$D$52+10,FALSE))</f>
        <v>#N/A</v>
      </c>
      <c r="E53" s="169" t="e">
        <f ca="1">IF($B6="", E3,VLOOKUP($B$3,INDIRECT($B$6),$D$52+18,FALSE))</f>
        <v>#N/A</v>
      </c>
      <c r="F53" s="170" t="e">
        <f ca="1">IF($B6="", F3,VLOOKUP($B$3,INDIRECT($B$6),$D$52+26,FALSE))</f>
        <v>#N/A</v>
      </c>
      <c r="H53" s="39" t="s">
        <v>1377</v>
      </c>
      <c r="I53" s="338">
        <f ca="1">一般工址Cs!I53</f>
        <v>0.33749999999999997</v>
      </c>
      <c r="J53" s="64" t="e">
        <f t="shared" ca="1" si="1"/>
        <v>#N/A</v>
      </c>
      <c r="K53" s="64" t="e">
        <f t="shared" ca="1" si="2"/>
        <v>#N/A</v>
      </c>
      <c r="L53" s="64" t="e">
        <f t="shared" ca="1" si="3"/>
        <v>#N/A</v>
      </c>
      <c r="M53" s="64" t="e">
        <f t="shared" ca="1" si="4"/>
        <v>#N/A</v>
      </c>
      <c r="N53" s="72" t="e">
        <f t="shared" ca="1" si="5"/>
        <v>#N/A</v>
      </c>
      <c r="O53" s="78">
        <f t="shared" ca="1" si="6"/>
        <v>1.6930000000000001</v>
      </c>
      <c r="P53" s="72">
        <f t="shared" ca="1" si="7"/>
        <v>0.8</v>
      </c>
      <c r="Q53" s="72">
        <f t="shared" ca="1" si="8"/>
        <v>0.47249999999999998</v>
      </c>
      <c r="R53" s="79">
        <f t="shared" ca="1" si="9"/>
        <v>0.39</v>
      </c>
      <c r="S53" s="80">
        <f t="shared" ca="1" si="10"/>
        <v>0.157</v>
      </c>
      <c r="T53" s="72" t="e">
        <f t="shared" ca="1" si="11"/>
        <v>#N/A</v>
      </c>
      <c r="U53" s="72" t="e">
        <f t="shared" ca="1" si="12"/>
        <v>#N/A</v>
      </c>
      <c r="V53" s="72" t="e">
        <f t="shared" ca="1" si="13"/>
        <v>#N/A</v>
      </c>
      <c r="W53" s="72" t="e">
        <f t="shared" ca="1" si="14"/>
        <v>#N/A</v>
      </c>
      <c r="X53" s="72" t="e">
        <f t="shared" ca="1" si="15"/>
        <v>#N/A</v>
      </c>
      <c r="Y53" s="72" t="e">
        <f t="shared" ca="1" si="16"/>
        <v>#N/A</v>
      </c>
      <c r="Z53" s="338" t="e">
        <f t="shared" ca="1" si="29"/>
        <v>#N/A</v>
      </c>
      <c r="AA53" s="73">
        <f t="shared" ca="1" si="17"/>
        <v>0.33749999999999997</v>
      </c>
      <c r="AB53" s="73" t="e">
        <f t="shared" ca="1" si="18"/>
        <v>#N/A</v>
      </c>
      <c r="AC53" s="59">
        <f t="shared" ca="1" si="19"/>
        <v>0.21516574145596759</v>
      </c>
      <c r="AD53" s="59">
        <f t="shared" ca="1" si="30"/>
        <v>0.15</v>
      </c>
      <c r="AE53" s="59">
        <f t="shared" ca="1" si="20"/>
        <v>0.17159999999999997</v>
      </c>
      <c r="AF53" s="59">
        <f t="shared" ca="1" si="21"/>
        <v>0.13728000000000001</v>
      </c>
      <c r="AG53" s="59">
        <f t="shared" ca="1" si="22"/>
        <v>0.11497199999999999</v>
      </c>
      <c r="AH53" s="59">
        <f t="shared" ca="1" si="23"/>
        <v>1.5491933384829668</v>
      </c>
      <c r="AI53" s="59">
        <f t="shared" ca="1" si="24"/>
        <v>2.5</v>
      </c>
      <c r="AJ53" s="59">
        <f t="shared" ca="1" si="25"/>
        <v>1.6137430609197569</v>
      </c>
      <c r="AK53" s="59">
        <f t="shared" ca="1" si="31"/>
        <v>1</v>
      </c>
      <c r="AL53" s="59">
        <f t="shared" ca="1" si="26"/>
        <v>0.15661904761904763</v>
      </c>
      <c r="AM53" s="59">
        <f t="shared" ca="1" si="27"/>
        <v>0.22471428571428573</v>
      </c>
      <c r="AN53" s="59" t="e">
        <f t="shared" ca="1" si="28"/>
        <v>#N/A</v>
      </c>
    </row>
    <row r="54" spans="1:40" ht="16.5">
      <c r="A54" s="145" t="s">
        <v>1359</v>
      </c>
      <c r="B54" s="168">
        <f>C52*2+E52</f>
        <v>7</v>
      </c>
      <c r="C54" s="169" t="e">
        <f ca="1">IF($B6="",C3,VLOOKUP($B$3,INDIRECT($B$6),$C$52+2,FALSE))</f>
        <v>#N/A</v>
      </c>
      <c r="D54" s="169" t="e">
        <f ca="1">IF($B6="",D3,VLOOKUP($B$3,INDIRECT($B$6),$C$52+10,FALSE))</f>
        <v>#N/A</v>
      </c>
      <c r="E54" s="169" t="e">
        <f ca="1">IF($B6="", E3,VLOOKUP($B$3,INDIRECT($B$6),$C$52+18,FALSE))</f>
        <v>#N/A</v>
      </c>
      <c r="F54" s="170" t="e">
        <f ca="1">IF($B6="", F3,VLOOKUP($B$3,INDIRECT($B$6),$C$52+26,FALSE))</f>
        <v>#N/A</v>
      </c>
      <c r="H54" s="39"/>
      <c r="I54" s="338">
        <f ca="1">一般工址Cs!I54</f>
        <v>0.39</v>
      </c>
      <c r="J54" s="64" t="e">
        <f t="shared" ca="1" si="1"/>
        <v>#N/A</v>
      </c>
      <c r="K54" s="64" t="e">
        <f t="shared" ca="1" si="2"/>
        <v>#N/A</v>
      </c>
      <c r="L54" s="64" t="e">
        <f t="shared" ca="1" si="3"/>
        <v>#N/A</v>
      </c>
      <c r="M54" s="64" t="e">
        <f t="shared" ca="1" si="4"/>
        <v>#N/A</v>
      </c>
      <c r="N54" s="72" t="e">
        <f t="shared" ca="1" si="5"/>
        <v>#N/A</v>
      </c>
      <c r="O54" s="78">
        <f t="shared" ca="1" si="6"/>
        <v>1.7490000000000001</v>
      </c>
      <c r="P54" s="72">
        <f t="shared" ca="1" si="7"/>
        <v>0.8</v>
      </c>
      <c r="Q54" s="72">
        <f t="shared" ca="1" si="8"/>
        <v>0.45739999999999997</v>
      </c>
      <c r="R54" s="79">
        <f t="shared" ca="1" si="9"/>
        <v>0.38200000000000001</v>
      </c>
      <c r="S54" s="80">
        <f t="shared" ca="1" si="10"/>
        <v>0.159</v>
      </c>
      <c r="T54" s="72" t="e">
        <f t="shared" ca="1" si="11"/>
        <v>#N/A</v>
      </c>
      <c r="U54" s="72" t="e">
        <f t="shared" ca="1" si="12"/>
        <v>#N/A</v>
      </c>
      <c r="V54" s="72" t="e">
        <f t="shared" ca="1" si="13"/>
        <v>#N/A</v>
      </c>
      <c r="W54" s="72" t="e">
        <f t="shared" ca="1" si="14"/>
        <v>#N/A</v>
      </c>
      <c r="X54" s="72" t="e">
        <f t="shared" ca="1" si="15"/>
        <v>#N/A</v>
      </c>
      <c r="Y54" s="72" t="e">
        <f t="shared" ca="1" si="16"/>
        <v>#N/A</v>
      </c>
      <c r="Z54" s="338" t="e">
        <f t="shared" ca="1" si="29"/>
        <v>#N/A</v>
      </c>
      <c r="AA54" s="73">
        <f t="shared" ca="1" si="17"/>
        <v>0.39</v>
      </c>
      <c r="AB54" s="73" t="e">
        <f t="shared" ca="1" si="18"/>
        <v>#N/A</v>
      </c>
      <c r="AC54" s="59">
        <f t="shared" ca="1" si="19"/>
        <v>0.20016019225635892</v>
      </c>
      <c r="AD54" s="59">
        <f t="shared" ca="1" si="30"/>
        <v>0.15</v>
      </c>
      <c r="AE54" s="59">
        <f t="shared" ca="1" si="20"/>
        <v>0.17159999999999997</v>
      </c>
      <c r="AF54" s="59">
        <f t="shared" ca="1" si="21"/>
        <v>0.13728000000000001</v>
      </c>
      <c r="AG54" s="59">
        <f t="shared" ca="1" si="22"/>
        <v>0.11497199999999999</v>
      </c>
      <c r="AH54" s="59">
        <f t="shared" ca="1" si="23"/>
        <v>1.5491933384829668</v>
      </c>
      <c r="AI54" s="59">
        <f t="shared" ca="1" si="24"/>
        <v>2.5</v>
      </c>
      <c r="AJ54" s="59">
        <f t="shared" ca="1" si="25"/>
        <v>1.6137430609197569</v>
      </c>
      <c r="AK54" s="59">
        <f t="shared" ca="1" si="31"/>
        <v>1</v>
      </c>
      <c r="AL54" s="59">
        <f t="shared" ca="1" si="26"/>
        <v>0.15661904761904763</v>
      </c>
      <c r="AM54" s="59">
        <f t="shared" ca="1" si="27"/>
        <v>0.22471428571428573</v>
      </c>
      <c r="AN54" s="59" t="e">
        <f t="shared" ca="1" si="28"/>
        <v>#N/A</v>
      </c>
    </row>
    <row r="55" spans="1:40" ht="16.5">
      <c r="D55" s="54"/>
      <c r="F55" s="61"/>
      <c r="H55" s="39"/>
      <c r="I55" s="338">
        <f ca="1">一般工址Cs!I55</f>
        <v>0.45</v>
      </c>
      <c r="J55" s="64" t="e">
        <f t="shared" ca="1" si="1"/>
        <v>#N/A</v>
      </c>
      <c r="K55" s="64" t="e">
        <f t="shared" ca="1" si="2"/>
        <v>#N/A</v>
      </c>
      <c r="L55" s="64" t="e">
        <f t="shared" ca="1" si="3"/>
        <v>#N/A</v>
      </c>
      <c r="M55" s="64" t="e">
        <f t="shared" ca="1" si="4"/>
        <v>#N/A</v>
      </c>
      <c r="N55" s="72" t="e">
        <f t="shared" ca="1" si="5"/>
        <v>#N/A</v>
      </c>
      <c r="O55" s="78">
        <f t="shared" ca="1" si="6"/>
        <v>1.8129999999999999</v>
      </c>
      <c r="P55" s="72">
        <f t="shared" ca="1" si="7"/>
        <v>0.8</v>
      </c>
      <c r="Q55" s="72">
        <f t="shared" ca="1" si="8"/>
        <v>0.44130000000000003</v>
      </c>
      <c r="R55" s="79">
        <f t="shared" ca="1" si="9"/>
        <v>0.373</v>
      </c>
      <c r="S55" s="80">
        <f t="shared" ca="1" si="10"/>
        <v>0.161</v>
      </c>
      <c r="T55" s="72" t="e">
        <f t="shared" ca="1" si="11"/>
        <v>#N/A</v>
      </c>
      <c r="U55" s="72" t="e">
        <f t="shared" ca="1" si="12"/>
        <v>#N/A</v>
      </c>
      <c r="V55" s="72" t="e">
        <f t="shared" ca="1" si="13"/>
        <v>#N/A</v>
      </c>
      <c r="W55" s="72" t="e">
        <f t="shared" ca="1" si="14"/>
        <v>#N/A</v>
      </c>
      <c r="X55" s="72" t="e">
        <f t="shared" ca="1" si="15"/>
        <v>#N/A</v>
      </c>
      <c r="Y55" s="72" t="e">
        <f t="shared" ca="1" si="16"/>
        <v>#N/A</v>
      </c>
      <c r="Z55" s="338" t="e">
        <f t="shared" ca="1" si="29"/>
        <v>#N/A</v>
      </c>
      <c r="AA55" s="73">
        <f t="shared" ca="1" si="17"/>
        <v>0.45</v>
      </c>
      <c r="AB55" s="73" t="e">
        <f t="shared" ca="1" si="18"/>
        <v>#N/A</v>
      </c>
      <c r="AC55" s="59">
        <f t="shared" ca="1" si="19"/>
        <v>0.18633899812498247</v>
      </c>
      <c r="AD55" s="59">
        <f t="shared" ca="1" si="30"/>
        <v>0.15</v>
      </c>
      <c r="AE55" s="59">
        <f t="shared" ca="1" si="20"/>
        <v>0.17159999999999997</v>
      </c>
      <c r="AF55" s="59">
        <f t="shared" ca="1" si="21"/>
        <v>0.13728000000000001</v>
      </c>
      <c r="AG55" s="59">
        <f t="shared" ca="1" si="22"/>
        <v>0.11497199999999999</v>
      </c>
      <c r="AH55" s="59">
        <f t="shared" ca="1" si="23"/>
        <v>1.5815615975402812</v>
      </c>
      <c r="AI55" s="59">
        <f t="shared" ca="1" si="24"/>
        <v>2.5</v>
      </c>
      <c r="AJ55" s="59">
        <f t="shared" ca="1" si="25"/>
        <v>1.5807161756381269</v>
      </c>
      <c r="AK55" s="59">
        <f t="shared" ca="1" si="31"/>
        <v>1</v>
      </c>
      <c r="AL55" s="59">
        <f t="shared" ca="1" si="26"/>
        <v>0.15661904761904763</v>
      </c>
      <c r="AM55" s="59">
        <f t="shared" ca="1" si="27"/>
        <v>0.22471428571428573</v>
      </c>
      <c r="AN55" s="59" t="e">
        <f t="shared" ca="1" si="28"/>
        <v>#N/A</v>
      </c>
    </row>
    <row r="56" spans="1:40" ht="16.5">
      <c r="H56" s="39"/>
      <c r="I56" s="338">
        <f ca="1">一般工址Cs!I56</f>
        <v>0.51</v>
      </c>
      <c r="J56" s="64" t="e">
        <f t="shared" ca="1" si="1"/>
        <v>#N/A</v>
      </c>
      <c r="K56" s="64" t="e">
        <f t="shared" ca="1" si="2"/>
        <v>#N/A</v>
      </c>
      <c r="L56" s="64" t="e">
        <f t="shared" ca="1" si="3"/>
        <v>#N/A</v>
      </c>
      <c r="M56" s="64" t="e">
        <f t="shared" ca="1" si="4"/>
        <v>#N/A</v>
      </c>
      <c r="N56" s="72" t="e">
        <f t="shared" ca="1" si="5"/>
        <v>#N/A</v>
      </c>
      <c r="O56" s="78">
        <f t="shared" ca="1" si="6"/>
        <v>1.877</v>
      </c>
      <c r="P56" s="72">
        <f t="shared" ca="1" si="7"/>
        <v>0.8</v>
      </c>
      <c r="Q56" s="72">
        <f t="shared" ca="1" si="8"/>
        <v>0.42620000000000002</v>
      </c>
      <c r="R56" s="79">
        <f t="shared" ca="1" si="9"/>
        <v>0.36599999999999999</v>
      </c>
      <c r="S56" s="80">
        <f t="shared" ca="1" si="10"/>
        <v>0.16400000000000001</v>
      </c>
      <c r="T56" s="72" t="e">
        <f t="shared" ca="1" si="11"/>
        <v>#N/A</v>
      </c>
      <c r="U56" s="72" t="e">
        <f t="shared" ca="1" si="12"/>
        <v>#N/A</v>
      </c>
      <c r="V56" s="72" t="e">
        <f t="shared" ca="1" si="13"/>
        <v>#N/A</v>
      </c>
      <c r="W56" s="72" t="e">
        <f t="shared" ca="1" si="14"/>
        <v>#N/A</v>
      </c>
      <c r="X56" s="72" t="e">
        <f t="shared" ca="1" si="15"/>
        <v>#N/A</v>
      </c>
      <c r="Y56" s="72" t="e">
        <f t="shared" ca="1" si="16"/>
        <v>#N/A</v>
      </c>
      <c r="Z56" s="338" t="e">
        <f t="shared" ca="1" si="29"/>
        <v>#N/A</v>
      </c>
      <c r="AA56" s="73">
        <f t="shared" ca="1" si="17"/>
        <v>0.51</v>
      </c>
      <c r="AB56" s="73" t="e">
        <f t="shared" ca="1" si="18"/>
        <v>#N/A</v>
      </c>
      <c r="AC56" s="59">
        <f t="shared" ca="1" si="19"/>
        <v>0.17503501050350123</v>
      </c>
      <c r="AD56" s="59">
        <f t="shared" ca="1" si="30"/>
        <v>0.15</v>
      </c>
      <c r="AE56" s="59">
        <f t="shared" ca="1" si="20"/>
        <v>0.17159999999999997</v>
      </c>
      <c r="AF56" s="59">
        <f t="shared" ca="1" si="21"/>
        <v>0.13728000000000001</v>
      </c>
      <c r="AG56" s="59">
        <f t="shared" ca="1" si="22"/>
        <v>0.11497199999999999</v>
      </c>
      <c r="AH56" s="59">
        <f t="shared" ca="1" si="23"/>
        <v>1.6257001326184373</v>
      </c>
      <c r="AI56" s="59">
        <f t="shared" ca="1" si="24"/>
        <v>2.5</v>
      </c>
      <c r="AJ56" s="59">
        <f t="shared" ca="1" si="25"/>
        <v>1.5377989764775191</v>
      </c>
      <c r="AK56" s="59">
        <f t="shared" ca="1" si="31"/>
        <v>1</v>
      </c>
      <c r="AL56" s="59">
        <f t="shared" ca="1" si="26"/>
        <v>0.15661904761904763</v>
      </c>
      <c r="AM56" s="59">
        <f t="shared" ca="1" si="27"/>
        <v>0.22471428571428573</v>
      </c>
      <c r="AN56" s="59" t="e">
        <f t="shared" ca="1" si="28"/>
        <v>#N/A</v>
      </c>
    </row>
    <row r="57" spans="1:40" ht="16.5">
      <c r="I57" s="338">
        <f ca="1">一般工址Cs!I57</f>
        <v>0.55420000000000003</v>
      </c>
      <c r="J57" s="67" t="e">
        <f t="shared" ca="1" si="1"/>
        <v>#N/A</v>
      </c>
      <c r="K57" s="67" t="e">
        <f t="shared" ca="1" si="2"/>
        <v>#N/A</v>
      </c>
      <c r="L57" s="67" t="e">
        <f ca="1">ROUND(K57/J57,4)</f>
        <v>#N/A</v>
      </c>
      <c r="M57" s="67" t="e">
        <f ca="1">IF(L57&lt;=0.3,L57,IF(L57&lt;0.8,ROUND(0.52*L57+0.144,3),0.7*L57))</f>
        <v>#N/A</v>
      </c>
      <c r="N57" s="68" t="e">
        <f t="shared" ca="1" si="5"/>
        <v>#N/A</v>
      </c>
      <c r="O57" s="81">
        <f t="shared" ca="1" si="6"/>
        <v>1.9239999999999999</v>
      </c>
      <c r="P57" s="68">
        <f t="shared" ca="1" si="7"/>
        <v>0.8</v>
      </c>
      <c r="Q57" s="68">
        <f ca="1">ROUND(P57/O57,4)</f>
        <v>0.4158</v>
      </c>
      <c r="R57" s="82">
        <f ca="1">IF(Q57&lt;=0.3,Q57,IF(Q57&lt;0.8,ROUND(0.52*Q57+0.144,3),0.7*Q57))</f>
        <v>0.36</v>
      </c>
      <c r="S57" s="83">
        <f t="shared" ca="1" si="10"/>
        <v>0.16500000000000001</v>
      </c>
      <c r="T57" s="68" t="e">
        <f t="shared" ca="1" si="11"/>
        <v>#N/A</v>
      </c>
      <c r="U57" s="68" t="e">
        <f t="shared" ca="1" si="12"/>
        <v>#N/A</v>
      </c>
      <c r="V57" s="68" t="e">
        <f ca="1">ROUND(U57/T57,4)</f>
        <v>#N/A</v>
      </c>
      <c r="W57" s="68" t="e">
        <f ca="1">IF(V57&lt;=0.3,V57,IF(V57&lt;0.8,ROUND(0.52*V57+0.144,3),0.7*V57))</f>
        <v>#N/A</v>
      </c>
      <c r="X57" s="68" t="e">
        <f t="shared" ca="1" si="15"/>
        <v>#N/A</v>
      </c>
      <c r="Y57" s="68" t="e">
        <f ca="1">MAX(X57,S57,N57)</f>
        <v>#N/A</v>
      </c>
      <c r="Z57" s="338" t="e">
        <f t="shared" ca="1" si="29"/>
        <v>#N/A</v>
      </c>
      <c r="AA57" s="66">
        <f t="shared" ca="1" si="17"/>
        <v>0.55420000000000003</v>
      </c>
      <c r="AB57" s="66" t="e">
        <f t="shared" ca="1" si="18"/>
        <v>#N/A</v>
      </c>
      <c r="AC57" s="59">
        <f t="shared" ca="1" si="19"/>
        <v>0.16791007371377437</v>
      </c>
      <c r="AD57" s="59">
        <f ca="1">IF(AC57&gt;0.15,0.15,IF(AC57&lt;0.0625,0.0625,AC57))</f>
        <v>0.15</v>
      </c>
      <c r="AE57" s="59">
        <f t="shared" ca="1" si="20"/>
        <v>0.17159999999999997</v>
      </c>
      <c r="AF57" s="59">
        <f t="shared" ca="1" si="21"/>
        <v>0.13728000000000001</v>
      </c>
      <c r="AG57" s="59">
        <f t="shared" ca="1" si="22"/>
        <v>0.11497199999999999</v>
      </c>
      <c r="AH57" s="59">
        <f t="shared" ca="1" si="23"/>
        <v>1.6582155201260123</v>
      </c>
      <c r="AI57" s="59">
        <f t="shared" ca="1" si="24"/>
        <v>2.5</v>
      </c>
      <c r="AJ57" s="59">
        <f ca="1">AI57/AH57</f>
        <v>1.5076447962626827</v>
      </c>
      <c r="AK57" s="59">
        <f ca="1">IF(AJ57&gt;1,1,AJ57)</f>
        <v>1</v>
      </c>
      <c r="AL57" s="59">
        <f ca="1">$U$5*$U$11*AK57/1.4/$U$6*$AG$5</f>
        <v>0.15661904761904763</v>
      </c>
      <c r="AM57" s="59">
        <f ca="1">$W$5*$W$11*AK57/1.4/$W$6*$AG$5</f>
        <v>0.22471428571428573</v>
      </c>
      <c r="AN57" s="59" t="e">
        <f ca="1">Y57/1.5*$AG$5</f>
        <v>#N/A</v>
      </c>
    </row>
    <row r="58" spans="1:40" ht="17.25" thickBot="1">
      <c r="I58" s="338">
        <f ca="1">一般工址Cs!I58</f>
        <v>0.56189999999999996</v>
      </c>
      <c r="J58" s="64" t="e">
        <f t="shared" ca="1" si="1"/>
        <v>#N/A</v>
      </c>
      <c r="K58" s="64" t="e">
        <f t="shared" ca="1" si="2"/>
        <v>#N/A</v>
      </c>
      <c r="L58" s="64" t="e">
        <f ca="1">ROUND(K58/J58,4)</f>
        <v>#N/A</v>
      </c>
      <c r="M58" s="64" t="e">
        <f ca="1">IF(L58&lt;=0.3,L58,IF(L58&lt;0.8,ROUND(0.52*L58+0.144,3),0.7*L58))</f>
        <v>#N/A</v>
      </c>
      <c r="N58" s="69" t="e">
        <f t="shared" ca="1" si="5"/>
        <v>#N/A</v>
      </c>
      <c r="O58" s="84">
        <f t="shared" ca="1" si="6"/>
        <v>1.9330000000000001</v>
      </c>
      <c r="P58" s="85">
        <f t="shared" ca="1" si="7"/>
        <v>0.8</v>
      </c>
      <c r="Q58" s="85">
        <f ca="1">ROUND(P58/O58,4)</f>
        <v>0.41389999999999999</v>
      </c>
      <c r="R58" s="86">
        <f ca="1">IF(Q58&lt;=0.3,Q58,IF(Q58&lt;0.8,ROUND(0.52*Q58+0.144,3),0.7*Q58))</f>
        <v>0.35899999999999999</v>
      </c>
      <c r="S58" s="87">
        <f t="shared" ca="1" si="10"/>
        <v>0.16500000000000001</v>
      </c>
      <c r="T58" s="69" t="e">
        <f t="shared" ca="1" si="11"/>
        <v>#N/A</v>
      </c>
      <c r="U58" s="69" t="e">
        <f t="shared" ca="1" si="12"/>
        <v>#N/A</v>
      </c>
      <c r="V58" s="69" t="e">
        <f ca="1">ROUND(U58/T58,4)</f>
        <v>#N/A</v>
      </c>
      <c r="W58" s="69" t="e">
        <f ca="1">IF(V58&lt;=0.3,V58,IF(V58&lt;0.8,ROUND(0.52*V58+0.144,3),0.7*V58))</f>
        <v>#N/A</v>
      </c>
      <c r="X58" s="69" t="e">
        <f t="shared" ca="1" si="15"/>
        <v>#N/A</v>
      </c>
      <c r="Y58" s="69" t="e">
        <f ca="1">MAX(X58,S58,N58)</f>
        <v>#N/A</v>
      </c>
      <c r="Z58" s="338" t="e">
        <f t="shared" ca="1" si="29"/>
        <v>#N/A</v>
      </c>
      <c r="AA58" s="70">
        <f t="shared" ca="1" si="17"/>
        <v>0.56189999999999996</v>
      </c>
      <c r="AB58" s="70" t="e">
        <f t="shared" ca="1" si="18"/>
        <v>#N/A</v>
      </c>
      <c r="AC58" s="59">
        <f t="shared" ca="1" si="19"/>
        <v>0.1667556267299356</v>
      </c>
      <c r="AD58" s="59">
        <f ca="1">IF(AC58&gt;0.15,0.15,IF(AC58&lt;0.0625,0.0625,AC58))</f>
        <v>0.15</v>
      </c>
      <c r="AE58" s="59">
        <f t="shared" ca="1" si="20"/>
        <v>0.17159999999999997</v>
      </c>
      <c r="AF58" s="59">
        <f t="shared" ca="1" si="21"/>
        <v>0.13728000000000001</v>
      </c>
      <c r="AG58" s="59">
        <f t="shared" ca="1" si="22"/>
        <v>0.11497199999999999</v>
      </c>
      <c r="AH58" s="59">
        <f t="shared" ca="1" si="23"/>
        <v>1.6638799654610421</v>
      </c>
      <c r="AI58" s="59">
        <f t="shared" ca="1" si="24"/>
        <v>2.5</v>
      </c>
      <c r="AJ58" s="59">
        <f ca="1">AI58/AH58</f>
        <v>1.5025122315883397</v>
      </c>
      <c r="AK58" s="59">
        <f ca="1">IF(AJ58&gt;1,1,AJ58)</f>
        <v>1</v>
      </c>
      <c r="AL58" s="59">
        <f ca="1">$U$5*$U$11*AK58/1.4/$U$6*$AG$5</f>
        <v>0.15661904761904763</v>
      </c>
      <c r="AM58" s="59">
        <f ca="1">$W$5*$W$11*AK58/1.4/$W$6*$AG$5</f>
        <v>0.22471428571428573</v>
      </c>
      <c r="AN58" s="59" t="e">
        <f ca="1">Y58/1.5*$AG$5</f>
        <v>#N/A</v>
      </c>
    </row>
    <row r="59" spans="1:40" ht="20.25">
      <c r="H59" s="39" t="s">
        <v>1419</v>
      </c>
      <c r="I59" s="338">
        <f ca="1">一般工址Cs!I59</f>
        <v>0.5625</v>
      </c>
      <c r="J59" s="64" t="e">
        <f t="shared" ca="1" si="1"/>
        <v>#N/A</v>
      </c>
      <c r="K59" s="64" t="e">
        <f t="shared" ca="1" si="2"/>
        <v>#N/A</v>
      </c>
      <c r="L59" s="64" t="e">
        <f t="shared" ca="1" si="3"/>
        <v>#N/A</v>
      </c>
      <c r="M59" s="64" t="e">
        <f t="shared" ca="1" si="4"/>
        <v>#N/A</v>
      </c>
      <c r="N59" s="71" t="e">
        <f t="shared" ca="1" si="5"/>
        <v>#N/A</v>
      </c>
      <c r="O59" s="88">
        <f t="shared" ca="1" si="6"/>
        <v>1.9330000000000001</v>
      </c>
      <c r="P59" s="88">
        <f t="shared" ca="1" si="7"/>
        <v>0.8</v>
      </c>
      <c r="Q59" s="88">
        <f t="shared" ca="1" si="8"/>
        <v>0.41389999999999999</v>
      </c>
      <c r="R59" s="88">
        <f t="shared" ca="1" si="9"/>
        <v>0.35899999999999999</v>
      </c>
      <c r="S59" s="88">
        <f t="shared" ca="1" si="10"/>
        <v>0.16500000000000001</v>
      </c>
      <c r="T59" s="71" t="e">
        <f t="shared" ca="1" si="11"/>
        <v>#N/A</v>
      </c>
      <c r="U59" s="71" t="e">
        <f t="shared" ca="1" si="12"/>
        <v>#N/A</v>
      </c>
      <c r="V59" s="71" t="e">
        <f t="shared" ca="1" si="13"/>
        <v>#N/A</v>
      </c>
      <c r="W59" s="71" t="e">
        <f t="shared" ca="1" si="14"/>
        <v>#N/A</v>
      </c>
      <c r="X59" s="71" t="e">
        <f t="shared" ca="1" si="15"/>
        <v>#N/A</v>
      </c>
      <c r="Y59" s="71" t="e">
        <f t="shared" ca="1" si="16"/>
        <v>#N/A</v>
      </c>
      <c r="Z59" s="338" t="e">
        <f t="shared" ca="1" si="29"/>
        <v>#N/A</v>
      </c>
      <c r="AA59" s="73">
        <f t="shared" ca="1" si="17"/>
        <v>0.5625</v>
      </c>
      <c r="AB59" s="73" t="e">
        <f t="shared" ca="1" si="18"/>
        <v>#N/A</v>
      </c>
      <c r="AC59" s="59">
        <f t="shared" ca="1" si="19"/>
        <v>0.16666666666666666</v>
      </c>
      <c r="AD59" s="59">
        <f t="shared" ca="1" si="30"/>
        <v>0.15</v>
      </c>
      <c r="AE59" s="59">
        <f t="shared" ca="1" si="20"/>
        <v>0.17159999999999997</v>
      </c>
      <c r="AF59" s="59">
        <f t="shared" ca="1" si="21"/>
        <v>0.13728000000000001</v>
      </c>
      <c r="AG59" s="59">
        <f t="shared" ca="1" si="22"/>
        <v>0.11497199999999999</v>
      </c>
      <c r="AH59" s="59">
        <f t="shared" ca="1" si="23"/>
        <v>1.6643213508118238</v>
      </c>
      <c r="AI59" s="59">
        <f t="shared" ca="1" si="24"/>
        <v>2.5</v>
      </c>
      <c r="AJ59" s="59">
        <f t="shared" ca="1" si="25"/>
        <v>1.5021137587284741</v>
      </c>
      <c r="AK59" s="59">
        <f t="shared" ca="1" si="31"/>
        <v>1</v>
      </c>
      <c r="AL59" s="59">
        <f t="shared" ca="1" si="26"/>
        <v>0.15661904761904763</v>
      </c>
      <c r="AM59" s="59">
        <f t="shared" ca="1" si="27"/>
        <v>0.22471428571428573</v>
      </c>
      <c r="AN59" s="59" t="e">
        <f t="shared" ca="1" si="28"/>
        <v>#N/A</v>
      </c>
    </row>
    <row r="60" spans="1:40" ht="16.5">
      <c r="H60" s="39"/>
      <c r="I60" s="338">
        <f ca="1">一般工址Cs!I60</f>
        <v>0.62000000000000011</v>
      </c>
      <c r="J60" s="64" t="e">
        <f t="shared" ca="1" si="1"/>
        <v>#N/A</v>
      </c>
      <c r="K60" s="64" t="e">
        <f t="shared" ca="1" si="2"/>
        <v>#N/A</v>
      </c>
      <c r="L60" s="64" t="e">
        <f t="shared" ca="1" si="3"/>
        <v>#N/A</v>
      </c>
      <c r="M60" s="64" t="e">
        <f t="shared" ca="1" si="4"/>
        <v>#N/A</v>
      </c>
      <c r="N60" s="71" t="e">
        <f t="shared" ca="1" si="5"/>
        <v>#N/A</v>
      </c>
      <c r="O60" s="88">
        <f t="shared" ca="1" si="6"/>
        <v>1.9330000000000001</v>
      </c>
      <c r="P60" s="88">
        <f t="shared" ca="1" si="7"/>
        <v>0.72580645161290314</v>
      </c>
      <c r="Q60" s="88">
        <f t="shared" ca="1" si="8"/>
        <v>0.3755</v>
      </c>
      <c r="R60" s="88">
        <f t="shared" ca="1" si="9"/>
        <v>0.33900000000000002</v>
      </c>
      <c r="S60" s="88">
        <f t="shared" ca="1" si="10"/>
        <v>0.156</v>
      </c>
      <c r="T60" s="71" t="e">
        <f t="shared" ca="1" si="11"/>
        <v>#N/A</v>
      </c>
      <c r="U60" s="71" t="e">
        <f t="shared" ca="1" si="12"/>
        <v>#N/A</v>
      </c>
      <c r="V60" s="71" t="e">
        <f t="shared" ca="1" si="13"/>
        <v>#N/A</v>
      </c>
      <c r="W60" s="71" t="e">
        <f t="shared" ca="1" si="14"/>
        <v>#N/A</v>
      </c>
      <c r="X60" s="71" t="e">
        <f t="shared" ca="1" si="15"/>
        <v>#N/A</v>
      </c>
      <c r="Y60" s="71" t="e">
        <f t="shared" ca="1" si="16"/>
        <v>#N/A</v>
      </c>
      <c r="Z60" s="338" t="e">
        <f t="shared" ca="1" si="29"/>
        <v>#N/A</v>
      </c>
      <c r="AA60" s="73">
        <f t="shared" ca="1" si="17"/>
        <v>0.62000000000000011</v>
      </c>
      <c r="AB60" s="73" t="e">
        <f t="shared" ca="1" si="18"/>
        <v>#N/A</v>
      </c>
      <c r="AC60" s="59">
        <f t="shared" ca="1" si="19"/>
        <v>0.15875015875023812</v>
      </c>
      <c r="AD60" s="59">
        <f t="shared" ca="1" si="30"/>
        <v>0.15</v>
      </c>
      <c r="AE60" s="59">
        <f t="shared" ca="1" si="20"/>
        <v>0.17159999999999997</v>
      </c>
      <c r="AF60" s="59">
        <f t="shared" ca="1" si="21"/>
        <v>0.13728000000000001</v>
      </c>
      <c r="AG60" s="59">
        <f t="shared" ca="1" si="22"/>
        <v>0.11497199999999999</v>
      </c>
      <c r="AH60" s="59">
        <f t="shared" ca="1" si="23"/>
        <v>1.7</v>
      </c>
      <c r="AI60" s="59">
        <f t="shared" ca="1" si="24"/>
        <v>2.5</v>
      </c>
      <c r="AJ60" s="59">
        <f t="shared" ca="1" si="25"/>
        <v>1.4705882352941178</v>
      </c>
      <c r="AK60" s="59">
        <f t="shared" ca="1" si="31"/>
        <v>1</v>
      </c>
      <c r="AL60" s="59">
        <f t="shared" ca="1" si="26"/>
        <v>0.15661904761904763</v>
      </c>
      <c r="AM60" s="59">
        <f t="shared" ca="1" si="27"/>
        <v>0.22471428571428573</v>
      </c>
      <c r="AN60" s="59" t="e">
        <f t="shared" ca="1" si="28"/>
        <v>#N/A</v>
      </c>
    </row>
    <row r="61" spans="1:40" ht="16.5">
      <c r="I61" s="338">
        <f ca="1">一般工址Cs!I61</f>
        <v>0.67000000000000015</v>
      </c>
      <c r="J61" s="64" t="e">
        <f t="shared" ca="1" si="1"/>
        <v>#N/A</v>
      </c>
      <c r="K61" s="64" t="e">
        <f t="shared" ca="1" si="2"/>
        <v>#N/A</v>
      </c>
      <c r="L61" s="64" t="e">
        <f t="shared" ca="1" si="3"/>
        <v>#N/A</v>
      </c>
      <c r="M61" s="64" t="e">
        <f t="shared" ca="1" si="4"/>
        <v>#N/A</v>
      </c>
      <c r="N61" s="61" t="e">
        <f t="shared" ca="1" si="5"/>
        <v>#N/A</v>
      </c>
      <c r="O61" s="64">
        <f t="shared" ca="1" si="6"/>
        <v>1.9330000000000001</v>
      </c>
      <c r="P61" s="64">
        <f t="shared" ca="1" si="7"/>
        <v>0.67164179104477595</v>
      </c>
      <c r="Q61" s="64">
        <f t="shared" ca="1" si="8"/>
        <v>0.34749999999999998</v>
      </c>
      <c r="R61" s="64">
        <f t="shared" ca="1" si="9"/>
        <v>0.32500000000000001</v>
      </c>
      <c r="S61" s="61">
        <f t="shared" ca="1" si="10"/>
        <v>0.15</v>
      </c>
      <c r="T61" s="64" t="e">
        <f t="shared" ca="1" si="11"/>
        <v>#N/A</v>
      </c>
      <c r="U61" s="64" t="e">
        <f t="shared" ca="1" si="12"/>
        <v>#N/A</v>
      </c>
      <c r="V61" s="64" t="e">
        <f t="shared" ca="1" si="13"/>
        <v>#N/A</v>
      </c>
      <c r="W61" s="61" t="e">
        <f t="shared" ca="1" si="14"/>
        <v>#N/A</v>
      </c>
      <c r="X61" s="61" t="e">
        <f t="shared" ca="1" si="15"/>
        <v>#N/A</v>
      </c>
      <c r="Y61" s="89" t="e">
        <f t="shared" ca="1" si="16"/>
        <v>#N/A</v>
      </c>
      <c r="Z61" s="338" t="e">
        <f t="shared" ca="1" si="29"/>
        <v>#N/A</v>
      </c>
      <c r="AA61" s="65">
        <f t="shared" ca="1" si="17"/>
        <v>0.67000000000000015</v>
      </c>
      <c r="AB61" s="270" t="e">
        <f t="shared" ca="1" si="18"/>
        <v>#N/A</v>
      </c>
      <c r="AC61" s="59">
        <f t="shared" ca="1" si="19"/>
        <v>0.15271180544538152</v>
      </c>
      <c r="AD61" s="59">
        <f t="shared" ca="1" si="30"/>
        <v>0.15</v>
      </c>
      <c r="AE61" s="59">
        <f t="shared" ca="1" si="20"/>
        <v>0.17159999999999997</v>
      </c>
      <c r="AF61" s="59">
        <f t="shared" ca="1" si="21"/>
        <v>0.13728000000000001</v>
      </c>
      <c r="AG61" s="59">
        <f t="shared" ca="1" si="22"/>
        <v>0.11497199999999999</v>
      </c>
      <c r="AH61" s="59">
        <f t="shared" ca="1" si="23"/>
        <v>1.7</v>
      </c>
      <c r="AI61" s="59">
        <f t="shared" ca="1" si="24"/>
        <v>1.5672250966268548</v>
      </c>
      <c r="AJ61" s="59">
        <f t="shared" ca="1" si="25"/>
        <v>0.92189711566285582</v>
      </c>
      <c r="AK61" s="59">
        <f t="shared" ca="1" si="31"/>
        <v>0.92189711566285582</v>
      </c>
      <c r="AL61" s="59">
        <f t="shared" ca="1" si="26"/>
        <v>0.14438664825786349</v>
      </c>
      <c r="AM61" s="59">
        <f t="shared" ca="1" si="27"/>
        <v>0.20716345184823889</v>
      </c>
      <c r="AN61" s="59" t="e">
        <f t="shared" ca="1" si="28"/>
        <v>#N/A</v>
      </c>
    </row>
    <row r="62" spans="1:40" ht="16.5">
      <c r="I62" s="338">
        <f ca="1">一般工址Cs!I62</f>
        <v>0.7200000000000002</v>
      </c>
      <c r="J62" s="64" t="e">
        <f t="shared" ca="1" si="1"/>
        <v>#N/A</v>
      </c>
      <c r="K62" s="64" t="e">
        <f t="shared" ca="1" si="2"/>
        <v>#N/A</v>
      </c>
      <c r="L62" s="64" t="e">
        <f t="shared" ca="1" si="3"/>
        <v>#N/A</v>
      </c>
      <c r="M62" s="64" t="e">
        <f t="shared" ca="1" si="4"/>
        <v>#N/A</v>
      </c>
      <c r="N62" s="61" t="e">
        <f t="shared" ca="1" si="5"/>
        <v>#N/A</v>
      </c>
      <c r="O62" s="64">
        <f t="shared" ca="1" si="6"/>
        <v>1.9330000000000001</v>
      </c>
      <c r="P62" s="64">
        <f t="shared" ca="1" si="7"/>
        <v>0.62499999999999989</v>
      </c>
      <c r="Q62" s="64">
        <f t="shared" ca="1" si="8"/>
        <v>0.32329999999999998</v>
      </c>
      <c r="R62" s="64">
        <f t="shared" ca="1" si="9"/>
        <v>0.312</v>
      </c>
      <c r="S62" s="61">
        <f t="shared" ca="1" si="10"/>
        <v>0.14399999999999999</v>
      </c>
      <c r="T62" s="64" t="e">
        <f t="shared" ca="1" si="11"/>
        <v>#N/A</v>
      </c>
      <c r="U62" s="64" t="e">
        <f t="shared" ca="1" si="12"/>
        <v>#N/A</v>
      </c>
      <c r="V62" s="64" t="e">
        <f t="shared" ca="1" si="13"/>
        <v>#N/A</v>
      </c>
      <c r="W62" s="61" t="e">
        <f t="shared" ca="1" si="14"/>
        <v>#N/A</v>
      </c>
      <c r="X62" s="61" t="e">
        <f t="shared" ca="1" si="15"/>
        <v>#N/A</v>
      </c>
      <c r="Y62" s="89" t="e">
        <f t="shared" ca="1" si="16"/>
        <v>#N/A</v>
      </c>
      <c r="Z62" s="338" t="e">
        <f t="shared" ca="1" si="29"/>
        <v>#N/A</v>
      </c>
      <c r="AA62" s="65">
        <f t="shared" ca="1" si="17"/>
        <v>0.7200000000000002</v>
      </c>
      <c r="AB62" s="270" t="e">
        <f t="shared" ca="1" si="18"/>
        <v>#N/A</v>
      </c>
      <c r="AC62" s="59">
        <f t="shared" ca="1" si="19"/>
        <v>0.14731391274719738</v>
      </c>
      <c r="AD62" s="59">
        <f t="shared" ca="1" si="30"/>
        <v>0.14731391274719738</v>
      </c>
      <c r="AE62" s="59">
        <f t="shared" ca="1" si="20"/>
        <v>0.16852711618279378</v>
      </c>
      <c r="AF62" s="59">
        <f t="shared" ca="1" si="21"/>
        <v>0.13482169294623506</v>
      </c>
      <c r="AG62" s="59">
        <f t="shared" ca="1" si="22"/>
        <v>0.11291316784247185</v>
      </c>
      <c r="AH62" s="59">
        <f t="shared" ca="1" si="23"/>
        <v>1.7</v>
      </c>
      <c r="AI62" s="59">
        <f t="shared" ca="1" si="24"/>
        <v>1.4938015821857211</v>
      </c>
      <c r="AJ62" s="59">
        <f t="shared" ca="1" si="25"/>
        <v>0.8787068130504242</v>
      </c>
      <c r="AK62" s="59">
        <f t="shared" ca="1" si="31"/>
        <v>0.8787068130504242</v>
      </c>
      <c r="AL62" s="59">
        <f t="shared" ca="1" si="26"/>
        <v>0.13762222419632594</v>
      </c>
      <c r="AM62" s="59">
        <f t="shared" ca="1" si="27"/>
        <v>0.19745797384690247</v>
      </c>
      <c r="AN62" s="59" t="e">
        <f t="shared" ca="1" si="28"/>
        <v>#N/A</v>
      </c>
    </row>
    <row r="63" spans="1:40" s="97" customFormat="1" ht="16.5">
      <c r="A63" s="270"/>
      <c r="B63" s="270"/>
      <c r="C63" s="270"/>
      <c r="D63" s="270"/>
      <c r="E63" s="270"/>
      <c r="F63" s="270"/>
      <c r="I63" s="338">
        <f ca="1">一般工址Cs!I63</f>
        <v>0.77000000000000024</v>
      </c>
      <c r="J63" s="96" t="e">
        <f t="shared" ca="1" si="1"/>
        <v>#N/A</v>
      </c>
      <c r="K63" s="96" t="e">
        <f t="shared" ca="1" si="2"/>
        <v>#N/A</v>
      </c>
      <c r="L63" s="96" t="e">
        <f t="shared" ca="1" si="3"/>
        <v>#N/A</v>
      </c>
      <c r="M63" s="96" t="e">
        <f t="shared" ca="1" si="4"/>
        <v>#N/A</v>
      </c>
      <c r="N63" s="100" t="e">
        <f t="shared" ca="1" si="5"/>
        <v>#N/A</v>
      </c>
      <c r="O63" s="96">
        <f t="shared" ca="1" si="6"/>
        <v>1.9330000000000001</v>
      </c>
      <c r="P63" s="96">
        <f t="shared" ca="1" si="7"/>
        <v>0.58441558441558428</v>
      </c>
      <c r="Q63" s="96">
        <f t="shared" ca="1" si="8"/>
        <v>0.30230000000000001</v>
      </c>
      <c r="R63" s="96">
        <f t="shared" ca="1" si="9"/>
        <v>0.30099999999999999</v>
      </c>
      <c r="S63" s="100">
        <f t="shared" ca="1" si="10"/>
        <v>0.13900000000000001</v>
      </c>
      <c r="T63" s="96" t="e">
        <f t="shared" ca="1" si="11"/>
        <v>#N/A</v>
      </c>
      <c r="U63" s="96" t="e">
        <f t="shared" ca="1" si="12"/>
        <v>#N/A</v>
      </c>
      <c r="V63" s="96" t="e">
        <f t="shared" ca="1" si="13"/>
        <v>#N/A</v>
      </c>
      <c r="W63" s="100" t="e">
        <f t="shared" ca="1" si="14"/>
        <v>#N/A</v>
      </c>
      <c r="X63" s="100" t="e">
        <f t="shared" ca="1" si="15"/>
        <v>#N/A</v>
      </c>
      <c r="Y63" s="94" t="e">
        <f t="shared" ca="1" si="16"/>
        <v>#N/A</v>
      </c>
      <c r="Z63" s="338" t="e">
        <f t="shared" ca="1" si="29"/>
        <v>#N/A</v>
      </c>
      <c r="AA63" s="95">
        <f t="shared" ca="1" si="17"/>
        <v>0.77000000000000024</v>
      </c>
      <c r="AB63" s="97" t="e">
        <f t="shared" ca="1" si="18"/>
        <v>#N/A</v>
      </c>
      <c r="AC63" s="101">
        <f t="shared" ca="1" si="19"/>
        <v>0.14245072057454741</v>
      </c>
      <c r="AD63" s="101">
        <f t="shared" ca="1" si="30"/>
        <v>0.14245072057454741</v>
      </c>
      <c r="AE63" s="102">
        <f t="shared" ca="1" si="20"/>
        <v>0.16296362433728223</v>
      </c>
      <c r="AF63" s="101">
        <f t="shared" ca="1" si="21"/>
        <v>0.13037089946982583</v>
      </c>
      <c r="AG63" s="101">
        <f t="shared" ca="1" si="22"/>
        <v>0.1091856283059791</v>
      </c>
      <c r="AH63" s="101">
        <f t="shared" ca="1" si="23"/>
        <v>1.7</v>
      </c>
      <c r="AI63" s="59">
        <f t="shared" ca="1" si="24"/>
        <v>1.4284139928826318</v>
      </c>
      <c r="AJ63" s="101">
        <f t="shared" ca="1" si="25"/>
        <v>0.84024352522507761</v>
      </c>
      <c r="AK63" s="101">
        <f t="shared" ca="1" si="31"/>
        <v>0.84024352522507761</v>
      </c>
      <c r="AL63" s="101">
        <f t="shared" ca="1" si="26"/>
        <v>0.13159814068882289</v>
      </c>
      <c r="AM63" s="101">
        <f t="shared" ca="1" si="27"/>
        <v>0.18881472359700674</v>
      </c>
      <c r="AN63" s="101" t="e">
        <f t="shared" ca="1" si="28"/>
        <v>#N/A</v>
      </c>
    </row>
    <row r="64" spans="1:40" ht="16.5">
      <c r="I64" s="338">
        <f ca="1">一般工址Cs!I64</f>
        <v>0.82000000000000028</v>
      </c>
      <c r="J64" s="64" t="e">
        <f t="shared" ca="1" si="1"/>
        <v>#N/A</v>
      </c>
      <c r="K64" s="64" t="e">
        <f t="shared" ca="1" si="2"/>
        <v>#N/A</v>
      </c>
      <c r="L64" s="64" t="e">
        <f t="shared" ca="1" si="3"/>
        <v>#N/A</v>
      </c>
      <c r="M64" s="64" t="e">
        <f t="shared" ca="1" si="4"/>
        <v>#N/A</v>
      </c>
      <c r="N64" s="61" t="e">
        <f t="shared" ca="1" si="5"/>
        <v>#N/A</v>
      </c>
      <c r="O64" s="64">
        <f t="shared" ca="1" si="6"/>
        <v>1.9330000000000001</v>
      </c>
      <c r="P64" s="64">
        <f t="shared" ca="1" si="7"/>
        <v>0.54878048780487787</v>
      </c>
      <c r="Q64" s="64">
        <f t="shared" ca="1" si="8"/>
        <v>0.28389999999999999</v>
      </c>
      <c r="R64" s="64">
        <f t="shared" ca="1" si="9"/>
        <v>0.28389999999999999</v>
      </c>
      <c r="S64" s="61">
        <f t="shared" ca="1" si="10"/>
        <v>0.13100000000000001</v>
      </c>
      <c r="T64" s="64" t="e">
        <f t="shared" ca="1" si="11"/>
        <v>#N/A</v>
      </c>
      <c r="U64" s="64" t="e">
        <f t="shared" ca="1" si="12"/>
        <v>#N/A</v>
      </c>
      <c r="V64" s="64" t="e">
        <f t="shared" ca="1" si="13"/>
        <v>#N/A</v>
      </c>
      <c r="W64" s="61" t="e">
        <f t="shared" ca="1" si="14"/>
        <v>#N/A</v>
      </c>
      <c r="X64" s="61" t="e">
        <f t="shared" ca="1" si="15"/>
        <v>#N/A</v>
      </c>
      <c r="Y64" s="89" t="e">
        <f t="shared" ca="1" si="16"/>
        <v>#N/A</v>
      </c>
      <c r="Z64" s="338" t="e">
        <f t="shared" ca="1" si="29"/>
        <v>#N/A</v>
      </c>
      <c r="AA64" s="65">
        <f t="shared" ca="1" si="17"/>
        <v>0.82000000000000028</v>
      </c>
      <c r="AB64" s="270" t="e">
        <f t="shared" ca="1" si="18"/>
        <v>#N/A</v>
      </c>
      <c r="AC64" s="59">
        <f t="shared" ca="1" si="19"/>
        <v>0.13803940759355815</v>
      </c>
      <c r="AD64" s="59">
        <f t="shared" ca="1" si="30"/>
        <v>0.13803940759355815</v>
      </c>
      <c r="AE64" s="59">
        <f t="shared" ca="1" si="20"/>
        <v>0.15791708228703052</v>
      </c>
      <c r="AF64" s="59">
        <f t="shared" ca="1" si="21"/>
        <v>0.12633366582962444</v>
      </c>
      <c r="AG64" s="59">
        <f t="shared" ca="1" si="22"/>
        <v>0.10580444513231045</v>
      </c>
      <c r="AH64" s="59">
        <f t="shared" ca="1" si="23"/>
        <v>1.7</v>
      </c>
      <c r="AI64" s="59">
        <f t="shared" ca="1" si="24"/>
        <v>1.3697417009474859</v>
      </c>
      <c r="AJ64" s="59">
        <f t="shared" ca="1" si="25"/>
        <v>0.80573041232205056</v>
      </c>
      <c r="AK64" s="59">
        <f t="shared" ca="1" si="31"/>
        <v>0.80573041232205056</v>
      </c>
      <c r="AL64" s="59">
        <f t="shared" ca="1" si="26"/>
        <v>0.12619272981558211</v>
      </c>
      <c r="AM64" s="59">
        <f t="shared" ca="1" si="27"/>
        <v>0.18105913408322649</v>
      </c>
      <c r="AN64" s="59" t="e">
        <f t="shared" ca="1" si="28"/>
        <v>#N/A</v>
      </c>
    </row>
    <row r="65" spans="1:40" ht="16.5">
      <c r="I65" s="338">
        <f ca="1">一般工址Cs!I65</f>
        <v>0.87000000000000033</v>
      </c>
      <c r="J65" s="90" t="e">
        <f t="shared" ca="1" si="1"/>
        <v>#N/A</v>
      </c>
      <c r="K65" s="90" t="e">
        <f t="shared" ca="1" si="2"/>
        <v>#N/A</v>
      </c>
      <c r="L65" s="90" t="e">
        <f t="shared" ca="1" si="3"/>
        <v>#N/A</v>
      </c>
      <c r="M65" s="90" t="e">
        <f t="shared" ca="1" si="4"/>
        <v>#N/A</v>
      </c>
      <c r="N65" s="91" t="e">
        <f t="shared" ca="1" si="5"/>
        <v>#N/A</v>
      </c>
      <c r="O65" s="90">
        <f t="shared" ca="1" si="6"/>
        <v>1.9330000000000001</v>
      </c>
      <c r="P65" s="90">
        <f t="shared" ca="1" si="7"/>
        <v>0.51724137931034464</v>
      </c>
      <c r="Q65" s="90">
        <f t="shared" ca="1" si="8"/>
        <v>0.2676</v>
      </c>
      <c r="R65" s="90">
        <f t="shared" ca="1" si="9"/>
        <v>0.2676</v>
      </c>
      <c r="S65" s="91">
        <f t="shared" ca="1" si="10"/>
        <v>0.123</v>
      </c>
      <c r="T65" s="90" t="e">
        <f t="shared" ca="1" si="11"/>
        <v>#N/A</v>
      </c>
      <c r="U65" s="90" t="e">
        <f t="shared" ca="1" si="12"/>
        <v>#N/A</v>
      </c>
      <c r="V65" s="90" t="e">
        <f t="shared" ca="1" si="13"/>
        <v>#N/A</v>
      </c>
      <c r="W65" s="91" t="e">
        <f t="shared" ca="1" si="14"/>
        <v>#N/A</v>
      </c>
      <c r="X65" s="91" t="e">
        <f t="shared" ca="1" si="15"/>
        <v>#N/A</v>
      </c>
      <c r="Y65" s="92" t="e">
        <f t="shared" ca="1" si="16"/>
        <v>#N/A</v>
      </c>
      <c r="Z65" s="338" t="e">
        <f t="shared" ca="1" si="29"/>
        <v>#N/A</v>
      </c>
      <c r="AA65" s="93">
        <f t="shared" ca="1" si="17"/>
        <v>0.87000000000000033</v>
      </c>
      <c r="AB65" s="270" t="e">
        <f t="shared" ca="1" si="18"/>
        <v>#N/A</v>
      </c>
      <c r="AC65" s="59">
        <f t="shared" ca="1" si="19"/>
        <v>0.13401406685472433</v>
      </c>
      <c r="AD65" s="59">
        <f t="shared" ca="1" si="30"/>
        <v>0.13401406685472433</v>
      </c>
      <c r="AE65" s="59">
        <f t="shared" ca="1" si="20"/>
        <v>0.15331209248180463</v>
      </c>
      <c r="AF65" s="59">
        <f t="shared" ca="1" si="21"/>
        <v>0.12264967398544374</v>
      </c>
      <c r="AG65" s="59">
        <f t="shared" ca="1" si="22"/>
        <v>0.10271910196280912</v>
      </c>
      <c r="AH65" s="59">
        <f t="shared" ca="1" si="23"/>
        <v>1.7</v>
      </c>
      <c r="AI65" s="59">
        <f t="shared" ca="1" si="24"/>
        <v>1.3167452012910397</v>
      </c>
      <c r="AJ65" s="59">
        <f t="shared" ca="1" si="25"/>
        <v>0.77455600075943509</v>
      </c>
      <c r="AK65" s="59">
        <f t="shared" ca="1" si="31"/>
        <v>0.77455600075943509</v>
      </c>
      <c r="AL65" s="59">
        <f t="shared" ca="1" si="26"/>
        <v>0.12131022316656107</v>
      </c>
      <c r="AM65" s="59">
        <f t="shared" ca="1" si="27"/>
        <v>0.17405379845637017</v>
      </c>
      <c r="AN65" s="59" t="e">
        <f t="shared" ca="1" si="28"/>
        <v>#N/A</v>
      </c>
    </row>
    <row r="66" spans="1:40" s="97" customFormat="1" ht="16.5">
      <c r="A66" s="270"/>
      <c r="B66" s="270"/>
      <c r="C66" s="270"/>
      <c r="D66" s="270"/>
      <c r="E66" s="270"/>
      <c r="F66" s="270"/>
      <c r="I66" s="338">
        <f ca="1">一般工址Cs!I66</f>
        <v>0.92000000000000037</v>
      </c>
      <c r="J66" s="96" t="e">
        <f t="shared" ca="1" si="1"/>
        <v>#N/A</v>
      </c>
      <c r="K66" s="96" t="e">
        <f t="shared" ca="1" si="2"/>
        <v>#N/A</v>
      </c>
      <c r="L66" s="96" t="e">
        <f t="shared" ca="1" si="3"/>
        <v>#N/A</v>
      </c>
      <c r="M66" s="96" t="e">
        <f t="shared" ca="1" si="4"/>
        <v>#N/A</v>
      </c>
      <c r="N66" s="100" t="e">
        <f t="shared" ca="1" si="5"/>
        <v>#N/A</v>
      </c>
      <c r="O66" s="96">
        <f t="shared" ca="1" si="6"/>
        <v>1.9330000000000001</v>
      </c>
      <c r="P66" s="96">
        <f t="shared" ca="1" si="7"/>
        <v>0.48913043478260854</v>
      </c>
      <c r="Q66" s="96">
        <f t="shared" ca="1" si="8"/>
        <v>0.253</v>
      </c>
      <c r="R66" s="96">
        <f t="shared" ca="1" si="9"/>
        <v>0.253</v>
      </c>
      <c r="S66" s="100">
        <f t="shared" ca="1" si="10"/>
        <v>0.11600000000000001</v>
      </c>
      <c r="T66" s="96" t="e">
        <f t="shared" ca="1" si="11"/>
        <v>#N/A</v>
      </c>
      <c r="U66" s="96" t="e">
        <f t="shared" ca="1" si="12"/>
        <v>#N/A</v>
      </c>
      <c r="V66" s="96" t="e">
        <f t="shared" ca="1" si="13"/>
        <v>#N/A</v>
      </c>
      <c r="W66" s="100" t="e">
        <f t="shared" ca="1" si="14"/>
        <v>#N/A</v>
      </c>
      <c r="X66" s="100" t="e">
        <f t="shared" ca="1" si="15"/>
        <v>#N/A</v>
      </c>
      <c r="Y66" s="103" t="e">
        <f t="shared" ca="1" si="16"/>
        <v>#N/A</v>
      </c>
      <c r="Z66" s="338" t="e">
        <f t="shared" ca="1" si="29"/>
        <v>#N/A</v>
      </c>
      <c r="AA66" s="95">
        <f t="shared" ca="1" si="17"/>
        <v>0.92000000000000037</v>
      </c>
      <c r="AB66" s="97" t="e">
        <f t="shared" ca="1" si="18"/>
        <v>#N/A</v>
      </c>
      <c r="AC66" s="101">
        <f t="shared" ca="1" si="19"/>
        <v>0.1303215087856717</v>
      </c>
      <c r="AD66" s="101">
        <f t="shared" ca="1" si="30"/>
        <v>0.1303215087856717</v>
      </c>
      <c r="AE66" s="101">
        <f t="shared" ca="1" si="20"/>
        <v>0.1490878060508084</v>
      </c>
      <c r="AF66" s="101">
        <f t="shared" ca="1" si="21"/>
        <v>0.11927024484064676</v>
      </c>
      <c r="AG66" s="101">
        <f t="shared" ca="1" si="22"/>
        <v>9.9888830054041644E-2</v>
      </c>
      <c r="AH66" s="101">
        <f t="shared" ca="1" si="23"/>
        <v>1.7</v>
      </c>
      <c r="AI66" s="59">
        <f t="shared" ca="1" si="24"/>
        <v>1.2685941211550291</v>
      </c>
      <c r="AJ66" s="101">
        <f t="shared" ca="1" si="25"/>
        <v>0.74623183597354659</v>
      </c>
      <c r="AK66" s="101">
        <f t="shared" ca="1" si="31"/>
        <v>0.74623183597354659</v>
      </c>
      <c r="AL66" s="101">
        <f t="shared" ca="1" si="26"/>
        <v>0.11687411945319023</v>
      </c>
      <c r="AM66" s="101">
        <f t="shared" ca="1" si="27"/>
        <v>0.16768895399805556</v>
      </c>
      <c r="AN66" s="101" t="e">
        <f t="shared" ca="1" si="28"/>
        <v>#N/A</v>
      </c>
    </row>
    <row r="67" spans="1:40" ht="16.5">
      <c r="I67" s="338">
        <f ca="1">一般工址Cs!I67</f>
        <v>0.97000000000000042</v>
      </c>
      <c r="J67" s="90" t="e">
        <f t="shared" ca="1" si="1"/>
        <v>#N/A</v>
      </c>
      <c r="K67" s="90" t="e">
        <f t="shared" ca="1" si="2"/>
        <v>#N/A</v>
      </c>
      <c r="L67" s="90" t="e">
        <f t="shared" ca="1" si="3"/>
        <v>#N/A</v>
      </c>
      <c r="M67" s="90" t="e">
        <f t="shared" ca="1" si="4"/>
        <v>#N/A</v>
      </c>
      <c r="N67" s="91" t="e">
        <f t="shared" ca="1" si="5"/>
        <v>#N/A</v>
      </c>
      <c r="O67" s="90">
        <f t="shared" ca="1" si="6"/>
        <v>1.9330000000000001</v>
      </c>
      <c r="P67" s="90">
        <f t="shared" ca="1" si="7"/>
        <v>0.46391752577319567</v>
      </c>
      <c r="Q67" s="90">
        <f t="shared" ca="1" si="8"/>
        <v>0.24</v>
      </c>
      <c r="R67" s="90">
        <f t="shared" ca="1" si="9"/>
        <v>0.24</v>
      </c>
      <c r="S67" s="91">
        <f t="shared" ca="1" si="10"/>
        <v>0.11</v>
      </c>
      <c r="T67" s="90" t="e">
        <f t="shared" ca="1" si="11"/>
        <v>#N/A</v>
      </c>
      <c r="U67" s="90" t="e">
        <f t="shared" ca="1" si="12"/>
        <v>#N/A</v>
      </c>
      <c r="V67" s="90" t="e">
        <f t="shared" ca="1" si="13"/>
        <v>#N/A</v>
      </c>
      <c r="W67" s="91" t="e">
        <f t="shared" ca="1" si="14"/>
        <v>#N/A</v>
      </c>
      <c r="X67" s="91" t="e">
        <f t="shared" ca="1" si="15"/>
        <v>#N/A</v>
      </c>
      <c r="Y67" s="94" t="e">
        <f t="shared" ca="1" si="16"/>
        <v>#N/A</v>
      </c>
      <c r="Z67" s="338" t="e">
        <f t="shared" ca="1" si="29"/>
        <v>#N/A</v>
      </c>
      <c r="AA67" s="95">
        <f t="shared" ca="1" si="17"/>
        <v>0.97000000000000042</v>
      </c>
      <c r="AB67" s="97" t="e">
        <f t="shared" ca="1" si="18"/>
        <v>#N/A</v>
      </c>
      <c r="AC67" s="59">
        <f t="shared" ca="1" si="19"/>
        <v>0.12691827064170236</v>
      </c>
      <c r="AD67" s="59">
        <f t="shared" ca="1" si="30"/>
        <v>0.12691827064170236</v>
      </c>
      <c r="AE67" s="59">
        <f t="shared" ca="1" si="20"/>
        <v>0.14519450161410749</v>
      </c>
      <c r="AF67" s="59">
        <f t="shared" ca="1" si="21"/>
        <v>0.11615560129128602</v>
      </c>
      <c r="AG67" s="59">
        <f t="shared" ca="1" si="22"/>
        <v>9.7280316081452031E-2</v>
      </c>
      <c r="AH67" s="59">
        <f t="shared" ca="1" si="23"/>
        <v>1.7</v>
      </c>
      <c r="AI67" s="59">
        <f t="shared" ca="1" si="24"/>
        <v>1.2246164526793348</v>
      </c>
      <c r="AJ67" s="59">
        <f t="shared" ca="1" si="25"/>
        <v>0.72036261922313816</v>
      </c>
      <c r="AK67" s="59">
        <f t="shared" ca="1" si="31"/>
        <v>0.72036261922313816</v>
      </c>
      <c r="AL67" s="59">
        <f t="shared" ca="1" si="26"/>
        <v>0.11282250736309056</v>
      </c>
      <c r="AM67" s="59">
        <f t="shared" ca="1" si="27"/>
        <v>0.16187577143399948</v>
      </c>
      <c r="AN67" s="59" t="e">
        <f t="shared" ca="1" si="28"/>
        <v>#N/A</v>
      </c>
    </row>
    <row r="68" spans="1:40" ht="16.5">
      <c r="I68" s="338">
        <f ca="1">一般工址Cs!I68</f>
        <v>1.0200000000000005</v>
      </c>
      <c r="J68" s="90" t="e">
        <f t="shared" ca="1" si="1"/>
        <v>#N/A</v>
      </c>
      <c r="K68" s="90" t="e">
        <f t="shared" ca="1" si="2"/>
        <v>#N/A</v>
      </c>
      <c r="L68" s="90" t="e">
        <f t="shared" ca="1" si="3"/>
        <v>#N/A</v>
      </c>
      <c r="M68" s="90" t="e">
        <f t="shared" ca="1" si="4"/>
        <v>#N/A</v>
      </c>
      <c r="N68" s="91" t="e">
        <f t="shared" ca="1" si="5"/>
        <v>#N/A</v>
      </c>
      <c r="O68" s="90">
        <f t="shared" ca="1" si="6"/>
        <v>1.9330000000000001</v>
      </c>
      <c r="P68" s="90">
        <f t="shared" ca="1" si="7"/>
        <v>0.44117647058823511</v>
      </c>
      <c r="Q68" s="90">
        <f t="shared" ca="1" si="8"/>
        <v>0.22819999999999999</v>
      </c>
      <c r="R68" s="90">
        <f t="shared" ca="1" si="9"/>
        <v>0.22819999999999999</v>
      </c>
      <c r="S68" s="91">
        <f t="shared" ca="1" si="10"/>
        <v>0.105</v>
      </c>
      <c r="T68" s="90" t="e">
        <f t="shared" ca="1" si="11"/>
        <v>#N/A</v>
      </c>
      <c r="U68" s="90" t="e">
        <f t="shared" ca="1" si="12"/>
        <v>#N/A</v>
      </c>
      <c r="V68" s="90" t="e">
        <f t="shared" ca="1" si="13"/>
        <v>#N/A</v>
      </c>
      <c r="W68" s="91" t="e">
        <f t="shared" ca="1" si="14"/>
        <v>#N/A</v>
      </c>
      <c r="X68" s="91" t="e">
        <f t="shared" ca="1" si="15"/>
        <v>#N/A</v>
      </c>
      <c r="Y68" s="92" t="e">
        <f t="shared" ca="1" si="16"/>
        <v>#N/A</v>
      </c>
      <c r="Z68" s="338" t="e">
        <f t="shared" ca="1" si="29"/>
        <v>#N/A</v>
      </c>
      <c r="AA68" s="93">
        <f t="shared" ca="1" si="17"/>
        <v>1.0200000000000005</v>
      </c>
      <c r="AB68" s="270" t="e">
        <f t="shared" ca="1" si="18"/>
        <v>#N/A</v>
      </c>
      <c r="AC68" s="59">
        <f t="shared" ca="1" si="19"/>
        <v>0.12376844287208426</v>
      </c>
      <c r="AD68" s="59">
        <f t="shared" ca="1" si="30"/>
        <v>0.12376844287208426</v>
      </c>
      <c r="AE68" s="59">
        <f t="shared" ca="1" si="20"/>
        <v>0.14159109864566441</v>
      </c>
      <c r="AF68" s="59">
        <f t="shared" ca="1" si="21"/>
        <v>0.11327287891653154</v>
      </c>
      <c r="AG68" s="59">
        <f t="shared" ca="1" si="22"/>
        <v>9.4866036092595141E-2</v>
      </c>
      <c r="AH68" s="59">
        <f t="shared" ca="1" si="23"/>
        <v>1.7</v>
      </c>
      <c r="AI68" s="59">
        <f t="shared" ca="1" si="24"/>
        <v>1.1842620112471913</v>
      </c>
      <c r="AJ68" s="59">
        <f t="shared" ca="1" si="25"/>
        <v>0.6966247124983479</v>
      </c>
      <c r="AK68" s="59">
        <f t="shared" ca="1" si="31"/>
        <v>0.6966247124983479</v>
      </c>
      <c r="AL68" s="59">
        <f t="shared" ca="1" si="26"/>
        <v>0.1091046990193841</v>
      </c>
      <c r="AM68" s="59">
        <f t="shared" ca="1" si="27"/>
        <v>0.15654152467998592</v>
      </c>
      <c r="AN68" s="59" t="e">
        <f t="shared" ca="1" si="28"/>
        <v>#N/A</v>
      </c>
    </row>
    <row r="69" spans="1:40" ht="16.5">
      <c r="I69" s="338">
        <f ca="1">一般工址Cs!I69</f>
        <v>1.0700000000000005</v>
      </c>
      <c r="J69" s="64" t="e">
        <f t="shared" ca="1" si="1"/>
        <v>#N/A</v>
      </c>
      <c r="K69" s="64" t="e">
        <f t="shared" ca="1" si="2"/>
        <v>#N/A</v>
      </c>
      <c r="L69" s="64" t="e">
        <f t="shared" ca="1" si="3"/>
        <v>#N/A</v>
      </c>
      <c r="M69" s="64" t="e">
        <f t="shared" ca="1" si="4"/>
        <v>#N/A</v>
      </c>
      <c r="N69" s="61" t="e">
        <f t="shared" ca="1" si="5"/>
        <v>#N/A</v>
      </c>
      <c r="O69" s="64">
        <f t="shared" ca="1" si="6"/>
        <v>1.9330000000000001</v>
      </c>
      <c r="P69" s="64">
        <f t="shared" ca="1" si="7"/>
        <v>0.42056074766355123</v>
      </c>
      <c r="Q69" s="64">
        <f t="shared" ca="1" si="8"/>
        <v>0.21759999999999999</v>
      </c>
      <c r="R69" s="64">
        <f t="shared" ca="1" si="9"/>
        <v>0.21759999999999999</v>
      </c>
      <c r="S69" s="61">
        <f t="shared" ca="1" si="10"/>
        <v>0.1</v>
      </c>
      <c r="T69" s="64" t="e">
        <f t="shared" ca="1" si="11"/>
        <v>#N/A</v>
      </c>
      <c r="U69" s="64" t="e">
        <f t="shared" ca="1" si="12"/>
        <v>#N/A</v>
      </c>
      <c r="V69" s="64" t="e">
        <f t="shared" ca="1" si="13"/>
        <v>#N/A</v>
      </c>
      <c r="W69" s="61" t="e">
        <f t="shared" ca="1" si="14"/>
        <v>#N/A</v>
      </c>
      <c r="X69" s="61" t="e">
        <f t="shared" ca="1" si="15"/>
        <v>#N/A</v>
      </c>
      <c r="Y69" s="89" t="e">
        <f t="shared" ca="1" si="16"/>
        <v>#N/A</v>
      </c>
      <c r="Z69" s="338" t="e">
        <f t="shared" ca="1" si="29"/>
        <v>#N/A</v>
      </c>
      <c r="AA69" s="65">
        <f t="shared" ca="1" si="17"/>
        <v>1.0700000000000005</v>
      </c>
      <c r="AB69" s="270" t="e">
        <f t="shared" ca="1" si="18"/>
        <v>#N/A</v>
      </c>
      <c r="AC69" s="59">
        <f t="shared" ca="1" si="19"/>
        <v>0.12084206113070792</v>
      </c>
      <c r="AD69" s="59">
        <f t="shared" ca="1" si="30"/>
        <v>0.12084206113070792</v>
      </c>
      <c r="AE69" s="59">
        <f t="shared" ca="1" si="20"/>
        <v>0.13824331793352987</v>
      </c>
      <c r="AF69" s="59">
        <f t="shared" ca="1" si="21"/>
        <v>0.1105946543468239</v>
      </c>
      <c r="AG69" s="59">
        <f t="shared" ca="1" si="22"/>
        <v>9.2623023015465003E-2</v>
      </c>
      <c r="AH69" s="59">
        <f t="shared" ca="1" si="23"/>
        <v>1.7</v>
      </c>
      <c r="AI69" s="59">
        <f t="shared" ca="1" si="24"/>
        <v>1.1470756505828088</v>
      </c>
      <c r="AJ69" s="59">
        <f t="shared" ca="1" si="25"/>
        <v>0.67475038269576992</v>
      </c>
      <c r="AK69" s="59">
        <f t="shared" ca="1" si="31"/>
        <v>0.67475038269576992</v>
      </c>
      <c r="AL69" s="59">
        <f t="shared" ca="1" si="26"/>
        <v>0.1056787623183994</v>
      </c>
      <c r="AM69" s="59">
        <f t="shared" ca="1" si="27"/>
        <v>0.15162605028292089</v>
      </c>
      <c r="AN69" s="59" t="e">
        <f t="shared" ca="1" si="28"/>
        <v>#N/A</v>
      </c>
    </row>
    <row r="70" spans="1:40" ht="16.5">
      <c r="I70" s="338">
        <f ca="1">一般工址Cs!I70</f>
        <v>1.1200000000000006</v>
      </c>
      <c r="J70" s="64" t="e">
        <f t="shared" ca="1" si="1"/>
        <v>#N/A</v>
      </c>
      <c r="K70" s="64" t="e">
        <f t="shared" ca="1" si="2"/>
        <v>#N/A</v>
      </c>
      <c r="L70" s="64" t="e">
        <f t="shared" ca="1" si="3"/>
        <v>#N/A</v>
      </c>
      <c r="M70" s="64" t="e">
        <f t="shared" ca="1" si="4"/>
        <v>#N/A</v>
      </c>
      <c r="N70" s="61" t="e">
        <f t="shared" ca="1" si="5"/>
        <v>#N/A</v>
      </c>
      <c r="O70" s="64">
        <f t="shared" ca="1" si="6"/>
        <v>1.9330000000000001</v>
      </c>
      <c r="P70" s="64">
        <f t="shared" ca="1" si="7"/>
        <v>0.40178571428571408</v>
      </c>
      <c r="Q70" s="64">
        <f t="shared" ca="1" si="8"/>
        <v>0.2079</v>
      </c>
      <c r="R70" s="64">
        <f t="shared" ca="1" si="9"/>
        <v>0.2079</v>
      </c>
      <c r="S70" s="61">
        <f t="shared" ca="1" si="10"/>
        <v>9.6000000000000002E-2</v>
      </c>
      <c r="T70" s="64" t="e">
        <f t="shared" ca="1" si="11"/>
        <v>#N/A</v>
      </c>
      <c r="U70" s="64" t="e">
        <f t="shared" ca="1" si="12"/>
        <v>#N/A</v>
      </c>
      <c r="V70" s="64" t="e">
        <f t="shared" ca="1" si="13"/>
        <v>#N/A</v>
      </c>
      <c r="W70" s="61" t="e">
        <f t="shared" ca="1" si="14"/>
        <v>#N/A</v>
      </c>
      <c r="X70" s="61" t="e">
        <f t="shared" ca="1" si="15"/>
        <v>#N/A</v>
      </c>
      <c r="Y70" s="89" t="e">
        <f t="shared" ca="1" si="16"/>
        <v>#N/A</v>
      </c>
      <c r="Z70" s="338" t="e">
        <f t="shared" ca="1" si="29"/>
        <v>#N/A</v>
      </c>
      <c r="AA70" s="65">
        <f t="shared" ca="1" si="17"/>
        <v>1.1200000000000006</v>
      </c>
      <c r="AB70" s="270" t="e">
        <f t="shared" ca="1" si="18"/>
        <v>#N/A</v>
      </c>
      <c r="AC70" s="59">
        <f t="shared" ca="1" si="19"/>
        <v>0.11811389781538348</v>
      </c>
      <c r="AD70" s="59">
        <f t="shared" ca="1" si="30"/>
        <v>0.11811389781538348</v>
      </c>
      <c r="AE70" s="59">
        <f t="shared" ca="1" si="20"/>
        <v>0.1351222991007987</v>
      </c>
      <c r="AF70" s="59">
        <f t="shared" ca="1" si="21"/>
        <v>0.10809783928063897</v>
      </c>
      <c r="AG70" s="59">
        <f t="shared" ca="1" si="22"/>
        <v>9.0531940397535135E-2</v>
      </c>
      <c r="AH70" s="59">
        <f t="shared" ca="1" si="23"/>
        <v>1.7</v>
      </c>
      <c r="AI70" s="59">
        <f t="shared" ca="1" si="24"/>
        <v>1.112677307539522</v>
      </c>
      <c r="AJ70" s="59">
        <f t="shared" ca="1" si="25"/>
        <v>0.65451606325854239</v>
      </c>
      <c r="AK70" s="59">
        <f t="shared" ca="1" si="31"/>
        <v>0.65451606325854239</v>
      </c>
      <c r="AL70" s="59">
        <f t="shared" ca="1" si="26"/>
        <v>0.10250968247892124</v>
      </c>
      <c r="AM70" s="59">
        <f t="shared" ca="1" si="27"/>
        <v>0.1470791096436696</v>
      </c>
      <c r="AN70" s="59" t="e">
        <f t="shared" ca="1" si="28"/>
        <v>#N/A</v>
      </c>
    </row>
    <row r="71" spans="1:40" ht="16.5">
      <c r="I71" s="338">
        <f ca="1">一般工址Cs!I71</f>
        <v>1.1700000000000006</v>
      </c>
      <c r="J71" s="64" t="e">
        <f t="shared" ca="1" si="1"/>
        <v>#N/A</v>
      </c>
      <c r="K71" s="64" t="e">
        <f t="shared" ca="1" si="2"/>
        <v>#N/A</v>
      </c>
      <c r="L71" s="64" t="e">
        <f t="shared" ca="1" si="3"/>
        <v>#N/A</v>
      </c>
      <c r="M71" s="64" t="e">
        <f t="shared" ca="1" si="4"/>
        <v>#N/A</v>
      </c>
      <c r="N71" s="61" t="e">
        <f t="shared" ca="1" si="5"/>
        <v>#N/A</v>
      </c>
      <c r="O71" s="64">
        <f t="shared" ca="1" si="6"/>
        <v>1.9330000000000001</v>
      </c>
      <c r="P71" s="64">
        <f t="shared" ca="1" si="7"/>
        <v>0.38461538461538441</v>
      </c>
      <c r="Q71" s="64">
        <f t="shared" ca="1" si="8"/>
        <v>0.19900000000000001</v>
      </c>
      <c r="R71" s="64">
        <f t="shared" ca="1" si="9"/>
        <v>0.19900000000000001</v>
      </c>
      <c r="S71" s="61">
        <f t="shared" ca="1" si="10"/>
        <v>9.1999999999999998E-2</v>
      </c>
      <c r="T71" s="64" t="e">
        <f t="shared" ca="1" si="11"/>
        <v>#N/A</v>
      </c>
      <c r="U71" s="64" t="e">
        <f t="shared" ca="1" si="12"/>
        <v>#N/A</v>
      </c>
      <c r="V71" s="64" t="e">
        <f t="shared" ca="1" si="13"/>
        <v>#N/A</v>
      </c>
      <c r="W71" s="61" t="e">
        <f t="shared" ca="1" si="14"/>
        <v>#N/A</v>
      </c>
      <c r="X71" s="61" t="e">
        <f t="shared" ca="1" si="15"/>
        <v>#N/A</v>
      </c>
      <c r="Y71" s="89" t="e">
        <f t="shared" ca="1" si="16"/>
        <v>#N/A</v>
      </c>
      <c r="Z71" s="338" t="e">
        <f t="shared" ca="1" si="29"/>
        <v>#N/A</v>
      </c>
      <c r="AA71" s="65">
        <f t="shared" ca="1" si="17"/>
        <v>1.1700000000000006</v>
      </c>
      <c r="AB71" s="270" t="e">
        <f t="shared" ca="1" si="18"/>
        <v>#N/A</v>
      </c>
      <c r="AC71" s="59">
        <f t="shared" ca="1" si="19"/>
        <v>0.11556254088025604</v>
      </c>
      <c r="AD71" s="59">
        <f t="shared" ca="1" si="30"/>
        <v>0.11556254088025604</v>
      </c>
      <c r="AE71" s="59">
        <f t="shared" ca="1" si="20"/>
        <v>0.1322035467670129</v>
      </c>
      <c r="AF71" s="59">
        <f t="shared" ca="1" si="21"/>
        <v>0.10576283741361034</v>
      </c>
      <c r="AG71" s="59">
        <f t="shared" ca="1" si="22"/>
        <v>8.8576376333898643E-2</v>
      </c>
      <c r="AH71" s="59">
        <f t="shared" ca="1" si="23"/>
        <v>1.7</v>
      </c>
      <c r="AI71" s="59">
        <f t="shared" ca="1" si="24"/>
        <v>1.0807469159278265</v>
      </c>
      <c r="AJ71" s="59">
        <f t="shared" ca="1" si="25"/>
        <v>0.63573347995754503</v>
      </c>
      <c r="AK71" s="59">
        <f t="shared" ca="1" si="31"/>
        <v>0.63573347995754503</v>
      </c>
      <c r="AL71" s="59">
        <f t="shared" ca="1" si="26"/>
        <v>9.9567972170493596E-2</v>
      </c>
      <c r="AM71" s="59">
        <f t="shared" ca="1" si="27"/>
        <v>0.14285839485331692</v>
      </c>
      <c r="AN71" s="59" t="e">
        <f t="shared" ca="1" si="28"/>
        <v>#N/A</v>
      </c>
    </row>
    <row r="72" spans="1:40" ht="16.5">
      <c r="I72" s="338">
        <f ca="1">一般工址Cs!I72</f>
        <v>1.2200000000000006</v>
      </c>
      <c r="J72" s="64" t="e">
        <f t="shared" ca="1" si="1"/>
        <v>#N/A</v>
      </c>
      <c r="K72" s="64" t="e">
        <f t="shared" ca="1" si="2"/>
        <v>#N/A</v>
      </c>
      <c r="L72" s="64" t="e">
        <f t="shared" ca="1" si="3"/>
        <v>#N/A</v>
      </c>
      <c r="M72" s="64" t="e">
        <f t="shared" ca="1" si="4"/>
        <v>#N/A</v>
      </c>
      <c r="N72" s="61" t="e">
        <f t="shared" ca="1" si="5"/>
        <v>#N/A</v>
      </c>
      <c r="O72" s="64">
        <f t="shared" ca="1" si="6"/>
        <v>1.9330000000000001</v>
      </c>
      <c r="P72" s="64">
        <f t="shared" ca="1" si="7"/>
        <v>0.36885245901639324</v>
      </c>
      <c r="Q72" s="64">
        <f t="shared" ca="1" si="8"/>
        <v>0.1908</v>
      </c>
      <c r="R72" s="64">
        <f t="shared" ca="1" si="9"/>
        <v>0.1908</v>
      </c>
      <c r="S72" s="61">
        <f t="shared" ca="1" si="10"/>
        <v>8.7999999999999995E-2</v>
      </c>
      <c r="T72" s="64" t="e">
        <f t="shared" ca="1" si="11"/>
        <v>#N/A</v>
      </c>
      <c r="U72" s="64" t="e">
        <f t="shared" ca="1" si="12"/>
        <v>#N/A</v>
      </c>
      <c r="V72" s="64" t="e">
        <f t="shared" ca="1" si="13"/>
        <v>#N/A</v>
      </c>
      <c r="W72" s="61" t="e">
        <f t="shared" ca="1" si="14"/>
        <v>#N/A</v>
      </c>
      <c r="X72" s="61" t="e">
        <f t="shared" ca="1" si="15"/>
        <v>#N/A</v>
      </c>
      <c r="Y72" s="89" t="e">
        <f t="shared" ca="1" si="16"/>
        <v>#N/A</v>
      </c>
      <c r="Z72" s="338" t="e">
        <f t="shared" ca="1" si="29"/>
        <v>#N/A</v>
      </c>
      <c r="AA72" s="65">
        <f t="shared" ca="1" si="17"/>
        <v>1.2200000000000006</v>
      </c>
      <c r="AB72" s="270" t="e">
        <f t="shared" ca="1" si="18"/>
        <v>#N/A</v>
      </c>
      <c r="AC72" s="59">
        <f t="shared" ca="1" si="19"/>
        <v>0.11316968255314815</v>
      </c>
      <c r="AD72" s="59">
        <f t="shared" ca="1" si="30"/>
        <v>0.11316968255314815</v>
      </c>
      <c r="AE72" s="59">
        <f t="shared" ca="1" si="20"/>
        <v>0.12946611684080148</v>
      </c>
      <c r="AF72" s="59">
        <f t="shared" ca="1" si="21"/>
        <v>0.1035728934726412</v>
      </c>
      <c r="AG72" s="59">
        <f t="shared" ca="1" si="22"/>
        <v>8.6742298283336988E-2</v>
      </c>
      <c r="AH72" s="59">
        <f t="shared" ca="1" si="23"/>
        <v>1.7</v>
      </c>
      <c r="AI72" s="59">
        <f t="shared" ca="1" si="24"/>
        <v>1.0510128493267632</v>
      </c>
      <c r="AJ72" s="59">
        <f t="shared" ca="1" si="25"/>
        <v>0.61824285254515488</v>
      </c>
      <c r="AK72" s="59">
        <f t="shared" ca="1" si="31"/>
        <v>0.61824285254515488</v>
      </c>
      <c r="AL72" s="59">
        <f t="shared" ca="1" si="26"/>
        <v>9.6828606762905445E-2</v>
      </c>
      <c r="AM72" s="59">
        <f t="shared" ca="1" si="27"/>
        <v>0.13892800100764696</v>
      </c>
      <c r="AN72" s="59" t="e">
        <f t="shared" ca="1" si="28"/>
        <v>#N/A</v>
      </c>
    </row>
    <row r="73" spans="1:40" ht="16.5">
      <c r="I73" s="338">
        <f ca="1">一般工址Cs!I73</f>
        <v>1.2700000000000007</v>
      </c>
      <c r="J73" s="64" t="e">
        <f t="shared" ca="1" si="1"/>
        <v>#N/A</v>
      </c>
      <c r="K73" s="64" t="e">
        <f t="shared" ca="1" si="2"/>
        <v>#N/A</v>
      </c>
      <c r="L73" s="64" t="e">
        <f t="shared" ca="1" si="3"/>
        <v>#N/A</v>
      </c>
      <c r="M73" s="64" t="e">
        <f t="shared" ca="1" si="4"/>
        <v>#N/A</v>
      </c>
      <c r="N73" s="61" t="e">
        <f t="shared" ca="1" si="5"/>
        <v>#N/A</v>
      </c>
      <c r="O73" s="64">
        <f t="shared" ca="1" si="6"/>
        <v>1.9330000000000001</v>
      </c>
      <c r="P73" s="64">
        <f t="shared" ca="1" si="7"/>
        <v>0.35433070866141714</v>
      </c>
      <c r="Q73" s="64">
        <f t="shared" ca="1" si="8"/>
        <v>0.18329999999999999</v>
      </c>
      <c r="R73" s="64">
        <f t="shared" ca="1" si="9"/>
        <v>0.18329999999999999</v>
      </c>
      <c r="S73" s="61">
        <f t="shared" ca="1" si="10"/>
        <v>8.4000000000000005E-2</v>
      </c>
      <c r="T73" s="64" t="e">
        <f t="shared" ca="1" si="11"/>
        <v>#N/A</v>
      </c>
      <c r="U73" s="64" t="e">
        <f t="shared" ca="1" si="12"/>
        <v>#N/A</v>
      </c>
      <c r="V73" s="64" t="e">
        <f t="shared" ca="1" si="13"/>
        <v>#N/A</v>
      </c>
      <c r="W73" s="61" t="e">
        <f t="shared" ca="1" si="14"/>
        <v>#N/A</v>
      </c>
      <c r="X73" s="61" t="e">
        <f t="shared" ca="1" si="15"/>
        <v>#N/A</v>
      </c>
      <c r="Y73" s="89" t="e">
        <f t="shared" ca="1" si="16"/>
        <v>#N/A</v>
      </c>
      <c r="Z73" s="338" t="e">
        <f t="shared" ca="1" si="29"/>
        <v>#N/A</v>
      </c>
      <c r="AA73" s="65">
        <f t="shared" ca="1" si="17"/>
        <v>1.2700000000000007</v>
      </c>
      <c r="AB73" s="270" t="e">
        <f t="shared" ca="1" si="18"/>
        <v>#N/A</v>
      </c>
      <c r="AC73" s="59">
        <f t="shared" ca="1" si="19"/>
        <v>0.11091956367701418</v>
      </c>
      <c r="AD73" s="59">
        <f t="shared" ca="1" si="30"/>
        <v>0.11091956367701418</v>
      </c>
      <c r="AE73" s="59">
        <f t="shared" ca="1" si="20"/>
        <v>0.12689198084650422</v>
      </c>
      <c r="AF73" s="59">
        <f t="shared" ca="1" si="21"/>
        <v>0.10151358467720338</v>
      </c>
      <c r="AG73" s="59">
        <f t="shared" ca="1" si="22"/>
        <v>8.5017627167157828E-2</v>
      </c>
      <c r="AH73" s="59">
        <f t="shared" ca="1" si="23"/>
        <v>1.7</v>
      </c>
      <c r="AI73" s="59">
        <f t="shared" ca="1" si="24"/>
        <v>1.0232429601562196</v>
      </c>
      <c r="AJ73" s="59">
        <f t="shared" ca="1" si="25"/>
        <v>0.60190762362130568</v>
      </c>
      <c r="AK73" s="59">
        <f t="shared" ca="1" si="31"/>
        <v>0.60190762362130568</v>
      </c>
      <c r="AL73" s="59">
        <f t="shared" ca="1" si="26"/>
        <v>9.4270198766213079E-2</v>
      </c>
      <c r="AM73" s="59">
        <f t="shared" ca="1" si="27"/>
        <v>0.13525724170804485</v>
      </c>
      <c r="AN73" s="59" t="e">
        <f t="shared" ca="1" si="28"/>
        <v>#N/A</v>
      </c>
    </row>
    <row r="74" spans="1:40" ht="16.5">
      <c r="I74" s="338">
        <f ca="1">一般工址Cs!I74</f>
        <v>1.3200000000000007</v>
      </c>
      <c r="J74" s="64" t="e">
        <f t="shared" ca="1" si="1"/>
        <v>#N/A</v>
      </c>
      <c r="K74" s="64" t="e">
        <f t="shared" ca="1" si="2"/>
        <v>#N/A</v>
      </c>
      <c r="L74" s="64" t="e">
        <f t="shared" ca="1" si="3"/>
        <v>#N/A</v>
      </c>
      <c r="M74" s="64" t="e">
        <f t="shared" ca="1" si="4"/>
        <v>#N/A</v>
      </c>
      <c r="N74" s="61" t="e">
        <f t="shared" ca="1" si="5"/>
        <v>#N/A</v>
      </c>
      <c r="O74" s="64">
        <f t="shared" ca="1" si="6"/>
        <v>1.9330000000000001</v>
      </c>
      <c r="P74" s="64">
        <f t="shared" ca="1" si="7"/>
        <v>0.34090909090909072</v>
      </c>
      <c r="Q74" s="64">
        <f t="shared" ca="1" si="8"/>
        <v>0.1764</v>
      </c>
      <c r="R74" s="64">
        <f t="shared" ca="1" si="9"/>
        <v>0.1764</v>
      </c>
      <c r="S74" s="61">
        <f t="shared" ca="1" si="10"/>
        <v>8.1000000000000003E-2</v>
      </c>
      <c r="T74" s="64" t="e">
        <f t="shared" ca="1" si="11"/>
        <v>#N/A</v>
      </c>
      <c r="U74" s="64" t="e">
        <f t="shared" ca="1" si="12"/>
        <v>#N/A</v>
      </c>
      <c r="V74" s="64" t="e">
        <f t="shared" ca="1" si="13"/>
        <v>#N/A</v>
      </c>
      <c r="W74" s="61" t="e">
        <f t="shared" ca="1" si="14"/>
        <v>#N/A</v>
      </c>
      <c r="X74" s="61" t="e">
        <f t="shared" ca="1" si="15"/>
        <v>#N/A</v>
      </c>
      <c r="Y74" s="89" t="e">
        <f t="shared" ca="1" si="16"/>
        <v>#N/A</v>
      </c>
      <c r="Z74" s="338" t="e">
        <f t="shared" ca="1" si="29"/>
        <v>#N/A</v>
      </c>
      <c r="AA74" s="65">
        <f t="shared" ca="1" si="17"/>
        <v>1.3200000000000007</v>
      </c>
      <c r="AB74" s="270" t="e">
        <f t="shared" ca="1" si="18"/>
        <v>#N/A</v>
      </c>
      <c r="AC74" s="59">
        <f t="shared" ca="1" si="19"/>
        <v>0.10879853497231111</v>
      </c>
      <c r="AD74" s="59">
        <f t="shared" ca="1" si="30"/>
        <v>0.10879853497231111</v>
      </c>
      <c r="AE74" s="59">
        <f t="shared" ca="1" si="20"/>
        <v>0.12446552400832392</v>
      </c>
      <c r="AF74" s="59">
        <f t="shared" ca="1" si="21"/>
        <v>9.957241920665913E-2</v>
      </c>
      <c r="AG74" s="59">
        <f t="shared" ca="1" si="22"/>
        <v>8.3391901085577022E-2</v>
      </c>
      <c r="AH74" s="59">
        <f t="shared" ca="1" si="23"/>
        <v>1.7</v>
      </c>
      <c r="AI74" s="59">
        <f t="shared" ca="1" si="24"/>
        <v>1</v>
      </c>
      <c r="AJ74" s="59">
        <f t="shared" ca="1" si="25"/>
        <v>0.58823529411764708</v>
      </c>
      <c r="AK74" s="59">
        <f t="shared" ca="1" si="31"/>
        <v>0.58823529411764708</v>
      </c>
      <c r="AL74" s="59">
        <f t="shared" ca="1" si="26"/>
        <v>9.2128851540616258E-2</v>
      </c>
      <c r="AM74" s="59">
        <f t="shared" ca="1" si="27"/>
        <v>0.13218487394957984</v>
      </c>
      <c r="AN74" s="59" t="e">
        <f t="shared" ca="1" si="28"/>
        <v>#N/A</v>
      </c>
    </row>
    <row r="75" spans="1:40" ht="16.5">
      <c r="I75" s="338">
        <f ca="1">一般工址Cs!I75</f>
        <v>1.3700000000000008</v>
      </c>
      <c r="J75" s="64" t="e">
        <f t="shared" ca="1" si="1"/>
        <v>#N/A</v>
      </c>
      <c r="K75" s="64" t="e">
        <f t="shared" ca="1" si="2"/>
        <v>#N/A</v>
      </c>
      <c r="L75" s="64" t="e">
        <f t="shared" ca="1" si="3"/>
        <v>#N/A</v>
      </c>
      <c r="M75" s="64" t="e">
        <f t="shared" ca="1" si="4"/>
        <v>#N/A</v>
      </c>
      <c r="N75" s="61" t="e">
        <f t="shared" ref="N75:N95" ca="1" si="32">ROUND(B$13*M75/1.4/B$14,3)</f>
        <v>#N/A</v>
      </c>
      <c r="O75" s="64">
        <f t="shared" ref="O75:O95" ca="1" si="33">ROUND(IF($I75&gt;=D$19,D$12,IF($I75&gt;=F$19,D$13+(D$12-D$13)*($I75-0.6*D$19)/0.4/D$19,IF($I75&lt;E$19,D$13+(D$13-1)*($I75-E$19)/E$19,D$13))),3)</f>
        <v>1.9330000000000001</v>
      </c>
      <c r="P75" s="64">
        <f t="shared" ref="P75:P95" ca="1" si="34">IF($I75&lt;E$19,ROUND(B$19*(0.4+3*$I75/D$19),3),IF($I75&lt;=D$19,B$19,IF($I75&lt;=2.5*D$19,C$19/$I75,0.4*B$19)))</f>
        <v>0.32846715328467135</v>
      </c>
      <c r="Q75" s="64">
        <f t="shared" ca="1" si="8"/>
        <v>0.1699</v>
      </c>
      <c r="R75" s="64">
        <f t="shared" ca="1" si="9"/>
        <v>0.1699</v>
      </c>
      <c r="S75" s="61">
        <f t="shared" ref="S75:S95" ca="1" si="35">ROUND(B$13*O75*R75/4.2/B$14,3)</f>
        <v>7.8E-2</v>
      </c>
      <c r="T75" s="64" t="e">
        <f t="shared" ref="T75:T95" ca="1" si="36">ROUND(IF($I75&gt;=D$21,B$12,IF($I75&gt;=F$21,D$14+(B$12-D$14)*($I75-0.6*D$21)/0.4/D$21,IF($I75&lt;E$21,D$14+(D$14-1)*($I75-E$21)/E$21,D$14))),3)</f>
        <v>#N/A</v>
      </c>
      <c r="U75" s="64" t="e">
        <f t="shared" ref="U75:U95" ca="1" si="37">IF($I75&lt;E$21,ROUND(B$21*(0.4+3*$I75/D$21),3),IF($I75&lt;=D$21,B$21,IF($I75&lt;=2.5*D$21,C$21/$I75,0.4*B$21)))</f>
        <v>#N/A</v>
      </c>
      <c r="V75" s="64" t="e">
        <f t="shared" ca="1" si="13"/>
        <v>#N/A</v>
      </c>
      <c r="W75" s="61" t="e">
        <f t="shared" ca="1" si="14"/>
        <v>#N/A</v>
      </c>
      <c r="X75" s="61" t="e">
        <f t="shared" ref="X75:X95" ca="1" si="38">ROUND(B$13*W75/1.4/B$14,3)</f>
        <v>#N/A</v>
      </c>
      <c r="Y75" s="89" t="e">
        <f t="shared" ca="1" si="16"/>
        <v>#N/A</v>
      </c>
      <c r="Z75" s="338" t="e">
        <f t="shared" ca="1" si="29"/>
        <v>#N/A</v>
      </c>
      <c r="AA75" s="65">
        <f t="shared" ref="AA75:AA95" ca="1" si="39">I75</f>
        <v>1.3700000000000008</v>
      </c>
      <c r="AB75" s="270" t="e">
        <f t="shared" ref="AB75:AB95" ca="1" si="40">Z75*T$41</f>
        <v>#N/A</v>
      </c>
      <c r="AC75" s="59">
        <f t="shared" ref="AC75:AC95" ca="1" si="41">1/8/I75^0.5</f>
        <v>0.10679470721459508</v>
      </c>
      <c r="AD75" s="59">
        <f t="shared" ca="1" si="30"/>
        <v>0.10679470721459508</v>
      </c>
      <c r="AE75" s="59">
        <f t="shared" ref="AE75:AE95" ca="1" si="42">$R$5*W$41*$R$11*$AD75*$AG$5</f>
        <v>0.12217314505349677</v>
      </c>
      <c r="AF75" s="59">
        <f t="shared" ref="AF75:AF95" ca="1" si="43">$R$5*X$41*$R$11*$AD75*$AG$5</f>
        <v>9.773851604279743E-2</v>
      </c>
      <c r="AG75" s="59">
        <f t="shared" ref="AG75:AG95" ca="1" si="44">$R$5*Y$41*$R$11*$AD75*$AG$5</f>
        <v>8.1856007185842836E-2</v>
      </c>
      <c r="AH75" s="59">
        <f t="shared" ref="AH75:AH95" ca="1" si="45">IF(I75&gt;0.611,$U$12,IF(I75&gt;0.406,AD$5+($U$12-AD$5)*(I75-0.406)/0.205,IF(I75&gt;0.2,AD$5,IF(I75&gt;0.03,AD$5+(AD$5-1)*(I75-0.2)/0.17,1))))</f>
        <v>1.7</v>
      </c>
      <c r="AI75" s="59">
        <f t="shared" ref="AI75:AI95" ca="1" si="46">IF(I75&lt;T$17,X$17,IF(I75&lt;U$17,Y$17*I75+V$17,IF(I75&lt;Z$17,AA$17,IF(I75&lt;W$17,AB$17/I75^(AC$17),1))))</f>
        <v>1</v>
      </c>
      <c r="AJ75" s="59">
        <f t="shared" ca="1" si="25"/>
        <v>0.58823529411764708</v>
      </c>
      <c r="AK75" s="59">
        <f t="shared" ca="1" si="31"/>
        <v>0.58823529411764708</v>
      </c>
      <c r="AL75" s="59">
        <f t="shared" ca="1" si="26"/>
        <v>9.2128851540616258E-2</v>
      </c>
      <c r="AM75" s="59">
        <f t="shared" ca="1" si="27"/>
        <v>0.13218487394957984</v>
      </c>
      <c r="AN75" s="59" t="e">
        <f t="shared" ca="1" si="28"/>
        <v>#N/A</v>
      </c>
    </row>
    <row r="76" spans="1:40" ht="16.5">
      <c r="I76" s="338">
        <f ca="1">一般工址Cs!I76</f>
        <v>1.4200000000000008</v>
      </c>
      <c r="J76" s="64" t="e">
        <f t="shared" ca="1" si="1"/>
        <v>#N/A</v>
      </c>
      <c r="K76" s="64" t="e">
        <f t="shared" ca="1" si="2"/>
        <v>#N/A</v>
      </c>
      <c r="L76" s="64" t="e">
        <f t="shared" ca="1" si="3"/>
        <v>#N/A</v>
      </c>
      <c r="M76" s="64" t="e">
        <f t="shared" ca="1" si="4"/>
        <v>#N/A</v>
      </c>
      <c r="N76" s="61" t="e">
        <f t="shared" ca="1" si="32"/>
        <v>#N/A</v>
      </c>
      <c r="O76" s="64">
        <f t="shared" ca="1" si="33"/>
        <v>1.9330000000000001</v>
      </c>
      <c r="P76" s="64">
        <f t="shared" ca="1" si="34"/>
        <v>0.32000000000000006</v>
      </c>
      <c r="Q76" s="64">
        <f t="shared" ca="1" si="8"/>
        <v>0.16550000000000001</v>
      </c>
      <c r="R76" s="64">
        <f t="shared" ca="1" si="9"/>
        <v>0.16550000000000001</v>
      </c>
      <c r="S76" s="61">
        <f t="shared" ca="1" si="35"/>
        <v>7.5999999999999998E-2</v>
      </c>
      <c r="T76" s="64" t="e">
        <f t="shared" ca="1" si="36"/>
        <v>#N/A</v>
      </c>
      <c r="U76" s="64" t="e">
        <f t="shared" ca="1" si="37"/>
        <v>#N/A</v>
      </c>
      <c r="V76" s="64" t="e">
        <f t="shared" ca="1" si="13"/>
        <v>#N/A</v>
      </c>
      <c r="W76" s="61" t="e">
        <f t="shared" ca="1" si="14"/>
        <v>#N/A</v>
      </c>
      <c r="X76" s="61" t="e">
        <f t="shared" ca="1" si="38"/>
        <v>#N/A</v>
      </c>
      <c r="Y76" s="89" t="e">
        <f t="shared" ca="1" si="16"/>
        <v>#N/A</v>
      </c>
      <c r="Z76" s="338" t="e">
        <f t="shared" ca="1" si="29"/>
        <v>#N/A</v>
      </c>
      <c r="AA76" s="65">
        <f t="shared" ca="1" si="39"/>
        <v>1.4200000000000008</v>
      </c>
      <c r="AB76" s="270" t="e">
        <f t="shared" ca="1" si="40"/>
        <v>#N/A</v>
      </c>
      <c r="AC76" s="59">
        <f t="shared" ca="1" si="41"/>
        <v>0.1048976697870861</v>
      </c>
      <c r="AD76" s="59">
        <f t="shared" ca="1" si="30"/>
        <v>0.1048976697870861</v>
      </c>
      <c r="AE76" s="59">
        <f t="shared" ca="1" si="42"/>
        <v>0.12000293423642651</v>
      </c>
      <c r="AF76" s="59">
        <f t="shared" ca="1" si="43"/>
        <v>9.6002347389141221E-2</v>
      </c>
      <c r="AG76" s="59">
        <f t="shared" ca="1" si="44"/>
        <v>8.0401965938405762E-2</v>
      </c>
      <c r="AH76" s="59">
        <f t="shared" ca="1" si="45"/>
        <v>1.7</v>
      </c>
      <c r="AI76" s="59">
        <f t="shared" ca="1" si="46"/>
        <v>1</v>
      </c>
      <c r="AJ76" s="59">
        <f t="shared" ca="1" si="25"/>
        <v>0.58823529411764708</v>
      </c>
      <c r="AK76" s="59">
        <f t="shared" ca="1" si="31"/>
        <v>0.58823529411764708</v>
      </c>
      <c r="AL76" s="59">
        <f t="shared" ca="1" si="26"/>
        <v>9.2128851540616258E-2</v>
      </c>
      <c r="AM76" s="59">
        <f t="shared" ca="1" si="27"/>
        <v>0.13218487394957984</v>
      </c>
      <c r="AN76" s="59" t="e">
        <f t="shared" ca="1" si="28"/>
        <v>#N/A</v>
      </c>
    </row>
    <row r="77" spans="1:40" ht="16.5">
      <c r="A77" s="97"/>
      <c r="B77" s="97"/>
      <c r="C77" s="97"/>
      <c r="D77" s="97"/>
      <c r="E77" s="97"/>
      <c r="F77" s="97"/>
      <c r="I77" s="338">
        <f ca="1">一般工址Cs!I77</f>
        <v>1.4700000000000009</v>
      </c>
      <c r="J77" s="64" t="e">
        <f t="shared" ca="1" si="1"/>
        <v>#N/A</v>
      </c>
      <c r="K77" s="64" t="e">
        <f t="shared" ca="1" si="2"/>
        <v>#N/A</v>
      </c>
      <c r="L77" s="64" t="e">
        <f t="shared" ca="1" si="3"/>
        <v>#N/A</v>
      </c>
      <c r="M77" s="64" t="e">
        <f t="shared" ca="1" si="4"/>
        <v>#N/A</v>
      </c>
      <c r="N77" s="61" t="e">
        <f t="shared" ca="1" si="32"/>
        <v>#N/A</v>
      </c>
      <c r="O77" s="64">
        <f t="shared" ca="1" si="33"/>
        <v>1.9330000000000001</v>
      </c>
      <c r="P77" s="64">
        <f t="shared" ca="1" si="34"/>
        <v>0.32000000000000006</v>
      </c>
      <c r="Q77" s="64">
        <f t="shared" ca="1" si="8"/>
        <v>0.16550000000000001</v>
      </c>
      <c r="R77" s="64">
        <f t="shared" ca="1" si="9"/>
        <v>0.16550000000000001</v>
      </c>
      <c r="S77" s="61">
        <f t="shared" ca="1" si="35"/>
        <v>7.5999999999999998E-2</v>
      </c>
      <c r="T77" s="64" t="e">
        <f t="shared" ca="1" si="36"/>
        <v>#N/A</v>
      </c>
      <c r="U77" s="64" t="e">
        <f t="shared" ca="1" si="37"/>
        <v>#N/A</v>
      </c>
      <c r="V77" s="64" t="e">
        <f t="shared" ca="1" si="13"/>
        <v>#N/A</v>
      </c>
      <c r="W77" s="61" t="e">
        <f t="shared" ca="1" si="14"/>
        <v>#N/A</v>
      </c>
      <c r="X77" s="61" t="e">
        <f t="shared" ca="1" si="38"/>
        <v>#N/A</v>
      </c>
      <c r="Y77" s="89" t="e">
        <f t="shared" ca="1" si="16"/>
        <v>#N/A</v>
      </c>
      <c r="Z77" s="338" t="e">
        <f t="shared" ca="1" si="29"/>
        <v>#N/A</v>
      </c>
      <c r="AA77" s="65">
        <f t="shared" ca="1" si="39"/>
        <v>1.4700000000000009</v>
      </c>
      <c r="AB77" s="270" t="e">
        <f t="shared" ca="1" si="40"/>
        <v>#N/A</v>
      </c>
      <c r="AC77" s="59">
        <f t="shared" ca="1" si="41"/>
        <v>0.10309826235529029</v>
      </c>
      <c r="AD77" s="59">
        <f t="shared" ca="1" si="30"/>
        <v>0.10309826235529029</v>
      </c>
      <c r="AE77" s="59">
        <f t="shared" ca="1" si="42"/>
        <v>0.1179444121344521</v>
      </c>
      <c r="AF77" s="59">
        <f t="shared" ca="1" si="43"/>
        <v>9.4355529707561683E-2</v>
      </c>
      <c r="AG77" s="59">
        <f t="shared" ca="1" si="44"/>
        <v>7.9022756130082902E-2</v>
      </c>
      <c r="AH77" s="59">
        <f t="shared" ca="1" si="45"/>
        <v>1.7</v>
      </c>
      <c r="AI77" s="59">
        <f t="shared" ca="1" si="46"/>
        <v>1</v>
      </c>
      <c r="AJ77" s="59">
        <f t="shared" ca="1" si="25"/>
        <v>0.58823529411764708</v>
      </c>
      <c r="AK77" s="59">
        <f t="shared" ca="1" si="31"/>
        <v>0.58823529411764708</v>
      </c>
      <c r="AL77" s="59">
        <f t="shared" ca="1" si="26"/>
        <v>9.2128851540616258E-2</v>
      </c>
      <c r="AM77" s="59">
        <f t="shared" ca="1" si="27"/>
        <v>0.13218487394957984</v>
      </c>
      <c r="AN77" s="59" t="e">
        <f t="shared" ca="1" si="28"/>
        <v>#N/A</v>
      </c>
    </row>
    <row r="78" spans="1:40" ht="16.5">
      <c r="I78" s="338">
        <f ca="1">一般工址Cs!I78</f>
        <v>1.5200000000000009</v>
      </c>
      <c r="J78" s="64" t="e">
        <f t="shared" ca="1" si="1"/>
        <v>#N/A</v>
      </c>
      <c r="K78" s="64" t="e">
        <f t="shared" ca="1" si="2"/>
        <v>#N/A</v>
      </c>
      <c r="L78" s="64" t="e">
        <f t="shared" ca="1" si="3"/>
        <v>#N/A</v>
      </c>
      <c r="M78" s="64" t="e">
        <f t="shared" ca="1" si="4"/>
        <v>#N/A</v>
      </c>
      <c r="N78" s="61" t="e">
        <f t="shared" ca="1" si="32"/>
        <v>#N/A</v>
      </c>
      <c r="O78" s="64">
        <f t="shared" ca="1" si="33"/>
        <v>1.9330000000000001</v>
      </c>
      <c r="P78" s="64">
        <f t="shared" ca="1" si="34"/>
        <v>0.32000000000000006</v>
      </c>
      <c r="Q78" s="64">
        <f t="shared" ca="1" si="8"/>
        <v>0.16550000000000001</v>
      </c>
      <c r="R78" s="64">
        <f t="shared" ca="1" si="9"/>
        <v>0.16550000000000001</v>
      </c>
      <c r="S78" s="61">
        <f t="shared" ca="1" si="35"/>
        <v>7.5999999999999998E-2</v>
      </c>
      <c r="T78" s="64" t="e">
        <f t="shared" ca="1" si="36"/>
        <v>#N/A</v>
      </c>
      <c r="U78" s="64" t="e">
        <f t="shared" ca="1" si="37"/>
        <v>#N/A</v>
      </c>
      <c r="V78" s="64" t="e">
        <f t="shared" ca="1" si="13"/>
        <v>#N/A</v>
      </c>
      <c r="W78" s="61" t="e">
        <f t="shared" ca="1" si="14"/>
        <v>#N/A</v>
      </c>
      <c r="X78" s="61" t="e">
        <f t="shared" ca="1" si="38"/>
        <v>#N/A</v>
      </c>
      <c r="Y78" s="89" t="e">
        <f t="shared" ca="1" si="16"/>
        <v>#N/A</v>
      </c>
      <c r="Z78" s="338" t="e">
        <f t="shared" ca="1" si="29"/>
        <v>#N/A</v>
      </c>
      <c r="AA78" s="65">
        <f t="shared" ca="1" si="39"/>
        <v>1.5200000000000009</v>
      </c>
      <c r="AB78" s="270" t="e">
        <f t="shared" ca="1" si="40"/>
        <v>#N/A</v>
      </c>
      <c r="AC78" s="59">
        <f t="shared" ca="1" si="41"/>
        <v>0.10138838820672655</v>
      </c>
      <c r="AD78" s="59">
        <f t="shared" ca="1" si="30"/>
        <v>0.10138838820672655</v>
      </c>
      <c r="AE78" s="59">
        <f t="shared" ca="1" si="42"/>
        <v>0.11598831610849518</v>
      </c>
      <c r="AF78" s="59">
        <f t="shared" ca="1" si="43"/>
        <v>9.2790652886796152E-2</v>
      </c>
      <c r="AG78" s="59">
        <f t="shared" ca="1" si="44"/>
        <v>7.771217179269177E-2</v>
      </c>
      <c r="AH78" s="59">
        <f t="shared" ca="1" si="45"/>
        <v>1.7</v>
      </c>
      <c r="AI78" s="59">
        <f t="shared" ca="1" si="46"/>
        <v>1</v>
      </c>
      <c r="AJ78" s="59">
        <f t="shared" ca="1" si="25"/>
        <v>0.58823529411764708</v>
      </c>
      <c r="AK78" s="59">
        <f t="shared" ca="1" si="31"/>
        <v>0.58823529411764708</v>
      </c>
      <c r="AL78" s="59">
        <f t="shared" ca="1" si="26"/>
        <v>9.2128851540616258E-2</v>
      </c>
      <c r="AM78" s="59">
        <f t="shared" ca="1" si="27"/>
        <v>0.13218487394957984</v>
      </c>
      <c r="AN78" s="59" t="e">
        <f t="shared" ca="1" si="28"/>
        <v>#N/A</v>
      </c>
    </row>
    <row r="79" spans="1:40" ht="16.5">
      <c r="I79" s="338">
        <f ca="1">一般工址Cs!I79</f>
        <v>1.570000000000001</v>
      </c>
      <c r="J79" s="64" t="e">
        <f t="shared" ca="1" si="1"/>
        <v>#N/A</v>
      </c>
      <c r="K79" s="64" t="e">
        <f t="shared" ca="1" si="2"/>
        <v>#N/A</v>
      </c>
      <c r="L79" s="64" t="e">
        <f t="shared" ca="1" si="3"/>
        <v>#N/A</v>
      </c>
      <c r="M79" s="64" t="e">
        <f t="shared" ca="1" si="4"/>
        <v>#N/A</v>
      </c>
      <c r="N79" s="61" t="e">
        <f t="shared" ca="1" si="32"/>
        <v>#N/A</v>
      </c>
      <c r="O79" s="64">
        <f t="shared" ca="1" si="33"/>
        <v>1.9330000000000001</v>
      </c>
      <c r="P79" s="64">
        <f t="shared" ca="1" si="34"/>
        <v>0.32000000000000006</v>
      </c>
      <c r="Q79" s="64">
        <f t="shared" ca="1" si="8"/>
        <v>0.16550000000000001</v>
      </c>
      <c r="R79" s="64">
        <f t="shared" ca="1" si="9"/>
        <v>0.16550000000000001</v>
      </c>
      <c r="S79" s="61">
        <f t="shared" ca="1" si="35"/>
        <v>7.5999999999999998E-2</v>
      </c>
      <c r="T79" s="64" t="e">
        <f t="shared" ca="1" si="36"/>
        <v>#N/A</v>
      </c>
      <c r="U79" s="64" t="e">
        <f t="shared" ca="1" si="37"/>
        <v>#N/A</v>
      </c>
      <c r="V79" s="64" t="e">
        <f t="shared" ca="1" si="13"/>
        <v>#N/A</v>
      </c>
      <c r="W79" s="61" t="e">
        <f t="shared" ca="1" si="14"/>
        <v>#N/A</v>
      </c>
      <c r="X79" s="61" t="e">
        <f t="shared" ca="1" si="38"/>
        <v>#N/A</v>
      </c>
      <c r="Y79" s="89" t="e">
        <f t="shared" ca="1" si="16"/>
        <v>#N/A</v>
      </c>
      <c r="Z79" s="338" t="e">
        <f t="shared" ca="1" si="29"/>
        <v>#N/A</v>
      </c>
      <c r="AA79" s="65">
        <f t="shared" ca="1" si="39"/>
        <v>1.570000000000001</v>
      </c>
      <c r="AB79" s="270" t="e">
        <f t="shared" ca="1" si="40"/>
        <v>#N/A</v>
      </c>
      <c r="AC79" s="59">
        <f t="shared" ca="1" si="41"/>
        <v>9.9760860558452735E-2</v>
      </c>
      <c r="AD79" s="59">
        <f t="shared" ca="1" si="30"/>
        <v>9.9760860558452735E-2</v>
      </c>
      <c r="AE79" s="59">
        <f t="shared" ca="1" si="42"/>
        <v>0.11412642447886993</v>
      </c>
      <c r="AF79" s="59">
        <f t="shared" ca="1" si="43"/>
        <v>9.130113958309595E-2</v>
      </c>
      <c r="AG79" s="59">
        <f t="shared" ca="1" si="44"/>
        <v>7.6464704400842853E-2</v>
      </c>
      <c r="AH79" s="59">
        <f t="shared" ca="1" si="45"/>
        <v>1.7</v>
      </c>
      <c r="AI79" s="59">
        <f t="shared" ca="1" si="46"/>
        <v>1</v>
      </c>
      <c r="AJ79" s="59">
        <f t="shared" ca="1" si="25"/>
        <v>0.58823529411764708</v>
      </c>
      <c r="AK79" s="59">
        <f t="shared" ca="1" si="31"/>
        <v>0.58823529411764708</v>
      </c>
      <c r="AL79" s="59">
        <f t="shared" ca="1" si="26"/>
        <v>9.2128851540616258E-2</v>
      </c>
      <c r="AM79" s="59">
        <f t="shared" ca="1" si="27"/>
        <v>0.13218487394957984</v>
      </c>
      <c r="AN79" s="59" t="e">
        <f t="shared" ca="1" si="28"/>
        <v>#N/A</v>
      </c>
    </row>
    <row r="80" spans="1:40" ht="16.5">
      <c r="A80" s="97"/>
      <c r="B80" s="97"/>
      <c r="C80" s="97"/>
      <c r="D80" s="97"/>
      <c r="E80" s="97"/>
      <c r="F80" s="97"/>
      <c r="I80" s="338">
        <f ca="1">一般工址Cs!I80</f>
        <v>1.620000000000001</v>
      </c>
      <c r="J80" s="64" t="e">
        <f t="shared" ca="1" si="1"/>
        <v>#N/A</v>
      </c>
      <c r="K80" s="64" t="e">
        <f t="shared" ca="1" si="2"/>
        <v>#N/A</v>
      </c>
      <c r="L80" s="64" t="e">
        <f t="shared" ca="1" si="3"/>
        <v>#N/A</v>
      </c>
      <c r="M80" s="64" t="e">
        <f t="shared" ca="1" si="4"/>
        <v>#N/A</v>
      </c>
      <c r="N80" s="61" t="e">
        <f t="shared" ca="1" si="32"/>
        <v>#N/A</v>
      </c>
      <c r="O80" s="64">
        <f t="shared" ca="1" si="33"/>
        <v>1.9330000000000001</v>
      </c>
      <c r="P80" s="64">
        <f t="shared" ca="1" si="34"/>
        <v>0.32000000000000006</v>
      </c>
      <c r="Q80" s="64">
        <f t="shared" ca="1" si="8"/>
        <v>0.16550000000000001</v>
      </c>
      <c r="R80" s="64">
        <f t="shared" ca="1" si="9"/>
        <v>0.16550000000000001</v>
      </c>
      <c r="S80" s="61">
        <f t="shared" ca="1" si="35"/>
        <v>7.5999999999999998E-2</v>
      </c>
      <c r="T80" s="64" t="e">
        <f t="shared" ca="1" si="36"/>
        <v>#N/A</v>
      </c>
      <c r="U80" s="64" t="e">
        <f t="shared" ca="1" si="37"/>
        <v>#N/A</v>
      </c>
      <c r="V80" s="64" t="e">
        <f t="shared" ca="1" si="13"/>
        <v>#N/A</v>
      </c>
      <c r="W80" s="61" t="e">
        <f t="shared" ca="1" si="14"/>
        <v>#N/A</v>
      </c>
      <c r="X80" s="61" t="e">
        <f t="shared" ca="1" si="38"/>
        <v>#N/A</v>
      </c>
      <c r="Y80" s="89" t="e">
        <f t="shared" ca="1" si="16"/>
        <v>#N/A</v>
      </c>
      <c r="Z80" s="338" t="e">
        <f t="shared" ca="1" si="29"/>
        <v>#N/A</v>
      </c>
      <c r="AA80" s="65">
        <f t="shared" ca="1" si="39"/>
        <v>1.620000000000001</v>
      </c>
      <c r="AB80" s="270" t="e">
        <f t="shared" ca="1" si="40"/>
        <v>#N/A</v>
      </c>
      <c r="AC80" s="59">
        <f t="shared" ca="1" si="41"/>
        <v>9.8209275164798243E-2</v>
      </c>
      <c r="AD80" s="59">
        <f t="shared" ca="1" si="30"/>
        <v>9.8209275164798243E-2</v>
      </c>
      <c r="AE80" s="59">
        <f t="shared" ca="1" si="42"/>
        <v>0.11235141078852919</v>
      </c>
      <c r="AF80" s="59">
        <f t="shared" ca="1" si="43"/>
        <v>8.9881128630823356E-2</v>
      </c>
      <c r="AG80" s="59">
        <f t="shared" ca="1" si="44"/>
        <v>7.5275445228314558E-2</v>
      </c>
      <c r="AH80" s="59">
        <f t="shared" ca="1" si="45"/>
        <v>1.7</v>
      </c>
      <c r="AI80" s="59">
        <f t="shared" ca="1" si="46"/>
        <v>1</v>
      </c>
      <c r="AJ80" s="59">
        <f t="shared" ca="1" si="25"/>
        <v>0.58823529411764708</v>
      </c>
      <c r="AK80" s="59">
        <f t="shared" ca="1" si="31"/>
        <v>0.58823529411764708</v>
      </c>
      <c r="AL80" s="59">
        <f t="shared" ca="1" si="26"/>
        <v>9.2128851540616258E-2</v>
      </c>
      <c r="AM80" s="59">
        <f t="shared" ca="1" si="27"/>
        <v>0.13218487394957984</v>
      </c>
      <c r="AN80" s="59" t="e">
        <f t="shared" ca="1" si="28"/>
        <v>#N/A</v>
      </c>
    </row>
    <row r="81" spans="8:40" ht="16.5">
      <c r="I81" s="338">
        <f ca="1">一般工址Cs!I81</f>
        <v>1.670000000000001</v>
      </c>
      <c r="J81" s="64" t="e">
        <f t="shared" ca="1" si="1"/>
        <v>#N/A</v>
      </c>
      <c r="K81" s="64" t="e">
        <f t="shared" ca="1" si="2"/>
        <v>#N/A</v>
      </c>
      <c r="L81" s="64" t="e">
        <f t="shared" ca="1" si="3"/>
        <v>#N/A</v>
      </c>
      <c r="M81" s="64" t="e">
        <f t="shared" ca="1" si="4"/>
        <v>#N/A</v>
      </c>
      <c r="N81" s="61" t="e">
        <f t="shared" ca="1" si="32"/>
        <v>#N/A</v>
      </c>
      <c r="O81" s="64">
        <f t="shared" ca="1" si="33"/>
        <v>1.9330000000000001</v>
      </c>
      <c r="P81" s="64">
        <f t="shared" ca="1" si="34"/>
        <v>0.32000000000000006</v>
      </c>
      <c r="Q81" s="64">
        <f t="shared" ca="1" si="8"/>
        <v>0.16550000000000001</v>
      </c>
      <c r="R81" s="64">
        <f t="shared" ca="1" si="9"/>
        <v>0.16550000000000001</v>
      </c>
      <c r="S81" s="61">
        <f t="shared" ca="1" si="35"/>
        <v>7.5999999999999998E-2</v>
      </c>
      <c r="T81" s="64" t="e">
        <f t="shared" ca="1" si="36"/>
        <v>#N/A</v>
      </c>
      <c r="U81" s="64" t="e">
        <f t="shared" ca="1" si="37"/>
        <v>#N/A</v>
      </c>
      <c r="V81" s="64" t="e">
        <f t="shared" ca="1" si="13"/>
        <v>#N/A</v>
      </c>
      <c r="W81" s="61" t="e">
        <f t="shared" ca="1" si="14"/>
        <v>#N/A</v>
      </c>
      <c r="X81" s="61" t="e">
        <f t="shared" ca="1" si="38"/>
        <v>#N/A</v>
      </c>
      <c r="Y81" s="89" t="e">
        <f t="shared" ca="1" si="16"/>
        <v>#N/A</v>
      </c>
      <c r="Z81" s="338" t="e">
        <f t="shared" ca="1" si="29"/>
        <v>#N/A</v>
      </c>
      <c r="AA81" s="65">
        <f t="shared" ca="1" si="39"/>
        <v>1.670000000000001</v>
      </c>
      <c r="AB81" s="270" t="e">
        <f t="shared" ca="1" si="40"/>
        <v>#N/A</v>
      </c>
      <c r="AC81" s="59">
        <f t="shared" ca="1" si="41"/>
        <v>9.6727904066767081E-2</v>
      </c>
      <c r="AD81" s="59">
        <f t="shared" ca="1" si="30"/>
        <v>9.6727904066767081E-2</v>
      </c>
      <c r="AE81" s="59">
        <f t="shared" ca="1" si="42"/>
        <v>0.11065672225238155</v>
      </c>
      <c r="AF81" s="59">
        <f t="shared" ca="1" si="43"/>
        <v>8.8525377801905239E-2</v>
      </c>
      <c r="AG81" s="59">
        <f t="shared" ca="1" si="44"/>
        <v>7.4140003909095642E-2</v>
      </c>
      <c r="AH81" s="59">
        <f t="shared" ca="1" si="45"/>
        <v>1.7</v>
      </c>
      <c r="AI81" s="59">
        <f t="shared" ca="1" si="46"/>
        <v>1</v>
      </c>
      <c r="AJ81" s="59">
        <f t="shared" ca="1" si="25"/>
        <v>0.58823529411764708</v>
      </c>
      <c r="AK81" s="59">
        <f t="shared" ca="1" si="31"/>
        <v>0.58823529411764708</v>
      </c>
      <c r="AL81" s="59">
        <f t="shared" ca="1" si="26"/>
        <v>9.2128851540616258E-2</v>
      </c>
      <c r="AM81" s="59">
        <f t="shared" ca="1" si="27"/>
        <v>0.13218487394957984</v>
      </c>
      <c r="AN81" s="59" t="e">
        <f t="shared" ca="1" si="28"/>
        <v>#N/A</v>
      </c>
    </row>
    <row r="82" spans="8:40" ht="16.5">
      <c r="I82" s="338">
        <f ca="1">一般工址Cs!I82</f>
        <v>1.7200000000000011</v>
      </c>
      <c r="J82" s="64" t="e">
        <f t="shared" ca="1" si="1"/>
        <v>#N/A</v>
      </c>
      <c r="K82" s="64" t="e">
        <f t="shared" ca="1" si="2"/>
        <v>#N/A</v>
      </c>
      <c r="L82" s="64" t="e">
        <f t="shared" ca="1" si="3"/>
        <v>#N/A</v>
      </c>
      <c r="M82" s="64" t="e">
        <f t="shared" ca="1" si="4"/>
        <v>#N/A</v>
      </c>
      <c r="N82" s="61" t="e">
        <f t="shared" ca="1" si="32"/>
        <v>#N/A</v>
      </c>
      <c r="O82" s="64">
        <f t="shared" ca="1" si="33"/>
        <v>1.9330000000000001</v>
      </c>
      <c r="P82" s="64">
        <f t="shared" ca="1" si="34"/>
        <v>0.32000000000000006</v>
      </c>
      <c r="Q82" s="64">
        <f t="shared" ca="1" si="8"/>
        <v>0.16550000000000001</v>
      </c>
      <c r="R82" s="64">
        <f t="shared" ca="1" si="9"/>
        <v>0.16550000000000001</v>
      </c>
      <c r="S82" s="61">
        <f t="shared" ca="1" si="35"/>
        <v>7.5999999999999998E-2</v>
      </c>
      <c r="T82" s="64" t="e">
        <f t="shared" ca="1" si="36"/>
        <v>#N/A</v>
      </c>
      <c r="U82" s="64" t="e">
        <f t="shared" ca="1" si="37"/>
        <v>#N/A</v>
      </c>
      <c r="V82" s="64" t="e">
        <f t="shared" ca="1" si="13"/>
        <v>#N/A</v>
      </c>
      <c r="W82" s="61" t="e">
        <f t="shared" ca="1" si="14"/>
        <v>#N/A</v>
      </c>
      <c r="X82" s="61" t="e">
        <f t="shared" ca="1" si="38"/>
        <v>#N/A</v>
      </c>
      <c r="Y82" s="89" t="e">
        <f t="shared" ca="1" si="16"/>
        <v>#N/A</v>
      </c>
      <c r="Z82" s="338" t="e">
        <f t="shared" ca="1" si="29"/>
        <v>#N/A</v>
      </c>
      <c r="AA82" s="65">
        <f t="shared" ca="1" si="39"/>
        <v>1.7200000000000011</v>
      </c>
      <c r="AB82" s="270" t="e">
        <f t="shared" ca="1" si="40"/>
        <v>#N/A</v>
      </c>
      <c r="AC82" s="59">
        <f t="shared" ca="1" si="41"/>
        <v>9.5311606457877882E-2</v>
      </c>
      <c r="AD82" s="59">
        <f t="shared" ca="1" si="30"/>
        <v>9.5311606457877882E-2</v>
      </c>
      <c r="AE82" s="59">
        <f t="shared" ca="1" si="42"/>
        <v>0.10903647778781229</v>
      </c>
      <c r="AF82" s="59">
        <f t="shared" ca="1" si="43"/>
        <v>8.7229182230249849E-2</v>
      </c>
      <c r="AG82" s="59">
        <f t="shared" ca="1" si="44"/>
        <v>7.3054440117834241E-2</v>
      </c>
      <c r="AH82" s="59">
        <f t="shared" ca="1" si="45"/>
        <v>1.7</v>
      </c>
      <c r="AI82" s="59">
        <f t="shared" ca="1" si="46"/>
        <v>1</v>
      </c>
      <c r="AJ82" s="59">
        <f t="shared" ca="1" si="25"/>
        <v>0.58823529411764708</v>
      </c>
      <c r="AK82" s="59">
        <f t="shared" ca="1" si="31"/>
        <v>0.58823529411764708</v>
      </c>
      <c r="AL82" s="59">
        <f t="shared" ca="1" si="26"/>
        <v>9.2128851540616258E-2</v>
      </c>
      <c r="AM82" s="59">
        <f t="shared" ca="1" si="27"/>
        <v>0.13218487394957984</v>
      </c>
      <c r="AN82" s="59" t="e">
        <f t="shared" ca="1" si="28"/>
        <v>#N/A</v>
      </c>
    </row>
    <row r="83" spans="8:40" ht="16.5">
      <c r="I83" s="338">
        <f ca="1">一般工址Cs!I83</f>
        <v>1.7700000000000011</v>
      </c>
      <c r="J83" s="64" t="e">
        <f t="shared" ca="1" si="1"/>
        <v>#N/A</v>
      </c>
      <c r="K83" s="64" t="e">
        <f t="shared" ca="1" si="2"/>
        <v>#N/A</v>
      </c>
      <c r="L83" s="64" t="e">
        <f t="shared" ca="1" si="3"/>
        <v>#N/A</v>
      </c>
      <c r="M83" s="64" t="e">
        <f t="shared" ca="1" si="4"/>
        <v>#N/A</v>
      </c>
      <c r="N83" s="61" t="e">
        <f t="shared" ca="1" si="32"/>
        <v>#N/A</v>
      </c>
      <c r="O83" s="64">
        <f t="shared" ca="1" si="33"/>
        <v>1.9330000000000001</v>
      </c>
      <c r="P83" s="64">
        <f t="shared" ca="1" si="34"/>
        <v>0.32000000000000006</v>
      </c>
      <c r="Q83" s="64">
        <f t="shared" ca="1" si="8"/>
        <v>0.16550000000000001</v>
      </c>
      <c r="R83" s="64">
        <f t="shared" ca="1" si="9"/>
        <v>0.16550000000000001</v>
      </c>
      <c r="S83" s="61">
        <f t="shared" ca="1" si="35"/>
        <v>7.5999999999999998E-2</v>
      </c>
      <c r="T83" s="64" t="e">
        <f t="shared" ca="1" si="36"/>
        <v>#N/A</v>
      </c>
      <c r="U83" s="64" t="e">
        <f t="shared" ca="1" si="37"/>
        <v>#N/A</v>
      </c>
      <c r="V83" s="64" t="e">
        <f t="shared" ca="1" si="13"/>
        <v>#N/A</v>
      </c>
      <c r="W83" s="61" t="e">
        <f t="shared" ca="1" si="14"/>
        <v>#N/A</v>
      </c>
      <c r="X83" s="61" t="e">
        <f t="shared" ca="1" si="38"/>
        <v>#N/A</v>
      </c>
      <c r="Y83" s="89" t="e">
        <f t="shared" ca="1" si="16"/>
        <v>#N/A</v>
      </c>
      <c r="Z83" s="338" t="e">
        <f t="shared" ca="1" si="29"/>
        <v>#N/A</v>
      </c>
      <c r="AA83" s="65">
        <f t="shared" ca="1" si="39"/>
        <v>1.7700000000000011</v>
      </c>
      <c r="AB83" s="270" t="e">
        <f t="shared" ca="1" si="40"/>
        <v>#N/A</v>
      </c>
      <c r="AC83" s="59">
        <f t="shared" ca="1" si="41"/>
        <v>9.3955753500353581E-2</v>
      </c>
      <c r="AD83" s="59">
        <f t="shared" ca="1" si="30"/>
        <v>9.3955753500353581E-2</v>
      </c>
      <c r="AE83" s="59">
        <f t="shared" ca="1" si="42"/>
        <v>0.10748538200440449</v>
      </c>
      <c r="AF83" s="59">
        <f t="shared" ca="1" si="43"/>
        <v>8.5988305603523607E-2</v>
      </c>
      <c r="AG83" s="59">
        <f t="shared" ca="1" si="44"/>
        <v>7.2015205942951008E-2</v>
      </c>
      <c r="AH83" s="59">
        <f t="shared" ca="1" si="45"/>
        <v>1.7</v>
      </c>
      <c r="AI83" s="59">
        <f t="shared" ca="1" si="46"/>
        <v>1</v>
      </c>
      <c r="AJ83" s="59">
        <f t="shared" ca="1" si="25"/>
        <v>0.58823529411764708</v>
      </c>
      <c r="AK83" s="59">
        <f t="shared" ca="1" si="31"/>
        <v>0.58823529411764708</v>
      </c>
      <c r="AL83" s="59">
        <f t="shared" ca="1" si="26"/>
        <v>9.2128851540616258E-2</v>
      </c>
      <c r="AM83" s="59">
        <f t="shared" ca="1" si="27"/>
        <v>0.13218487394957984</v>
      </c>
      <c r="AN83" s="59" t="e">
        <f t="shared" ca="1" si="28"/>
        <v>#N/A</v>
      </c>
    </row>
    <row r="84" spans="8:40" ht="16.5">
      <c r="I84" s="338">
        <f ca="1">一般工址Cs!I84</f>
        <v>1.8200000000000012</v>
      </c>
      <c r="J84" s="64" t="e">
        <f t="shared" ca="1" si="1"/>
        <v>#N/A</v>
      </c>
      <c r="K84" s="64" t="e">
        <f t="shared" ca="1" si="2"/>
        <v>#N/A</v>
      </c>
      <c r="L84" s="64" t="e">
        <f t="shared" ca="1" si="3"/>
        <v>#N/A</v>
      </c>
      <c r="M84" s="64" t="e">
        <f t="shared" ca="1" si="4"/>
        <v>#N/A</v>
      </c>
      <c r="N84" s="61" t="e">
        <f t="shared" ca="1" si="32"/>
        <v>#N/A</v>
      </c>
      <c r="O84" s="64">
        <f t="shared" ca="1" si="33"/>
        <v>1.9330000000000001</v>
      </c>
      <c r="P84" s="64">
        <f t="shared" ca="1" si="34"/>
        <v>0.32000000000000006</v>
      </c>
      <c r="Q84" s="64">
        <f t="shared" ca="1" si="8"/>
        <v>0.16550000000000001</v>
      </c>
      <c r="R84" s="64">
        <f t="shared" ca="1" si="9"/>
        <v>0.16550000000000001</v>
      </c>
      <c r="S84" s="61">
        <f t="shared" ca="1" si="35"/>
        <v>7.5999999999999998E-2</v>
      </c>
      <c r="T84" s="64" t="e">
        <f t="shared" ca="1" si="36"/>
        <v>#N/A</v>
      </c>
      <c r="U84" s="64" t="e">
        <f t="shared" ca="1" si="37"/>
        <v>#N/A</v>
      </c>
      <c r="V84" s="64" t="e">
        <f t="shared" ca="1" si="13"/>
        <v>#N/A</v>
      </c>
      <c r="W84" s="61" t="e">
        <f t="shared" ca="1" si="14"/>
        <v>#N/A</v>
      </c>
      <c r="X84" s="61" t="e">
        <f t="shared" ca="1" si="38"/>
        <v>#N/A</v>
      </c>
      <c r="Y84" s="89" t="e">
        <f t="shared" ca="1" si="16"/>
        <v>#N/A</v>
      </c>
      <c r="Z84" s="338" t="e">
        <f t="shared" ca="1" si="29"/>
        <v>#N/A</v>
      </c>
      <c r="AA84" s="65">
        <f t="shared" ca="1" si="39"/>
        <v>1.8200000000000012</v>
      </c>
      <c r="AB84" s="270" t="e">
        <f t="shared" ca="1" si="40"/>
        <v>#N/A</v>
      </c>
      <c r="AC84" s="59">
        <f t="shared" ca="1" si="41"/>
        <v>9.2656164582637618E-2</v>
      </c>
      <c r="AD84" s="59">
        <f t="shared" ca="1" si="30"/>
        <v>9.2656164582637618E-2</v>
      </c>
      <c r="AE84" s="59">
        <f t="shared" ca="1" si="42"/>
        <v>0.10599865228253744</v>
      </c>
      <c r="AF84" s="59">
        <f t="shared" ca="1" si="43"/>
        <v>8.4798921826029952E-2</v>
      </c>
      <c r="AG84" s="59">
        <f t="shared" ca="1" si="44"/>
        <v>7.101909702930008E-2</v>
      </c>
      <c r="AH84" s="59">
        <f t="shared" ca="1" si="45"/>
        <v>1.7</v>
      </c>
      <c r="AI84" s="59">
        <f t="shared" ca="1" si="46"/>
        <v>1</v>
      </c>
      <c r="AJ84" s="59">
        <f t="shared" ca="1" si="25"/>
        <v>0.58823529411764708</v>
      </c>
      <c r="AK84" s="59">
        <f t="shared" ca="1" si="31"/>
        <v>0.58823529411764708</v>
      </c>
      <c r="AL84" s="59">
        <f t="shared" ca="1" si="26"/>
        <v>9.2128851540616258E-2</v>
      </c>
      <c r="AM84" s="59">
        <f t="shared" ca="1" si="27"/>
        <v>0.13218487394957984</v>
      </c>
      <c r="AN84" s="59" t="e">
        <f t="shared" ca="1" si="28"/>
        <v>#N/A</v>
      </c>
    </row>
    <row r="85" spans="8:40" ht="16.5">
      <c r="I85" s="338">
        <f ca="1">一般工址Cs!I85</f>
        <v>1.8700000000000012</v>
      </c>
      <c r="J85" s="64" t="e">
        <f t="shared" ca="1" si="1"/>
        <v>#N/A</v>
      </c>
      <c r="K85" s="64" t="e">
        <f t="shared" ca="1" si="2"/>
        <v>#N/A</v>
      </c>
      <c r="L85" s="64" t="e">
        <f t="shared" ca="1" si="3"/>
        <v>#N/A</v>
      </c>
      <c r="M85" s="64" t="e">
        <f t="shared" ca="1" si="4"/>
        <v>#N/A</v>
      </c>
      <c r="N85" s="61" t="e">
        <f t="shared" ca="1" si="32"/>
        <v>#N/A</v>
      </c>
      <c r="O85" s="64">
        <f t="shared" ca="1" si="33"/>
        <v>1.9330000000000001</v>
      </c>
      <c r="P85" s="64">
        <f t="shared" ca="1" si="34"/>
        <v>0.32000000000000006</v>
      </c>
      <c r="Q85" s="64">
        <f t="shared" ca="1" si="8"/>
        <v>0.16550000000000001</v>
      </c>
      <c r="R85" s="64">
        <f t="shared" ca="1" si="9"/>
        <v>0.16550000000000001</v>
      </c>
      <c r="S85" s="61">
        <f t="shared" ca="1" si="35"/>
        <v>7.5999999999999998E-2</v>
      </c>
      <c r="T85" s="64" t="e">
        <f t="shared" ca="1" si="36"/>
        <v>#N/A</v>
      </c>
      <c r="U85" s="64" t="e">
        <f t="shared" ca="1" si="37"/>
        <v>#N/A</v>
      </c>
      <c r="V85" s="64" t="e">
        <f t="shared" ca="1" si="13"/>
        <v>#N/A</v>
      </c>
      <c r="W85" s="61" t="e">
        <f t="shared" ca="1" si="14"/>
        <v>#N/A</v>
      </c>
      <c r="X85" s="61" t="e">
        <f t="shared" ca="1" si="38"/>
        <v>#N/A</v>
      </c>
      <c r="Y85" s="89" t="e">
        <f t="shared" ca="1" si="16"/>
        <v>#N/A</v>
      </c>
      <c r="Z85" s="338" t="e">
        <f t="shared" ca="1" si="29"/>
        <v>#N/A</v>
      </c>
      <c r="AA85" s="65">
        <f t="shared" ca="1" si="39"/>
        <v>1.8700000000000012</v>
      </c>
      <c r="AB85" s="270" t="e">
        <f t="shared" ca="1" si="40"/>
        <v>#N/A</v>
      </c>
      <c r="AC85" s="59">
        <f t="shared" ca="1" si="41"/>
        <v>9.1409053015891306E-2</v>
      </c>
      <c r="AD85" s="59">
        <f t="shared" ca="1" si="30"/>
        <v>9.1409053015891306E-2</v>
      </c>
      <c r="AE85" s="59">
        <f t="shared" ca="1" si="42"/>
        <v>0.10457195665017967</v>
      </c>
      <c r="AF85" s="59">
        <f t="shared" ca="1" si="43"/>
        <v>8.3657565320143734E-2</v>
      </c>
      <c r="AG85" s="59">
        <f t="shared" ca="1" si="44"/>
        <v>7.0063210955620361E-2</v>
      </c>
      <c r="AH85" s="59">
        <f t="shared" ca="1" si="45"/>
        <v>1.7</v>
      </c>
      <c r="AI85" s="59">
        <f t="shared" ca="1" si="46"/>
        <v>1</v>
      </c>
      <c r="AJ85" s="59">
        <f t="shared" ca="1" si="25"/>
        <v>0.58823529411764708</v>
      </c>
      <c r="AK85" s="59">
        <f t="shared" ca="1" si="31"/>
        <v>0.58823529411764708</v>
      </c>
      <c r="AL85" s="59">
        <f t="shared" ca="1" si="26"/>
        <v>9.2128851540616258E-2</v>
      </c>
      <c r="AM85" s="59">
        <f t="shared" ca="1" si="27"/>
        <v>0.13218487394957984</v>
      </c>
      <c r="AN85" s="59" t="e">
        <f t="shared" ca="1" si="28"/>
        <v>#N/A</v>
      </c>
    </row>
    <row r="86" spans="8:40" ht="16.5">
      <c r="I86" s="338">
        <f ca="1">一般工址Cs!I86</f>
        <v>1.9200000000000013</v>
      </c>
      <c r="J86" s="64" t="e">
        <f t="shared" ca="1" si="1"/>
        <v>#N/A</v>
      </c>
      <c r="K86" s="64" t="e">
        <f t="shared" ca="1" si="2"/>
        <v>#N/A</v>
      </c>
      <c r="L86" s="64" t="e">
        <f t="shared" ca="1" si="3"/>
        <v>#N/A</v>
      </c>
      <c r="M86" s="64" t="e">
        <f t="shared" ca="1" si="4"/>
        <v>#N/A</v>
      </c>
      <c r="N86" s="61" t="e">
        <f t="shared" ca="1" si="32"/>
        <v>#N/A</v>
      </c>
      <c r="O86" s="64">
        <f t="shared" ca="1" si="33"/>
        <v>1.9330000000000001</v>
      </c>
      <c r="P86" s="64">
        <f t="shared" ca="1" si="34"/>
        <v>0.32000000000000006</v>
      </c>
      <c r="Q86" s="64">
        <f t="shared" ca="1" si="8"/>
        <v>0.16550000000000001</v>
      </c>
      <c r="R86" s="64">
        <f t="shared" ca="1" si="9"/>
        <v>0.16550000000000001</v>
      </c>
      <c r="S86" s="61">
        <f t="shared" ca="1" si="35"/>
        <v>7.5999999999999998E-2</v>
      </c>
      <c r="T86" s="64" t="e">
        <f t="shared" ca="1" si="36"/>
        <v>#N/A</v>
      </c>
      <c r="U86" s="64" t="e">
        <f t="shared" ca="1" si="37"/>
        <v>#N/A</v>
      </c>
      <c r="V86" s="64" t="e">
        <f t="shared" ca="1" si="13"/>
        <v>#N/A</v>
      </c>
      <c r="W86" s="61" t="e">
        <f t="shared" ca="1" si="14"/>
        <v>#N/A</v>
      </c>
      <c r="X86" s="61" t="e">
        <f t="shared" ca="1" si="38"/>
        <v>#N/A</v>
      </c>
      <c r="Y86" s="89" t="e">
        <f t="shared" ca="1" si="16"/>
        <v>#N/A</v>
      </c>
      <c r="Z86" s="338" t="e">
        <f t="shared" ca="1" si="29"/>
        <v>#N/A</v>
      </c>
      <c r="AA86" s="65">
        <f t="shared" ca="1" si="39"/>
        <v>1.9200000000000013</v>
      </c>
      <c r="AB86" s="270" t="e">
        <f t="shared" ca="1" si="40"/>
        <v>#N/A</v>
      </c>
      <c r="AC86" s="59">
        <f t="shared" ca="1" si="41"/>
        <v>9.0210979560878993E-2</v>
      </c>
      <c r="AD86" s="59">
        <f t="shared" ca="1" si="30"/>
        <v>9.0210979560878993E-2</v>
      </c>
      <c r="AE86" s="59">
        <f t="shared" ca="1" si="42"/>
        <v>0.10320136061764558</v>
      </c>
      <c r="AF86" s="59">
        <f t="shared" ca="1" si="43"/>
        <v>8.2561088494116475E-2</v>
      </c>
      <c r="AG86" s="59">
        <f t="shared" ca="1" si="44"/>
        <v>6.9144911613822538E-2</v>
      </c>
      <c r="AH86" s="59">
        <f t="shared" ca="1" si="45"/>
        <v>1.7</v>
      </c>
      <c r="AI86" s="59">
        <f t="shared" ca="1" si="46"/>
        <v>1</v>
      </c>
      <c r="AJ86" s="59">
        <f t="shared" ca="1" si="25"/>
        <v>0.58823529411764708</v>
      </c>
      <c r="AK86" s="59">
        <f t="shared" ca="1" si="31"/>
        <v>0.58823529411764708</v>
      </c>
      <c r="AL86" s="59">
        <f t="shared" ca="1" si="26"/>
        <v>9.2128851540616258E-2</v>
      </c>
      <c r="AM86" s="59">
        <f t="shared" ca="1" si="27"/>
        <v>0.13218487394957984</v>
      </c>
      <c r="AN86" s="59" t="e">
        <f t="shared" ca="1" si="28"/>
        <v>#N/A</v>
      </c>
    </row>
    <row r="87" spans="8:40" ht="16.5">
      <c r="I87" s="338">
        <f ca="1">一般工址Cs!I87</f>
        <v>1.9700000000000013</v>
      </c>
      <c r="J87" s="64" t="e">
        <f t="shared" ca="1" si="1"/>
        <v>#N/A</v>
      </c>
      <c r="K87" s="64" t="e">
        <f t="shared" ca="1" si="2"/>
        <v>#N/A</v>
      </c>
      <c r="L87" s="64" t="e">
        <f t="shared" ca="1" si="3"/>
        <v>#N/A</v>
      </c>
      <c r="M87" s="64" t="e">
        <f t="shared" ca="1" si="4"/>
        <v>#N/A</v>
      </c>
      <c r="N87" s="61" t="e">
        <f t="shared" ca="1" si="32"/>
        <v>#N/A</v>
      </c>
      <c r="O87" s="64">
        <f t="shared" ca="1" si="33"/>
        <v>1.9330000000000001</v>
      </c>
      <c r="P87" s="64">
        <f t="shared" ca="1" si="34"/>
        <v>0.32000000000000006</v>
      </c>
      <c r="Q87" s="64">
        <f t="shared" ca="1" si="8"/>
        <v>0.16550000000000001</v>
      </c>
      <c r="R87" s="64">
        <f t="shared" ca="1" si="9"/>
        <v>0.16550000000000001</v>
      </c>
      <c r="S87" s="61">
        <f t="shared" ca="1" si="35"/>
        <v>7.5999999999999998E-2</v>
      </c>
      <c r="T87" s="64" t="e">
        <f t="shared" ca="1" si="36"/>
        <v>#N/A</v>
      </c>
      <c r="U87" s="64" t="e">
        <f t="shared" ca="1" si="37"/>
        <v>#N/A</v>
      </c>
      <c r="V87" s="64" t="e">
        <f t="shared" ca="1" si="13"/>
        <v>#N/A</v>
      </c>
      <c r="W87" s="61" t="e">
        <f t="shared" ca="1" si="14"/>
        <v>#N/A</v>
      </c>
      <c r="X87" s="61" t="e">
        <f t="shared" ca="1" si="38"/>
        <v>#N/A</v>
      </c>
      <c r="Y87" s="89" t="e">
        <f t="shared" ca="1" si="16"/>
        <v>#N/A</v>
      </c>
      <c r="Z87" s="338" t="e">
        <f t="shared" ca="1" si="29"/>
        <v>#N/A</v>
      </c>
      <c r="AA87" s="65">
        <f t="shared" ca="1" si="39"/>
        <v>1.9700000000000013</v>
      </c>
      <c r="AB87" s="270" t="e">
        <f t="shared" ca="1" si="40"/>
        <v>#N/A</v>
      </c>
      <c r="AC87" s="59">
        <f t="shared" ca="1" si="41"/>
        <v>8.9058812484887034E-2</v>
      </c>
      <c r="AD87" s="59">
        <f t="shared" ca="1" si="30"/>
        <v>8.9058812484887034E-2</v>
      </c>
      <c r="AE87" s="59">
        <f t="shared" ca="1" si="42"/>
        <v>0.10188328148271078</v>
      </c>
      <c r="AF87" s="59">
        <f t="shared" ca="1" si="43"/>
        <v>8.1506625186168621E-2</v>
      </c>
      <c r="AG87" s="59">
        <f t="shared" ca="1" si="44"/>
        <v>6.8261798593416217E-2</v>
      </c>
      <c r="AH87" s="59">
        <f t="shared" ca="1" si="45"/>
        <v>1.7</v>
      </c>
      <c r="AI87" s="59">
        <f t="shared" ca="1" si="46"/>
        <v>1</v>
      </c>
      <c r="AJ87" s="59">
        <f t="shared" ca="1" si="25"/>
        <v>0.58823529411764708</v>
      </c>
      <c r="AK87" s="59">
        <f t="shared" ca="1" si="31"/>
        <v>0.58823529411764708</v>
      </c>
      <c r="AL87" s="59">
        <f t="shared" ca="1" si="26"/>
        <v>9.2128851540616258E-2</v>
      </c>
      <c r="AM87" s="59">
        <f t="shared" ca="1" si="27"/>
        <v>0.13218487394957984</v>
      </c>
      <c r="AN87" s="59" t="e">
        <f t="shared" ca="1" si="28"/>
        <v>#N/A</v>
      </c>
    </row>
    <row r="88" spans="8:40" ht="16.5">
      <c r="I88" s="338">
        <f ca="1">一般工址Cs!I88</f>
        <v>2.0200000000000014</v>
      </c>
      <c r="J88" s="64" t="e">
        <f t="shared" ca="1" si="1"/>
        <v>#N/A</v>
      </c>
      <c r="K88" s="64" t="e">
        <f t="shared" ca="1" si="2"/>
        <v>#N/A</v>
      </c>
      <c r="L88" s="64" t="e">
        <f t="shared" ca="1" si="3"/>
        <v>#N/A</v>
      </c>
      <c r="M88" s="64" t="e">
        <f t="shared" ca="1" si="4"/>
        <v>#N/A</v>
      </c>
      <c r="N88" s="61" t="e">
        <f t="shared" ca="1" si="32"/>
        <v>#N/A</v>
      </c>
      <c r="O88" s="64">
        <f t="shared" ca="1" si="33"/>
        <v>1.9330000000000001</v>
      </c>
      <c r="P88" s="64">
        <f t="shared" ca="1" si="34"/>
        <v>0.32000000000000006</v>
      </c>
      <c r="Q88" s="64">
        <f t="shared" ca="1" si="8"/>
        <v>0.16550000000000001</v>
      </c>
      <c r="R88" s="64">
        <f t="shared" ca="1" si="9"/>
        <v>0.16550000000000001</v>
      </c>
      <c r="S88" s="61">
        <f t="shared" ca="1" si="35"/>
        <v>7.5999999999999998E-2</v>
      </c>
      <c r="T88" s="64" t="e">
        <f t="shared" ca="1" si="36"/>
        <v>#N/A</v>
      </c>
      <c r="U88" s="64" t="e">
        <f t="shared" ca="1" si="37"/>
        <v>#N/A</v>
      </c>
      <c r="V88" s="64" t="e">
        <f t="shared" ca="1" si="13"/>
        <v>#N/A</v>
      </c>
      <c r="W88" s="61" t="e">
        <f t="shared" ca="1" si="14"/>
        <v>#N/A</v>
      </c>
      <c r="X88" s="61" t="e">
        <f t="shared" ca="1" si="38"/>
        <v>#N/A</v>
      </c>
      <c r="Y88" s="89" t="e">
        <f t="shared" ca="1" si="16"/>
        <v>#N/A</v>
      </c>
      <c r="Z88" s="338" t="e">
        <f t="shared" ca="1" si="29"/>
        <v>#N/A</v>
      </c>
      <c r="AA88" s="65">
        <f t="shared" ca="1" si="39"/>
        <v>2.0200000000000014</v>
      </c>
      <c r="AB88" s="270" t="e">
        <f t="shared" ca="1" si="40"/>
        <v>#N/A</v>
      </c>
      <c r="AC88" s="59">
        <f t="shared" ca="1" si="41"/>
        <v>8.794969309128646E-2</v>
      </c>
      <c r="AD88" s="59">
        <f t="shared" ca="1" si="30"/>
        <v>8.794969309128646E-2</v>
      </c>
      <c r="AE88" s="59">
        <f t="shared" ca="1" si="42"/>
        <v>0.1006144488964317</v>
      </c>
      <c r="AF88" s="59">
        <f t="shared" ca="1" si="43"/>
        <v>8.0491559117145381E-2</v>
      </c>
      <c r="AG88" s="59">
        <f t="shared" ca="1" si="44"/>
        <v>6.7411680760609244E-2</v>
      </c>
      <c r="AH88" s="59">
        <f t="shared" ca="1" si="45"/>
        <v>1.7</v>
      </c>
      <c r="AI88" s="59">
        <f t="shared" ca="1" si="46"/>
        <v>1</v>
      </c>
      <c r="AJ88" s="59">
        <f t="shared" ca="1" si="25"/>
        <v>0.58823529411764708</v>
      </c>
      <c r="AK88" s="59">
        <f t="shared" ca="1" si="31"/>
        <v>0.58823529411764708</v>
      </c>
      <c r="AL88" s="59">
        <f t="shared" ca="1" si="26"/>
        <v>9.2128851540616258E-2</v>
      </c>
      <c r="AM88" s="59">
        <f t="shared" ca="1" si="27"/>
        <v>0.13218487394957984</v>
      </c>
      <c r="AN88" s="59" t="e">
        <f t="shared" ca="1" si="28"/>
        <v>#N/A</v>
      </c>
    </row>
    <row r="89" spans="8:40" ht="16.5">
      <c r="I89" s="338">
        <f ca="1">一般工址Cs!I89</f>
        <v>2.0700000000000012</v>
      </c>
      <c r="J89" s="64" t="e">
        <f t="shared" ca="1" si="1"/>
        <v>#N/A</v>
      </c>
      <c r="K89" s="64" t="e">
        <f t="shared" ca="1" si="2"/>
        <v>#N/A</v>
      </c>
      <c r="L89" s="64" t="e">
        <f t="shared" ca="1" si="3"/>
        <v>#N/A</v>
      </c>
      <c r="M89" s="64" t="e">
        <f t="shared" ca="1" si="4"/>
        <v>#N/A</v>
      </c>
      <c r="N89" s="61" t="e">
        <f t="shared" ca="1" si="32"/>
        <v>#N/A</v>
      </c>
      <c r="O89" s="64">
        <f t="shared" ca="1" si="33"/>
        <v>1.9330000000000001</v>
      </c>
      <c r="P89" s="64">
        <f t="shared" ca="1" si="34"/>
        <v>0.32000000000000006</v>
      </c>
      <c r="Q89" s="64">
        <f t="shared" ca="1" si="8"/>
        <v>0.16550000000000001</v>
      </c>
      <c r="R89" s="64">
        <f t="shared" ca="1" si="9"/>
        <v>0.16550000000000001</v>
      </c>
      <c r="S89" s="61">
        <f t="shared" ca="1" si="35"/>
        <v>7.5999999999999998E-2</v>
      </c>
      <c r="T89" s="64" t="e">
        <f t="shared" ca="1" si="36"/>
        <v>#N/A</v>
      </c>
      <c r="U89" s="64" t="e">
        <f t="shared" ca="1" si="37"/>
        <v>#N/A</v>
      </c>
      <c r="V89" s="64" t="e">
        <f t="shared" ca="1" si="13"/>
        <v>#N/A</v>
      </c>
      <c r="W89" s="61" t="e">
        <f t="shared" ca="1" si="14"/>
        <v>#N/A</v>
      </c>
      <c r="X89" s="61" t="e">
        <f t="shared" ca="1" si="38"/>
        <v>#N/A</v>
      </c>
      <c r="Y89" s="89" t="e">
        <f t="shared" ca="1" si="16"/>
        <v>#N/A</v>
      </c>
      <c r="Z89" s="338" t="e">
        <f t="shared" ca="1" si="29"/>
        <v>#N/A</v>
      </c>
      <c r="AA89" s="65">
        <f t="shared" ca="1" si="39"/>
        <v>2.0700000000000012</v>
      </c>
      <c r="AB89" s="270" t="e">
        <f t="shared" ca="1" si="40"/>
        <v>#N/A</v>
      </c>
      <c r="AC89" s="59">
        <f t="shared" ca="1" si="41"/>
        <v>8.688100585711446E-2</v>
      </c>
      <c r="AD89" s="59">
        <f t="shared" ca="1" si="30"/>
        <v>8.688100585711446E-2</v>
      </c>
      <c r="AE89" s="59">
        <f t="shared" ca="1" si="42"/>
        <v>9.9391870700538953E-2</v>
      </c>
      <c r="AF89" s="59">
        <f t="shared" ca="1" si="43"/>
        <v>7.9513496560431177E-2</v>
      </c>
      <c r="AG89" s="59">
        <f t="shared" ca="1" si="44"/>
        <v>6.6592553369361082E-2</v>
      </c>
      <c r="AH89" s="59">
        <f t="shared" ca="1" si="45"/>
        <v>1.7</v>
      </c>
      <c r="AI89" s="59">
        <f t="shared" ca="1" si="46"/>
        <v>1</v>
      </c>
      <c r="AJ89" s="59">
        <f t="shared" ca="1" si="25"/>
        <v>0.58823529411764708</v>
      </c>
      <c r="AK89" s="59">
        <f t="shared" ca="1" si="31"/>
        <v>0.58823529411764708</v>
      </c>
      <c r="AL89" s="59">
        <f t="shared" ca="1" si="26"/>
        <v>9.2128851540616258E-2</v>
      </c>
      <c r="AM89" s="59">
        <f t="shared" ca="1" si="27"/>
        <v>0.13218487394957984</v>
      </c>
      <c r="AN89" s="59" t="e">
        <f t="shared" ca="1" si="28"/>
        <v>#N/A</v>
      </c>
    </row>
    <row r="90" spans="8:40" ht="16.5">
      <c r="I90" s="338">
        <f ca="1">一般工址Cs!I90</f>
        <v>2.120000000000001</v>
      </c>
      <c r="J90" s="64" t="e">
        <f t="shared" ca="1" si="1"/>
        <v>#N/A</v>
      </c>
      <c r="K90" s="64" t="e">
        <f t="shared" ca="1" si="2"/>
        <v>#N/A</v>
      </c>
      <c r="L90" s="64" t="e">
        <f t="shared" ca="1" si="3"/>
        <v>#N/A</v>
      </c>
      <c r="M90" s="64" t="e">
        <f t="shared" ca="1" si="4"/>
        <v>#N/A</v>
      </c>
      <c r="N90" s="61" t="e">
        <f t="shared" ca="1" si="32"/>
        <v>#N/A</v>
      </c>
      <c r="O90" s="64">
        <f t="shared" ca="1" si="33"/>
        <v>1.9330000000000001</v>
      </c>
      <c r="P90" s="64">
        <f t="shared" ca="1" si="34"/>
        <v>0.32000000000000006</v>
      </c>
      <c r="Q90" s="64">
        <f t="shared" ca="1" si="8"/>
        <v>0.16550000000000001</v>
      </c>
      <c r="R90" s="64">
        <f t="shared" ca="1" si="9"/>
        <v>0.16550000000000001</v>
      </c>
      <c r="S90" s="61">
        <f t="shared" ca="1" si="35"/>
        <v>7.5999999999999998E-2</v>
      </c>
      <c r="T90" s="64" t="e">
        <f t="shared" ca="1" si="36"/>
        <v>#N/A</v>
      </c>
      <c r="U90" s="64" t="e">
        <f t="shared" ca="1" si="37"/>
        <v>#N/A</v>
      </c>
      <c r="V90" s="64" t="e">
        <f t="shared" ca="1" si="13"/>
        <v>#N/A</v>
      </c>
      <c r="W90" s="61" t="e">
        <f t="shared" ca="1" si="14"/>
        <v>#N/A</v>
      </c>
      <c r="X90" s="61" t="e">
        <f t="shared" ca="1" si="38"/>
        <v>#N/A</v>
      </c>
      <c r="Y90" s="89" t="e">
        <f t="shared" ca="1" si="16"/>
        <v>#N/A</v>
      </c>
      <c r="Z90" s="338" t="e">
        <f t="shared" ca="1" si="29"/>
        <v>#N/A</v>
      </c>
      <c r="AA90" s="65">
        <f t="shared" ca="1" si="39"/>
        <v>2.120000000000001</v>
      </c>
      <c r="AB90" s="270" t="e">
        <f t="shared" ca="1" si="40"/>
        <v>#N/A</v>
      </c>
      <c r="AC90" s="59">
        <f t="shared" ca="1" si="41"/>
        <v>8.5850352467930616E-2</v>
      </c>
      <c r="AD90" s="59">
        <f t="shared" ca="1" si="30"/>
        <v>8.5850352467930616E-2</v>
      </c>
      <c r="AE90" s="59">
        <f t="shared" ca="1" si="42"/>
        <v>9.821280322331262E-2</v>
      </c>
      <c r="AF90" s="59">
        <f t="shared" ca="1" si="43"/>
        <v>7.8570242578650112E-2</v>
      </c>
      <c r="AG90" s="59">
        <f t="shared" ca="1" si="44"/>
        <v>6.5802578159619457E-2</v>
      </c>
      <c r="AH90" s="59">
        <f t="shared" ca="1" si="45"/>
        <v>1.7</v>
      </c>
      <c r="AI90" s="59">
        <f t="shared" ca="1" si="46"/>
        <v>1</v>
      </c>
      <c r="AJ90" s="59">
        <f t="shared" ca="1" si="25"/>
        <v>0.58823529411764708</v>
      </c>
      <c r="AK90" s="59">
        <f t="shared" ca="1" si="31"/>
        <v>0.58823529411764708</v>
      </c>
      <c r="AL90" s="59">
        <f t="shared" ca="1" si="26"/>
        <v>9.2128851540616258E-2</v>
      </c>
      <c r="AM90" s="59">
        <f t="shared" ca="1" si="27"/>
        <v>0.13218487394957984</v>
      </c>
      <c r="AN90" s="59" t="e">
        <f t="shared" ca="1" si="28"/>
        <v>#N/A</v>
      </c>
    </row>
    <row r="91" spans="8:40" ht="16.5">
      <c r="I91" s="338">
        <f>一般工址Cs!I91</f>
        <v>2.2999999999999998</v>
      </c>
      <c r="J91" s="64" t="e">
        <f ca="1">ROUND(IF($I91&gt;=D$17,D$12,IF($I91&gt;=F$17,D$13+(D$12-D$13)*($I91-0.6*D$17)/0.4/D$17,IF($I91&lt;E$17,D$13+(D$13-1)*($I91-E$17)/E$17,D$13))),3)</f>
        <v>#N/A</v>
      </c>
      <c r="K91" s="64" t="e">
        <f ca="1">IF($I91&lt;E$17,ROUND(B$17*(0.4+3*$I91/D$17),3),IF($I91&lt;=D$17,B$17,IF($I91&lt;=2.5*D$17,C$17/$I91,0.4*B$17)))</f>
        <v>#N/A</v>
      </c>
      <c r="L91" s="64" t="e">
        <f t="shared" ca="1" si="3"/>
        <v>#N/A</v>
      </c>
      <c r="M91" s="64" t="e">
        <f t="shared" ca="1" si="4"/>
        <v>#N/A</v>
      </c>
      <c r="N91" s="61" t="e">
        <f t="shared" ca="1" si="32"/>
        <v>#N/A</v>
      </c>
      <c r="O91" s="64">
        <f t="shared" ca="1" si="33"/>
        <v>1.9330000000000001</v>
      </c>
      <c r="P91" s="64">
        <f t="shared" ca="1" si="34"/>
        <v>0.32000000000000006</v>
      </c>
      <c r="Q91" s="64">
        <f t="shared" ca="1" si="8"/>
        <v>0.16550000000000001</v>
      </c>
      <c r="R91" s="64">
        <f t="shared" ca="1" si="9"/>
        <v>0.16550000000000001</v>
      </c>
      <c r="S91" s="61">
        <f t="shared" ca="1" si="35"/>
        <v>7.5999999999999998E-2</v>
      </c>
      <c r="T91" s="64" t="e">
        <f t="shared" ca="1" si="36"/>
        <v>#N/A</v>
      </c>
      <c r="U91" s="64" t="e">
        <f t="shared" ca="1" si="37"/>
        <v>#N/A</v>
      </c>
      <c r="V91" s="64" t="e">
        <f t="shared" ca="1" si="13"/>
        <v>#N/A</v>
      </c>
      <c r="W91" s="61" t="e">
        <f t="shared" ca="1" si="14"/>
        <v>#N/A</v>
      </c>
      <c r="X91" s="61" t="e">
        <f t="shared" ca="1" si="38"/>
        <v>#N/A</v>
      </c>
      <c r="Y91" s="89" t="e">
        <f t="shared" ca="1" si="16"/>
        <v>#N/A</v>
      </c>
      <c r="Z91" s="338" t="e">
        <f t="shared" ca="1" si="29"/>
        <v>#N/A</v>
      </c>
      <c r="AA91" s="65">
        <f t="shared" si="39"/>
        <v>2.2999999999999998</v>
      </c>
      <c r="AB91" s="270" t="e">
        <f t="shared" ca="1" si="40"/>
        <v>#N/A</v>
      </c>
      <c r="AC91" s="59">
        <f t="shared" si="41"/>
        <v>8.2422559174473387E-2</v>
      </c>
      <c r="AD91" s="59">
        <f t="shared" si="30"/>
        <v>8.2422559174473387E-2</v>
      </c>
      <c r="AE91" s="59">
        <f t="shared" si="42"/>
        <v>9.4291407695597559E-2</v>
      </c>
      <c r="AF91" s="59">
        <f t="shared" si="43"/>
        <v>7.5433126156478056E-2</v>
      </c>
      <c r="AG91" s="59">
        <f t="shared" si="44"/>
        <v>6.3175243156050359E-2</v>
      </c>
      <c r="AH91" s="59">
        <f t="shared" si="45"/>
        <v>1.7</v>
      </c>
      <c r="AI91" s="59">
        <f t="shared" si="46"/>
        <v>1</v>
      </c>
      <c r="AJ91" s="59">
        <f t="shared" si="25"/>
        <v>0.58823529411764708</v>
      </c>
      <c r="AK91" s="59">
        <f t="shared" si="31"/>
        <v>0.58823529411764708</v>
      </c>
      <c r="AL91" s="59">
        <f t="shared" si="26"/>
        <v>9.2128851540616258E-2</v>
      </c>
      <c r="AM91" s="59">
        <f t="shared" si="27"/>
        <v>0.13218487394957984</v>
      </c>
      <c r="AN91" s="59" t="e">
        <f t="shared" ca="1" si="28"/>
        <v>#N/A</v>
      </c>
    </row>
    <row r="92" spans="8:40" ht="16.5">
      <c r="I92" s="338">
        <f>一般工址Cs!I92</f>
        <v>2.35</v>
      </c>
      <c r="J92" s="64" t="e">
        <f ca="1">ROUND(IF($I92&gt;=D$17,D$12,IF($I92&gt;=F$17,D$13+(D$12-D$13)*($I92-0.6*D$17)/0.4/D$17,IF($I92&lt;E$17,D$13+(D$13-1)*($I92-E$17)/E$17,D$13))),3)</f>
        <v>#N/A</v>
      </c>
      <c r="K92" s="64" t="e">
        <f ca="1">IF($I92&lt;E$17,ROUND(B$17*(0.4+3*$I92/D$17),3),IF($I92&lt;=D$17,B$17,IF($I92&lt;=2.5*D$17,C$17/$I92,0.4*B$17)))</f>
        <v>#N/A</v>
      </c>
      <c r="L92" s="64" t="e">
        <f t="shared" ca="1" si="3"/>
        <v>#N/A</v>
      </c>
      <c r="M92" s="64" t="e">
        <f t="shared" ca="1" si="4"/>
        <v>#N/A</v>
      </c>
      <c r="N92" s="61" t="e">
        <f t="shared" ca="1" si="32"/>
        <v>#N/A</v>
      </c>
      <c r="O92" s="64">
        <f t="shared" ca="1" si="33"/>
        <v>1.9330000000000001</v>
      </c>
      <c r="P92" s="64">
        <f t="shared" ca="1" si="34"/>
        <v>0.32000000000000006</v>
      </c>
      <c r="Q92" s="64">
        <f t="shared" ca="1" si="8"/>
        <v>0.16550000000000001</v>
      </c>
      <c r="R92" s="64">
        <f t="shared" ca="1" si="9"/>
        <v>0.16550000000000001</v>
      </c>
      <c r="S92" s="61">
        <f t="shared" ca="1" si="35"/>
        <v>7.5999999999999998E-2</v>
      </c>
      <c r="T92" s="64" t="e">
        <f t="shared" ca="1" si="36"/>
        <v>#N/A</v>
      </c>
      <c r="U92" s="64" t="e">
        <f t="shared" ca="1" si="37"/>
        <v>#N/A</v>
      </c>
      <c r="V92" s="64" t="e">
        <f t="shared" ca="1" si="13"/>
        <v>#N/A</v>
      </c>
      <c r="W92" s="61" t="e">
        <f t="shared" ca="1" si="14"/>
        <v>#N/A</v>
      </c>
      <c r="X92" s="61" t="e">
        <f t="shared" ca="1" si="38"/>
        <v>#N/A</v>
      </c>
      <c r="Y92" s="89" t="e">
        <f t="shared" ca="1" si="16"/>
        <v>#N/A</v>
      </c>
      <c r="Z92" s="338" t="e">
        <f t="shared" ca="1" si="29"/>
        <v>#N/A</v>
      </c>
      <c r="AA92" s="65">
        <f t="shared" si="39"/>
        <v>2.35</v>
      </c>
      <c r="AB92" s="270" t="e">
        <f t="shared" ca="1" si="40"/>
        <v>#N/A</v>
      </c>
      <c r="AC92" s="59">
        <f t="shared" si="41"/>
        <v>8.1541009131680275E-2</v>
      </c>
      <c r="AD92" s="59">
        <f t="shared" si="30"/>
        <v>8.1541009131680275E-2</v>
      </c>
      <c r="AE92" s="59">
        <f t="shared" si="42"/>
        <v>9.3282914446642246E-2</v>
      </c>
      <c r="AF92" s="59">
        <f t="shared" si="43"/>
        <v>7.4626331557313796E-2</v>
      </c>
      <c r="AG92" s="59">
        <f t="shared" si="44"/>
        <v>6.2499552679250302E-2</v>
      </c>
      <c r="AH92" s="59">
        <f t="shared" si="45"/>
        <v>1.7</v>
      </c>
      <c r="AI92" s="59">
        <f t="shared" si="46"/>
        <v>1</v>
      </c>
      <c r="AJ92" s="59">
        <f t="shared" si="25"/>
        <v>0.58823529411764708</v>
      </c>
      <c r="AK92" s="59">
        <f t="shared" si="31"/>
        <v>0.58823529411764708</v>
      </c>
      <c r="AL92" s="59">
        <f t="shared" si="26"/>
        <v>9.2128851540616258E-2</v>
      </c>
      <c r="AM92" s="59">
        <f t="shared" si="27"/>
        <v>0.13218487394957984</v>
      </c>
      <c r="AN92" s="59" t="e">
        <f t="shared" ca="1" si="28"/>
        <v>#N/A</v>
      </c>
    </row>
    <row r="93" spans="8:40" ht="16.5">
      <c r="I93" s="338">
        <f>一般工址Cs!I93</f>
        <v>2.4</v>
      </c>
      <c r="J93" s="64" t="e">
        <f ca="1">ROUND(IF($I93&gt;=D$17,D$12,IF($I93&gt;=F$17,D$13+(D$12-D$13)*($I93-0.6*D$17)/0.4/D$17,IF($I93&lt;E$17,D$13+(D$13-1)*($I93-E$17)/E$17,D$13))),3)</f>
        <v>#N/A</v>
      </c>
      <c r="K93" s="64" t="e">
        <f ca="1">IF($I93&lt;E$17,ROUND(B$17*(0.4+3*$I93/D$17),3),IF($I93&lt;=D$17,B$17,IF($I93&lt;=2.5*D$17,C$17/$I93,0.4*B$17)))</f>
        <v>#N/A</v>
      </c>
      <c r="L93" s="64" t="e">
        <f t="shared" ca="1" si="3"/>
        <v>#N/A</v>
      </c>
      <c r="M93" s="64" t="e">
        <f t="shared" ca="1" si="4"/>
        <v>#N/A</v>
      </c>
      <c r="N93" s="61" t="e">
        <f t="shared" ca="1" si="32"/>
        <v>#N/A</v>
      </c>
      <c r="O93" s="64">
        <f t="shared" ca="1" si="33"/>
        <v>1.9330000000000001</v>
      </c>
      <c r="P93" s="64">
        <f t="shared" ca="1" si="34"/>
        <v>0.32000000000000006</v>
      </c>
      <c r="Q93" s="64">
        <f t="shared" ca="1" si="8"/>
        <v>0.16550000000000001</v>
      </c>
      <c r="R93" s="64">
        <f t="shared" ca="1" si="9"/>
        <v>0.16550000000000001</v>
      </c>
      <c r="S93" s="61">
        <f t="shared" ca="1" si="35"/>
        <v>7.5999999999999998E-2</v>
      </c>
      <c r="T93" s="64" t="e">
        <f t="shared" ca="1" si="36"/>
        <v>#N/A</v>
      </c>
      <c r="U93" s="64" t="e">
        <f t="shared" ca="1" si="37"/>
        <v>#N/A</v>
      </c>
      <c r="V93" s="64" t="e">
        <f t="shared" ca="1" si="13"/>
        <v>#N/A</v>
      </c>
      <c r="W93" s="61" t="e">
        <f t="shared" ca="1" si="14"/>
        <v>#N/A</v>
      </c>
      <c r="X93" s="61" t="e">
        <f t="shared" ca="1" si="38"/>
        <v>#N/A</v>
      </c>
      <c r="Y93" s="89" t="e">
        <f t="shared" ca="1" si="16"/>
        <v>#N/A</v>
      </c>
      <c r="Z93" s="338" t="e">
        <f t="shared" ca="1" si="29"/>
        <v>#N/A</v>
      </c>
      <c r="AA93" s="65">
        <f t="shared" si="39"/>
        <v>2.4</v>
      </c>
      <c r="AB93" s="270" t="e">
        <f t="shared" ca="1" si="40"/>
        <v>#N/A</v>
      </c>
      <c r="AC93" s="59">
        <f t="shared" si="41"/>
        <v>8.068715304598785E-2</v>
      </c>
      <c r="AD93" s="59">
        <f t="shared" si="30"/>
        <v>8.068715304598785E-2</v>
      </c>
      <c r="AE93" s="59">
        <f t="shared" si="42"/>
        <v>9.2306103084610111E-2</v>
      </c>
      <c r="AF93" s="59">
        <f t="shared" si="43"/>
        <v>7.3844882467688083E-2</v>
      </c>
      <c r="AG93" s="59">
        <f t="shared" si="44"/>
        <v>6.1845089066688771E-2</v>
      </c>
      <c r="AH93" s="59">
        <f t="shared" si="45"/>
        <v>1.7</v>
      </c>
      <c r="AI93" s="59">
        <f t="shared" si="46"/>
        <v>1</v>
      </c>
      <c r="AJ93" s="59">
        <f t="shared" si="25"/>
        <v>0.58823529411764708</v>
      </c>
      <c r="AK93" s="59">
        <f t="shared" si="31"/>
        <v>0.58823529411764708</v>
      </c>
      <c r="AL93" s="59">
        <f t="shared" si="26"/>
        <v>9.2128851540616258E-2</v>
      </c>
      <c r="AM93" s="59">
        <f t="shared" si="27"/>
        <v>0.13218487394957984</v>
      </c>
      <c r="AN93" s="59" t="e">
        <f t="shared" ca="1" si="28"/>
        <v>#N/A</v>
      </c>
    </row>
    <row r="94" spans="8:40" ht="16.5">
      <c r="I94" s="338">
        <f>一般工址Cs!I94</f>
        <v>2.4500000000000002</v>
      </c>
      <c r="J94" s="64" t="e">
        <f ca="1">ROUND(IF($I94&gt;=D$17,D$12,IF($I94&gt;=F$17,D$13+(D$12-D$13)*($I94-0.6*D$17)/0.4/D$17,IF($I94&lt;E$17,D$13+(D$13-1)*($I94-E$17)/E$17,D$13))),3)</f>
        <v>#N/A</v>
      </c>
      <c r="K94" s="64" t="e">
        <f ca="1">IF($I94&lt;E$17,ROUND(B$17*(0.4+3*$I94/D$17),3),IF($I94&lt;=D$17,B$17,IF($I94&lt;=2.5*D$17,C$17/$I94,0.4*B$17)))</f>
        <v>#N/A</v>
      </c>
      <c r="L94" s="64" t="e">
        <f t="shared" ca="1" si="3"/>
        <v>#N/A</v>
      </c>
      <c r="M94" s="64" t="e">
        <f t="shared" ca="1" si="4"/>
        <v>#N/A</v>
      </c>
      <c r="N94" s="61" t="e">
        <f t="shared" ca="1" si="32"/>
        <v>#N/A</v>
      </c>
      <c r="O94" s="64">
        <f t="shared" ca="1" si="33"/>
        <v>1.9330000000000001</v>
      </c>
      <c r="P94" s="64">
        <f t="shared" ca="1" si="34"/>
        <v>0.32000000000000006</v>
      </c>
      <c r="Q94" s="64">
        <f t="shared" ca="1" si="8"/>
        <v>0.16550000000000001</v>
      </c>
      <c r="R94" s="64">
        <f t="shared" ca="1" si="9"/>
        <v>0.16550000000000001</v>
      </c>
      <c r="S94" s="61">
        <f t="shared" ca="1" si="35"/>
        <v>7.5999999999999998E-2</v>
      </c>
      <c r="T94" s="64" t="e">
        <f t="shared" ca="1" si="36"/>
        <v>#N/A</v>
      </c>
      <c r="U94" s="64" t="e">
        <f t="shared" ca="1" si="37"/>
        <v>#N/A</v>
      </c>
      <c r="V94" s="64" t="e">
        <f t="shared" ca="1" si="13"/>
        <v>#N/A</v>
      </c>
      <c r="W94" s="61" t="e">
        <f t="shared" ca="1" si="14"/>
        <v>#N/A</v>
      </c>
      <c r="X94" s="61" t="e">
        <f t="shared" ca="1" si="38"/>
        <v>#N/A</v>
      </c>
      <c r="Y94" s="89" t="e">
        <f t="shared" ca="1" si="16"/>
        <v>#N/A</v>
      </c>
      <c r="Z94" s="338" t="e">
        <f t="shared" ca="1" si="29"/>
        <v>#N/A</v>
      </c>
      <c r="AA94" s="65">
        <f t="shared" si="39"/>
        <v>2.4500000000000002</v>
      </c>
      <c r="AB94" s="270" t="e">
        <f t="shared" ca="1" si="40"/>
        <v>#N/A</v>
      </c>
      <c r="AC94" s="59">
        <f t="shared" si="41"/>
        <v>7.9859570624992493E-2</v>
      </c>
      <c r="AD94" s="59">
        <f t="shared" si="30"/>
        <v>7.9859570624992493E-2</v>
      </c>
      <c r="AE94" s="59">
        <f t="shared" si="42"/>
        <v>9.1359348794991399E-2</v>
      </c>
      <c r="AF94" s="59">
        <f t="shared" si="43"/>
        <v>7.308747903599315E-2</v>
      </c>
      <c r="AG94" s="59">
        <f t="shared" si="44"/>
        <v>6.1210763692644242E-2</v>
      </c>
      <c r="AH94" s="59">
        <f t="shared" si="45"/>
        <v>1.7</v>
      </c>
      <c r="AI94" s="59">
        <f t="shared" si="46"/>
        <v>1</v>
      </c>
      <c r="AJ94" s="59">
        <f t="shared" si="25"/>
        <v>0.58823529411764708</v>
      </c>
      <c r="AK94" s="59">
        <f t="shared" si="31"/>
        <v>0.58823529411764708</v>
      </c>
      <c r="AL94" s="59">
        <f t="shared" si="26"/>
        <v>9.2128851540616258E-2</v>
      </c>
      <c r="AM94" s="59">
        <f t="shared" si="27"/>
        <v>0.13218487394957984</v>
      </c>
      <c r="AN94" s="59" t="e">
        <f t="shared" ca="1" si="28"/>
        <v>#N/A</v>
      </c>
    </row>
    <row r="95" spans="8:40" ht="16.5">
      <c r="I95" s="338">
        <f>一般工址Cs!I95</f>
        <v>2.5</v>
      </c>
      <c r="J95" s="64" t="e">
        <f ca="1">ROUND(IF($I95&gt;=D$17,D$12,IF($I95&gt;=F$17,D$13+(D$12-D$13)*($I95-0.6*D$17)/0.4/D$17,IF($I95&lt;E$17,D$13+(D$13-1)*($I95-E$17)/E$17,D$13))),3)</f>
        <v>#N/A</v>
      </c>
      <c r="K95" s="64" t="e">
        <f ca="1">IF($I95&lt;E$17,ROUND(B$17*(0.4+3*$I95/D$17),3),IF($I95&lt;=D$17,B$17,IF($I95&lt;=2.5*D$17,C$17/$I95,0.4*B$17)))</f>
        <v>#N/A</v>
      </c>
      <c r="L95" s="64" t="e">
        <f t="shared" ca="1" si="3"/>
        <v>#N/A</v>
      </c>
      <c r="M95" s="64" t="e">
        <f t="shared" ca="1" si="4"/>
        <v>#N/A</v>
      </c>
      <c r="N95" s="61" t="e">
        <f t="shared" ca="1" si="32"/>
        <v>#N/A</v>
      </c>
      <c r="O95" s="64">
        <f t="shared" ca="1" si="33"/>
        <v>1.9330000000000001</v>
      </c>
      <c r="P95" s="64">
        <f t="shared" ca="1" si="34"/>
        <v>0.32000000000000006</v>
      </c>
      <c r="Q95" s="64">
        <f t="shared" ca="1" si="8"/>
        <v>0.16550000000000001</v>
      </c>
      <c r="R95" s="64">
        <f t="shared" ca="1" si="9"/>
        <v>0.16550000000000001</v>
      </c>
      <c r="S95" s="61">
        <f t="shared" ca="1" si="35"/>
        <v>7.5999999999999998E-2</v>
      </c>
      <c r="T95" s="64" t="e">
        <f t="shared" ca="1" si="36"/>
        <v>#N/A</v>
      </c>
      <c r="U95" s="64" t="e">
        <f t="shared" ca="1" si="37"/>
        <v>#N/A</v>
      </c>
      <c r="V95" s="64" t="e">
        <f t="shared" ca="1" si="13"/>
        <v>#N/A</v>
      </c>
      <c r="W95" s="61" t="e">
        <f t="shared" ca="1" si="14"/>
        <v>#N/A</v>
      </c>
      <c r="X95" s="61" t="e">
        <f t="shared" ca="1" si="38"/>
        <v>#N/A</v>
      </c>
      <c r="Y95" s="89" t="e">
        <f t="shared" ca="1" si="16"/>
        <v>#N/A</v>
      </c>
      <c r="Z95" s="338" t="e">
        <f t="shared" ca="1" si="29"/>
        <v>#N/A</v>
      </c>
      <c r="AA95" s="65">
        <f t="shared" si="39"/>
        <v>2.5</v>
      </c>
      <c r="AB95" s="270" t="e">
        <f t="shared" ca="1" si="40"/>
        <v>#N/A</v>
      </c>
      <c r="AC95" s="59">
        <f t="shared" si="41"/>
        <v>7.9056941504209485E-2</v>
      </c>
      <c r="AD95" s="59">
        <f t="shared" si="30"/>
        <v>7.9056941504209485E-2</v>
      </c>
      <c r="AE95" s="59">
        <f t="shared" si="42"/>
        <v>9.0441141080815662E-2</v>
      </c>
      <c r="AF95" s="59">
        <f t="shared" si="43"/>
        <v>7.2352912864652522E-2</v>
      </c>
      <c r="AG95" s="59">
        <f t="shared" si="44"/>
        <v>6.0595564524146481E-2</v>
      </c>
      <c r="AH95" s="59">
        <f t="shared" si="45"/>
        <v>1.7</v>
      </c>
      <c r="AI95" s="59">
        <f t="shared" si="46"/>
        <v>1</v>
      </c>
      <c r="AJ95" s="59">
        <f t="shared" si="25"/>
        <v>0.58823529411764708</v>
      </c>
      <c r="AK95" s="59">
        <f t="shared" si="31"/>
        <v>0.58823529411764708</v>
      </c>
      <c r="AL95" s="59">
        <f t="shared" si="26"/>
        <v>9.2128851540616258E-2</v>
      </c>
      <c r="AM95" s="59">
        <f t="shared" si="27"/>
        <v>0.13218487394957984</v>
      </c>
      <c r="AN95" s="59" t="e">
        <f t="shared" ca="1" si="28"/>
        <v>#N/A</v>
      </c>
    </row>
    <row r="96" spans="8:40" ht="16.5">
      <c r="H96" t="s">
        <v>520</v>
      </c>
      <c r="I96" s="16">
        <f>F11</f>
        <v>0.89729999999999999</v>
      </c>
      <c r="J96" t="s">
        <v>521</v>
      </c>
    </row>
    <row r="97" spans="8:24" ht="16.5">
      <c r="H97" t="s">
        <v>505</v>
      </c>
      <c r="I97" s="16">
        <f>I96</f>
        <v>0.89729999999999999</v>
      </c>
      <c r="J97" s="16">
        <v>0</v>
      </c>
      <c r="K97" s="16">
        <v>0</v>
      </c>
      <c r="P97" s="16">
        <v>0</v>
      </c>
      <c r="T97" s="16">
        <v>0</v>
      </c>
      <c r="U97" s="16">
        <v>0</v>
      </c>
      <c r="X97" s="16">
        <v>0</v>
      </c>
    </row>
    <row r="98" spans="8:24" ht="16.5">
      <c r="I98" s="16">
        <f>I96</f>
        <v>0.89729999999999999</v>
      </c>
      <c r="J98" s="16" t="e">
        <f ca="1">ROUNDUP(MAX(J43:J95),2)</f>
        <v>#N/A</v>
      </c>
      <c r="K98" s="16" t="e">
        <f ca="1">ROUNDUP(MAX(K43:K95),2)</f>
        <v>#N/A</v>
      </c>
      <c r="P98" s="16">
        <f ca="1">ROUNDUP(MAX(P43:P95),2)</f>
        <v>0.8</v>
      </c>
      <c r="T98" s="16" t="e">
        <f ca="1">ROUNDUP(MAX(T43:T95),2)</f>
        <v>#N/A</v>
      </c>
      <c r="U98" s="16" t="e">
        <f ca="1">ROUNDUP(MAX(U43:U95),2)</f>
        <v>#N/A</v>
      </c>
      <c r="X98" s="16" t="e">
        <f ca="1">ROUNDUP(MAX(X43:X95),2)</f>
        <v>#N/A</v>
      </c>
    </row>
    <row r="99" spans="8:24" ht="20.25">
      <c r="J99" s="39" t="s">
        <v>1406</v>
      </c>
      <c r="K99" s="39" t="s">
        <v>1407</v>
      </c>
      <c r="P99" s="39" t="s">
        <v>1410</v>
      </c>
      <c r="T99" s="39" t="s">
        <v>1412</v>
      </c>
      <c r="U99" s="39" t="s">
        <v>1413</v>
      </c>
      <c r="X99" s="39" t="s">
        <v>1757</v>
      </c>
    </row>
    <row r="159" spans="2:2" ht="17.25">
      <c r="B159" s="319"/>
    </row>
    <row r="160" spans="2:2">
      <c r="B160" s="318"/>
    </row>
  </sheetData>
  <mergeCells count="22">
    <mergeCell ref="A23:B23"/>
    <mergeCell ref="H23:I23"/>
    <mergeCell ref="A51:F51"/>
    <mergeCell ref="P3:S3"/>
    <mergeCell ref="I14:J14"/>
    <mergeCell ref="K14:L14"/>
    <mergeCell ref="A15:B15"/>
    <mergeCell ref="H15:I15"/>
    <mergeCell ref="A30:B30"/>
    <mergeCell ref="H30:I30"/>
    <mergeCell ref="D31:F31"/>
    <mergeCell ref="K31:L31"/>
    <mergeCell ref="A32:B32"/>
    <mergeCell ref="H32:I32"/>
    <mergeCell ref="A37:F37"/>
    <mergeCell ref="H37:M37"/>
    <mergeCell ref="D33:F33"/>
    <mergeCell ref="K33:L33"/>
    <mergeCell ref="A34:B34"/>
    <mergeCell ref="H34:I34"/>
    <mergeCell ref="D35:F35"/>
    <mergeCell ref="K35:L35"/>
  </mergeCells>
  <phoneticPr fontId="7" type="noConversion"/>
  <dataValidations count="7">
    <dataValidation type="list" allowBlank="1" showInputMessage="1" showErrorMessage="1" sqref="H3" xr:uid="{40A7C35C-D75C-4233-8CD0-E0A780200923}">
      <formula1>INDEX(INDIRECT(H2),,1)</formula1>
    </dataValidation>
    <dataValidation type="list" allowBlank="1" showInputMessage="1" showErrorMessage="1" sqref="HW3 WUI3 WKM3 WAQ3 VQU3 VGY3 UXC3 UNG3 UDK3 TTO3 TJS3 SZW3 SQA3 SGE3 RWI3 RMM3 RCQ3 QSU3 QIY3 PZC3 PPG3 PFK3 OVO3 OLS3 OBW3 NSA3 NIE3 MYI3 MOM3 MEQ3 LUU3 LKY3 LBC3 KRG3 KHK3 JXO3 JNS3 JDW3 IUA3 IKE3 IAI3 HQM3 HGQ3 GWU3 GMY3 GDC3 FTG3 FJK3 EZO3 EPS3 EFW3 DWA3 DME3 DCI3 CSM3 CIQ3 BYU3 BOY3 BFC3 AVG3 ALK3 ABO3 RS3" xr:uid="{79174BF8-1B42-47FE-929E-089B8A679150}">
      <formula1>行政區</formula1>
    </dataValidation>
    <dataValidation type="list" allowBlank="1" showInputMessage="1" showErrorMessage="1" sqref="HW4 WUI4 WKM4 WAQ4 VQU4 VGY4 UXC4 UNG4 UDK4 TTO4 TJS4 SZW4 SQA4 SGE4 RWI4 RMM4 RCQ4 QSU4 QIY4 PZC4 PPG4 PFK4 OVO4 OLS4 OBW4 NSA4 NIE4 MYI4 MOM4 MEQ4 LUU4 LKY4 LBC4 KRG4 KHK4 JXO4 JNS4 JDW4 IUA4 IKE4 IAI4 HQM4 HGQ4 GWU4 GMY4 GDC4 FTG4 FJK4 EZO4 EPS4 EFW4 DWA4 DME4 DCI4 CSM4 CIQ4 BYU4 BOY4 BFC4 AVG4 ALK4 ABO4 RS4" xr:uid="{99F591E9-BB08-432C-B1A2-9E1784FF3C99}">
      <formula1>INDIRECT(#REF!)</formula1>
    </dataValidation>
    <dataValidation type="list" allowBlank="1" showInputMessage="1" showErrorMessage="1" sqref="H5" xr:uid="{FF1FDD59-2E4E-4BAD-A0EC-83753B554077}">
      <formula1>地盤種類</formula1>
    </dataValidation>
    <dataValidation type="list" allowBlank="1" showInputMessage="1" showErrorMessage="1" sqref="B6" xr:uid="{AA53B1B4-4F83-47C2-B2B0-CCEFA55A8200}">
      <formula1>INDIRECT($B$2&amp;$B$3)</formula1>
    </dataValidation>
    <dataValidation type="list" allowBlank="1" showInputMessage="1" showErrorMessage="1" sqref="H2" xr:uid="{656926C3-14CB-4773-9504-4E48367F9D6C}">
      <formula1>縣市</formula1>
    </dataValidation>
    <dataValidation type="list" allowBlank="1" showInputMessage="1" showErrorMessage="1" sqref="H6" xr:uid="{E01E1896-7636-4A48-8E0F-5373A6CC4770}">
      <formula1>INDIRECT("斷層"&amp;$N$1)</formula1>
    </dataValidation>
  </dataValidations>
  <pageMargins left="0.74803149606299213" right="0.19685039370078741" top="0.78740157480314965" bottom="0.59055118110236227" header="0.51181102362204722" footer="0.51181102362204722"/>
  <pageSetup paperSize="9" scale="9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4E7F-5773-4E86-A8B9-4891F50A3F55}">
  <sheetPr codeName="工作表7"/>
  <dimension ref="A1:AR160"/>
  <sheetViews>
    <sheetView topLeftCell="A58" zoomScaleNormal="100" workbookViewId="0">
      <selection activeCell="Z43" sqref="Z43"/>
    </sheetView>
  </sheetViews>
  <sheetFormatPr defaultColWidth="9" defaultRowHeight="15.75"/>
  <cols>
    <col min="1" max="1" width="27.625" style="270" bestFit="1" customWidth="1"/>
    <col min="2" max="2" width="19.625" style="270" customWidth="1"/>
    <col min="3" max="3" width="17.5" style="270" bestFit="1" customWidth="1"/>
    <col min="4" max="4" width="13.125" style="270" bestFit="1" customWidth="1"/>
    <col min="5" max="5" width="13.375" style="270" bestFit="1" customWidth="1"/>
    <col min="6" max="6" width="11.5" style="270" bestFit="1" customWidth="1"/>
    <col min="7" max="7" width="3.125" style="270" customWidth="1"/>
    <col min="8" max="8" width="31.875" style="270" bestFit="1" customWidth="1"/>
    <col min="9" max="9" width="11.5" style="270" bestFit="1" customWidth="1"/>
    <col min="10" max="10" width="14.875" style="270" bestFit="1" customWidth="1"/>
    <col min="11" max="11" width="10.125" style="270" bestFit="1" customWidth="1"/>
    <col min="12" max="12" width="12.875" style="270" bestFit="1" customWidth="1"/>
    <col min="13" max="13" width="21.875" style="270" bestFit="1" customWidth="1"/>
    <col min="14" max="14" width="18.125" style="270" bestFit="1" customWidth="1"/>
    <col min="15" max="15" width="18.125" style="270" customWidth="1"/>
    <col min="16" max="16" width="16.375" style="270" bestFit="1" customWidth="1"/>
    <col min="17" max="17" width="12.125" style="270" bestFit="1" customWidth="1"/>
    <col min="18" max="18" width="11.75" style="270" bestFit="1" customWidth="1"/>
    <col min="19" max="19" width="34.625" style="270" bestFit="1" customWidth="1"/>
    <col min="20" max="20" width="11.75" style="270" bestFit="1" customWidth="1"/>
    <col min="21" max="21" width="15.5" style="270" bestFit="1" customWidth="1"/>
    <col min="22" max="22" width="10.75" style="270" bestFit="1" customWidth="1"/>
    <col min="23" max="23" width="12.375" style="270" bestFit="1" customWidth="1"/>
    <col min="24" max="24" width="22" style="270" bestFit="1" customWidth="1"/>
    <col min="25" max="25" width="11.75" style="270" bestFit="1" customWidth="1"/>
    <col min="26" max="26" width="21.75" style="270" bestFit="1" customWidth="1"/>
    <col min="27" max="27" width="9.875" style="270" bestFit="1" customWidth="1"/>
    <col min="28" max="28" width="11.375" style="270" bestFit="1" customWidth="1"/>
    <col min="29" max="29" width="12.25" style="270" bestFit="1" customWidth="1"/>
    <col min="30" max="30" width="13.625" style="270" bestFit="1" customWidth="1"/>
    <col min="31" max="33" width="9.875" style="270" bestFit="1" customWidth="1"/>
    <col min="34" max="34" width="12.25" style="270" bestFit="1" customWidth="1"/>
    <col min="35" max="35" width="9.875" style="270" bestFit="1" customWidth="1"/>
    <col min="36" max="36" width="8.375" style="270" bestFit="1" customWidth="1"/>
    <col min="37" max="37" width="16.25" style="270" bestFit="1" customWidth="1"/>
    <col min="38" max="43" width="9" style="270"/>
    <col min="44" max="44" width="16.25" style="270" bestFit="1" customWidth="1"/>
    <col min="45" max="16384" width="9" style="270"/>
  </cols>
  <sheetData>
    <row r="1" spans="1:40" ht="16.5" thickBot="1">
      <c r="A1" s="164" t="s">
        <v>1364</v>
      </c>
      <c r="H1" s="164" t="s">
        <v>1430</v>
      </c>
      <c r="M1" s="232" t="str">
        <f ca="1">VLOOKUP($H3,INDIRECT($H2),17,FALSE)</f>
        <v>屯子腳、車籠埔斷層</v>
      </c>
      <c r="N1" s="232">
        <f ca="1">VLOOKUP($H3,INDIRECT($H2),18,FALSE)</f>
        <v>2</v>
      </c>
      <c r="O1" s="322"/>
    </row>
    <row r="2" spans="1:40" ht="23.25" thickTop="1">
      <c r="A2" s="141" t="s">
        <v>1365</v>
      </c>
      <c r="B2" s="337" t="str">
        <f>'一般工址Cs (II)'!B2</f>
        <v>臺南市</v>
      </c>
      <c r="C2" s="263" t="s">
        <v>1694</v>
      </c>
      <c r="D2" s="263" t="s">
        <v>1695</v>
      </c>
      <c r="E2" s="263" t="s">
        <v>1696</v>
      </c>
      <c r="F2" s="264" t="s">
        <v>1697</v>
      </c>
      <c r="G2" s="157"/>
      <c r="H2" s="237" t="s">
        <v>1432</v>
      </c>
      <c r="I2" s="263" t="s">
        <v>1694</v>
      </c>
      <c r="J2" s="263" t="s">
        <v>1695</v>
      </c>
      <c r="K2" s="263" t="s">
        <v>1696</v>
      </c>
      <c r="L2" s="263" t="s">
        <v>1697</v>
      </c>
      <c r="M2" s="157"/>
      <c r="N2" s="157"/>
      <c r="O2" s="99"/>
    </row>
    <row r="3" spans="1:40" s="32" customFormat="1" ht="24" customHeight="1">
      <c r="A3" s="142"/>
      <c r="B3" s="333" t="str">
        <f>'一般工址Cs (II)'!B3</f>
        <v>左鎮區</v>
      </c>
      <c r="C3" s="282">
        <f ca="1">VLOOKUP($B3,INDIRECT($B2),4,FALSE)</f>
        <v>0.8</v>
      </c>
      <c r="D3" s="282">
        <f ca="1">VLOOKUP($B3,INDIRECT($B2),5,FALSE)</f>
        <v>0.45</v>
      </c>
      <c r="E3" s="282">
        <f ca="1">VLOOKUP($B3,INDIRECT($B2),6,FALSE)</f>
        <v>1</v>
      </c>
      <c r="F3" s="283">
        <f ca="1">VLOOKUP($B3,INDIRECT($B2),7,FALSE)</f>
        <v>0.55000000000000004</v>
      </c>
      <c r="G3" s="158"/>
      <c r="H3" s="238" t="s">
        <v>1440</v>
      </c>
      <c r="I3" s="282">
        <f ca="1">VLOOKUP($H3,INDIRECT($H2),13,FALSE)</f>
        <v>0.8</v>
      </c>
      <c r="J3" s="282">
        <f ca="1">VLOOKUP($H3,INDIRECT($H2),14,FALSE)</f>
        <v>0.45</v>
      </c>
      <c r="K3" s="282">
        <f ca="1">VLOOKUP($H3,INDIRECT($H2),15,FALSE)</f>
        <v>1</v>
      </c>
      <c r="L3" s="282">
        <f ca="1">VLOOKUP($H3,INDIRECT($H2),16,FALSE)</f>
        <v>0.55000000000000004</v>
      </c>
      <c r="M3" s="159"/>
      <c r="N3" s="159"/>
      <c r="O3" s="99"/>
      <c r="P3" s="386" t="str">
        <f>"規範最小地震橫力係數 Cs*載重組合係數之比較 ["&amp;B5  &amp; ", R=" &amp; B12 &amp; "]"</f>
        <v>規範最小地震橫力係數 Cs*載重組合係數之比較 [第一類, R=2.4]</v>
      </c>
      <c r="Q3" s="385"/>
      <c r="R3" s="385"/>
      <c r="S3" s="385"/>
      <c r="T3" s="270" t="str">
        <f>B5</f>
        <v>第一類</v>
      </c>
      <c r="U3" s="98">
        <f>IF($B5="第一類",1.2,IF($B5="第二類",1.5,1.8))</f>
        <v>1.2</v>
      </c>
      <c r="V3" s="270"/>
      <c r="W3" s="270"/>
      <c r="X3" s="270"/>
      <c r="Y3" s="270"/>
      <c r="Z3" s="270"/>
      <c r="AA3" s="270"/>
      <c r="AB3" s="270"/>
      <c r="AC3" s="270"/>
      <c r="AD3" s="270"/>
      <c r="AE3" s="270" t="s">
        <v>1285</v>
      </c>
      <c r="AF3" s="270" t="s">
        <v>1286</v>
      </c>
      <c r="AG3" s="270" t="s">
        <v>1287</v>
      </c>
    </row>
    <row r="4" spans="1:40" s="32" customFormat="1" ht="24" customHeight="1">
      <c r="A4" s="143"/>
      <c r="B4" s="248" t="s">
        <v>383</v>
      </c>
      <c r="C4" s="248" t="s">
        <v>1698</v>
      </c>
      <c r="D4" s="248" t="s">
        <v>1699</v>
      </c>
      <c r="E4" s="248" t="s">
        <v>1700</v>
      </c>
      <c r="F4" s="267" t="s">
        <v>1701</v>
      </c>
      <c r="G4" s="159"/>
      <c r="H4" s="241" t="s">
        <v>383</v>
      </c>
      <c r="I4" s="247" t="s">
        <v>1708</v>
      </c>
      <c r="J4" s="247" t="s">
        <v>1709</v>
      </c>
      <c r="K4" s="247" t="s">
        <v>1710</v>
      </c>
      <c r="L4" s="247" t="s">
        <v>1711</v>
      </c>
      <c r="M4" s="159"/>
      <c r="N4" s="159"/>
      <c r="O4" s="99"/>
      <c r="P4" s="44"/>
      <c r="Q4" s="39" t="s">
        <v>385</v>
      </c>
      <c r="R4" s="39" t="s">
        <v>391</v>
      </c>
      <c r="S4" s="270"/>
      <c r="T4" s="39" t="s">
        <v>393</v>
      </c>
      <c r="U4" s="39" t="s">
        <v>392</v>
      </c>
      <c r="V4" s="39" t="s">
        <v>398</v>
      </c>
      <c r="W4" s="39" t="s">
        <v>395</v>
      </c>
      <c r="X4" s="39" t="s">
        <v>385</v>
      </c>
      <c r="Y4" s="39" t="s">
        <v>384</v>
      </c>
      <c r="Z4" s="39" t="s">
        <v>393</v>
      </c>
      <c r="AA4" s="39" t="s">
        <v>384</v>
      </c>
      <c r="AB4" s="39" t="s">
        <v>398</v>
      </c>
      <c r="AC4" s="39" t="s">
        <v>384</v>
      </c>
      <c r="AD4" s="39" t="s">
        <v>413</v>
      </c>
      <c r="AE4" s="270" t="s">
        <v>423</v>
      </c>
      <c r="AF4" s="270" t="s">
        <v>424</v>
      </c>
      <c r="AG4" s="270" t="s">
        <v>425</v>
      </c>
    </row>
    <row r="5" spans="1:40" s="32" customFormat="1" ht="24" customHeight="1">
      <c r="A5" s="144"/>
      <c r="B5" s="333" t="str">
        <f>'一般工址Cs (II)'!B5</f>
        <v>第一類</v>
      </c>
      <c r="C5" s="282">
        <f>IF($B5="第一類",1,IF($B5="第二類",IF(C3&lt;=0.6,1.1,IF(C3&gt;=0.7,1,1.1+(0.6-C3))),IF(C3&lt;=0.6,1.2,IF(C3&gt;=0.8,1,1.2+(0.6-C3)))))</f>
        <v>1</v>
      </c>
      <c r="D5" s="282">
        <f>IF($B5="第一類",1,IF($B5="第二類",IF(D3&lt;=0.3,1.5,IF(D3&gt;=0.5,1.1,1.5+(0.3-D3)*2)),IF(D3&lt;=0.3,1.8,IF(D3&gt;=0.5,1.4,1.8+(0.3-D3)*2))))</f>
        <v>1</v>
      </c>
      <c r="E5" s="282" t="s">
        <v>1687</v>
      </c>
      <c r="F5" s="283" t="s">
        <v>1687</v>
      </c>
      <c r="G5" s="177"/>
      <c r="H5" s="242" t="s">
        <v>1690</v>
      </c>
      <c r="I5" s="284">
        <f>VLOOKUP($H6,$S21:$W28,2,FALSE)</f>
        <v>1.1599999999999999</v>
      </c>
      <c r="J5" s="284">
        <f>VLOOKUP($H6,$S21:$W28,3,FALSE)</f>
        <v>1.32</v>
      </c>
      <c r="K5" s="284">
        <f>VLOOKUP($H6,$S21:$W28,4,FALSE)</f>
        <v>1.2</v>
      </c>
      <c r="L5" s="284">
        <f>VLOOKUP($H6,$S21:$W28,5,FALSE)</f>
        <v>1.45</v>
      </c>
      <c r="M5" s="160"/>
      <c r="N5" s="160"/>
      <c r="O5" s="323"/>
      <c r="P5" s="44" t="s">
        <v>407</v>
      </c>
      <c r="Q5" s="45" t="s">
        <v>402</v>
      </c>
      <c r="R5" s="45">
        <v>0.8</v>
      </c>
      <c r="S5" s="46" t="s">
        <v>417</v>
      </c>
      <c r="T5" s="45" t="s">
        <v>402</v>
      </c>
      <c r="U5" s="45">
        <v>0.23</v>
      </c>
      <c r="V5" s="45" t="s">
        <v>402</v>
      </c>
      <c r="W5" s="45">
        <v>0.33</v>
      </c>
      <c r="X5" s="39" t="s">
        <v>394</v>
      </c>
      <c r="Y5" s="39">
        <v>1</v>
      </c>
      <c r="Z5" s="39" t="s">
        <v>395</v>
      </c>
      <c r="AA5" s="39">
        <v>0.33</v>
      </c>
      <c r="AB5" s="45" t="s">
        <v>399</v>
      </c>
      <c r="AC5" s="45">
        <v>0.33</v>
      </c>
      <c r="AD5" s="270">
        <f>(2*U12-1)^0.5</f>
        <v>1.5491933384829668</v>
      </c>
      <c r="AE5" s="270">
        <v>0.9</v>
      </c>
      <c r="AF5" s="270"/>
      <c r="AG5" s="270">
        <v>1.43</v>
      </c>
    </row>
    <row r="6" spans="1:40" s="32" customFormat="1" ht="22.5">
      <c r="A6" s="143"/>
      <c r="B6" s="282" t="e">
        <f ca="1">IF(一般工址Cs!B36&gt;='一般工址Cs (II)'!B36,一般工址Cs!B6,'一般工址Cs (II)'!B6)</f>
        <v>#N/A</v>
      </c>
      <c r="C6" s="265" t="s">
        <v>1702</v>
      </c>
      <c r="D6" s="265" t="s">
        <v>1703</v>
      </c>
      <c r="E6" s="265" t="s">
        <v>1704</v>
      </c>
      <c r="F6" s="266" t="s">
        <v>1705</v>
      </c>
      <c r="G6" s="178"/>
      <c r="H6" s="243" t="s">
        <v>1689</v>
      </c>
      <c r="I6" s="247" t="s">
        <v>1712</v>
      </c>
      <c r="J6" s="247" t="s">
        <v>1713</v>
      </c>
      <c r="K6" s="247" t="s">
        <v>1714</v>
      </c>
      <c r="L6" s="247" t="s">
        <v>1715</v>
      </c>
      <c r="M6" s="161"/>
      <c r="N6" s="161"/>
      <c r="O6" s="39"/>
      <c r="P6" s="44" t="s">
        <v>408</v>
      </c>
      <c r="Q6" s="39" t="s">
        <v>387</v>
      </c>
      <c r="R6" s="39">
        <v>1</v>
      </c>
      <c r="S6" s="46" t="s">
        <v>418</v>
      </c>
      <c r="T6" s="39" t="s">
        <v>1366</v>
      </c>
      <c r="U6" s="99">
        <v>1.5</v>
      </c>
      <c r="V6" s="39" t="s">
        <v>1366</v>
      </c>
      <c r="W6" s="99">
        <f t="shared" ref="W6:W7" si="0">U6</f>
        <v>1.5</v>
      </c>
      <c r="X6" s="45" t="s">
        <v>391</v>
      </c>
      <c r="Y6" s="45">
        <v>0.8</v>
      </c>
      <c r="Z6" s="39" t="s">
        <v>396</v>
      </c>
      <c r="AA6" s="39">
        <v>0.28000000000000003</v>
      </c>
      <c r="AB6" s="39" t="s">
        <v>400</v>
      </c>
      <c r="AC6" s="39">
        <v>0.23</v>
      </c>
      <c r="AD6" s="270"/>
      <c r="AE6" s="270">
        <v>1.05</v>
      </c>
      <c r="AF6" s="270">
        <v>1.2749999999999999</v>
      </c>
      <c r="AG6" s="270">
        <v>1.4025000000000001</v>
      </c>
    </row>
    <row r="7" spans="1:40" s="32" customFormat="1" ht="21" customHeight="1">
      <c r="A7" s="145" t="s">
        <v>1359</v>
      </c>
      <c r="B7" s="332" t="e">
        <f ca="1">IF(一般工址Cs!B36&gt;='一般工址Cs (II)'!B36,一般工址Cs!B7,'一般工址Cs (II)'!B7)</f>
        <v>#N/A</v>
      </c>
      <c r="C7" s="284" t="e">
        <f ca="1">IF($B6="", C3,IF($B7&gt;=14,C54,C53+($B7-$B53)*(C54-C53)/$F52))</f>
        <v>#N/A</v>
      </c>
      <c r="D7" s="284" t="e">
        <f ca="1">IF($B6="", D3,IF($B7&gt;=14,D54,D53+($B7-$B53)*(D54-D53)/$F52))</f>
        <v>#N/A</v>
      </c>
      <c r="E7" s="284" t="e">
        <f ca="1">IF($B6="", E3,IF($B7&gt;=14,E54,E53+($B7-$B53)*(E54-E53)/$F52))</f>
        <v>#N/A</v>
      </c>
      <c r="F7" s="285" t="e">
        <f ca="1">IF($B6="", F3,IF($B7&gt;=14,F54,F53+($B7-$B53)*(F54-F53)/$F52))</f>
        <v>#N/A</v>
      </c>
      <c r="G7" s="179"/>
      <c r="H7" s="244">
        <v>5</v>
      </c>
      <c r="I7" s="284">
        <f ca="1">I3*I5</f>
        <v>0.92799999999999994</v>
      </c>
      <c r="J7" s="284">
        <f ca="1">J3*J5</f>
        <v>0.59400000000000008</v>
      </c>
      <c r="K7" s="284">
        <f ca="1">K3*K5</f>
        <v>1.2</v>
      </c>
      <c r="L7" s="284">
        <f ca="1">L3*L5</f>
        <v>0.79749999999999999</v>
      </c>
      <c r="M7" s="161"/>
      <c r="N7" s="161"/>
      <c r="O7" s="39"/>
      <c r="P7" s="44" t="s">
        <v>409</v>
      </c>
      <c r="Q7" s="39" t="s">
        <v>386</v>
      </c>
      <c r="R7" s="48">
        <f>0.06*B10^0.75</f>
        <v>0.7691166115132213</v>
      </c>
      <c r="S7" s="46" t="s">
        <v>409</v>
      </c>
      <c r="T7" s="39" t="s">
        <v>386</v>
      </c>
      <c r="U7" s="49">
        <f>0.07*$B10^0.75</f>
        <v>0.89730271343209156</v>
      </c>
      <c r="V7" s="39" t="s">
        <v>386</v>
      </c>
      <c r="W7" s="49">
        <f t="shared" si="0"/>
        <v>0.89730271343209156</v>
      </c>
      <c r="X7" s="39" t="s">
        <v>401</v>
      </c>
      <c r="Y7" s="39">
        <v>0.6</v>
      </c>
      <c r="Z7" s="45" t="s">
        <v>392</v>
      </c>
      <c r="AA7" s="45">
        <v>0.23</v>
      </c>
      <c r="AB7" s="45"/>
      <c r="AC7" s="45"/>
      <c r="AD7" s="270"/>
      <c r="AE7" s="270">
        <v>1.2</v>
      </c>
      <c r="AF7" s="270">
        <v>1</v>
      </c>
      <c r="AG7" s="270">
        <v>1</v>
      </c>
    </row>
    <row r="8" spans="1:40" s="32" customFormat="1" ht="24" customHeight="1">
      <c r="A8" s="281" t="s">
        <v>1729</v>
      </c>
      <c r="B8" s="277"/>
      <c r="C8" s="248" t="s">
        <v>1706</v>
      </c>
      <c r="D8" s="248" t="s">
        <v>1707</v>
      </c>
      <c r="E8" s="248" t="s">
        <v>1700</v>
      </c>
      <c r="F8" s="267" t="s">
        <v>1701</v>
      </c>
      <c r="G8" s="272"/>
      <c r="H8" s="162" t="s">
        <v>1729</v>
      </c>
      <c r="I8" s="248" t="s">
        <v>1706</v>
      </c>
      <c r="J8" s="248" t="s">
        <v>1707</v>
      </c>
      <c r="K8" s="248" t="s">
        <v>1700</v>
      </c>
      <c r="L8" s="248" t="s">
        <v>1701</v>
      </c>
      <c r="M8" s="161"/>
      <c r="N8" s="161"/>
      <c r="O8" s="39"/>
      <c r="P8" s="44" t="s">
        <v>406</v>
      </c>
      <c r="Q8" s="39" t="s">
        <v>405</v>
      </c>
      <c r="R8" s="49">
        <f>MIN(R13,R14)</f>
        <v>0.14249999999999999</v>
      </c>
      <c r="S8" s="46" t="s">
        <v>419</v>
      </c>
      <c r="T8" s="39" t="s">
        <v>388</v>
      </c>
      <c r="U8" s="49">
        <f>IF(U7&lt;=T17,X17,IF(U7&lt;=U17,Y17*U7+Z17,IF(U7&lt;=V17,AA17,IF(U7&lt;=W17,AB17/U7^(AC17)))))</f>
        <v>1.2898976712111931</v>
      </c>
      <c r="V8" s="39" t="s">
        <v>388</v>
      </c>
      <c r="W8" s="49">
        <f>U8</f>
        <v>1.2898976712111931</v>
      </c>
      <c r="X8" s="270"/>
      <c r="Y8" s="270"/>
      <c r="Z8" s="39" t="s">
        <v>397</v>
      </c>
      <c r="AA8" s="39">
        <v>0.18</v>
      </c>
      <c r="AB8" s="39"/>
      <c r="AC8" s="39"/>
      <c r="AD8" s="270"/>
      <c r="AE8" s="270"/>
      <c r="AF8" s="270"/>
      <c r="AG8" s="270"/>
    </row>
    <row r="9" spans="1:40" s="32" customFormat="1" ht="24" customHeight="1">
      <c r="A9" s="278"/>
      <c r="B9" s="279"/>
      <c r="C9" s="282">
        <f>IF($B5="第一類",1,IF($B5="第二類",IF(C7&lt;=0.6,1.1,IF(C7&gt;=0.7,1,1.1+(0.6-C7))),IF(C7&lt;=0.6,1.2,IF(C7&gt;=0.8,1,1.2+(0.6-C7)))))</f>
        <v>1</v>
      </c>
      <c r="D9" s="282">
        <f>IF($B5="第一類",1,IF($B5="第二類",IF(D7&lt;=0.3,1.5,IF(D7&gt;=0.5,1.1,1.5+(0.3-D7)*2)),IF(D7&lt;=0.3,1.8,IF(D7&gt;=0.5,1.4,1.8+(0.3-D7)*2))))</f>
        <v>1</v>
      </c>
      <c r="E9" s="282">
        <f>IF($B5="第一類",1,IF($B5="第二類",IF(E7&lt;=0.6,1.1,IF(E7&gt;=0.7,1,1.1+(0.6-E7))),IF(E7&lt;=0.6,1.2,IF(E7&gt;=0.8,1,1.2+(0.6-E7)))))</f>
        <v>1</v>
      </c>
      <c r="F9" s="283">
        <f>IF($B5="第一類",1,IF($B5="第二類",IF(F7&lt;=0.3,1.5,IF(F7&gt;=0.5,1.1,1.5+(0.3-F7)*2)),IF(F7&lt;=0.3,1.8,IF(F7&gt;=0.5,1.4,1.8+(0.3-F7)*2))))</f>
        <v>1</v>
      </c>
      <c r="G9" s="272"/>
      <c r="I9" s="282">
        <f>IF($H5="第一類",1,IF($H5="第二類",IF(I7&lt;=0.6,1.1,IF(I7&gt;=0.7,1,1.1+(0.6-I7))),IF(I7&lt;=0.6,1.2,IF(I7&gt;=0.8,1,1.2+(0.6-I7)))))</f>
        <v>1</v>
      </c>
      <c r="J9" s="282">
        <f>IF($H5="第一類",1,IF($H5="第二類",IF(J7&lt;=0.3,1.5,IF(J7&gt;=0.5,1.1,1.5+(0.3-J7)*2)),IF(J7&lt;=0.3,1.8,IF(J7&gt;=0.5,1.4,1.8+(0.3-J7)*2))))</f>
        <v>1</v>
      </c>
      <c r="K9" s="282">
        <f>IF($H5="第一類",1,IF($H5="第二類",IF(K7&lt;=0.6,1.1,IF(K7&gt;=0.7,1,1.1+(0.6-K7))),IF(K7&lt;=0.6,1.2,IF(K7&gt;=0.8,1,1.2+(0.6-K7)))))</f>
        <v>1</v>
      </c>
      <c r="L9" s="282">
        <f>IF($H5="第一類",1,IF($H5="第二類",IF(L7&lt;=0.3,1.5,IF(L7&gt;=0.5,1.1,1.5+(0.3-L7)*2)),IF(L7&lt;=0.3,1.8,IF(L7&gt;=0.5,1.4,1.8+(0.3-L7)*2))))</f>
        <v>1</v>
      </c>
      <c r="M9" s="161"/>
      <c r="N9" s="161"/>
      <c r="O9" s="39"/>
      <c r="P9" s="44"/>
      <c r="Q9" s="39"/>
      <c r="R9" s="49"/>
      <c r="S9" s="46"/>
      <c r="T9" s="39"/>
      <c r="U9" s="49"/>
      <c r="V9" s="39"/>
      <c r="W9" s="49"/>
      <c r="X9" s="270"/>
      <c r="Y9" s="270"/>
      <c r="Z9" s="39"/>
      <c r="AA9" s="39"/>
      <c r="AB9" s="39"/>
      <c r="AC9" s="39"/>
      <c r="AD9" s="270"/>
      <c r="AE9" s="270"/>
      <c r="AF9" s="270"/>
      <c r="AG9" s="270"/>
    </row>
    <row r="10" spans="1:40" s="32" customFormat="1" ht="24" customHeight="1">
      <c r="A10" s="146" t="s">
        <v>1369</v>
      </c>
      <c r="B10" s="333">
        <f>一般工址Cs!B10</f>
        <v>30</v>
      </c>
      <c r="C10" s="104" t="s">
        <v>1723</v>
      </c>
      <c r="D10" s="104" t="s">
        <v>1721</v>
      </c>
      <c r="E10" s="104" t="s">
        <v>1724</v>
      </c>
      <c r="F10" s="275" t="s">
        <v>1726</v>
      </c>
      <c r="G10" s="272"/>
      <c r="H10" s="282" t="str">
        <f>A10&amp;" = " &amp;B10</f>
        <v>屋頂面高度 hn(m) = 30</v>
      </c>
      <c r="I10" s="104" t="s">
        <v>1722</v>
      </c>
      <c r="J10" s="104" t="s">
        <v>1725</v>
      </c>
      <c r="K10" s="104" t="s">
        <v>1724</v>
      </c>
      <c r="L10" s="104" t="s">
        <v>1726</v>
      </c>
      <c r="M10" s="161"/>
      <c r="N10" s="288" t="s">
        <v>1732</v>
      </c>
      <c r="O10" s="324"/>
      <c r="P10" s="44"/>
      <c r="Q10" s="39"/>
      <c r="R10" s="49"/>
      <c r="S10" s="46"/>
      <c r="T10" s="39"/>
      <c r="U10" s="49"/>
      <c r="V10" s="39"/>
      <c r="W10" s="49"/>
      <c r="X10" s="270"/>
      <c r="Y10" s="270"/>
      <c r="Z10" s="39"/>
      <c r="AA10" s="39"/>
      <c r="AB10" s="39"/>
      <c r="AC10" s="39"/>
      <c r="AD10" s="270"/>
      <c r="AE10" s="270"/>
      <c r="AF10" s="270"/>
      <c r="AG10" s="270"/>
    </row>
    <row r="11" spans="1:40" s="32" customFormat="1" ht="24" customHeight="1">
      <c r="A11" s="146" t="s">
        <v>1426</v>
      </c>
      <c r="B11" s="333" t="str">
        <f>一般工址Cs!B11</f>
        <v>RC</v>
      </c>
      <c r="C11" s="333">
        <f>一般工址Cs!C11</f>
        <v>0.89729999999999999</v>
      </c>
      <c r="D11" s="333">
        <f>一般工址Cs!D11</f>
        <v>0.89729999999999999</v>
      </c>
      <c r="E11" s="333">
        <f>一般工址Cs!E11</f>
        <v>1.2562199999999999</v>
      </c>
      <c r="F11" s="336">
        <f>一般工址Cs!F11</f>
        <v>0.89729999999999999</v>
      </c>
      <c r="G11" s="180"/>
      <c r="H11" s="282" t="str">
        <f>A11&amp;" = " &amp;B11</f>
        <v>經驗公式構造分類 = RC</v>
      </c>
      <c r="I11" s="284">
        <f>C11</f>
        <v>0.89729999999999999</v>
      </c>
      <c r="J11" s="280">
        <f>D11</f>
        <v>0.89729999999999999</v>
      </c>
      <c r="K11" s="284">
        <f>E11</f>
        <v>1.2562199999999999</v>
      </c>
      <c r="L11" s="284">
        <f>ROUND(IF(I11&gt;=J11,J11,IF(J11&gt;=K11,K11,J11)),4)</f>
        <v>0.89729999999999999</v>
      </c>
      <c r="M11" s="285" t="str">
        <f ca="1">IF(L11&lt;=0.2*K17,"較短週期",IF(L11&lt;=K17,"短週期",IF(L11&lt;=2.5*K17,"中週期","長週期")))</f>
        <v>中週期</v>
      </c>
      <c r="N11" s="289">
        <v>1E-3</v>
      </c>
      <c r="O11" s="325"/>
      <c r="P11" s="50" t="s">
        <v>404</v>
      </c>
      <c r="Q11" s="39" t="s">
        <v>403</v>
      </c>
      <c r="R11" s="39">
        <v>1</v>
      </c>
      <c r="S11" s="46" t="s">
        <v>416</v>
      </c>
      <c r="T11" s="39" t="s">
        <v>389</v>
      </c>
      <c r="U11" s="39">
        <v>1</v>
      </c>
      <c r="V11" s="39" t="s">
        <v>389</v>
      </c>
      <c r="W11" s="39">
        <f>U11</f>
        <v>1</v>
      </c>
      <c r="X11" s="39"/>
      <c r="Y11" s="39"/>
      <c r="Z11" s="270"/>
      <c r="AA11" s="270"/>
      <c r="AB11" s="270"/>
      <c r="AC11" s="270"/>
      <c r="AD11" s="270"/>
      <c r="AE11" s="270"/>
      <c r="AF11" s="270"/>
      <c r="AG11" s="270"/>
    </row>
    <row r="12" spans="1:40" s="32" customFormat="1" ht="24" customHeight="1">
      <c r="A12" s="146" t="s">
        <v>1371</v>
      </c>
      <c r="B12" s="335">
        <f>一般工址Cs!B12</f>
        <v>2.4</v>
      </c>
      <c r="C12" s="104" t="s">
        <v>1372</v>
      </c>
      <c r="D12" s="284">
        <f>1+(B12-1)/1.5</f>
        <v>1.9333333333333331</v>
      </c>
      <c r="E12" s="105"/>
      <c r="F12" s="285" t="e">
        <f ca="1">IF(F11&lt;=0.2*D17,"較短週期",IF(F11&lt;=D17,"短週期",IF(F11&lt;=2.5*D17,"中週期","長週期")))</f>
        <v>#N/A</v>
      </c>
      <c r="G12" s="272"/>
      <c r="H12" s="282" t="str">
        <f>A12&amp;" = " &amp;B12</f>
        <v>系統韌性容量 R = 2.4</v>
      </c>
      <c r="I12" s="248" t="s">
        <v>1716</v>
      </c>
      <c r="J12" s="248" t="s">
        <v>1717</v>
      </c>
      <c r="K12" s="248" t="s">
        <v>1718</v>
      </c>
      <c r="L12" s="248" t="s">
        <v>1719</v>
      </c>
      <c r="M12" s="276" t="s">
        <v>1372</v>
      </c>
      <c r="N12" s="272"/>
      <c r="P12" s="50" t="s">
        <v>1367</v>
      </c>
      <c r="Q12" s="45" t="s">
        <v>390</v>
      </c>
      <c r="R12" s="51">
        <f>R5*R6*R8*R11</f>
        <v>0.11399999999999999</v>
      </c>
      <c r="S12" s="46" t="s">
        <v>415</v>
      </c>
      <c r="T12" s="39" t="s">
        <v>1368</v>
      </c>
      <c r="U12" s="39">
        <f>1+($B12-1)/2</f>
        <v>1.7</v>
      </c>
      <c r="V12" s="39" t="s">
        <v>1368</v>
      </c>
      <c r="W12" s="39">
        <f>U12</f>
        <v>1.7</v>
      </c>
      <c r="X12" s="39"/>
      <c r="Y12" s="39"/>
      <c r="Z12" s="270"/>
      <c r="AA12" s="270"/>
      <c r="AB12" s="270"/>
      <c r="AD12" s="270"/>
      <c r="AE12" s="270"/>
      <c r="AF12" s="270"/>
      <c r="AG12" s="270"/>
      <c r="AI12" s="270"/>
    </row>
    <row r="13" spans="1:40" s="32" customFormat="1" ht="24" customHeight="1">
      <c r="A13" s="146" t="s">
        <v>459</v>
      </c>
      <c r="B13" s="333">
        <f>一般工址Cs!B13</f>
        <v>1</v>
      </c>
      <c r="C13" s="247" t="s">
        <v>1728</v>
      </c>
      <c r="D13" s="284">
        <f>ROUND((2*D12-1)^0.5,4)</f>
        <v>1.6931</v>
      </c>
      <c r="F13" s="272"/>
      <c r="G13" s="272"/>
      <c r="H13" s="282" t="str">
        <f>A13&amp;" = " &amp;B13</f>
        <v>用途係數 I = 1</v>
      </c>
      <c r="I13" s="282">
        <f>IF($H5="第一類",1,IF($H5="第二類",IF(I3&lt;=0.6,1.1,IF(I3&gt;=0.7,1,1.1+(0.6-I3))),IF(I3&lt;=0.6,1.2,IF(I3&gt;=0.8,1,1.2+(0.6-I3)))))</f>
        <v>1</v>
      </c>
      <c r="J13" s="282">
        <f>IF($H5="第一類",1,IF($H5="第二類",IF(J3&lt;=0.3,1.5,IF(J3&gt;=0.5,1.1,1.5+(0.3-J3)*2)),IF(J3&lt;=0.3,1.8,IF(J3&gt;=0.5,1.4,1.8+(0.3-J3)*2))))</f>
        <v>1</v>
      </c>
      <c r="K13" s="282">
        <f>IF($H5="第一類",1,IF($H5="第二類",IF(K3&lt;=0.6,1.1,IF(K3&gt;=0.7,1,1.1+(0.6-K3))),IF(K3&lt;=0.6,1.2,IF(K3&gt;=0.8,1,1.2+(0.6-K3)))))</f>
        <v>1</v>
      </c>
      <c r="L13" s="282">
        <f>IF($H5="第一類",1,IF($H5="第二類",IF(L3&lt;=0.3,1.5,IF(L3&gt;=0.5,1.1,1.5+(0.3-L3)*2)),IF(L3&lt;=0.3,1.8,IF(L3&gt;=0.5,1.4,1.8+(0.3-L3)*2))))</f>
        <v>1</v>
      </c>
      <c r="M13" s="285">
        <f>D12</f>
        <v>1.9333333333333331</v>
      </c>
      <c r="N13" s="272"/>
      <c r="Q13" s="52" t="s">
        <v>1294</v>
      </c>
      <c r="R13" s="52">
        <f>ROUND(1/8/(R7^0.5),4)</f>
        <v>0.14249999999999999</v>
      </c>
      <c r="S13" s="46" t="s">
        <v>414</v>
      </c>
      <c r="T13" s="39" t="s">
        <v>1370</v>
      </c>
      <c r="U13" s="39">
        <f>IF(U7&gt;0.611,U$12,IF(IF(U7&gt;0.611,U$12,IF(U7&gt;0.406,AD$5+(U$12-AD$5)*(U7-0.406)/0.205,IF(U7&gt;0.2,AD$5,IF(U7&gt;0.03,AD$5+(AD$5-1)*(U7-0.2)/0.17,1))))&gt;0.406,AD$5+(U$12-AD$5)*(U7-0.406)/0.205,IF(U7&gt;0.2,AD$5,IF(U7&gt;0.03,AD$5+(AD$5-1)*(U7-0.2)/0.17,1))))</f>
        <v>1.7</v>
      </c>
      <c r="V13" s="39" t="s">
        <v>1370</v>
      </c>
      <c r="W13" s="39">
        <f>U13</f>
        <v>1.7</v>
      </c>
      <c r="X13" s="39"/>
      <c r="Y13" s="49"/>
      <c r="Z13" s="270"/>
      <c r="AA13" s="270"/>
      <c r="AB13" s="270"/>
      <c r="AD13" s="270"/>
      <c r="AE13" s="270"/>
      <c r="AF13" s="270"/>
      <c r="AG13" s="270"/>
      <c r="AH13" s="270"/>
      <c r="AI13" s="270"/>
      <c r="AJ13" s="270"/>
      <c r="AK13" s="270"/>
      <c r="AL13" s="270"/>
      <c r="AM13" s="270"/>
      <c r="AN13" s="270"/>
    </row>
    <row r="14" spans="1:40" s="32" customFormat="1" ht="24" customHeight="1">
      <c r="A14" s="147" t="s">
        <v>1688</v>
      </c>
      <c r="B14" s="333">
        <f>一般工址Cs!B14</f>
        <v>1</v>
      </c>
      <c r="C14" s="247" t="s">
        <v>1727</v>
      </c>
      <c r="D14" s="284">
        <f>ROUND((2*B12-1)^0.5,4)</f>
        <v>1.9494</v>
      </c>
      <c r="E14" s="270"/>
      <c r="F14" s="272"/>
      <c r="G14" s="272"/>
      <c r="H14" s="287" t="str">
        <f>A14&amp;" = " &amp;B14</f>
        <v>起始降伏地震力放大倍數αy = 1</v>
      </c>
      <c r="I14" s="392" t="str">
        <f>C13 &amp; "="&amp;D13</f>
        <v>√(2Ra-1)=1.6931</v>
      </c>
      <c r="J14" s="393"/>
      <c r="K14" s="392" t="str">
        <f>C14 &amp; "="&amp;D14</f>
        <v>√(2R-1)=1.9494</v>
      </c>
      <c r="L14" s="393"/>
      <c r="M14" s="275"/>
      <c r="N14" s="272"/>
      <c r="R14" s="54">
        <v>0.15</v>
      </c>
      <c r="S14" s="270"/>
      <c r="T14" s="39" t="s">
        <v>1295</v>
      </c>
      <c r="U14" s="35">
        <f>ROUND(U8/U13,4)</f>
        <v>0.75880000000000003</v>
      </c>
      <c r="V14" s="39" t="s">
        <v>1295</v>
      </c>
      <c r="W14" s="35">
        <f>ROUND(W8/W13,4)</f>
        <v>0.75880000000000003</v>
      </c>
      <c r="X14" s="270"/>
      <c r="Z14" s="270"/>
      <c r="AD14" s="270"/>
      <c r="AE14" s="270"/>
      <c r="AF14" s="270"/>
      <c r="AG14" s="270"/>
      <c r="AH14" s="270"/>
    </row>
    <row r="15" spans="1:40" s="32" customFormat="1" ht="24" customHeight="1">
      <c r="A15" s="387" t="s">
        <v>442</v>
      </c>
      <c r="B15" s="388"/>
      <c r="D15" s="270"/>
      <c r="E15" s="270"/>
      <c r="F15" s="272"/>
      <c r="G15" s="272"/>
      <c r="H15" s="389" t="s">
        <v>442</v>
      </c>
      <c r="I15" s="390"/>
      <c r="L15" s="233"/>
      <c r="M15" s="163"/>
      <c r="N15" s="163"/>
      <c r="O15" s="306"/>
      <c r="P15" s="270"/>
      <c r="Q15" s="45" t="s">
        <v>390</v>
      </c>
      <c r="R15" s="51">
        <f>R5*R6*R14*R11</f>
        <v>0.12</v>
      </c>
      <c r="T15" s="39" t="s">
        <v>1296</v>
      </c>
      <c r="U15" s="51">
        <f>IF(U14&gt;1,1,U14)</f>
        <v>0.75880000000000003</v>
      </c>
      <c r="V15" s="39" t="s">
        <v>1296</v>
      </c>
      <c r="W15" s="51">
        <f>IF(W14&gt;1,1,W14)</f>
        <v>0.75880000000000003</v>
      </c>
      <c r="AD15" s="270"/>
      <c r="AE15" s="270"/>
      <c r="AF15" s="270"/>
      <c r="AG15" s="270"/>
      <c r="AH15" s="270"/>
    </row>
    <row r="16" spans="1:40" s="32" customFormat="1" ht="24" customHeight="1">
      <c r="A16" s="149" t="s">
        <v>1281</v>
      </c>
      <c r="B16" s="107" t="s">
        <v>1421</v>
      </c>
      <c r="C16" s="55" t="s">
        <v>1422</v>
      </c>
      <c r="D16" s="274" t="s">
        <v>1375</v>
      </c>
      <c r="E16" s="55" t="s">
        <v>1376</v>
      </c>
      <c r="F16" s="150" t="s">
        <v>1377</v>
      </c>
      <c r="G16" s="161"/>
      <c r="H16" s="149" t="s">
        <v>1281</v>
      </c>
      <c r="I16" s="55" t="s">
        <v>1373</v>
      </c>
      <c r="J16" s="55" t="s">
        <v>1374</v>
      </c>
      <c r="K16" s="274" t="s">
        <v>1375</v>
      </c>
      <c r="L16" s="55" t="s">
        <v>1376</v>
      </c>
      <c r="M16" s="150" t="s">
        <v>1377</v>
      </c>
      <c r="N16" s="174" t="s">
        <v>1378</v>
      </c>
      <c r="O16" s="326"/>
      <c r="P16" s="140"/>
      <c r="T16" s="45" t="s">
        <v>390</v>
      </c>
      <c r="U16" s="51">
        <f>U5*U11/1.4/U6*U15</f>
        <v>8.3106666666666676E-2</v>
      </c>
      <c r="V16" s="45" t="s">
        <v>390</v>
      </c>
      <c r="W16" s="51">
        <f>W5*W11*W8/1.4/W6/W13</f>
        <v>0.11923423851532038</v>
      </c>
      <c r="AD16" s="270"/>
      <c r="AE16" s="270"/>
      <c r="AF16" s="270"/>
      <c r="AG16" s="270"/>
    </row>
    <row r="17" spans="1:29" s="32" customFormat="1" ht="24" customHeight="1">
      <c r="A17" s="142"/>
      <c r="B17" s="284" t="e">
        <f ca="1">ROUND(C$9*C$7,4)</f>
        <v>#N/A</v>
      </c>
      <c r="C17" s="284" t="e">
        <f ca="1">ROUND(D$9*D$7,4)</f>
        <v>#N/A</v>
      </c>
      <c r="D17" s="284" t="e">
        <f ca="1">ROUND(C$17/B$17,4)</f>
        <v>#N/A</v>
      </c>
      <c r="E17" s="284" t="e">
        <f ca="1">ROUND(D17*0.2,4)</f>
        <v>#N/A</v>
      </c>
      <c r="F17" s="285" t="e">
        <f ca="1">ROUND(D17*0.6,4)</f>
        <v>#N/A</v>
      </c>
      <c r="G17" s="171"/>
      <c r="H17" s="142"/>
      <c r="I17" s="284">
        <f ca="1">ROUND(I3*I$9*I$5,4)</f>
        <v>0.92800000000000005</v>
      </c>
      <c r="J17" s="284">
        <f ca="1">ROUND(J3*J$9*J$5,4)</f>
        <v>0.59399999999999997</v>
      </c>
      <c r="K17" s="284">
        <f ca="1">ROUND(J$17/I$17,4)</f>
        <v>0.6401</v>
      </c>
      <c r="L17" s="284">
        <f ca="1">ROUND(K17*0.2,4)</f>
        <v>0.128</v>
      </c>
      <c r="M17" s="285">
        <f ca="1">ROUND(K17*0.6,4)</f>
        <v>0.3841</v>
      </c>
      <c r="N17" s="174">
        <f ca="1">K17*2.5</f>
        <v>1.60025</v>
      </c>
      <c r="O17" s="39"/>
      <c r="T17" s="39">
        <f>VLOOKUP($B$5,工址放大係數!$B$12:$L$14,2,FALSE)</f>
        <v>0.03</v>
      </c>
      <c r="U17" s="39">
        <f>VLOOKUP($B$5,工址放大係數!$B$12:$L$14,3,FALSE)</f>
        <v>0.15</v>
      </c>
      <c r="V17" s="39">
        <f>VLOOKUP($B$5,工址放大係數!$B$12:$L$14,4,FALSE)</f>
        <v>0.33300000000000002</v>
      </c>
      <c r="W17" s="39">
        <f>VLOOKUP($B$5,工址放大係數!$B$12:$L$14,5,FALSE)</f>
        <v>1.3149999999999999</v>
      </c>
      <c r="X17" s="39">
        <f>VLOOKUP($B$5,工址放大係數!$B$12:$I$14,6,FALSE)</f>
        <v>1</v>
      </c>
      <c r="Y17" s="39">
        <f>VLOOKUP($B$5,工址放大係數!$B$12:$L$14,7,FALSE)</f>
        <v>12.5</v>
      </c>
      <c r="Z17" s="39">
        <f>VLOOKUP($B$5,工址放大係數!$B$12:$L$14,8,FALSE)</f>
        <v>0.625</v>
      </c>
      <c r="AA17" s="39">
        <f>VLOOKUP($B$5,工址放大係數!$B$12:$L$14,9,FALSE)</f>
        <v>2.5</v>
      </c>
      <c r="AB17" s="39">
        <f>VLOOKUP($B$5,工址放大係數!$B$12:$K$14,10,FALSE)</f>
        <v>1.2</v>
      </c>
      <c r="AC17" s="42">
        <f>VLOOKUP($B$5,工址放大係數!$B$12:$L$14,11,FALSE)</f>
        <v>0.66666666666666663</v>
      </c>
    </row>
    <row r="18" spans="1:29" s="32" customFormat="1" ht="24" customHeight="1" thickBot="1">
      <c r="A18" s="149" t="s">
        <v>1288</v>
      </c>
      <c r="B18" s="55" t="s">
        <v>1379</v>
      </c>
      <c r="C18" s="55" t="s">
        <v>1380</v>
      </c>
      <c r="D18" s="274" t="s">
        <v>1375</v>
      </c>
      <c r="E18" s="55" t="s">
        <v>1376</v>
      </c>
      <c r="F18" s="150" t="s">
        <v>1377</v>
      </c>
      <c r="G18" s="161"/>
      <c r="H18" s="149" t="s">
        <v>1288</v>
      </c>
      <c r="I18" s="55" t="s">
        <v>1379</v>
      </c>
      <c r="J18" s="55" t="s">
        <v>1380</v>
      </c>
      <c r="K18" s="274" t="s">
        <v>1375</v>
      </c>
      <c r="L18" s="55" t="s">
        <v>1376</v>
      </c>
      <c r="M18" s="150" t="s">
        <v>1377</v>
      </c>
      <c r="N18" s="174" t="s">
        <v>1378</v>
      </c>
      <c r="O18" s="39"/>
    </row>
    <row r="19" spans="1:29" s="32" customFormat="1" ht="24" customHeight="1" thickTop="1">
      <c r="A19" s="142"/>
      <c r="B19" s="284">
        <f ca="1">C3*C5</f>
        <v>0.8</v>
      </c>
      <c r="C19" s="284">
        <f ca="1">D3*D5</f>
        <v>0.45</v>
      </c>
      <c r="D19" s="284">
        <f ca="1">ROUND(C19/B19,4)</f>
        <v>0.5625</v>
      </c>
      <c r="E19" s="284">
        <f ca="1">D19*0.2</f>
        <v>0.1125</v>
      </c>
      <c r="F19" s="285">
        <f ca="1">D19*0.6</f>
        <v>0.33749999999999997</v>
      </c>
      <c r="G19" s="171"/>
      <c r="H19" s="142"/>
      <c r="I19" s="284">
        <f ca="1">I3*I13</f>
        <v>0.8</v>
      </c>
      <c r="J19" s="284">
        <f ca="1">J3*J13</f>
        <v>0.45</v>
      </c>
      <c r="K19" s="284">
        <f ca="1">ROUND(J19/I19,4)</f>
        <v>0.5625</v>
      </c>
      <c r="L19" s="284">
        <f ca="1">K19*0.2</f>
        <v>0.1125</v>
      </c>
      <c r="M19" s="285">
        <f ca="1">K19*0.6</f>
        <v>0.33749999999999997</v>
      </c>
      <c r="N19" s="175">
        <f ca="1">K19*2.5</f>
        <v>1.40625</v>
      </c>
      <c r="O19" s="327"/>
      <c r="R19" s="256" t="s">
        <v>427</v>
      </c>
      <c r="S19" s="250">
        <f>H7</f>
        <v>5</v>
      </c>
      <c r="T19" s="257" t="s">
        <v>1693</v>
      </c>
      <c r="U19" s="257"/>
      <c r="V19" s="257"/>
      <c r="W19" s="258"/>
    </row>
    <row r="20" spans="1:29" s="32" customFormat="1" ht="24" customHeight="1" thickBot="1">
      <c r="A20" s="149" t="s">
        <v>1289</v>
      </c>
      <c r="B20" s="55" t="s">
        <v>1423</v>
      </c>
      <c r="C20" s="55" t="s">
        <v>1424</v>
      </c>
      <c r="D20" s="274" t="s">
        <v>1383</v>
      </c>
      <c r="E20" s="55" t="s">
        <v>1384</v>
      </c>
      <c r="F20" s="150" t="s">
        <v>1385</v>
      </c>
      <c r="G20" s="161"/>
      <c r="H20" s="149" t="s">
        <v>1289</v>
      </c>
      <c r="I20" s="274" t="s">
        <v>1381</v>
      </c>
      <c r="J20" s="55" t="s">
        <v>1382</v>
      </c>
      <c r="K20" s="274" t="s">
        <v>1383</v>
      </c>
      <c r="L20" s="55" t="s">
        <v>1384</v>
      </c>
      <c r="M20" s="150" t="s">
        <v>1385</v>
      </c>
      <c r="N20" s="174" t="s">
        <v>1378</v>
      </c>
      <c r="O20" s="39"/>
      <c r="R20" s="259"/>
      <c r="S20" s="260">
        <v>40725</v>
      </c>
      <c r="T20" s="261" t="s">
        <v>1360</v>
      </c>
      <c r="U20" s="261" t="s">
        <v>1361</v>
      </c>
      <c r="V20" s="261" t="s">
        <v>1362</v>
      </c>
      <c r="W20" s="262" t="s">
        <v>1363</v>
      </c>
    </row>
    <row r="21" spans="1:29" s="32" customFormat="1" ht="24" customHeight="1" thickTop="1">
      <c r="A21" s="142"/>
      <c r="B21" s="284" t="e">
        <f ca="1">E$9*E$7</f>
        <v>#N/A</v>
      </c>
      <c r="C21" s="284" t="e">
        <f ca="1">F$9*F$7</f>
        <v>#N/A</v>
      </c>
      <c r="D21" s="284" t="e">
        <f ca="1">ROUND(C$21/B$21,4)</f>
        <v>#N/A</v>
      </c>
      <c r="E21" s="284" t="e">
        <f ca="1">ROUND(D21*0.2,4)</f>
        <v>#N/A</v>
      </c>
      <c r="F21" s="285" t="e">
        <f ca="1">ROUND(D21*0.6,4)</f>
        <v>#N/A</v>
      </c>
      <c r="G21" s="171"/>
      <c r="H21" s="142"/>
      <c r="I21" s="284">
        <f ca="1">K3*K$9*K$5</f>
        <v>1.2</v>
      </c>
      <c r="J21" s="284">
        <f ca="1">L3*L$9*L$5</f>
        <v>0.79749999999999999</v>
      </c>
      <c r="K21" s="284">
        <f ca="1">ROUND(J$21/I$21,4)</f>
        <v>0.66459999999999997</v>
      </c>
      <c r="L21" s="284">
        <f ca="1">ROUND(K21*0.2,4)</f>
        <v>0.13289999999999999</v>
      </c>
      <c r="M21" s="285">
        <f ca="1">ROUND(K21*0.6,4)</f>
        <v>0.39879999999999999</v>
      </c>
      <c r="N21" s="175">
        <f ca="1">K21*2.5</f>
        <v>1.6615</v>
      </c>
      <c r="O21" s="327"/>
      <c r="R21" s="251"/>
      <c r="S21" s="37" t="s">
        <v>357</v>
      </c>
      <c r="T21" s="32">
        <v>1</v>
      </c>
      <c r="U21" s="32">
        <v>1</v>
      </c>
      <c r="V21" s="32">
        <v>1</v>
      </c>
      <c r="W21" s="272">
        <v>1</v>
      </c>
    </row>
    <row r="22" spans="1:29" s="32" customFormat="1" ht="24" customHeight="1">
      <c r="A22" s="173" t="s">
        <v>1420</v>
      </c>
      <c r="B22" s="286" t="e">
        <f ca="1">0.4*B17 &amp; " g"</f>
        <v>#N/A</v>
      </c>
      <c r="C22" s="286" t="e">
        <f ca="1">"= " &amp; ROUND(0.4*B17*981,1) &amp; " gal"</f>
        <v>#N/A</v>
      </c>
      <c r="G22" s="171"/>
      <c r="H22" s="173" t="s">
        <v>1420</v>
      </c>
      <c r="I22" s="286" t="str">
        <f ca="1">0.4*I17 &amp; " g"</f>
        <v>0.3712 g</v>
      </c>
      <c r="J22" s="286" t="str">
        <f ca="1">"= " &amp; ROUND(0.4*I17*981,1) &amp; " gal"</f>
        <v>= 364.1 gal</v>
      </c>
      <c r="K22" s="49"/>
      <c r="L22" s="49"/>
      <c r="M22" s="171"/>
      <c r="N22" s="172"/>
      <c r="O22" s="327"/>
      <c r="R22" s="252">
        <v>1</v>
      </c>
      <c r="S22" s="38" t="s">
        <v>81</v>
      </c>
      <c r="T22" s="32">
        <f>IF(S$19&lt;=2,1.23,IF(S$19&lt;=5,1.16,IF(S$19&lt;=8,1.07,IF(S$19&lt;=12,1.03,1))))</f>
        <v>1.1599999999999999</v>
      </c>
      <c r="U22" s="32">
        <f>IF(S$19&lt;=2,1.36,IF(S$19&lt;=5,1.32,IF(S$19&lt;=8,1.22,IF(S$19&lt;=12,1.1,1))))</f>
        <v>1.32</v>
      </c>
      <c r="V22" s="32">
        <f>IF(S$19&lt;=2,1.25,IF(S$19&lt;=5,1.2,IF(S$19&lt;=8,1.1,IF(S$19&lt;=12,1.03,1))))</f>
        <v>1.2</v>
      </c>
      <c r="W22" s="272">
        <f>IF(S$19&lt;=2,1.5,IF(S$19&lt;=5,1.45,IF(S$19&lt;=8,1.3,IF(S$19&lt;=12,1.15,1))))</f>
        <v>1.45</v>
      </c>
    </row>
    <row r="23" spans="1:29" s="32" customFormat="1" ht="24" customHeight="1">
      <c r="A23" s="391" t="s">
        <v>467</v>
      </c>
      <c r="B23" s="390"/>
      <c r="C23" s="34"/>
      <c r="G23" s="272"/>
      <c r="H23" s="391" t="s">
        <v>467</v>
      </c>
      <c r="I23" s="390"/>
      <c r="J23" s="34"/>
      <c r="M23" s="272"/>
      <c r="N23" s="211">
        <f>IF(H6="無",1/2,2/3)</f>
        <v>0.66666666666666663</v>
      </c>
      <c r="O23" s="328"/>
      <c r="R23" s="251">
        <v>2</v>
      </c>
      <c r="S23" s="38" t="s">
        <v>73</v>
      </c>
      <c r="T23" s="32">
        <f>IF(S$19&lt;=2,1.28,IF(S$19&lt;=5,1.2,IF(S$19&lt;=8,1.1,1)))</f>
        <v>1.2</v>
      </c>
      <c r="U23" s="32">
        <f>IF(S$19&lt;=2,1.33,IF(S$19&lt;=5,1.27,IF(S$19&lt;=8,1.1,1)))</f>
        <v>1.27</v>
      </c>
      <c r="V23" s="32">
        <f>IF(S$19&lt;=2,1.26,IF(S$19&lt;=5,1.18,IF(S$19&lt;=8,1.05,1)))</f>
        <v>1.18</v>
      </c>
      <c r="W23" s="272">
        <f>IF(S$19&lt;=2,1.42,IF(S$19&lt;=5,1.32,IF(S$19&lt;=8,1.15,1)))</f>
        <v>1.32</v>
      </c>
    </row>
    <row r="24" spans="1:29" s="32" customFormat="1" ht="24" customHeight="1">
      <c r="A24" s="143" t="s">
        <v>1281</v>
      </c>
      <c r="B24" s="108" t="s">
        <v>1386</v>
      </c>
      <c r="C24" s="274" t="s">
        <v>1387</v>
      </c>
      <c r="D24" s="274" t="s">
        <v>1388</v>
      </c>
      <c r="E24" s="274" t="s">
        <v>1389</v>
      </c>
      <c r="F24" s="148"/>
      <c r="G24" s="148"/>
      <c r="H24" s="143" t="s">
        <v>1281</v>
      </c>
      <c r="I24" s="274" t="s">
        <v>1386</v>
      </c>
      <c r="J24" s="274" t="s">
        <v>1387</v>
      </c>
      <c r="K24" s="274" t="s">
        <v>1388</v>
      </c>
      <c r="L24" s="274" t="s">
        <v>1389</v>
      </c>
      <c r="M24" s="213" t="s">
        <v>1664</v>
      </c>
      <c r="N24" s="216" t="s">
        <v>1661</v>
      </c>
      <c r="O24" s="216"/>
      <c r="P24" s="214" t="s">
        <v>1662</v>
      </c>
      <c r="Q24" s="249" t="s">
        <v>1663</v>
      </c>
      <c r="R24" s="251">
        <v>3</v>
      </c>
      <c r="S24" s="38" t="s">
        <v>372</v>
      </c>
      <c r="T24" s="32">
        <f>IF(S$19&lt;=2,1.28,IF(S$19&lt;=5,1.2,IF(S$19&lt;=10,1.1,1)))</f>
        <v>1.2</v>
      </c>
      <c r="U24" s="32">
        <f>IF(S$19&lt;=2,1.31,IF(S$19&lt;=5,1.25,IF(S$19&lt;=10,1.15,1)))</f>
        <v>1.25</v>
      </c>
      <c r="V24" s="32">
        <f>IF(S$19&lt;=2,1.26,IF(S$19&lt;=5,1.17,IF(S$19&lt;=10,1.05,1)))</f>
        <v>1.17</v>
      </c>
      <c r="W24" s="272">
        <f>IF(S$19&lt;=2,1.42,IF(S$19&lt;=5,1.32,IF(S$19&lt;=10,1.15,1)))</f>
        <v>1.32</v>
      </c>
    </row>
    <row r="25" spans="1:29" s="32" customFormat="1" ht="24" customHeight="1">
      <c r="A25" s="142"/>
      <c r="B25" s="53" t="e">
        <f ca="1">ROUND(IF($F$11&gt;2.5*D17,0.4*B17,IF($F$11&gt;D17,C17/$F$11,IF($F$11&gt;E17,B17,B17*(0.4+3*$F$11/D17)))),4)</f>
        <v>#N/A</v>
      </c>
      <c r="C25" s="53" t="e">
        <f ca="1">ROUND(IF($F11&gt;=D$17,$D$12,IF($F11&gt;=F$17,$D$13+($D$12-$D$13)*($F$11-0.6*$D$17)/0.4/$D$17,IF($F11&lt;E$17,$D$13+($D$13-1)*($F$11-$E$17)/$E$17,$D$13))),4)</f>
        <v>#N/A</v>
      </c>
      <c r="D25" s="53" t="e">
        <f ca="1">ROUND(B25/C25,4)</f>
        <v>#N/A</v>
      </c>
      <c r="E25" s="53" t="e">
        <f ca="1">IF(D25&lt;=0.3,D25,IF(D25&lt;0.8,ROUND(0.52*D25+0.144,4),0.7*D25))</f>
        <v>#N/A</v>
      </c>
      <c r="F25" s="148"/>
      <c r="G25" s="148"/>
      <c r="H25" s="142"/>
      <c r="I25" s="53">
        <f ca="1">ROUND(IF($F$11&gt;2.5*K17,0.4*I17,IF($F$11&gt;K17,J17/$F$11,IF($F$11&gt;L17,I17,I17*(0.4+3*$F$11/K17)))),4)</f>
        <v>0.66200000000000003</v>
      </c>
      <c r="J25" s="53">
        <f ca="1">ROUND(IF($F11&gt;=K$17,$D$12,IF($F11&gt;=M$17,$D$13+($D$12-$D$13)*($F11-0.6*K$17)/0.4/K$17,IF($F11&lt;L$17,$D$13+($D$13-1)*($F11-L$17)/L$17,$D$13))),4)</f>
        <v>1.9333</v>
      </c>
      <c r="K25" s="53">
        <f ca="1">ROUND(I25/J25,4)</f>
        <v>0.34239999999999998</v>
      </c>
      <c r="L25" s="53">
        <f ca="1">IF(K25&lt;=0.3,K25,IF(K25&lt;0.8,ROUND(0.52*K25+0.144,4),0.7*K25))</f>
        <v>0.32200000000000001</v>
      </c>
      <c r="M25" s="165">
        <f ca="1">IF(Q25&lt;=0.2,Q25,IF(Q25&lt;0.53,ROUND(0.52*Q25+0.096,4),0.7*Q25))</f>
        <v>0.32379999999999998</v>
      </c>
      <c r="N25" s="217">
        <f ca="1">I25*N$23</f>
        <v>0.44133333333333336</v>
      </c>
      <c r="O25" s="217"/>
      <c r="P25" s="215">
        <f ca="1">ROUND(IF($N$11&gt;=K17,$B$12,IF($N$11&gt;=M17,$D$14+($B$12-$D$14)*($N$11-0.6*M17)/0.4/K17,IF($N$11&lt;L17,$D$14+($D$14-1)*($N$11-L17)/L17,$D$14))),4)</f>
        <v>1.0074000000000001</v>
      </c>
      <c r="Q25" s="212">
        <f ca="1">ROUND(N25/P25,4)</f>
        <v>0.43809999999999999</v>
      </c>
      <c r="R25" s="251">
        <v>4</v>
      </c>
      <c r="S25" s="38" t="s">
        <v>169</v>
      </c>
      <c r="T25" s="32">
        <f>IF(S$19&lt;=2,1.37,IF(S$19&lt;=5,1.28,IF(S$19&lt;=8,1.15,1)))</f>
        <v>1.28</v>
      </c>
      <c r="U25" s="32">
        <f>IF(S$19&lt;=2,1.44,IF(S$19&lt;=5,1.36,IF(S$19&lt;=8,1.2,1)))</f>
        <v>1.36</v>
      </c>
      <c r="V25" s="32">
        <f>IF(S$19&lt;=2,1.3,IF(S$19&lt;=5,1.2,IF(S$19&lt;=8,1.05,1)))</f>
        <v>1.2</v>
      </c>
      <c r="W25" s="272">
        <f>IF(S$19&lt;=2,1.48,IF(S$19&lt;=5,1.36,IF(S$19&lt;=8,1.15,1)))</f>
        <v>1.36</v>
      </c>
    </row>
    <row r="26" spans="1:29" s="32" customFormat="1" ht="24" customHeight="1">
      <c r="A26" s="143" t="s">
        <v>1586</v>
      </c>
      <c r="B26" s="274" t="s">
        <v>1390</v>
      </c>
      <c r="C26" s="274" t="s">
        <v>1387</v>
      </c>
      <c r="D26" s="274" t="s">
        <v>1391</v>
      </c>
      <c r="E26" s="274" t="s">
        <v>1392</v>
      </c>
      <c r="F26" s="151"/>
      <c r="G26" s="151"/>
      <c r="H26" s="143" t="s">
        <v>1586</v>
      </c>
      <c r="I26" s="274" t="s">
        <v>1390</v>
      </c>
      <c r="J26" s="274" t="s">
        <v>1387</v>
      </c>
      <c r="K26" s="274" t="s">
        <v>1391</v>
      </c>
      <c r="L26" s="274" t="s">
        <v>1392</v>
      </c>
      <c r="M26" s="272"/>
      <c r="N26" s="151"/>
      <c r="O26" s="151"/>
      <c r="P26" s="151"/>
      <c r="R26" s="251">
        <v>5</v>
      </c>
      <c r="S26" s="38" t="s">
        <v>220</v>
      </c>
      <c r="T26" s="32">
        <f>IF(S$19&lt;=2,1.23,IF(S$19&lt;=5,1.06,1))</f>
        <v>1.06</v>
      </c>
      <c r="U26" s="32">
        <f>IF(S$19&lt;=2,1.15,IF(S$19&lt;=5,1.05,1))</f>
        <v>1.05</v>
      </c>
      <c r="V26" s="32">
        <f>IF(S$19&lt;=2,1.29,IF(S$19&lt;=5,1.1,1))</f>
        <v>1.1000000000000001</v>
      </c>
      <c r="W26" s="272">
        <f>IF(S$19&lt;=2,1.3,IF(S$19&lt;=5,1.15,1))</f>
        <v>1.1499999999999999</v>
      </c>
    </row>
    <row r="27" spans="1:29" s="32" customFormat="1" ht="24" customHeight="1">
      <c r="A27" s="142"/>
      <c r="B27" s="53">
        <f ca="1">ROUND(IF($F$11&gt;2.5*D19,0.4*B19,IF($F$11&gt;D19,C19/$F$11,IF($F$11&gt;E19,B19,B19*(0.4+3*$F$11/D19)))),4)</f>
        <v>0.50149999999999995</v>
      </c>
      <c r="C27" s="56">
        <f ca="1">ROUND(IF($F11&gt;=D$19,$D$12,IF($F11&gt;=F$19,$D$13+($D$12-$D$13)*($F11-0.6*D$19)/0.4/D$19,IF($F11&lt;E$19,$D$13+($D$13-1)*(F11-E$19)/E$19,$D$13))),4)</f>
        <v>1.9333</v>
      </c>
      <c r="D27" s="53">
        <f ca="1">ROUND(B27/C27,4)</f>
        <v>0.25940000000000002</v>
      </c>
      <c r="E27" s="53">
        <f ca="1">IF(D27&lt;=0.3,D27,IF(D27&lt;0.8,ROUND(0.52*D27+0.144,4),0.7*D27))</f>
        <v>0.25940000000000002</v>
      </c>
      <c r="F27" s="151"/>
      <c r="G27" s="151"/>
      <c r="H27" s="142"/>
      <c r="I27" s="53">
        <f ca="1">ROUND(IF($F$11&gt;2.5*K19,0.4*I19,IF($F$11&gt;K19,J19/$F$11,IF($F$11&gt;L19,I19,I19*(0.4+3*$F$11/K19)))),4)</f>
        <v>0.50149999999999995</v>
      </c>
      <c r="J27" s="56">
        <f ca="1">ROUND(IF($F11&gt;=K$19,$D$12,IF($F11&gt;=M$19,$D$13+($D$12-$D$13)*($F11-0.6*K$19)/0.4/K$19,IF($F11&lt;L$19,$D$13+($D$13-1)*($F11-L$19)/L$19,$D$13))),4)</f>
        <v>1.9333</v>
      </c>
      <c r="K27" s="53">
        <f ca="1">ROUND(I27/J27,4)</f>
        <v>0.25940000000000002</v>
      </c>
      <c r="L27" s="53">
        <f ca="1">IF(K27&lt;=0.3,K27,IF(K27&lt;0.8,ROUND(0.52*K27+0.144,4),0.7*K27))</f>
        <v>0.25940000000000002</v>
      </c>
      <c r="M27" s="165">
        <f ca="1">IF(Q27&lt;=0.2,Q27,IF(Q27&lt;0.53,ROUND(0.52*Q27+0.096,4),0.7*Q27))</f>
        <v>0.26840000000000003</v>
      </c>
      <c r="N27" s="217">
        <f ca="1">I27*N$23</f>
        <v>0.33433333333333326</v>
      </c>
      <c r="O27" s="217"/>
      <c r="P27" s="215">
        <f ca="1">ROUND(IF($N$11&gt;=K19,$B$12,IF($N$11&gt;=M19,$D$14+($B$12-$D$14)*($N$11-0.6*M19)/0.4/K19,IF($N$11&lt;L19,$D$14+($D$14-1)*($N$11-L19)/L19,$D$14))),4)</f>
        <v>1.0084</v>
      </c>
      <c r="Q27" s="212">
        <f ca="1">ROUND(N27/P27,4)</f>
        <v>0.33150000000000002</v>
      </c>
      <c r="R27" s="251">
        <v>6</v>
      </c>
      <c r="S27" s="38" t="s">
        <v>1720</v>
      </c>
      <c r="T27" s="32">
        <f>IF(S$19&lt;=2,1.15,IF(S$19&lt;=5,1.08,IF(S$19&lt;=8,1,1)))</f>
        <v>1.08</v>
      </c>
      <c r="U27" s="32">
        <f>IF(S$19&lt;=2,1.15,IF(S$19&lt;=5,1.1,IF(S$19&lt;=8,1.03,1)))</f>
        <v>1.1000000000000001</v>
      </c>
      <c r="V27" s="32">
        <f>IF(S$19&lt;=2,1.21,IF(S$19&lt;=5,1.17,IF(S$19&lt;=8,1.05,1)))</f>
        <v>1.17</v>
      </c>
      <c r="W27" s="272">
        <f>IF(S$19&lt;=2,1.42,IF(S$19&lt;=5,1.35,IF(S$19&lt;=8,1.15,1)))</f>
        <v>1.35</v>
      </c>
    </row>
    <row r="28" spans="1:29" s="32" customFormat="1" ht="24" customHeight="1" thickBot="1">
      <c r="A28" s="143" t="s">
        <v>1587</v>
      </c>
      <c r="B28" s="274" t="s">
        <v>1393</v>
      </c>
      <c r="C28" s="274" t="s">
        <v>1394</v>
      </c>
      <c r="D28" s="274" t="s">
        <v>1395</v>
      </c>
      <c r="E28" s="274" t="s">
        <v>1396</v>
      </c>
      <c r="F28" s="152"/>
      <c r="G28" s="152"/>
      <c r="H28" s="143" t="s">
        <v>1587</v>
      </c>
      <c r="I28" s="274" t="s">
        <v>1393</v>
      </c>
      <c r="J28" s="274" t="s">
        <v>1394</v>
      </c>
      <c r="K28" s="274" t="s">
        <v>1395</v>
      </c>
      <c r="L28" s="274" t="s">
        <v>1396</v>
      </c>
      <c r="M28" s="272"/>
      <c r="N28" s="152"/>
      <c r="O28" s="152"/>
      <c r="P28" s="152"/>
      <c r="R28" s="253">
        <v>7</v>
      </c>
      <c r="S28" s="268" t="s">
        <v>326</v>
      </c>
      <c r="T28" s="255">
        <f>IF(S$19&lt;=2,1.42,IF(S$19&lt;=5,1.37,IF(S$19&lt;=8,1.28,IF(S$19&lt;=12,1.14,1))))</f>
        <v>1.37</v>
      </c>
      <c r="U28" s="255">
        <f>IF(S$19&lt;=2,1.58,IF(S$19&lt;=5,1.53,IF(S$19&lt;=8,1.38,IF(S$19&lt;=12,1.2,1))))</f>
        <v>1.53</v>
      </c>
      <c r="V28" s="269">
        <f>IF(S$19&lt;=2,1.32,IF(S$19&lt;=5,1.26,IF(S$19&lt;=8,1.1,IF(S$19&lt;=12,1.02,IF(S$19&lt;=5,1,1)))))</f>
        <v>1.26</v>
      </c>
      <c r="W28" s="156">
        <f>IF(S$19&lt;=2,1.58,IF(S$19&lt;=5,1.48,IF(S$19&lt;=8,1.3,IF(S$19&lt;=12,1.16,IF(S$19&lt;=5,1.05,1)))))</f>
        <v>1.48</v>
      </c>
    </row>
    <row r="29" spans="1:29" s="32" customFormat="1" ht="24" customHeight="1" thickTop="1">
      <c r="A29" s="142"/>
      <c r="B29" s="53" t="e">
        <f ca="1">IF($F11&lt;E$21,ROUND(B$21*(0.4+3*$F11/D$21),3),IF($F11&lt;=D$21,B$21,IF($F11&lt;=2.5*D$21,C$21/$F11,0.4*B$21)))</f>
        <v>#N/A</v>
      </c>
      <c r="C29" s="53" t="e">
        <f ca="1">ROUND(IF($F11&gt;=D$21,$B$12,IF($F11&gt;=F$21,$D$14+($B$12-$D$14)*($F11-0.6*D$21)/0.4/D$21,IF($F11&lt;E$21,$D$14+($D$14-1)*($F11-E$21)/E$21,$D$14))),4)</f>
        <v>#N/A</v>
      </c>
      <c r="D29" s="53" t="e">
        <f ca="1">ROUND(B29/C29,4)</f>
        <v>#N/A</v>
      </c>
      <c r="E29" s="53" t="e">
        <f ca="1">IF(D29&lt;=0.3,D29,IF(D29&lt;0.8,ROUND(0.52*D29+0.144,4),0.7*D29))</f>
        <v>#N/A</v>
      </c>
      <c r="F29" s="272"/>
      <c r="G29" s="272"/>
      <c r="H29" s="142"/>
      <c r="I29" s="53">
        <f ca="1">IF($F11&lt;L$21,ROUND(I$21*(0.4+3*$F11/K$21),3),IF($F11&lt;=K$21,I$21,IF($F11&lt;=2.5*K$21,J$21/$F11,0.4*I$21)))</f>
        <v>0.88877744344143539</v>
      </c>
      <c r="J29" s="53">
        <f ca="1">ROUND(IF($F11&gt;=K$21,$B$12,IF($F11&gt;=M$21,$D$14+($B$12-$D$14)*($F11-0.6*K$21)/0.4/K$21,IF($F11&lt;L$21,$D$14+($D$14-1)*($F11-L$21)/L$21,$D$14))),4)</f>
        <v>2.4</v>
      </c>
      <c r="K29" s="53">
        <f ca="1">ROUND(I29/J29,4)</f>
        <v>0.37030000000000002</v>
      </c>
      <c r="L29" s="53">
        <f ca="1">IF(K29&lt;=0.3,K29,IF(K29&lt;0.8,ROUND(0.52*K29+0.144,4),0.7*K29))</f>
        <v>0.33660000000000001</v>
      </c>
      <c r="M29" s="165">
        <f ca="1">IF(Q29&lt;=0.2,Q29,IF(Q29&lt;0.53,ROUND(0.52*Q29+0.096,4),0.7*Q29))</f>
        <v>0.41181000000000001</v>
      </c>
      <c r="N29" s="217">
        <f ca="1">I29*N$23</f>
        <v>0.59251829562762359</v>
      </c>
      <c r="O29" s="217"/>
      <c r="P29" s="215">
        <f ca="1">ROUND(IF($N$11&gt;=K21,$B$12,IF($N$11&gt;=M21,$D$14+($B$12-$D$14)*($N$11-0.6*M21)/0.4/K21,IF($N$11&lt;L21,$D$14+($D$14-1)*($N$11-L21)/L21,$D$14))),4)</f>
        <v>1.0071000000000001</v>
      </c>
      <c r="Q29" s="212">
        <f ca="1">ROUND(N29/P29,4)</f>
        <v>0.58830000000000005</v>
      </c>
      <c r="R29" s="251"/>
      <c r="S29" s="38"/>
      <c r="W29" s="272"/>
    </row>
    <row r="30" spans="1:29" s="32" customFormat="1" ht="24" customHeight="1">
      <c r="A30" s="384" t="s">
        <v>1281</v>
      </c>
      <c r="B30" s="385"/>
      <c r="C30" s="57"/>
      <c r="D30" s="57"/>
      <c r="E30" s="57"/>
      <c r="F30" s="166"/>
      <c r="G30" s="166"/>
      <c r="H30" s="384" t="s">
        <v>1281</v>
      </c>
      <c r="I30" s="385"/>
      <c r="J30" s="57"/>
      <c r="K30" s="57"/>
      <c r="L30" s="57"/>
      <c r="M30" s="272"/>
      <c r="N30" s="272"/>
      <c r="R30" s="251"/>
      <c r="S30" s="38"/>
      <c r="W30" s="272"/>
    </row>
    <row r="31" spans="1:29" s="32" customFormat="1" ht="24" customHeight="1">
      <c r="A31" s="153" t="s">
        <v>1397</v>
      </c>
      <c r="B31" s="49" t="e">
        <f ca="1">ROUND($B$13*E25/1.4/$B$14,4)</f>
        <v>#N/A</v>
      </c>
      <c r="C31" s="271" t="s">
        <v>1290</v>
      </c>
      <c r="D31" s="394" t="s">
        <v>1398</v>
      </c>
      <c r="E31" s="385"/>
      <c r="F31" s="395"/>
      <c r="G31" s="272"/>
      <c r="H31" s="153" t="s">
        <v>1397</v>
      </c>
      <c r="I31" s="49">
        <f ca="1">ROUND($B$13*L25/1.4/$B$14,4)</f>
        <v>0.23</v>
      </c>
      <c r="J31" s="271" t="s">
        <v>1290</v>
      </c>
      <c r="K31" s="394" t="s">
        <v>1398</v>
      </c>
      <c r="L31" s="396"/>
      <c r="N31" s="218" t="s">
        <v>1667</v>
      </c>
      <c r="O31" s="329"/>
      <c r="P31" s="151">
        <f ca="1">ROUND($B$13*M25/1.4/$B$14,4)</f>
        <v>0.23130000000000001</v>
      </c>
      <c r="R31" s="251"/>
      <c r="S31" s="38"/>
      <c r="W31" s="272"/>
    </row>
    <row r="32" spans="1:29" s="32" customFormat="1" ht="24" customHeight="1">
      <c r="A32" s="384" t="s">
        <v>1282</v>
      </c>
      <c r="B32" s="385"/>
      <c r="C32" s="57"/>
      <c r="D32" s="57"/>
      <c r="F32" s="154"/>
      <c r="G32" s="154"/>
      <c r="H32" s="384" t="s">
        <v>1282</v>
      </c>
      <c r="I32" s="385"/>
      <c r="J32" s="57"/>
      <c r="K32" s="270"/>
      <c r="L32" s="271"/>
      <c r="M32" s="151"/>
      <c r="N32" s="219"/>
      <c r="O32" s="272"/>
      <c r="P32" s="151"/>
      <c r="R32" s="251"/>
      <c r="S32" s="38"/>
      <c r="W32" s="272"/>
    </row>
    <row r="33" spans="1:44" s="32" customFormat="1" ht="24" customHeight="1" thickBot="1">
      <c r="A33" s="153" t="s">
        <v>1284</v>
      </c>
      <c r="B33" s="49">
        <f ca="1">ROUND($B13*E27*C27/4.2/$B14,4)</f>
        <v>0.11940000000000001</v>
      </c>
      <c r="C33" s="271" t="s">
        <v>1290</v>
      </c>
      <c r="D33" s="394" t="s">
        <v>1399</v>
      </c>
      <c r="E33" s="385"/>
      <c r="F33" s="395"/>
      <c r="G33" s="272"/>
      <c r="H33" s="153" t="s">
        <v>1284</v>
      </c>
      <c r="I33" s="49">
        <f ca="1">ROUND($B13*L27*J27/4.2/$B14,4)</f>
        <v>0.11940000000000001</v>
      </c>
      <c r="J33" s="271" t="s">
        <v>1290</v>
      </c>
      <c r="K33" s="394" t="s">
        <v>1399</v>
      </c>
      <c r="L33" s="396"/>
      <c r="N33" s="218" t="s">
        <v>1668</v>
      </c>
      <c r="O33" s="329"/>
      <c r="P33" s="151">
        <f ca="1">ROUND($B13*J27*M27/4.2/$B14,4)</f>
        <v>0.1235</v>
      </c>
      <c r="R33" s="253"/>
      <c r="S33" s="254"/>
      <c r="T33" s="255"/>
      <c r="U33" s="255"/>
      <c r="V33" s="255"/>
      <c r="W33" s="156"/>
    </row>
    <row r="34" spans="1:44" s="32" customFormat="1" ht="24" customHeight="1" thickTop="1">
      <c r="A34" s="384" t="s">
        <v>1283</v>
      </c>
      <c r="B34" s="385"/>
      <c r="C34" s="57"/>
      <c r="D34" s="57"/>
      <c r="F34" s="154"/>
      <c r="G34" s="154"/>
      <c r="H34" s="384" t="s">
        <v>1283</v>
      </c>
      <c r="I34" s="385"/>
      <c r="J34" s="57"/>
      <c r="K34" s="270"/>
      <c r="L34" s="271"/>
      <c r="M34" s="151"/>
      <c r="N34" s="219"/>
      <c r="O34" s="272"/>
      <c r="P34" s="151"/>
      <c r="R34" s="41"/>
      <c r="S34" s="41"/>
      <c r="T34" s="43"/>
    </row>
    <row r="35" spans="1:44" s="32" customFormat="1" ht="24" customHeight="1">
      <c r="A35" s="153" t="s">
        <v>1400</v>
      </c>
      <c r="B35" s="49" t="e">
        <f ca="1">ROUND($B13*E29/1.4/$B14,4)</f>
        <v>#N/A</v>
      </c>
      <c r="C35" s="270" t="s">
        <v>1290</v>
      </c>
      <c r="D35" s="397" t="s">
        <v>1401</v>
      </c>
      <c r="E35" s="385"/>
      <c r="F35" s="395"/>
      <c r="G35" s="272"/>
      <c r="H35" s="153" t="s">
        <v>1400</v>
      </c>
      <c r="I35" s="49">
        <f ca="1">ROUND($B13*L29/1.4/$B14,4)</f>
        <v>0.2404</v>
      </c>
      <c r="J35" s="270" t="s">
        <v>1290</v>
      </c>
      <c r="K35" s="397" t="s">
        <v>1401</v>
      </c>
      <c r="L35" s="396"/>
      <c r="N35" s="218" t="s">
        <v>1666</v>
      </c>
      <c r="O35" s="329"/>
      <c r="P35" s="151">
        <f ca="1">ROUND($B$13*M29/1.4/$B$14,4)</f>
        <v>0.29420000000000002</v>
      </c>
    </row>
    <row r="36" spans="1:44" s="32" customFormat="1" ht="24" customHeight="1">
      <c r="A36" s="155" t="s">
        <v>1402</v>
      </c>
      <c r="B36" s="286" t="e">
        <f ca="1">MAX(B31,B33,B35)</f>
        <v>#N/A</v>
      </c>
      <c r="C36" s="58"/>
      <c r="D36" s="44" t="s">
        <v>1425</v>
      </c>
      <c r="E36" s="49" t="e">
        <f ca="1">B33/B36</f>
        <v>#N/A</v>
      </c>
      <c r="F36" s="272"/>
      <c r="G36" s="272"/>
      <c r="H36" s="155" t="s">
        <v>1402</v>
      </c>
      <c r="I36" s="286">
        <f ca="1">MAX(I31,I33,I35)</f>
        <v>0.2404</v>
      </c>
      <c r="J36" s="58"/>
      <c r="K36" s="44" t="s">
        <v>1425</v>
      </c>
      <c r="L36" s="49">
        <f ca="1">I33/I36</f>
        <v>0.49667221297836939</v>
      </c>
      <c r="N36" s="220" t="s">
        <v>1665</v>
      </c>
      <c r="O36" s="330"/>
      <c r="P36" s="151">
        <f ca="1">MAX(P31,P33,P35)</f>
        <v>0.29420000000000002</v>
      </c>
    </row>
    <row r="37" spans="1:44" s="32" customFormat="1" ht="24" customHeight="1" thickBot="1">
      <c r="A37" s="398" t="s">
        <v>1759</v>
      </c>
      <c r="B37" s="399"/>
      <c r="C37" s="399"/>
      <c r="D37" s="399"/>
      <c r="E37" s="399"/>
      <c r="F37" s="400"/>
      <c r="G37" s="273"/>
      <c r="H37" s="398" t="s">
        <v>1730</v>
      </c>
      <c r="I37" s="399"/>
      <c r="J37" s="399"/>
      <c r="K37" s="399"/>
      <c r="L37" s="399"/>
      <c r="M37" s="400"/>
      <c r="N37" s="156"/>
    </row>
    <row r="38" spans="1:44" s="32" customFormat="1" ht="24" customHeight="1" thickTop="1" thickBot="1">
      <c r="A38" s="316"/>
      <c r="B38" s="317"/>
      <c r="C38" s="317"/>
      <c r="D38" s="317"/>
      <c r="E38" s="317"/>
      <c r="F38" s="317"/>
      <c r="G38" s="167"/>
      <c r="H38" s="184"/>
      <c r="M38" s="182"/>
      <c r="N38" s="182"/>
      <c r="O38" s="331"/>
      <c r="S38" s="270"/>
      <c r="T38" s="270"/>
      <c r="U38" s="270"/>
      <c r="V38" s="270"/>
    </row>
    <row r="39" spans="1:44" ht="24" customHeight="1" thickTop="1">
      <c r="A39" s="275" t="s">
        <v>1762</v>
      </c>
      <c r="B39" s="291" t="s">
        <v>1761</v>
      </c>
      <c r="C39" s="295">
        <v>0.63180000000000003</v>
      </c>
      <c r="D39" s="290" t="e">
        <f ca="1">IF(C39&lt;=0.2*$D17,"較短週期",IF(C39&lt;=$D17,"短週期",IF(C39&lt;=2.5*$D17,"中週期","長週期")))</f>
        <v>#N/A</v>
      </c>
      <c r="E39" s="317"/>
      <c r="F39" s="317"/>
      <c r="G39" s="183"/>
      <c r="H39" s="32"/>
      <c r="U39" s="32"/>
      <c r="X39" s="39" t="s">
        <v>1302</v>
      </c>
      <c r="Y39" s="39">
        <f>R5</f>
        <v>0.8</v>
      </c>
    </row>
    <row r="40" spans="1:44" ht="30.75" customHeight="1" thickBot="1">
      <c r="A40" s="316"/>
      <c r="B40" s="292" t="s">
        <v>1733</v>
      </c>
      <c r="C40" s="348">
        <v>3</v>
      </c>
      <c r="D40" s="247" t="s">
        <v>1727</v>
      </c>
      <c r="E40" s="294">
        <f>ROUND((2*C40-1)^0.5,4)</f>
        <v>2.2361</v>
      </c>
      <c r="F40" s="317"/>
      <c r="G40" s="183"/>
      <c r="H40" s="32"/>
      <c r="I40" s="39"/>
      <c r="J40" s="39"/>
      <c r="K40" s="39"/>
      <c r="L40" s="39"/>
      <c r="M40" s="39"/>
      <c r="N40" s="39"/>
      <c r="O40" s="39"/>
      <c r="U40" s="32"/>
      <c r="X40" s="39"/>
      <c r="Y40" s="39"/>
    </row>
    <row r="41" spans="1:44" ht="24.95" customHeight="1" thickTop="1" thickBot="1">
      <c r="A41" s="316"/>
      <c r="B41" s="292" t="s">
        <v>1734</v>
      </c>
      <c r="C41" s="285">
        <f>1+(C40-1)/1.5</f>
        <v>2.333333333333333</v>
      </c>
      <c r="D41" s="293" t="s">
        <v>1735</v>
      </c>
      <c r="E41" s="294">
        <f>ROUND((2*C41-1)^0.5,4)</f>
        <v>1.9149</v>
      </c>
      <c r="F41" s="317"/>
      <c r="G41" s="61"/>
      <c r="H41" s="60" t="s">
        <v>1403</v>
      </c>
      <c r="K41" s="60"/>
      <c r="M41" s="39" t="s">
        <v>1404</v>
      </c>
      <c r="N41" s="63"/>
      <c r="Q41" s="62" t="s">
        <v>1405</v>
      </c>
      <c r="R41" s="39" t="s">
        <v>1297</v>
      </c>
      <c r="S41" s="32"/>
      <c r="T41" s="270">
        <v>981</v>
      </c>
      <c r="U41" s="39" t="s">
        <v>385</v>
      </c>
      <c r="V41" s="39" t="s">
        <v>422</v>
      </c>
      <c r="W41" s="39">
        <v>1</v>
      </c>
      <c r="X41" s="39">
        <v>0.8</v>
      </c>
      <c r="Y41" s="39">
        <v>0.67</v>
      </c>
      <c r="Z41" s="39" t="s">
        <v>1775</v>
      </c>
      <c r="AA41" s="338" t="e">
        <f ca="1">ROUND(IF(B36=B35,B35/B29,IF(B36=B33,B33/B27,B31/B25)),4)</f>
        <v>#N/A</v>
      </c>
      <c r="AB41" s="39"/>
      <c r="AC41" s="39" t="s">
        <v>393</v>
      </c>
      <c r="AD41" s="39" t="s">
        <v>393</v>
      </c>
      <c r="AE41" s="39" t="s">
        <v>398</v>
      </c>
      <c r="AF41" s="39" t="s">
        <v>426</v>
      </c>
      <c r="AJ41"/>
      <c r="AK41"/>
    </row>
    <row r="42" spans="1:44" ht="21.75" thickTop="1" thickBot="1">
      <c r="E42" s="317"/>
      <c r="F42" s="317"/>
      <c r="I42" s="39" t="s">
        <v>0</v>
      </c>
      <c r="J42" s="39" t="s">
        <v>1406</v>
      </c>
      <c r="K42" s="39" t="s">
        <v>1407</v>
      </c>
      <c r="L42" s="39" t="s">
        <v>1408</v>
      </c>
      <c r="M42" s="39" t="s">
        <v>1409</v>
      </c>
      <c r="N42" s="39" t="s">
        <v>1584</v>
      </c>
      <c r="O42" s="39" t="s">
        <v>1754</v>
      </c>
      <c r="P42" s="39" t="s">
        <v>1410</v>
      </c>
      <c r="Q42" s="39" t="s">
        <v>1411</v>
      </c>
      <c r="R42" s="39" t="s">
        <v>1755</v>
      </c>
      <c r="S42" s="39" t="s">
        <v>1756</v>
      </c>
      <c r="T42" s="39" t="s">
        <v>1412</v>
      </c>
      <c r="U42" s="39" t="s">
        <v>1413</v>
      </c>
      <c r="V42" s="39" t="s">
        <v>1414</v>
      </c>
      <c r="W42" s="39" t="s">
        <v>1415</v>
      </c>
      <c r="X42" s="39" t="s">
        <v>1585</v>
      </c>
      <c r="Y42" s="39" t="s">
        <v>1416</v>
      </c>
      <c r="Z42" s="39" t="s">
        <v>1776</v>
      </c>
      <c r="AA42" s="39" t="s">
        <v>0</v>
      </c>
      <c r="AB42" s="39" t="s">
        <v>1417</v>
      </c>
      <c r="AC42" s="39" t="s">
        <v>410</v>
      </c>
      <c r="AD42" s="39" t="s">
        <v>411</v>
      </c>
      <c r="AE42" s="39" t="s">
        <v>1418</v>
      </c>
      <c r="AF42" s="39" t="s">
        <v>1418</v>
      </c>
      <c r="AG42" s="39" t="s">
        <v>1418</v>
      </c>
      <c r="AH42" s="39" t="s">
        <v>412</v>
      </c>
      <c r="AI42" s="39" t="s">
        <v>411</v>
      </c>
      <c r="AJ42" s="39" t="s">
        <v>421</v>
      </c>
      <c r="AK42" s="39" t="s">
        <v>420</v>
      </c>
      <c r="AL42" s="39" t="s">
        <v>1418</v>
      </c>
      <c r="AM42" s="39" t="s">
        <v>1418</v>
      </c>
      <c r="AN42" s="39" t="s">
        <v>1418</v>
      </c>
    </row>
    <row r="43" spans="1:44" ht="21" thickTop="1">
      <c r="A43" s="275" t="e">
        <f ca="1">IF(C7&gt;C3,"近斷層工址","一般區域")</f>
        <v>#N/A</v>
      </c>
      <c r="B43" s="296" t="s">
        <v>1731</v>
      </c>
      <c r="C43" s="274" t="s">
        <v>1760</v>
      </c>
      <c r="D43" s="274" t="s">
        <v>1765</v>
      </c>
      <c r="E43" s="274" t="s">
        <v>1768</v>
      </c>
      <c r="F43" s="274" t="s">
        <v>1772</v>
      </c>
      <c r="I43" s="338">
        <f>一般工址Cs!I43</f>
        <v>0.01</v>
      </c>
      <c r="J43" s="64" t="e">
        <f t="shared" ref="J43:J90" ca="1" si="1">ROUND(IF($I43&gt;=D$17,D$12,IF($I43&gt;=F$17,D$13+(D$12-D$13)*($I43-0.6*D$17)/0.4/D$17,IF($I43&lt;E$17,D$13+(D$13-1)*($I43-E$17)/E$17,D$13))),3)</f>
        <v>#N/A</v>
      </c>
      <c r="K43" s="64" t="e">
        <f t="shared" ref="K43:K90" ca="1" si="2">IF($I43&lt;E$17,ROUND(B$17*(0.4+3*$I43/D$17),3),IF($I43&lt;=D$17,B$17,IF($I43&lt;=2.5*D$17,C$17/$I43,0.4*B$17)))</f>
        <v>#N/A</v>
      </c>
      <c r="L43" s="64" t="e">
        <f t="shared" ref="L43:L95" ca="1" si="3">ROUND(K43/J43,4)</f>
        <v>#N/A</v>
      </c>
      <c r="M43" s="64" t="e">
        <f t="shared" ref="M43:M95" ca="1" si="4">IF(L43&lt;=0.3,L43,IF(L43&lt;0.8,ROUND(0.52*L43+0.144,3),0.7*L43))</f>
        <v>#N/A</v>
      </c>
      <c r="N43" s="61" t="e">
        <f t="shared" ref="N43:N74" ca="1" si="5">ROUND(B$13*M43/1.4/B$14,3)</f>
        <v>#N/A</v>
      </c>
      <c r="O43" s="61">
        <f t="shared" ref="O43:O74" ca="1" si="6">ROUND(IF($I43&gt;=D$19,D$12,IF($I43&gt;=F$19,D$13+(D$12-D$13)*($I43-0.6*D$19)/0.4/D$19,IF($I43&lt;E$19,D$13+(D$13-1)*($I43-E$19)/E$19,D$13))),3)</f>
        <v>1.0620000000000001</v>
      </c>
      <c r="P43" s="61">
        <f t="shared" ref="P43:P74" ca="1" si="7">IF($I43&lt;E$19,ROUND(B$19*(0.4+3*$I43/D$19),3),IF($I43&lt;=D$19,B$19,IF($I43&lt;=2.5*D$19,C$19/$I43,0.4*B$19)))</f>
        <v>0.36299999999999999</v>
      </c>
      <c r="Q43" s="61">
        <f t="shared" ref="Q43:Q95" ca="1" si="8">ROUND(P43/O43,4)</f>
        <v>0.34179999999999999</v>
      </c>
      <c r="R43" s="61">
        <f t="shared" ref="R43:R95" ca="1" si="9">IF(Q43&lt;=0.3,Q43,IF(Q43&lt;0.8,ROUND(0.52*Q43+0.144,3),0.7*Q43))</f>
        <v>0.32200000000000001</v>
      </c>
      <c r="S43" s="61">
        <f t="shared" ref="S43:S74" ca="1" si="10">ROUND(B$13*O43*R43/4.2/B$14,3)</f>
        <v>8.1000000000000003E-2</v>
      </c>
      <c r="T43" s="61" t="e">
        <f t="shared" ref="T43:T74" ca="1" si="11">ROUND(IF($I43&gt;=D$21,B$12,IF($I43&gt;=F$21,D$14+(B$12-D$14)*($I43-0.6*D$21)/0.4/D$21,IF($I43&lt;E$21,D$14+(D$14-1)*($I43-E$21)/E$21,D$14))),3)</f>
        <v>#N/A</v>
      </c>
      <c r="U43" s="61" t="e">
        <f t="shared" ref="U43:U74" ca="1" si="12">IF($I43&lt;E$21,ROUND(B$21*(0.4+3*$I43/D$21),3),IF($I43&lt;=D$21,B$21,IF($I43&lt;=2.5*D$21,C$21/$I43,0.4*B$21)))</f>
        <v>#N/A</v>
      </c>
      <c r="V43" s="61" t="e">
        <f t="shared" ref="V43:V95" ca="1" si="13">ROUND(U43/T43,4)</f>
        <v>#N/A</v>
      </c>
      <c r="W43" s="61" t="e">
        <f t="shared" ref="W43:W95" ca="1" si="14">IF(V43&lt;=0.3,V43,IF(V43&lt;0.8,ROUND(0.52*V43+0.144,3),0.7*V43))</f>
        <v>#N/A</v>
      </c>
      <c r="X43" s="61" t="e">
        <f t="shared" ref="X43:X74" ca="1" si="15">ROUND(B$13*W43/1.4/B$14,3)</f>
        <v>#N/A</v>
      </c>
      <c r="Y43" s="61" t="e">
        <f t="shared" ref="Y43:Y95" ca="1" si="16">MAX(X43,S43,N43)</f>
        <v>#N/A</v>
      </c>
      <c r="Z43" s="338" t="e">
        <f ca="1">MAX(一般工址Cs!Z43,'一般工址Cs (II)'!Z43)</f>
        <v>#N/A</v>
      </c>
      <c r="AA43" s="65">
        <f t="shared" ref="AA43:AA74" si="17">I43</f>
        <v>0.01</v>
      </c>
      <c r="AB43" s="270" t="e">
        <f t="shared" ref="AB43:AB74" ca="1" si="18">Z43*T$41</f>
        <v>#N/A</v>
      </c>
      <c r="AC43" s="59">
        <f t="shared" ref="AC43:AC74" si="19">1/8/I43^0.5</f>
        <v>1.25</v>
      </c>
      <c r="AD43" s="59">
        <f>IF(AC43&gt;0.15,0.15,IF(AC43&lt;0.0625,0.0625,AC43))</f>
        <v>0.15</v>
      </c>
      <c r="AE43" s="59">
        <f t="shared" ref="AE43:AE74" si="20">$R$5*W$41*$R$11*$AD43*$AG$5</f>
        <v>0.17159999999999997</v>
      </c>
      <c r="AF43" s="59">
        <f t="shared" ref="AF43:AF74" si="21">$R$5*X$41*$R$11*$AD43*$AG$5</f>
        <v>0.13728000000000001</v>
      </c>
      <c r="AG43" s="59">
        <f t="shared" ref="AG43:AG74" si="22">$R$5*Y$41*$R$11*$AD43*$AG$5</f>
        <v>0.11497199999999999</v>
      </c>
      <c r="AH43" s="59">
        <f t="shared" ref="AH43:AH74" si="23">IF(I43&gt;0.611,$U$12,IF(I43&gt;0.406,AD$5+($U$12-AD$5)*(I43-0.406)/0.205,IF(I43&gt;0.2,AD$5,IF(I43&gt;0.03,AD$5+(AD$5-1)*(I43-0.2)/0.17,1))))</f>
        <v>1</v>
      </c>
      <c r="AI43" s="59">
        <f t="shared" ref="AI43:AI74" si="24">IF(I43&lt;T$17,X$17,IF(I43&lt;U$17,Y$17*I43+V$17,IF(I43&lt;Z$17,AA$17,IF(I43&lt;W$17,AB$17/I43^(AC$17),1))))</f>
        <v>1</v>
      </c>
      <c r="AJ43" s="59">
        <f t="shared" ref="AJ43:AJ95" si="25">AI43/AH43</f>
        <v>1</v>
      </c>
      <c r="AK43" s="59">
        <f>IF(AJ43&gt;1,1,AJ43)</f>
        <v>1</v>
      </c>
      <c r="AL43" s="59">
        <f t="shared" ref="AL43:AL95" si="26">$U$5*$U$11*AK43/1.4/$U$6*$AG$5</f>
        <v>0.15661904761904763</v>
      </c>
      <c r="AM43" s="59">
        <f t="shared" ref="AM43:AM95" si="27">$W$5*$W$11*AK43/1.4/$W$6*$AG$5</f>
        <v>0.22471428571428573</v>
      </c>
      <c r="AN43" s="59" t="e">
        <f t="shared" ref="AN43:AN95" ca="1" si="28">Y43/1.5*$AG$5</f>
        <v>#N/A</v>
      </c>
    </row>
    <row r="44" spans="1:44" ht="19.5" thickBot="1">
      <c r="A44" s="297" t="e">
        <f ca="1">IF(C7&gt;C3,2/3,1/2)</f>
        <v>#N/A</v>
      </c>
      <c r="B44" s="294" t="e">
        <f ca="1">A$44*B25</f>
        <v>#N/A</v>
      </c>
      <c r="C44" s="294" t="e">
        <f ca="1">ROUND(IF($C$39&gt;=D$17,C$41,IF($C$39&gt;=F$17,E$41+(C$41-E$41)*($C$39-0.6*D$17)/0.4/D$17,IF($C$39&lt;E$17,E$41+(E$41-1)*($C$39-E$17)/E$17,E$41))),4)</f>
        <v>#N/A</v>
      </c>
      <c r="D44" s="294" t="e">
        <f ca="1">B44/C44</f>
        <v>#N/A</v>
      </c>
      <c r="E44" s="294" t="e">
        <f ca="1">IF(D44&lt;=0.3*A44,D44,IF(D44&lt;0.8*A44,ROUND(0.52*D44+0.144*A44,4),0.7*D44))</f>
        <v>#N/A</v>
      </c>
      <c r="F44" s="294" t="e">
        <f ca="1">B$13*E44/1.4/B$14</f>
        <v>#N/A</v>
      </c>
      <c r="I44" s="338">
        <f>一般工址Cs!I44</f>
        <v>8.9300000000000004E-2</v>
      </c>
      <c r="J44" s="64" t="e">
        <f t="shared" ca="1" si="1"/>
        <v>#N/A</v>
      </c>
      <c r="K44" s="64" t="e">
        <f t="shared" ca="1" si="2"/>
        <v>#N/A</v>
      </c>
      <c r="L44" s="64" t="e">
        <f t="shared" ca="1" si="3"/>
        <v>#N/A</v>
      </c>
      <c r="M44" s="64" t="e">
        <f t="shared" ca="1" si="4"/>
        <v>#N/A</v>
      </c>
      <c r="N44" s="61" t="e">
        <f t="shared" ca="1" si="5"/>
        <v>#N/A</v>
      </c>
      <c r="O44" s="61">
        <f t="shared" ca="1" si="6"/>
        <v>1.55</v>
      </c>
      <c r="P44" s="61">
        <f t="shared" ca="1" si="7"/>
        <v>0.70099999999999996</v>
      </c>
      <c r="Q44" s="61">
        <f t="shared" ca="1" si="8"/>
        <v>0.45229999999999998</v>
      </c>
      <c r="R44" s="61">
        <f t="shared" ca="1" si="9"/>
        <v>0.379</v>
      </c>
      <c r="S44" s="61">
        <f t="shared" ca="1" si="10"/>
        <v>0.14000000000000001</v>
      </c>
      <c r="T44" s="61" t="e">
        <f t="shared" ca="1" si="11"/>
        <v>#N/A</v>
      </c>
      <c r="U44" s="61" t="e">
        <f t="shared" ca="1" si="12"/>
        <v>#N/A</v>
      </c>
      <c r="V44" s="61" t="e">
        <f t="shared" ca="1" si="13"/>
        <v>#N/A</v>
      </c>
      <c r="W44" s="61" t="e">
        <f t="shared" ca="1" si="14"/>
        <v>#N/A</v>
      </c>
      <c r="X44" s="61" t="e">
        <f t="shared" ca="1" si="15"/>
        <v>#N/A</v>
      </c>
      <c r="Y44" s="61" t="e">
        <f t="shared" ca="1" si="16"/>
        <v>#N/A</v>
      </c>
      <c r="Z44" s="338" t="e">
        <f ca="1">MAX(一般工址Cs!Z44,'一般工址Cs (II)'!Z44)</f>
        <v>#N/A</v>
      </c>
      <c r="AA44" s="65">
        <f t="shared" si="17"/>
        <v>8.9300000000000004E-2</v>
      </c>
      <c r="AB44" s="66" t="e">
        <f t="shared" ca="1" si="18"/>
        <v>#N/A</v>
      </c>
      <c r="AC44" s="59">
        <f t="shared" si="19"/>
        <v>0.41829655088140916</v>
      </c>
      <c r="AD44" s="59">
        <f t="shared" ref="AD44:AD95" si="29">IF(AC44&gt;0.15,0.15,IF(AC44&lt;0.0625,0.0625,AC44))</f>
        <v>0.15</v>
      </c>
      <c r="AE44" s="59">
        <f t="shared" si="20"/>
        <v>0.17159999999999997</v>
      </c>
      <c r="AF44" s="59">
        <f t="shared" si="21"/>
        <v>0.13728000000000001</v>
      </c>
      <c r="AG44" s="59">
        <f t="shared" si="22"/>
        <v>0.11497199999999999</v>
      </c>
      <c r="AH44" s="59">
        <f t="shared" si="23"/>
        <v>1.1915715586590585</v>
      </c>
      <c r="AI44" s="59">
        <f t="shared" si="24"/>
        <v>1.4492499999999999</v>
      </c>
      <c r="AJ44" s="59">
        <f t="shared" si="25"/>
        <v>1.21625091625292</v>
      </c>
      <c r="AK44" s="59">
        <f t="shared" ref="AK44:AK95" si="30">IF(AJ44&gt;1,1,AJ44)</f>
        <v>1</v>
      </c>
      <c r="AL44" s="59">
        <f t="shared" si="26"/>
        <v>0.15661904761904763</v>
      </c>
      <c r="AM44" s="59">
        <f t="shared" si="27"/>
        <v>0.22471428571428573</v>
      </c>
      <c r="AN44" s="59" t="e">
        <f t="shared" ca="1" si="28"/>
        <v>#N/A</v>
      </c>
    </row>
    <row r="45" spans="1:44" ht="21" thickTop="1">
      <c r="A45" s="316"/>
      <c r="B45" s="274" t="s">
        <v>1763</v>
      </c>
      <c r="C45" s="274" t="s">
        <v>1760</v>
      </c>
      <c r="D45" s="274" t="s">
        <v>1766</v>
      </c>
      <c r="E45" s="274" t="s">
        <v>1769</v>
      </c>
      <c r="F45" s="317"/>
      <c r="I45" s="338">
        <f ca="1">一般工址Cs!I45</f>
        <v>0.1108</v>
      </c>
      <c r="J45" s="67" t="e">
        <f t="shared" ca="1" si="1"/>
        <v>#N/A</v>
      </c>
      <c r="K45" s="67" t="e">
        <f t="shared" ca="1" si="2"/>
        <v>#N/A</v>
      </c>
      <c r="L45" s="67" t="e">
        <f ca="1">ROUND(K45/J45,4)</f>
        <v>#N/A</v>
      </c>
      <c r="M45" s="67" t="e">
        <f ca="1">IF(L45&lt;=0.3,L45,IF(L45&lt;0.8,ROUND(0.52*L45+0.144,3),0.7*L45))</f>
        <v>#N/A</v>
      </c>
      <c r="N45" s="68" t="e">
        <f t="shared" ca="1" si="5"/>
        <v>#N/A</v>
      </c>
      <c r="O45" s="68">
        <f t="shared" ca="1" si="6"/>
        <v>1.6830000000000001</v>
      </c>
      <c r="P45" s="68">
        <f t="shared" ca="1" si="7"/>
        <v>0.79300000000000004</v>
      </c>
      <c r="Q45" s="68">
        <f ca="1">ROUND(P45/O45,4)</f>
        <v>0.47120000000000001</v>
      </c>
      <c r="R45" s="68">
        <f ca="1">IF(Q45&lt;=0.3,Q45,IF(Q45&lt;0.8,ROUND(0.52*Q45+0.144,3),0.7*Q45))</f>
        <v>0.38900000000000001</v>
      </c>
      <c r="S45" s="68">
        <f t="shared" ca="1" si="10"/>
        <v>0.156</v>
      </c>
      <c r="T45" s="68" t="e">
        <f t="shared" ca="1" si="11"/>
        <v>#N/A</v>
      </c>
      <c r="U45" s="68" t="e">
        <f t="shared" ca="1" si="12"/>
        <v>#N/A</v>
      </c>
      <c r="V45" s="68" t="e">
        <f ca="1">ROUND(U45/T45,4)</f>
        <v>#N/A</v>
      </c>
      <c r="W45" s="68" t="e">
        <f ca="1">IF(V45&lt;=0.3,V45,IF(V45&lt;0.8,ROUND(0.52*V45+0.144,3),0.7*V45))</f>
        <v>#N/A</v>
      </c>
      <c r="X45" s="68" t="e">
        <f t="shared" ca="1" si="15"/>
        <v>#N/A</v>
      </c>
      <c r="Y45" s="68" t="e">
        <f ca="1">MAX(X45,S45,N45)</f>
        <v>#N/A</v>
      </c>
      <c r="Z45" s="338" t="e">
        <f ca="1">MAX(一般工址Cs!Z45,'一般工址Cs (II)'!Z45)</f>
        <v>#N/A</v>
      </c>
      <c r="AA45" s="66">
        <f t="shared" ca="1" si="17"/>
        <v>0.1108</v>
      </c>
      <c r="AB45" s="66" t="e">
        <f t="shared" ca="1" si="18"/>
        <v>#N/A</v>
      </c>
      <c r="AC45" s="59">
        <f t="shared" ca="1" si="19"/>
        <v>0.37552610507881856</v>
      </c>
      <c r="AD45" s="59">
        <f ca="1">IF(AC45&gt;0.15,0.15,IF(AC45&lt;0.0625,0.0625,AC45))</f>
        <v>0.15</v>
      </c>
      <c r="AE45" s="59">
        <f t="shared" ca="1" si="20"/>
        <v>0.17159999999999997</v>
      </c>
      <c r="AF45" s="59">
        <f t="shared" ca="1" si="21"/>
        <v>0.13728000000000001</v>
      </c>
      <c r="AG45" s="59">
        <f t="shared" ca="1" si="22"/>
        <v>0.11497199999999999</v>
      </c>
      <c r="AH45" s="59">
        <f t="shared" ca="1" si="23"/>
        <v>1.2610283632319041</v>
      </c>
      <c r="AI45" s="59">
        <f t="shared" ca="1" si="24"/>
        <v>1.718</v>
      </c>
      <c r="AJ45" s="59">
        <f ca="1">AI45/AH45</f>
        <v>1.362380141551232</v>
      </c>
      <c r="AK45" s="59">
        <f ca="1">IF(AJ45&gt;1,1,AJ45)</f>
        <v>1</v>
      </c>
      <c r="AL45" s="59">
        <f ca="1">$U$5*$U$11*AK45/1.4/$U$6*$AG$5</f>
        <v>0.15661904761904763</v>
      </c>
      <c r="AM45" s="59">
        <f ca="1">$W$5*$W$11*AK45/1.4/$W$6*$AG$5</f>
        <v>0.22471428571428573</v>
      </c>
      <c r="AN45" s="59" t="e">
        <f ca="1">Y45/1.5*$AG$5</f>
        <v>#N/A</v>
      </c>
      <c r="AP45"/>
      <c r="AQ45"/>
      <c r="AR45"/>
    </row>
    <row r="46" spans="1:44" ht="19.5" thickBot="1">
      <c r="B46" s="294" t="e">
        <f ca="1">A$44*B27</f>
        <v>#N/A</v>
      </c>
      <c r="C46" s="294" t="e">
        <f ca="1">ROUND(IF($C$39&gt;=D$17,C$41,IF($C$39&gt;=F$17,E$41+(C$41-E$41)*($C$39-0.6*D$17)/0.4/D$17,IF($C$39&lt;E$17,E$41+(E$41-1)*($C$39-E$17)/E$17,E$41))),4)</f>
        <v>#N/A</v>
      </c>
      <c r="D46" s="294" t="e">
        <f ca="1">ROUND(B46/C46,4)</f>
        <v>#N/A</v>
      </c>
      <c r="E46" s="294" t="e">
        <f ca="1">IF(D46&lt;=0.3,D46,IF(D46&lt;0.8,ROUND(0.52*D46+0.144,4),0.7*D46))</f>
        <v>#N/A</v>
      </c>
      <c r="F46" s="294" t="e">
        <f ca="1">B$13*C46*E46/4.2/B$14</f>
        <v>#N/A</v>
      </c>
      <c r="I46" s="338">
        <f ca="1">一般工址Cs!I46</f>
        <v>0.1124</v>
      </c>
      <c r="J46" s="64" t="e">
        <f t="shared" ca="1" si="1"/>
        <v>#N/A</v>
      </c>
      <c r="K46" s="64" t="e">
        <f t="shared" ca="1" si="2"/>
        <v>#N/A</v>
      </c>
      <c r="L46" s="64" t="e">
        <f ca="1">ROUND(K46/J46,4)</f>
        <v>#N/A</v>
      </c>
      <c r="M46" s="64" t="e">
        <f ca="1">IF(L46&lt;=0.3,L46,IF(L46&lt;0.8,ROUND(0.52*L46+0.144,3),0.7*L46))</f>
        <v>#N/A</v>
      </c>
      <c r="N46" s="69" t="e">
        <f t="shared" ca="1" si="5"/>
        <v>#N/A</v>
      </c>
      <c r="O46" s="69">
        <f t="shared" ca="1" si="6"/>
        <v>1.6919999999999999</v>
      </c>
      <c r="P46" s="69">
        <f t="shared" ca="1" si="7"/>
        <v>0.8</v>
      </c>
      <c r="Q46" s="69">
        <f ca="1">ROUND(P46/O46,4)</f>
        <v>0.4728</v>
      </c>
      <c r="R46" s="69">
        <f ca="1">IF(Q46&lt;=0.3,Q46,IF(Q46&lt;0.8,ROUND(0.52*Q46+0.144,3),0.7*Q46))</f>
        <v>0.39</v>
      </c>
      <c r="S46" s="69">
        <f t="shared" ca="1" si="10"/>
        <v>0.157</v>
      </c>
      <c r="T46" s="69" t="e">
        <f t="shared" ca="1" si="11"/>
        <v>#N/A</v>
      </c>
      <c r="U46" s="69" t="e">
        <f t="shared" ca="1" si="12"/>
        <v>#N/A</v>
      </c>
      <c r="V46" s="69" t="e">
        <f ca="1">ROUND(U46/T46,4)</f>
        <v>#N/A</v>
      </c>
      <c r="W46" s="69" t="e">
        <f ca="1">IF(V46&lt;=0.3,V46,IF(V46&lt;0.8,ROUND(0.52*V46+0.144,3),0.7*V46))</f>
        <v>#N/A</v>
      </c>
      <c r="X46" s="69" t="e">
        <f t="shared" ca="1" si="15"/>
        <v>#N/A</v>
      </c>
      <c r="Y46" s="69" t="e">
        <f ca="1">MAX(X46,S46,N46)</f>
        <v>#N/A</v>
      </c>
      <c r="Z46" s="338" t="e">
        <f ca="1">MAX(一般工址Cs!Z46,'一般工址Cs (II)'!Z46)</f>
        <v>#N/A</v>
      </c>
      <c r="AA46" s="70">
        <f t="shared" ca="1" si="17"/>
        <v>0.1124</v>
      </c>
      <c r="AB46" s="70" t="e">
        <f t="shared" ca="1" si="18"/>
        <v>#N/A</v>
      </c>
      <c r="AC46" s="59">
        <f t="shared" ca="1" si="19"/>
        <v>0.37284374141993348</v>
      </c>
      <c r="AD46" s="59">
        <f ca="1">IF(AC46&gt;0.15,0.15,IF(AC46&lt;0.0625,0.0625,AC46))</f>
        <v>0.15</v>
      </c>
      <c r="AE46" s="59">
        <f t="shared" ca="1" si="20"/>
        <v>0.17159999999999997</v>
      </c>
      <c r="AF46" s="59">
        <f t="shared" ca="1" si="21"/>
        <v>0.13728000000000001</v>
      </c>
      <c r="AG46" s="59">
        <f t="shared" ca="1" si="22"/>
        <v>0.11497199999999999</v>
      </c>
      <c r="AH46" s="59">
        <f t="shared" ca="1" si="23"/>
        <v>1.266197241711744</v>
      </c>
      <c r="AI46" s="59">
        <f t="shared" ca="1" si="24"/>
        <v>1.738</v>
      </c>
      <c r="AJ46" s="59">
        <f ca="1">AI46/AH46</f>
        <v>1.3726139520335996</v>
      </c>
      <c r="AK46" s="59">
        <f ca="1">IF(AJ46&gt;1,1,AJ46)</f>
        <v>1</v>
      </c>
      <c r="AL46" s="59">
        <f ca="1">$U$5*$U$11*AK46/1.4/$U$6*$AG$5</f>
        <v>0.15661904761904763</v>
      </c>
      <c r="AM46" s="59">
        <f ca="1">$W$5*$W$11*AK46/1.4/$W$6*$AG$5</f>
        <v>0.22471428571428573</v>
      </c>
      <c r="AN46" s="59" t="e">
        <f ca="1">Y46/1.5*$AG$5</f>
        <v>#N/A</v>
      </c>
    </row>
    <row r="47" spans="1:44" ht="21" thickTop="1">
      <c r="B47" s="274" t="s">
        <v>1764</v>
      </c>
      <c r="C47" s="274" t="s">
        <v>1771</v>
      </c>
      <c r="D47" s="274" t="s">
        <v>1767</v>
      </c>
      <c r="E47" s="274" t="s">
        <v>1770</v>
      </c>
      <c r="F47" s="317"/>
      <c r="H47" s="39" t="s">
        <v>1376</v>
      </c>
      <c r="I47" s="338">
        <f ca="1">一般工址Cs!I47</f>
        <v>0.1125</v>
      </c>
      <c r="J47" s="64" t="e">
        <f t="shared" ca="1" si="1"/>
        <v>#N/A</v>
      </c>
      <c r="K47" s="64" t="e">
        <f t="shared" ca="1" si="2"/>
        <v>#N/A</v>
      </c>
      <c r="L47" s="64" t="e">
        <f t="shared" ca="1" si="3"/>
        <v>#N/A</v>
      </c>
      <c r="M47" s="64" t="e">
        <f t="shared" ca="1" si="4"/>
        <v>#N/A</v>
      </c>
      <c r="N47" s="72" t="e">
        <f t="shared" ca="1" si="5"/>
        <v>#N/A</v>
      </c>
      <c r="O47" s="72">
        <f t="shared" ca="1" si="6"/>
        <v>1.6930000000000001</v>
      </c>
      <c r="P47" s="72">
        <f t="shared" ca="1" si="7"/>
        <v>0.8</v>
      </c>
      <c r="Q47" s="72">
        <f t="shared" ca="1" si="8"/>
        <v>0.47249999999999998</v>
      </c>
      <c r="R47" s="72">
        <f t="shared" ca="1" si="9"/>
        <v>0.39</v>
      </c>
      <c r="S47" s="72">
        <f t="shared" ca="1" si="10"/>
        <v>0.157</v>
      </c>
      <c r="T47" s="72" t="e">
        <f t="shared" ca="1" si="11"/>
        <v>#N/A</v>
      </c>
      <c r="U47" s="72" t="e">
        <f t="shared" ca="1" si="12"/>
        <v>#N/A</v>
      </c>
      <c r="V47" s="72" t="e">
        <f t="shared" ca="1" si="13"/>
        <v>#N/A</v>
      </c>
      <c r="W47" s="72" t="e">
        <f t="shared" ca="1" si="14"/>
        <v>#N/A</v>
      </c>
      <c r="X47" s="72" t="e">
        <f t="shared" ca="1" si="15"/>
        <v>#N/A</v>
      </c>
      <c r="Y47" s="72" t="e">
        <f t="shared" ca="1" si="16"/>
        <v>#N/A</v>
      </c>
      <c r="Z47" s="338" t="e">
        <f ca="1">MAX(一般工址Cs!Z47,'一般工址Cs (II)'!Z47)</f>
        <v>#N/A</v>
      </c>
      <c r="AA47" s="73">
        <f t="shared" ca="1" si="17"/>
        <v>0.1125</v>
      </c>
      <c r="AB47" s="73" t="e">
        <f t="shared" ca="1" si="18"/>
        <v>#N/A</v>
      </c>
      <c r="AC47" s="59">
        <f t="shared" ca="1" si="19"/>
        <v>0.37267799624996495</v>
      </c>
      <c r="AD47" s="59">
        <f t="shared" ca="1" si="29"/>
        <v>0.15</v>
      </c>
      <c r="AE47" s="59">
        <f t="shared" ca="1" si="20"/>
        <v>0.17159999999999997</v>
      </c>
      <c r="AF47" s="59">
        <f t="shared" ca="1" si="21"/>
        <v>0.13728000000000001</v>
      </c>
      <c r="AG47" s="59">
        <f t="shared" ca="1" si="22"/>
        <v>0.11497199999999999</v>
      </c>
      <c r="AH47" s="59">
        <f t="shared" ca="1" si="23"/>
        <v>1.2665202966167339</v>
      </c>
      <c r="AI47" s="59">
        <f t="shared" ca="1" si="24"/>
        <v>1.73925</v>
      </c>
      <c r="AJ47" s="59">
        <f t="shared" ca="1" si="25"/>
        <v>1.3732507916739058</v>
      </c>
      <c r="AK47" s="59">
        <f t="shared" ca="1" si="30"/>
        <v>1</v>
      </c>
      <c r="AL47" s="59">
        <f t="shared" ca="1" si="26"/>
        <v>0.15661904761904763</v>
      </c>
      <c r="AM47" s="59">
        <f t="shared" ca="1" si="27"/>
        <v>0.22471428571428573</v>
      </c>
      <c r="AN47" s="59" t="e">
        <f t="shared" ca="1" si="28"/>
        <v>#N/A</v>
      </c>
    </row>
    <row r="48" spans="1:44" ht="19.5" thickBot="1">
      <c r="B48" s="294" t="e">
        <f ca="1">A$44*B29</f>
        <v>#N/A</v>
      </c>
      <c r="C48" s="294" t="e">
        <f ca="1">ROUND(IF($C$39&gt;=D$17,C$40,IF($C$39&gt;=F$17,E$40+(C$40-E$40)*($C$39-0.6*D$17)/0.4/D$17,IF($C$39&lt;E$17,E$40+(E$40-1)*($C$39-E$17)/E$17,E$40))),4)</f>
        <v>#N/A</v>
      </c>
      <c r="D48" s="294" t="e">
        <f ca="1">ROUND(B48/C48,4)</f>
        <v>#N/A</v>
      </c>
      <c r="E48" s="294" t="e">
        <f ca="1">IF(D48&lt;=0.3,D48,IF(D48&lt;0.8,ROUND(0.52*D48+0.144,4),0.7*D48))</f>
        <v>#N/A</v>
      </c>
      <c r="F48" s="294" t="e">
        <f ca="1">B$13*E48/1.4/B$14</f>
        <v>#N/A</v>
      </c>
      <c r="H48" s="39"/>
      <c r="I48" s="338">
        <f ca="1">一般工址Cs!I48</f>
        <v>0.17</v>
      </c>
      <c r="J48" s="64" t="e">
        <f t="shared" ca="1" si="1"/>
        <v>#N/A</v>
      </c>
      <c r="K48" s="64" t="e">
        <f t="shared" ca="1" si="2"/>
        <v>#N/A</v>
      </c>
      <c r="L48" s="64" t="e">
        <f t="shared" ca="1" si="3"/>
        <v>#N/A</v>
      </c>
      <c r="M48" s="64" t="e">
        <f t="shared" ca="1" si="4"/>
        <v>#N/A</v>
      </c>
      <c r="N48" s="72" t="e">
        <f t="shared" ca="1" si="5"/>
        <v>#N/A</v>
      </c>
      <c r="O48" s="72">
        <f t="shared" ca="1" si="6"/>
        <v>1.6930000000000001</v>
      </c>
      <c r="P48" s="72">
        <f t="shared" ca="1" si="7"/>
        <v>0.8</v>
      </c>
      <c r="Q48" s="72">
        <f t="shared" ca="1" si="8"/>
        <v>0.47249999999999998</v>
      </c>
      <c r="R48" s="72">
        <f t="shared" ca="1" si="9"/>
        <v>0.39</v>
      </c>
      <c r="S48" s="72">
        <f t="shared" ca="1" si="10"/>
        <v>0.157</v>
      </c>
      <c r="T48" s="72" t="e">
        <f t="shared" ca="1" si="11"/>
        <v>#N/A</v>
      </c>
      <c r="U48" s="72" t="e">
        <f t="shared" ca="1" si="12"/>
        <v>#N/A</v>
      </c>
      <c r="V48" s="72" t="e">
        <f t="shared" ca="1" si="13"/>
        <v>#N/A</v>
      </c>
      <c r="W48" s="72" t="e">
        <f t="shared" ca="1" si="14"/>
        <v>#N/A</v>
      </c>
      <c r="X48" s="72" t="e">
        <f t="shared" ca="1" si="15"/>
        <v>#N/A</v>
      </c>
      <c r="Y48" s="72" t="e">
        <f t="shared" ca="1" si="16"/>
        <v>#N/A</v>
      </c>
      <c r="Z48" s="338" t="e">
        <f ca="1">MAX(一般工址Cs!Z48,'一般工址Cs (II)'!Z48)</f>
        <v>#N/A</v>
      </c>
      <c r="AA48" s="73">
        <f t="shared" ca="1" si="17"/>
        <v>0.17</v>
      </c>
      <c r="AB48" s="73" t="e">
        <f t="shared" ca="1" si="18"/>
        <v>#N/A</v>
      </c>
      <c r="AC48" s="59">
        <f t="shared" ca="1" si="19"/>
        <v>0.30316953129541618</v>
      </c>
      <c r="AD48" s="59">
        <f t="shared" ca="1" si="29"/>
        <v>0.15</v>
      </c>
      <c r="AE48" s="59">
        <f t="shared" ca="1" si="20"/>
        <v>0.17159999999999997</v>
      </c>
      <c r="AF48" s="59">
        <f t="shared" ca="1" si="21"/>
        <v>0.13728000000000001</v>
      </c>
      <c r="AG48" s="59">
        <f t="shared" ca="1" si="22"/>
        <v>0.11497199999999999</v>
      </c>
      <c r="AH48" s="59">
        <f t="shared" ca="1" si="23"/>
        <v>1.4522768669859727</v>
      </c>
      <c r="AI48" s="59">
        <f t="shared" ca="1" si="24"/>
        <v>2.5</v>
      </c>
      <c r="AJ48" s="59">
        <f t="shared" ca="1" si="25"/>
        <v>1.7214348426470854</v>
      </c>
      <c r="AK48" s="59">
        <f t="shared" ca="1" si="30"/>
        <v>1</v>
      </c>
      <c r="AL48" s="59">
        <f t="shared" ca="1" si="26"/>
        <v>0.15661904761904763</v>
      </c>
      <c r="AM48" s="59">
        <f t="shared" ca="1" si="27"/>
        <v>0.22471428571428573</v>
      </c>
      <c r="AN48" s="59" t="e">
        <f t="shared" ca="1" si="28"/>
        <v>#N/A</v>
      </c>
    </row>
    <row r="49" spans="1:40" ht="20.25" thickTop="1" thickBot="1">
      <c r="A49" s="275" t="s">
        <v>1774</v>
      </c>
      <c r="B49" s="49"/>
      <c r="C49" s="49"/>
      <c r="D49" s="49"/>
      <c r="E49" s="49"/>
      <c r="F49" s="321" t="e">
        <f ca="1">MAX(F44,F46,F48)</f>
        <v>#N/A</v>
      </c>
      <c r="I49" s="338">
        <f ca="1">一般工址Cs!I49</f>
        <v>0.22</v>
      </c>
      <c r="J49" s="64" t="e">
        <f t="shared" ca="1" si="1"/>
        <v>#N/A</v>
      </c>
      <c r="K49" s="64" t="e">
        <f t="shared" ca="1" si="2"/>
        <v>#N/A</v>
      </c>
      <c r="L49" s="64" t="e">
        <f t="shared" ca="1" si="3"/>
        <v>#N/A</v>
      </c>
      <c r="M49" s="64" t="e">
        <f t="shared" ca="1" si="4"/>
        <v>#N/A</v>
      </c>
      <c r="N49" s="61" t="e">
        <f t="shared" ca="1" si="5"/>
        <v>#N/A</v>
      </c>
      <c r="O49" s="61">
        <f t="shared" ca="1" si="6"/>
        <v>1.6930000000000001</v>
      </c>
      <c r="P49" s="61">
        <f t="shared" ca="1" si="7"/>
        <v>0.8</v>
      </c>
      <c r="Q49" s="61">
        <f t="shared" ca="1" si="8"/>
        <v>0.47249999999999998</v>
      </c>
      <c r="R49" s="61">
        <f t="shared" ca="1" si="9"/>
        <v>0.39</v>
      </c>
      <c r="S49" s="61">
        <f t="shared" ca="1" si="10"/>
        <v>0.157</v>
      </c>
      <c r="T49" s="61" t="e">
        <f t="shared" ca="1" si="11"/>
        <v>#N/A</v>
      </c>
      <c r="U49" s="61" t="e">
        <f t="shared" ca="1" si="12"/>
        <v>#N/A</v>
      </c>
      <c r="V49" s="61" t="e">
        <f t="shared" ca="1" si="13"/>
        <v>#N/A</v>
      </c>
      <c r="W49" s="61" t="e">
        <f t="shared" ca="1" si="14"/>
        <v>#N/A</v>
      </c>
      <c r="X49" s="61" t="e">
        <f t="shared" ca="1" si="15"/>
        <v>#N/A</v>
      </c>
      <c r="Y49" s="61" t="e">
        <f t="shared" ca="1" si="16"/>
        <v>#N/A</v>
      </c>
      <c r="Z49" s="338" t="e">
        <f ca="1">MAX(一般工址Cs!Z49,'一般工址Cs (II)'!Z49)</f>
        <v>#N/A</v>
      </c>
      <c r="AA49" s="65">
        <f t="shared" ca="1" si="17"/>
        <v>0.22</v>
      </c>
      <c r="AB49" s="270" t="e">
        <f t="shared" ca="1" si="18"/>
        <v>#N/A</v>
      </c>
      <c r="AC49" s="59">
        <f t="shared" ca="1" si="19"/>
        <v>0.26650089544451305</v>
      </c>
      <c r="AD49" s="59">
        <f t="shared" ca="1" si="29"/>
        <v>0.15</v>
      </c>
      <c r="AE49" s="59">
        <f t="shared" ca="1" si="20"/>
        <v>0.17159999999999997</v>
      </c>
      <c r="AF49" s="59">
        <f t="shared" ca="1" si="21"/>
        <v>0.13728000000000001</v>
      </c>
      <c r="AG49" s="59">
        <f t="shared" ca="1" si="22"/>
        <v>0.11497199999999999</v>
      </c>
      <c r="AH49" s="59">
        <f t="shared" ca="1" si="23"/>
        <v>1.5491933384829668</v>
      </c>
      <c r="AI49" s="59">
        <f t="shared" ca="1" si="24"/>
        <v>2.5</v>
      </c>
      <c r="AJ49" s="59">
        <f t="shared" ca="1" si="25"/>
        <v>1.6137430609197569</v>
      </c>
      <c r="AK49" s="59">
        <f t="shared" ca="1" si="30"/>
        <v>1</v>
      </c>
      <c r="AL49" s="59">
        <f t="shared" ca="1" si="26"/>
        <v>0.15661904761904763</v>
      </c>
      <c r="AM49" s="59">
        <f t="shared" ca="1" si="27"/>
        <v>0.22471428571428573</v>
      </c>
      <c r="AN49" s="59" t="e">
        <f t="shared" ca="1" si="28"/>
        <v>#N/A</v>
      </c>
    </row>
    <row r="50" spans="1:40" ht="20.25" thickTop="1" thickBot="1">
      <c r="A50" s="275" t="s">
        <v>1773</v>
      </c>
      <c r="B50" s="320">
        <v>0.4</v>
      </c>
      <c r="C50" s="294" t="e">
        <f ca="1">IF(F49=F44,"SDS",IF(F49=F46,"SDS*","SMS"))</f>
        <v>#N/A</v>
      </c>
      <c r="D50" s="294" t="e">
        <f ca="1">IF(F49=F44,B17,IF(F49=F46,B19,B21))</f>
        <v>#N/A</v>
      </c>
      <c r="E50" s="49"/>
      <c r="F50" s="321" t="e">
        <f ca="1">0.4*D50*A44</f>
        <v>#N/A</v>
      </c>
      <c r="I50" s="338">
        <f ca="1">一般工址Cs!I50</f>
        <v>0.28000000000000003</v>
      </c>
      <c r="J50" s="64" t="e">
        <f t="shared" ca="1" si="1"/>
        <v>#N/A</v>
      </c>
      <c r="K50" s="64" t="e">
        <f t="shared" ca="1" si="2"/>
        <v>#N/A</v>
      </c>
      <c r="L50" s="64" t="e">
        <f t="shared" ca="1" si="3"/>
        <v>#N/A</v>
      </c>
      <c r="M50" s="64" t="e">
        <f t="shared" ca="1" si="4"/>
        <v>#N/A</v>
      </c>
      <c r="N50" s="61" t="e">
        <f t="shared" ca="1" si="5"/>
        <v>#N/A</v>
      </c>
      <c r="O50" s="61">
        <f t="shared" ca="1" si="6"/>
        <v>1.6930000000000001</v>
      </c>
      <c r="P50" s="61">
        <f t="shared" ca="1" si="7"/>
        <v>0.8</v>
      </c>
      <c r="Q50" s="61">
        <f t="shared" ca="1" si="8"/>
        <v>0.47249999999999998</v>
      </c>
      <c r="R50" s="61">
        <f t="shared" ca="1" si="9"/>
        <v>0.39</v>
      </c>
      <c r="S50" s="61">
        <f t="shared" ca="1" si="10"/>
        <v>0.157</v>
      </c>
      <c r="T50" s="61" t="e">
        <f t="shared" ca="1" si="11"/>
        <v>#N/A</v>
      </c>
      <c r="U50" s="61" t="e">
        <f t="shared" ca="1" si="12"/>
        <v>#N/A</v>
      </c>
      <c r="V50" s="61" t="e">
        <f t="shared" ca="1" si="13"/>
        <v>#N/A</v>
      </c>
      <c r="W50" s="61" t="e">
        <f t="shared" ca="1" si="14"/>
        <v>#N/A</v>
      </c>
      <c r="X50" s="61" t="e">
        <f t="shared" ca="1" si="15"/>
        <v>#N/A</v>
      </c>
      <c r="Y50" s="61" t="e">
        <f t="shared" ca="1" si="16"/>
        <v>#N/A</v>
      </c>
      <c r="Z50" s="338" t="e">
        <f ca="1">MAX(一般工址Cs!Z50,'一般工址Cs (II)'!Z50)</f>
        <v>#N/A</v>
      </c>
      <c r="AA50" s="65">
        <f t="shared" ca="1" si="17"/>
        <v>0.28000000000000003</v>
      </c>
      <c r="AB50" s="270" t="e">
        <f t="shared" ca="1" si="18"/>
        <v>#N/A</v>
      </c>
      <c r="AC50" s="59">
        <f t="shared" ca="1" si="19"/>
        <v>0.23622779563076698</v>
      </c>
      <c r="AD50" s="59">
        <f t="shared" ca="1" si="29"/>
        <v>0.15</v>
      </c>
      <c r="AE50" s="59">
        <f t="shared" ca="1" si="20"/>
        <v>0.17159999999999997</v>
      </c>
      <c r="AF50" s="59">
        <f t="shared" ca="1" si="21"/>
        <v>0.13728000000000001</v>
      </c>
      <c r="AG50" s="59">
        <f t="shared" ca="1" si="22"/>
        <v>0.11497199999999999</v>
      </c>
      <c r="AH50" s="59">
        <f t="shared" ca="1" si="23"/>
        <v>1.5491933384829668</v>
      </c>
      <c r="AI50" s="59">
        <f t="shared" ca="1" si="24"/>
        <v>2.5</v>
      </c>
      <c r="AJ50" s="59">
        <f t="shared" ca="1" si="25"/>
        <v>1.6137430609197569</v>
      </c>
      <c r="AK50" s="59">
        <f t="shared" ca="1" si="30"/>
        <v>1</v>
      </c>
      <c r="AL50" s="59">
        <f t="shared" ca="1" si="26"/>
        <v>0.15661904761904763</v>
      </c>
      <c r="AM50" s="59">
        <f t="shared" ca="1" si="27"/>
        <v>0.22471428571428573</v>
      </c>
      <c r="AN50" s="59" t="e">
        <f t="shared" ca="1" si="28"/>
        <v>#N/A</v>
      </c>
    </row>
    <row r="51" spans="1:40" ht="18" thickTop="1" thickBot="1">
      <c r="B51" s="49"/>
      <c r="C51" s="49"/>
      <c r="D51" s="49"/>
      <c r="E51" s="49"/>
      <c r="F51" s="317"/>
      <c r="I51" s="338">
        <f ca="1">一般工址Cs!I51</f>
        <v>0.33250000000000002</v>
      </c>
      <c r="J51" s="67" t="e">
        <f t="shared" ca="1" si="1"/>
        <v>#N/A</v>
      </c>
      <c r="K51" s="67" t="e">
        <f t="shared" ca="1" si="2"/>
        <v>#N/A</v>
      </c>
      <c r="L51" s="67" t="e">
        <f ca="1">ROUND(K51/J51,4)</f>
        <v>#N/A</v>
      </c>
      <c r="M51" s="67" t="e">
        <f ca="1">IF(L51&lt;=0.3,L51,IF(L51&lt;0.8,ROUND(0.52*L51+0.144,3),0.7*L51))</f>
        <v>#N/A</v>
      </c>
      <c r="N51" s="68" t="e">
        <f t="shared" ca="1" si="5"/>
        <v>#N/A</v>
      </c>
      <c r="O51" s="68">
        <f t="shared" ca="1" si="6"/>
        <v>1.6930000000000001</v>
      </c>
      <c r="P51" s="68">
        <f t="shared" ca="1" si="7"/>
        <v>0.8</v>
      </c>
      <c r="Q51" s="68">
        <f ca="1">ROUND(P51/O51,4)</f>
        <v>0.47249999999999998</v>
      </c>
      <c r="R51" s="68">
        <f ca="1">IF(Q51&lt;=0.3,Q51,IF(Q51&lt;0.8,ROUND(0.52*Q51+0.144,3),0.7*Q51))</f>
        <v>0.39</v>
      </c>
      <c r="S51" s="68">
        <f t="shared" ca="1" si="10"/>
        <v>0.157</v>
      </c>
      <c r="T51" s="68" t="e">
        <f t="shared" ca="1" si="11"/>
        <v>#N/A</v>
      </c>
      <c r="U51" s="68" t="e">
        <f t="shared" ca="1" si="12"/>
        <v>#N/A</v>
      </c>
      <c r="V51" s="68" t="e">
        <f ca="1">ROUND(U51/T51,4)</f>
        <v>#N/A</v>
      </c>
      <c r="W51" s="68" t="e">
        <f ca="1">IF(V51&lt;=0.3,V51,IF(V51&lt;0.8,ROUND(0.52*V51+0.144,3),0.7*V51))</f>
        <v>#N/A</v>
      </c>
      <c r="X51" s="68" t="e">
        <f t="shared" ca="1" si="15"/>
        <v>#N/A</v>
      </c>
      <c r="Y51" s="68" t="e">
        <f ca="1">MAX(X51,S51,N51)</f>
        <v>#N/A</v>
      </c>
      <c r="Z51" s="338" t="e">
        <f ca="1">MAX(一般工址Cs!Z51,'一般工址Cs (II)'!Z51)</f>
        <v>#N/A</v>
      </c>
      <c r="AA51" s="66">
        <f t="shared" ca="1" si="17"/>
        <v>0.33250000000000002</v>
      </c>
      <c r="AB51" s="66" t="e">
        <f t="shared" ca="1" si="18"/>
        <v>#N/A</v>
      </c>
      <c r="AC51" s="59">
        <f t="shared" ca="1" si="19"/>
        <v>0.21677749238102997</v>
      </c>
      <c r="AD51" s="59">
        <f ca="1">IF(AC51&gt;0.15,0.15,IF(AC51&lt;0.0625,0.0625,AC51))</f>
        <v>0.15</v>
      </c>
      <c r="AE51" s="59">
        <f t="shared" ca="1" si="20"/>
        <v>0.17159999999999997</v>
      </c>
      <c r="AF51" s="59">
        <f t="shared" ca="1" si="21"/>
        <v>0.13728000000000001</v>
      </c>
      <c r="AG51" s="59">
        <f t="shared" ca="1" si="22"/>
        <v>0.11497199999999999</v>
      </c>
      <c r="AH51" s="59">
        <f t="shared" ca="1" si="23"/>
        <v>1.5491933384829668</v>
      </c>
      <c r="AI51" s="59">
        <f t="shared" ca="1" si="24"/>
        <v>2.5</v>
      </c>
      <c r="AJ51" s="59">
        <f ca="1">AI51/AH51</f>
        <v>1.6137430609197569</v>
      </c>
      <c r="AK51" s="59">
        <f ca="1">IF(AJ51&gt;1,1,AJ51)</f>
        <v>1</v>
      </c>
      <c r="AL51" s="59">
        <f ca="1">$U$5*$U$11*AK51/1.4/$U$6*$AG$5</f>
        <v>0.15661904761904763</v>
      </c>
      <c r="AM51" s="59">
        <f ca="1">$W$5*$W$11*AK51/1.4/$W$6*$AG$5</f>
        <v>0.22471428571428573</v>
      </c>
      <c r="AN51" s="59" t="e">
        <f ca="1">Y51/1.5*$AG$5</f>
        <v>#N/A</v>
      </c>
    </row>
    <row r="52" spans="1:40" ht="16.5">
      <c r="A52" s="32"/>
      <c r="B52" s="313" t="e">
        <f ca="1">ROUND((ROUNDUP(B7,0)-1)/2,0)</f>
        <v>#N/A</v>
      </c>
      <c r="C52" s="313" t="e">
        <f ca="1">IF(B52&lt;1,0,IF(B52&gt;7,7,B52))</f>
        <v>#N/A</v>
      </c>
      <c r="D52" s="314" t="e">
        <f ca="1">IF(C52&gt;=1,C52-1,C52)</f>
        <v>#N/A</v>
      </c>
      <c r="E52" s="315" t="e">
        <f ca="1">IF(B52&gt;=7,0,1)</f>
        <v>#N/A</v>
      </c>
      <c r="F52" s="314" t="e">
        <f ca="1">IF(B52&gt;=7,1,2)</f>
        <v>#N/A</v>
      </c>
      <c r="I52" s="338">
        <f ca="1">一般工址Cs!I52</f>
        <v>0.33710000000000001</v>
      </c>
      <c r="J52" s="64" t="e">
        <f t="shared" ca="1" si="1"/>
        <v>#N/A</v>
      </c>
      <c r="K52" s="64" t="e">
        <f t="shared" ca="1" si="2"/>
        <v>#N/A</v>
      </c>
      <c r="L52" s="64" t="e">
        <f ca="1">ROUND(K52/J52,4)</f>
        <v>#N/A</v>
      </c>
      <c r="M52" s="64" t="e">
        <f ca="1">IF(L52&lt;=0.3,L52,IF(L52&lt;0.8,ROUND(0.52*L52+0.144,3),0.7*L52))</f>
        <v>#N/A</v>
      </c>
      <c r="N52" s="69" t="e">
        <f t="shared" ca="1" si="5"/>
        <v>#N/A</v>
      </c>
      <c r="O52" s="74">
        <f t="shared" ca="1" si="6"/>
        <v>1.6930000000000001</v>
      </c>
      <c r="P52" s="75">
        <f t="shared" ca="1" si="7"/>
        <v>0.8</v>
      </c>
      <c r="Q52" s="75">
        <f ca="1">ROUND(P52/O52,4)</f>
        <v>0.47249999999999998</v>
      </c>
      <c r="R52" s="76">
        <f ca="1">IF(Q52&lt;=0.3,Q52,IF(Q52&lt;0.8,ROUND(0.52*Q52+0.144,3),0.7*Q52))</f>
        <v>0.39</v>
      </c>
      <c r="S52" s="77">
        <f t="shared" ca="1" si="10"/>
        <v>0.157</v>
      </c>
      <c r="T52" s="69" t="e">
        <f t="shared" ca="1" si="11"/>
        <v>#N/A</v>
      </c>
      <c r="U52" s="69" t="e">
        <f t="shared" ca="1" si="12"/>
        <v>#N/A</v>
      </c>
      <c r="V52" s="69" t="e">
        <f ca="1">ROUND(U52/T52,4)</f>
        <v>#N/A</v>
      </c>
      <c r="W52" s="69" t="e">
        <f ca="1">IF(V52&lt;=0.3,V52,IF(V52&lt;0.8,ROUND(0.52*V52+0.144,3),0.7*V52))</f>
        <v>#N/A</v>
      </c>
      <c r="X52" s="69" t="e">
        <f t="shared" ca="1" si="15"/>
        <v>#N/A</v>
      </c>
      <c r="Y52" s="69" t="e">
        <f ca="1">MAX(X52,S52,N52)</f>
        <v>#N/A</v>
      </c>
      <c r="Z52" s="338" t="e">
        <f ca="1">MAX(一般工址Cs!Z52,'一般工址Cs (II)'!Z52)</f>
        <v>#N/A</v>
      </c>
      <c r="AA52" s="70">
        <f t="shared" ca="1" si="17"/>
        <v>0.33710000000000001</v>
      </c>
      <c r="AB52" s="70" t="e">
        <f t="shared" ca="1" si="18"/>
        <v>#N/A</v>
      </c>
      <c r="AC52" s="59">
        <f t="shared" ca="1" si="19"/>
        <v>0.21529336053092235</v>
      </c>
      <c r="AD52" s="59">
        <f ca="1">IF(AC52&gt;0.15,0.15,IF(AC52&lt;0.0625,0.0625,AC52))</f>
        <v>0.15</v>
      </c>
      <c r="AE52" s="59">
        <f t="shared" ca="1" si="20"/>
        <v>0.17159999999999997</v>
      </c>
      <c r="AF52" s="59">
        <f t="shared" ca="1" si="21"/>
        <v>0.13728000000000001</v>
      </c>
      <c r="AG52" s="59">
        <f t="shared" ca="1" si="22"/>
        <v>0.11497199999999999</v>
      </c>
      <c r="AH52" s="59">
        <f t="shared" ca="1" si="23"/>
        <v>1.5491933384829668</v>
      </c>
      <c r="AI52" s="59">
        <f t="shared" ca="1" si="24"/>
        <v>2.5</v>
      </c>
      <c r="AJ52" s="59">
        <f ca="1">AI52/AH52</f>
        <v>1.6137430609197569</v>
      </c>
      <c r="AK52" s="59">
        <f ca="1">IF(AJ52&gt;1,1,AJ52)</f>
        <v>1</v>
      </c>
      <c r="AL52" s="59">
        <f ca="1">$U$5*$U$11*AK52/1.4/$U$6*$AG$5</f>
        <v>0.15661904761904763</v>
      </c>
      <c r="AM52" s="59">
        <f ca="1">$W$5*$W$11*AK52/1.4/$W$6*$AG$5</f>
        <v>0.22471428571428573</v>
      </c>
      <c r="AN52" s="59" t="e">
        <f ca="1">Y52/1.5*$AG$5</f>
        <v>#N/A</v>
      </c>
    </row>
    <row r="53" spans="1:40" ht="20.25">
      <c r="A53" s="181" t="s">
        <v>1359</v>
      </c>
      <c r="B53" s="168" t="e">
        <f ca="1">IF(C52&lt;1,1,C52*2-1)</f>
        <v>#N/A</v>
      </c>
      <c r="C53" s="169" t="e">
        <f ca="1">IF($B6="",C3,VLOOKUP($B$3,INDIRECT($B$6),$D$52+2,FALSE))</f>
        <v>#N/A</v>
      </c>
      <c r="D53" s="169" t="e">
        <f ca="1">IF($B6="",D3,VLOOKUP($B$3,INDIRECT($B$6),$D$52+10,FALSE))</f>
        <v>#N/A</v>
      </c>
      <c r="E53" s="169" t="e">
        <f ca="1">IF($B6="", E3,VLOOKUP($B$3,INDIRECT($B$6),$D$52+18,FALSE))</f>
        <v>#N/A</v>
      </c>
      <c r="F53" s="170" t="e">
        <f ca="1">IF($B6="", F3,VLOOKUP($B$3,INDIRECT($B$6),$D$52+26,FALSE))</f>
        <v>#N/A</v>
      </c>
      <c r="H53" s="39" t="s">
        <v>1377</v>
      </c>
      <c r="I53" s="338">
        <f ca="1">一般工址Cs!I53</f>
        <v>0.33749999999999997</v>
      </c>
      <c r="J53" s="64" t="e">
        <f t="shared" ca="1" si="1"/>
        <v>#N/A</v>
      </c>
      <c r="K53" s="64" t="e">
        <f t="shared" ca="1" si="2"/>
        <v>#N/A</v>
      </c>
      <c r="L53" s="64" t="e">
        <f t="shared" ca="1" si="3"/>
        <v>#N/A</v>
      </c>
      <c r="M53" s="64" t="e">
        <f t="shared" ca="1" si="4"/>
        <v>#N/A</v>
      </c>
      <c r="N53" s="72" t="e">
        <f t="shared" ca="1" si="5"/>
        <v>#N/A</v>
      </c>
      <c r="O53" s="78">
        <f t="shared" ca="1" si="6"/>
        <v>1.6930000000000001</v>
      </c>
      <c r="P53" s="72">
        <f t="shared" ca="1" si="7"/>
        <v>0.8</v>
      </c>
      <c r="Q53" s="72">
        <f t="shared" ca="1" si="8"/>
        <v>0.47249999999999998</v>
      </c>
      <c r="R53" s="79">
        <f t="shared" ca="1" si="9"/>
        <v>0.39</v>
      </c>
      <c r="S53" s="80">
        <f t="shared" ca="1" si="10"/>
        <v>0.157</v>
      </c>
      <c r="T53" s="72" t="e">
        <f t="shared" ca="1" si="11"/>
        <v>#N/A</v>
      </c>
      <c r="U53" s="72" t="e">
        <f t="shared" ca="1" si="12"/>
        <v>#N/A</v>
      </c>
      <c r="V53" s="72" t="e">
        <f t="shared" ca="1" si="13"/>
        <v>#N/A</v>
      </c>
      <c r="W53" s="72" t="e">
        <f t="shared" ca="1" si="14"/>
        <v>#N/A</v>
      </c>
      <c r="X53" s="72" t="e">
        <f t="shared" ca="1" si="15"/>
        <v>#N/A</v>
      </c>
      <c r="Y53" s="72" t="e">
        <f t="shared" ca="1" si="16"/>
        <v>#N/A</v>
      </c>
      <c r="Z53" s="338" t="e">
        <f ca="1">MAX(一般工址Cs!Z53,'一般工址Cs (II)'!Z53)</f>
        <v>#N/A</v>
      </c>
      <c r="AA53" s="73">
        <f t="shared" ca="1" si="17"/>
        <v>0.33749999999999997</v>
      </c>
      <c r="AB53" s="73" t="e">
        <f t="shared" ca="1" si="18"/>
        <v>#N/A</v>
      </c>
      <c r="AC53" s="59">
        <f t="shared" ca="1" si="19"/>
        <v>0.21516574145596759</v>
      </c>
      <c r="AD53" s="59">
        <f t="shared" ca="1" si="29"/>
        <v>0.15</v>
      </c>
      <c r="AE53" s="59">
        <f t="shared" ca="1" si="20"/>
        <v>0.17159999999999997</v>
      </c>
      <c r="AF53" s="59">
        <f t="shared" ca="1" si="21"/>
        <v>0.13728000000000001</v>
      </c>
      <c r="AG53" s="59">
        <f t="shared" ca="1" si="22"/>
        <v>0.11497199999999999</v>
      </c>
      <c r="AH53" s="59">
        <f t="shared" ca="1" si="23"/>
        <v>1.5491933384829668</v>
      </c>
      <c r="AI53" s="59">
        <f t="shared" ca="1" si="24"/>
        <v>2.5</v>
      </c>
      <c r="AJ53" s="59">
        <f t="shared" ca="1" si="25"/>
        <v>1.6137430609197569</v>
      </c>
      <c r="AK53" s="59">
        <f t="shared" ca="1" si="30"/>
        <v>1</v>
      </c>
      <c r="AL53" s="59">
        <f t="shared" ca="1" si="26"/>
        <v>0.15661904761904763</v>
      </c>
      <c r="AM53" s="59">
        <f t="shared" ca="1" si="27"/>
        <v>0.22471428571428573</v>
      </c>
      <c r="AN53" s="59" t="e">
        <f t="shared" ca="1" si="28"/>
        <v>#N/A</v>
      </c>
    </row>
    <row r="54" spans="1:40" ht="16.5">
      <c r="A54" s="145" t="s">
        <v>1359</v>
      </c>
      <c r="B54" s="168" t="e">
        <f ca="1">C52*2+E52</f>
        <v>#N/A</v>
      </c>
      <c r="C54" s="169" t="e">
        <f ca="1">IF($B6="",C3,VLOOKUP($B$3,INDIRECT($B$6),$C$52+2,FALSE))</f>
        <v>#N/A</v>
      </c>
      <c r="D54" s="169" t="e">
        <f ca="1">IF($B6="",D3,VLOOKUP($B$3,INDIRECT($B$6),$C$52+10,FALSE))</f>
        <v>#N/A</v>
      </c>
      <c r="E54" s="169" t="e">
        <f ca="1">IF($B6="", E3,VLOOKUP($B$3,INDIRECT($B$6),$C$52+18,FALSE))</f>
        <v>#N/A</v>
      </c>
      <c r="F54" s="170" t="e">
        <f ca="1">IF($B6="", F3,VLOOKUP($B$3,INDIRECT($B$6),$C$52+26,FALSE))</f>
        <v>#N/A</v>
      </c>
      <c r="H54" s="39"/>
      <c r="I54" s="338">
        <f ca="1">一般工址Cs!I54</f>
        <v>0.39</v>
      </c>
      <c r="J54" s="64" t="e">
        <f t="shared" ca="1" si="1"/>
        <v>#N/A</v>
      </c>
      <c r="K54" s="64" t="e">
        <f t="shared" ca="1" si="2"/>
        <v>#N/A</v>
      </c>
      <c r="L54" s="64" t="e">
        <f t="shared" ca="1" si="3"/>
        <v>#N/A</v>
      </c>
      <c r="M54" s="64" t="e">
        <f t="shared" ca="1" si="4"/>
        <v>#N/A</v>
      </c>
      <c r="N54" s="72" t="e">
        <f t="shared" ca="1" si="5"/>
        <v>#N/A</v>
      </c>
      <c r="O54" s="78">
        <f t="shared" ca="1" si="6"/>
        <v>1.7490000000000001</v>
      </c>
      <c r="P54" s="72">
        <f t="shared" ca="1" si="7"/>
        <v>0.8</v>
      </c>
      <c r="Q54" s="72">
        <f t="shared" ca="1" si="8"/>
        <v>0.45739999999999997</v>
      </c>
      <c r="R54" s="79">
        <f t="shared" ca="1" si="9"/>
        <v>0.38200000000000001</v>
      </c>
      <c r="S54" s="80">
        <f t="shared" ca="1" si="10"/>
        <v>0.159</v>
      </c>
      <c r="T54" s="72" t="e">
        <f t="shared" ca="1" si="11"/>
        <v>#N/A</v>
      </c>
      <c r="U54" s="72" t="e">
        <f t="shared" ca="1" si="12"/>
        <v>#N/A</v>
      </c>
      <c r="V54" s="72" t="e">
        <f t="shared" ca="1" si="13"/>
        <v>#N/A</v>
      </c>
      <c r="W54" s="72" t="e">
        <f t="shared" ca="1" si="14"/>
        <v>#N/A</v>
      </c>
      <c r="X54" s="72" t="e">
        <f t="shared" ca="1" si="15"/>
        <v>#N/A</v>
      </c>
      <c r="Y54" s="72" t="e">
        <f t="shared" ca="1" si="16"/>
        <v>#N/A</v>
      </c>
      <c r="Z54" s="338" t="e">
        <f ca="1">MAX(一般工址Cs!Z54,'一般工址Cs (II)'!Z54)</f>
        <v>#N/A</v>
      </c>
      <c r="AA54" s="73">
        <f t="shared" ca="1" si="17"/>
        <v>0.39</v>
      </c>
      <c r="AB54" s="73" t="e">
        <f t="shared" ca="1" si="18"/>
        <v>#N/A</v>
      </c>
      <c r="AC54" s="59">
        <f t="shared" ca="1" si="19"/>
        <v>0.20016019225635892</v>
      </c>
      <c r="AD54" s="59">
        <f t="shared" ca="1" si="29"/>
        <v>0.15</v>
      </c>
      <c r="AE54" s="59">
        <f t="shared" ca="1" si="20"/>
        <v>0.17159999999999997</v>
      </c>
      <c r="AF54" s="59">
        <f t="shared" ca="1" si="21"/>
        <v>0.13728000000000001</v>
      </c>
      <c r="AG54" s="59">
        <f t="shared" ca="1" si="22"/>
        <v>0.11497199999999999</v>
      </c>
      <c r="AH54" s="59">
        <f t="shared" ca="1" si="23"/>
        <v>1.5491933384829668</v>
      </c>
      <c r="AI54" s="59">
        <f t="shared" ca="1" si="24"/>
        <v>2.5</v>
      </c>
      <c r="AJ54" s="59">
        <f t="shared" ca="1" si="25"/>
        <v>1.6137430609197569</v>
      </c>
      <c r="AK54" s="59">
        <f t="shared" ca="1" si="30"/>
        <v>1</v>
      </c>
      <c r="AL54" s="59">
        <f t="shared" ca="1" si="26"/>
        <v>0.15661904761904763</v>
      </c>
      <c r="AM54" s="59">
        <f t="shared" ca="1" si="27"/>
        <v>0.22471428571428573</v>
      </c>
      <c r="AN54" s="59" t="e">
        <f t="shared" ca="1" si="28"/>
        <v>#N/A</v>
      </c>
    </row>
    <row r="55" spans="1:40" ht="16.5">
      <c r="D55" s="54"/>
      <c r="F55" s="61"/>
      <c r="H55" s="39"/>
      <c r="I55" s="338">
        <f ca="1">一般工址Cs!I55</f>
        <v>0.45</v>
      </c>
      <c r="J55" s="64" t="e">
        <f t="shared" ca="1" si="1"/>
        <v>#N/A</v>
      </c>
      <c r="K55" s="64" t="e">
        <f t="shared" ca="1" si="2"/>
        <v>#N/A</v>
      </c>
      <c r="L55" s="64" t="e">
        <f t="shared" ca="1" si="3"/>
        <v>#N/A</v>
      </c>
      <c r="M55" s="64" t="e">
        <f t="shared" ca="1" si="4"/>
        <v>#N/A</v>
      </c>
      <c r="N55" s="72" t="e">
        <f t="shared" ca="1" si="5"/>
        <v>#N/A</v>
      </c>
      <c r="O55" s="78">
        <f t="shared" ca="1" si="6"/>
        <v>1.8129999999999999</v>
      </c>
      <c r="P55" s="72">
        <f t="shared" ca="1" si="7"/>
        <v>0.8</v>
      </c>
      <c r="Q55" s="72">
        <f t="shared" ca="1" si="8"/>
        <v>0.44130000000000003</v>
      </c>
      <c r="R55" s="79">
        <f t="shared" ca="1" si="9"/>
        <v>0.373</v>
      </c>
      <c r="S55" s="80">
        <f t="shared" ca="1" si="10"/>
        <v>0.161</v>
      </c>
      <c r="T55" s="72" t="e">
        <f t="shared" ca="1" si="11"/>
        <v>#N/A</v>
      </c>
      <c r="U55" s="72" t="e">
        <f t="shared" ca="1" si="12"/>
        <v>#N/A</v>
      </c>
      <c r="V55" s="72" t="e">
        <f t="shared" ca="1" si="13"/>
        <v>#N/A</v>
      </c>
      <c r="W55" s="72" t="e">
        <f t="shared" ca="1" si="14"/>
        <v>#N/A</v>
      </c>
      <c r="X55" s="72" t="e">
        <f t="shared" ca="1" si="15"/>
        <v>#N/A</v>
      </c>
      <c r="Y55" s="72" t="e">
        <f t="shared" ca="1" si="16"/>
        <v>#N/A</v>
      </c>
      <c r="Z55" s="338" t="e">
        <f ca="1">MAX(一般工址Cs!Z55,'一般工址Cs (II)'!Z55)</f>
        <v>#N/A</v>
      </c>
      <c r="AA55" s="73">
        <f t="shared" ca="1" si="17"/>
        <v>0.45</v>
      </c>
      <c r="AB55" s="73" t="e">
        <f t="shared" ca="1" si="18"/>
        <v>#N/A</v>
      </c>
      <c r="AC55" s="59">
        <f t="shared" ca="1" si="19"/>
        <v>0.18633899812498247</v>
      </c>
      <c r="AD55" s="59">
        <f t="shared" ca="1" si="29"/>
        <v>0.15</v>
      </c>
      <c r="AE55" s="59">
        <f t="shared" ca="1" si="20"/>
        <v>0.17159999999999997</v>
      </c>
      <c r="AF55" s="59">
        <f t="shared" ca="1" si="21"/>
        <v>0.13728000000000001</v>
      </c>
      <c r="AG55" s="59">
        <f t="shared" ca="1" si="22"/>
        <v>0.11497199999999999</v>
      </c>
      <c r="AH55" s="59">
        <f t="shared" ca="1" si="23"/>
        <v>1.5815615975402812</v>
      </c>
      <c r="AI55" s="59">
        <f t="shared" ca="1" si="24"/>
        <v>2.5</v>
      </c>
      <c r="AJ55" s="59">
        <f t="shared" ca="1" si="25"/>
        <v>1.5807161756381269</v>
      </c>
      <c r="AK55" s="59">
        <f t="shared" ca="1" si="30"/>
        <v>1</v>
      </c>
      <c r="AL55" s="59">
        <f t="shared" ca="1" si="26"/>
        <v>0.15661904761904763</v>
      </c>
      <c r="AM55" s="59">
        <f t="shared" ca="1" si="27"/>
        <v>0.22471428571428573</v>
      </c>
      <c r="AN55" s="59" t="e">
        <f t="shared" ca="1" si="28"/>
        <v>#N/A</v>
      </c>
    </row>
    <row r="56" spans="1:40" ht="16.5">
      <c r="H56" s="39"/>
      <c r="I56" s="338">
        <f ca="1">一般工址Cs!I56</f>
        <v>0.51</v>
      </c>
      <c r="J56" s="64" t="e">
        <f t="shared" ca="1" si="1"/>
        <v>#N/A</v>
      </c>
      <c r="K56" s="64" t="e">
        <f t="shared" ca="1" si="2"/>
        <v>#N/A</v>
      </c>
      <c r="L56" s="64" t="e">
        <f t="shared" ca="1" si="3"/>
        <v>#N/A</v>
      </c>
      <c r="M56" s="64" t="e">
        <f t="shared" ca="1" si="4"/>
        <v>#N/A</v>
      </c>
      <c r="N56" s="72" t="e">
        <f t="shared" ca="1" si="5"/>
        <v>#N/A</v>
      </c>
      <c r="O56" s="78">
        <f t="shared" ca="1" si="6"/>
        <v>1.877</v>
      </c>
      <c r="P56" s="72">
        <f t="shared" ca="1" si="7"/>
        <v>0.8</v>
      </c>
      <c r="Q56" s="72">
        <f t="shared" ca="1" si="8"/>
        <v>0.42620000000000002</v>
      </c>
      <c r="R56" s="79">
        <f t="shared" ca="1" si="9"/>
        <v>0.36599999999999999</v>
      </c>
      <c r="S56" s="80">
        <f t="shared" ca="1" si="10"/>
        <v>0.16400000000000001</v>
      </c>
      <c r="T56" s="72" t="e">
        <f t="shared" ca="1" si="11"/>
        <v>#N/A</v>
      </c>
      <c r="U56" s="72" t="e">
        <f t="shared" ca="1" si="12"/>
        <v>#N/A</v>
      </c>
      <c r="V56" s="72" t="e">
        <f t="shared" ca="1" si="13"/>
        <v>#N/A</v>
      </c>
      <c r="W56" s="72" t="e">
        <f t="shared" ca="1" si="14"/>
        <v>#N/A</v>
      </c>
      <c r="X56" s="72" t="e">
        <f t="shared" ca="1" si="15"/>
        <v>#N/A</v>
      </c>
      <c r="Y56" s="72" t="e">
        <f t="shared" ca="1" si="16"/>
        <v>#N/A</v>
      </c>
      <c r="Z56" s="338" t="e">
        <f ca="1">MAX(一般工址Cs!Z56,'一般工址Cs (II)'!Z56)</f>
        <v>#N/A</v>
      </c>
      <c r="AA56" s="73">
        <f t="shared" ca="1" si="17"/>
        <v>0.51</v>
      </c>
      <c r="AB56" s="73" t="e">
        <f t="shared" ca="1" si="18"/>
        <v>#N/A</v>
      </c>
      <c r="AC56" s="59">
        <f t="shared" ca="1" si="19"/>
        <v>0.17503501050350123</v>
      </c>
      <c r="AD56" s="59">
        <f t="shared" ca="1" si="29"/>
        <v>0.15</v>
      </c>
      <c r="AE56" s="59">
        <f t="shared" ca="1" si="20"/>
        <v>0.17159999999999997</v>
      </c>
      <c r="AF56" s="59">
        <f t="shared" ca="1" si="21"/>
        <v>0.13728000000000001</v>
      </c>
      <c r="AG56" s="59">
        <f t="shared" ca="1" si="22"/>
        <v>0.11497199999999999</v>
      </c>
      <c r="AH56" s="59">
        <f t="shared" ca="1" si="23"/>
        <v>1.6257001326184373</v>
      </c>
      <c r="AI56" s="59">
        <f t="shared" ca="1" si="24"/>
        <v>2.5</v>
      </c>
      <c r="AJ56" s="59">
        <f t="shared" ca="1" si="25"/>
        <v>1.5377989764775191</v>
      </c>
      <c r="AK56" s="59">
        <f t="shared" ca="1" si="30"/>
        <v>1</v>
      </c>
      <c r="AL56" s="59">
        <f t="shared" ca="1" si="26"/>
        <v>0.15661904761904763</v>
      </c>
      <c r="AM56" s="59">
        <f t="shared" ca="1" si="27"/>
        <v>0.22471428571428573</v>
      </c>
      <c r="AN56" s="59" t="e">
        <f t="shared" ca="1" si="28"/>
        <v>#N/A</v>
      </c>
    </row>
    <row r="57" spans="1:40" ht="16.5">
      <c r="I57" s="338">
        <f ca="1">一般工址Cs!I57</f>
        <v>0.55420000000000003</v>
      </c>
      <c r="J57" s="67" t="e">
        <f t="shared" ca="1" si="1"/>
        <v>#N/A</v>
      </c>
      <c r="K57" s="67" t="e">
        <f t="shared" ca="1" si="2"/>
        <v>#N/A</v>
      </c>
      <c r="L57" s="67" t="e">
        <f ca="1">ROUND(K57/J57,4)</f>
        <v>#N/A</v>
      </c>
      <c r="M57" s="67" t="e">
        <f ca="1">IF(L57&lt;=0.3,L57,IF(L57&lt;0.8,ROUND(0.52*L57+0.144,3),0.7*L57))</f>
        <v>#N/A</v>
      </c>
      <c r="N57" s="68" t="e">
        <f t="shared" ca="1" si="5"/>
        <v>#N/A</v>
      </c>
      <c r="O57" s="81">
        <f t="shared" ca="1" si="6"/>
        <v>1.9239999999999999</v>
      </c>
      <c r="P57" s="68">
        <f t="shared" ca="1" si="7"/>
        <v>0.8</v>
      </c>
      <c r="Q57" s="68">
        <f ca="1">ROUND(P57/O57,4)</f>
        <v>0.4158</v>
      </c>
      <c r="R57" s="82">
        <f ca="1">IF(Q57&lt;=0.3,Q57,IF(Q57&lt;0.8,ROUND(0.52*Q57+0.144,3),0.7*Q57))</f>
        <v>0.36</v>
      </c>
      <c r="S57" s="83">
        <f t="shared" ca="1" si="10"/>
        <v>0.16500000000000001</v>
      </c>
      <c r="T57" s="68" t="e">
        <f t="shared" ca="1" si="11"/>
        <v>#N/A</v>
      </c>
      <c r="U57" s="68" t="e">
        <f t="shared" ca="1" si="12"/>
        <v>#N/A</v>
      </c>
      <c r="V57" s="68" t="e">
        <f ca="1">ROUND(U57/T57,4)</f>
        <v>#N/A</v>
      </c>
      <c r="W57" s="68" t="e">
        <f ca="1">IF(V57&lt;=0.3,V57,IF(V57&lt;0.8,ROUND(0.52*V57+0.144,3),0.7*V57))</f>
        <v>#N/A</v>
      </c>
      <c r="X57" s="68" t="e">
        <f t="shared" ca="1" si="15"/>
        <v>#N/A</v>
      </c>
      <c r="Y57" s="68" t="e">
        <f ca="1">MAX(X57,S57,N57)</f>
        <v>#N/A</v>
      </c>
      <c r="Z57" s="338" t="e">
        <f ca="1">MAX(一般工址Cs!Z57,'一般工址Cs (II)'!Z57)</f>
        <v>#N/A</v>
      </c>
      <c r="AA57" s="66">
        <f t="shared" ca="1" si="17"/>
        <v>0.55420000000000003</v>
      </c>
      <c r="AB57" s="66" t="e">
        <f t="shared" ca="1" si="18"/>
        <v>#N/A</v>
      </c>
      <c r="AC57" s="59">
        <f t="shared" ca="1" si="19"/>
        <v>0.16791007371377437</v>
      </c>
      <c r="AD57" s="59">
        <f ca="1">IF(AC57&gt;0.15,0.15,IF(AC57&lt;0.0625,0.0625,AC57))</f>
        <v>0.15</v>
      </c>
      <c r="AE57" s="59">
        <f t="shared" ca="1" si="20"/>
        <v>0.17159999999999997</v>
      </c>
      <c r="AF57" s="59">
        <f t="shared" ca="1" si="21"/>
        <v>0.13728000000000001</v>
      </c>
      <c r="AG57" s="59">
        <f t="shared" ca="1" si="22"/>
        <v>0.11497199999999999</v>
      </c>
      <c r="AH57" s="59">
        <f t="shared" ca="1" si="23"/>
        <v>1.6582155201260123</v>
      </c>
      <c r="AI57" s="59">
        <f t="shared" ca="1" si="24"/>
        <v>2.5</v>
      </c>
      <c r="AJ57" s="59">
        <f ca="1">AI57/AH57</f>
        <v>1.5076447962626827</v>
      </c>
      <c r="AK57" s="59">
        <f ca="1">IF(AJ57&gt;1,1,AJ57)</f>
        <v>1</v>
      </c>
      <c r="AL57" s="59">
        <f ca="1">$U$5*$U$11*AK57/1.4/$U$6*$AG$5</f>
        <v>0.15661904761904763</v>
      </c>
      <c r="AM57" s="59">
        <f ca="1">$W$5*$W$11*AK57/1.4/$W$6*$AG$5</f>
        <v>0.22471428571428573</v>
      </c>
      <c r="AN57" s="59" t="e">
        <f ca="1">Y57/1.5*$AG$5</f>
        <v>#N/A</v>
      </c>
    </row>
    <row r="58" spans="1:40" ht="17.25" thickBot="1">
      <c r="I58" s="338">
        <f ca="1">一般工址Cs!I58</f>
        <v>0.56189999999999996</v>
      </c>
      <c r="J58" s="64" t="e">
        <f t="shared" ca="1" si="1"/>
        <v>#N/A</v>
      </c>
      <c r="K58" s="64" t="e">
        <f t="shared" ca="1" si="2"/>
        <v>#N/A</v>
      </c>
      <c r="L58" s="64" t="e">
        <f ca="1">ROUND(K58/J58,4)</f>
        <v>#N/A</v>
      </c>
      <c r="M58" s="64" t="e">
        <f ca="1">IF(L58&lt;=0.3,L58,IF(L58&lt;0.8,ROUND(0.52*L58+0.144,3),0.7*L58))</f>
        <v>#N/A</v>
      </c>
      <c r="N58" s="69" t="e">
        <f t="shared" ca="1" si="5"/>
        <v>#N/A</v>
      </c>
      <c r="O58" s="84">
        <f t="shared" ca="1" si="6"/>
        <v>1.9330000000000001</v>
      </c>
      <c r="P58" s="85">
        <f t="shared" ca="1" si="7"/>
        <v>0.8</v>
      </c>
      <c r="Q58" s="85">
        <f ca="1">ROUND(P58/O58,4)</f>
        <v>0.41389999999999999</v>
      </c>
      <c r="R58" s="86">
        <f ca="1">IF(Q58&lt;=0.3,Q58,IF(Q58&lt;0.8,ROUND(0.52*Q58+0.144,3),0.7*Q58))</f>
        <v>0.35899999999999999</v>
      </c>
      <c r="S58" s="87">
        <f t="shared" ca="1" si="10"/>
        <v>0.16500000000000001</v>
      </c>
      <c r="T58" s="69" t="e">
        <f t="shared" ca="1" si="11"/>
        <v>#N/A</v>
      </c>
      <c r="U58" s="69" t="e">
        <f t="shared" ca="1" si="12"/>
        <v>#N/A</v>
      </c>
      <c r="V58" s="69" t="e">
        <f ca="1">ROUND(U58/T58,4)</f>
        <v>#N/A</v>
      </c>
      <c r="W58" s="69" t="e">
        <f ca="1">IF(V58&lt;=0.3,V58,IF(V58&lt;0.8,ROUND(0.52*V58+0.144,3),0.7*V58))</f>
        <v>#N/A</v>
      </c>
      <c r="X58" s="69" t="e">
        <f t="shared" ca="1" si="15"/>
        <v>#N/A</v>
      </c>
      <c r="Y58" s="69" t="e">
        <f ca="1">MAX(X58,S58,N58)</f>
        <v>#N/A</v>
      </c>
      <c r="Z58" s="338" t="e">
        <f ca="1">MAX(一般工址Cs!Z58,'一般工址Cs (II)'!Z58)</f>
        <v>#N/A</v>
      </c>
      <c r="AA58" s="70">
        <f t="shared" ca="1" si="17"/>
        <v>0.56189999999999996</v>
      </c>
      <c r="AB58" s="70" t="e">
        <f t="shared" ca="1" si="18"/>
        <v>#N/A</v>
      </c>
      <c r="AC58" s="59">
        <f t="shared" ca="1" si="19"/>
        <v>0.1667556267299356</v>
      </c>
      <c r="AD58" s="59">
        <f ca="1">IF(AC58&gt;0.15,0.15,IF(AC58&lt;0.0625,0.0625,AC58))</f>
        <v>0.15</v>
      </c>
      <c r="AE58" s="59">
        <f t="shared" ca="1" si="20"/>
        <v>0.17159999999999997</v>
      </c>
      <c r="AF58" s="59">
        <f t="shared" ca="1" si="21"/>
        <v>0.13728000000000001</v>
      </c>
      <c r="AG58" s="59">
        <f t="shared" ca="1" si="22"/>
        <v>0.11497199999999999</v>
      </c>
      <c r="AH58" s="59">
        <f t="shared" ca="1" si="23"/>
        <v>1.6638799654610421</v>
      </c>
      <c r="AI58" s="59">
        <f t="shared" ca="1" si="24"/>
        <v>2.5</v>
      </c>
      <c r="AJ58" s="59">
        <f ca="1">AI58/AH58</f>
        <v>1.5025122315883397</v>
      </c>
      <c r="AK58" s="59">
        <f ca="1">IF(AJ58&gt;1,1,AJ58)</f>
        <v>1</v>
      </c>
      <c r="AL58" s="59">
        <f ca="1">$U$5*$U$11*AK58/1.4/$U$6*$AG$5</f>
        <v>0.15661904761904763</v>
      </c>
      <c r="AM58" s="59">
        <f ca="1">$W$5*$W$11*AK58/1.4/$W$6*$AG$5</f>
        <v>0.22471428571428573</v>
      </c>
      <c r="AN58" s="59" t="e">
        <f ca="1">Y58/1.5*$AG$5</f>
        <v>#N/A</v>
      </c>
    </row>
    <row r="59" spans="1:40" ht="20.25">
      <c r="H59" s="39" t="s">
        <v>1419</v>
      </c>
      <c r="I59" s="338">
        <f ca="1">一般工址Cs!I59</f>
        <v>0.5625</v>
      </c>
      <c r="J59" s="64" t="e">
        <f t="shared" ca="1" si="1"/>
        <v>#N/A</v>
      </c>
      <c r="K59" s="64" t="e">
        <f t="shared" ca="1" si="2"/>
        <v>#N/A</v>
      </c>
      <c r="L59" s="64" t="e">
        <f t="shared" ca="1" si="3"/>
        <v>#N/A</v>
      </c>
      <c r="M59" s="64" t="e">
        <f t="shared" ca="1" si="4"/>
        <v>#N/A</v>
      </c>
      <c r="N59" s="71" t="e">
        <f t="shared" ca="1" si="5"/>
        <v>#N/A</v>
      </c>
      <c r="O59" s="88">
        <f t="shared" ca="1" si="6"/>
        <v>1.9330000000000001</v>
      </c>
      <c r="P59" s="88">
        <f t="shared" ca="1" si="7"/>
        <v>0.8</v>
      </c>
      <c r="Q59" s="88">
        <f t="shared" ca="1" si="8"/>
        <v>0.41389999999999999</v>
      </c>
      <c r="R59" s="88">
        <f t="shared" ca="1" si="9"/>
        <v>0.35899999999999999</v>
      </c>
      <c r="S59" s="88">
        <f t="shared" ca="1" si="10"/>
        <v>0.16500000000000001</v>
      </c>
      <c r="T59" s="71" t="e">
        <f t="shared" ca="1" si="11"/>
        <v>#N/A</v>
      </c>
      <c r="U59" s="71" t="e">
        <f t="shared" ca="1" si="12"/>
        <v>#N/A</v>
      </c>
      <c r="V59" s="71" t="e">
        <f t="shared" ca="1" si="13"/>
        <v>#N/A</v>
      </c>
      <c r="W59" s="71" t="e">
        <f t="shared" ca="1" si="14"/>
        <v>#N/A</v>
      </c>
      <c r="X59" s="71" t="e">
        <f t="shared" ca="1" si="15"/>
        <v>#N/A</v>
      </c>
      <c r="Y59" s="71" t="e">
        <f t="shared" ca="1" si="16"/>
        <v>#N/A</v>
      </c>
      <c r="Z59" s="338" t="e">
        <f ca="1">MAX(一般工址Cs!Z59,'一般工址Cs (II)'!Z59)</f>
        <v>#N/A</v>
      </c>
      <c r="AA59" s="73">
        <f t="shared" ca="1" si="17"/>
        <v>0.5625</v>
      </c>
      <c r="AB59" s="73" t="e">
        <f t="shared" ca="1" si="18"/>
        <v>#N/A</v>
      </c>
      <c r="AC59" s="59">
        <f t="shared" ca="1" si="19"/>
        <v>0.16666666666666666</v>
      </c>
      <c r="AD59" s="59">
        <f t="shared" ca="1" si="29"/>
        <v>0.15</v>
      </c>
      <c r="AE59" s="59">
        <f t="shared" ca="1" si="20"/>
        <v>0.17159999999999997</v>
      </c>
      <c r="AF59" s="59">
        <f t="shared" ca="1" si="21"/>
        <v>0.13728000000000001</v>
      </c>
      <c r="AG59" s="59">
        <f t="shared" ca="1" si="22"/>
        <v>0.11497199999999999</v>
      </c>
      <c r="AH59" s="59">
        <f t="shared" ca="1" si="23"/>
        <v>1.6643213508118238</v>
      </c>
      <c r="AI59" s="59">
        <f t="shared" ca="1" si="24"/>
        <v>2.5</v>
      </c>
      <c r="AJ59" s="59">
        <f t="shared" ca="1" si="25"/>
        <v>1.5021137587284741</v>
      </c>
      <c r="AK59" s="59">
        <f t="shared" ca="1" si="30"/>
        <v>1</v>
      </c>
      <c r="AL59" s="59">
        <f t="shared" ca="1" si="26"/>
        <v>0.15661904761904763</v>
      </c>
      <c r="AM59" s="59">
        <f t="shared" ca="1" si="27"/>
        <v>0.22471428571428573</v>
      </c>
      <c r="AN59" s="59" t="e">
        <f t="shared" ca="1" si="28"/>
        <v>#N/A</v>
      </c>
    </row>
    <row r="60" spans="1:40" ht="16.5">
      <c r="H60" s="39"/>
      <c r="I60" s="338">
        <f ca="1">一般工址Cs!I60</f>
        <v>0.62000000000000011</v>
      </c>
      <c r="J60" s="64" t="e">
        <f t="shared" ca="1" si="1"/>
        <v>#N/A</v>
      </c>
      <c r="K60" s="64" t="e">
        <f t="shared" ca="1" si="2"/>
        <v>#N/A</v>
      </c>
      <c r="L60" s="64" t="e">
        <f t="shared" ca="1" si="3"/>
        <v>#N/A</v>
      </c>
      <c r="M60" s="64" t="e">
        <f t="shared" ca="1" si="4"/>
        <v>#N/A</v>
      </c>
      <c r="N60" s="71" t="e">
        <f t="shared" ca="1" si="5"/>
        <v>#N/A</v>
      </c>
      <c r="O60" s="88">
        <f t="shared" ca="1" si="6"/>
        <v>1.9330000000000001</v>
      </c>
      <c r="P60" s="88">
        <f t="shared" ca="1" si="7"/>
        <v>0.72580645161290314</v>
      </c>
      <c r="Q60" s="88">
        <f t="shared" ca="1" si="8"/>
        <v>0.3755</v>
      </c>
      <c r="R60" s="88">
        <f t="shared" ca="1" si="9"/>
        <v>0.33900000000000002</v>
      </c>
      <c r="S60" s="88">
        <f t="shared" ca="1" si="10"/>
        <v>0.156</v>
      </c>
      <c r="T60" s="71" t="e">
        <f t="shared" ca="1" si="11"/>
        <v>#N/A</v>
      </c>
      <c r="U60" s="71" t="e">
        <f t="shared" ca="1" si="12"/>
        <v>#N/A</v>
      </c>
      <c r="V60" s="71" t="e">
        <f t="shared" ca="1" si="13"/>
        <v>#N/A</v>
      </c>
      <c r="W60" s="71" t="e">
        <f t="shared" ca="1" si="14"/>
        <v>#N/A</v>
      </c>
      <c r="X60" s="71" t="e">
        <f t="shared" ca="1" si="15"/>
        <v>#N/A</v>
      </c>
      <c r="Y60" s="71" t="e">
        <f t="shared" ca="1" si="16"/>
        <v>#N/A</v>
      </c>
      <c r="Z60" s="338" t="e">
        <f ca="1">MAX(一般工址Cs!Z60,'一般工址Cs (II)'!Z60)</f>
        <v>#N/A</v>
      </c>
      <c r="AA60" s="73">
        <f t="shared" ca="1" si="17"/>
        <v>0.62000000000000011</v>
      </c>
      <c r="AB60" s="73" t="e">
        <f t="shared" ca="1" si="18"/>
        <v>#N/A</v>
      </c>
      <c r="AC60" s="59">
        <f t="shared" ca="1" si="19"/>
        <v>0.15875015875023812</v>
      </c>
      <c r="AD60" s="59">
        <f t="shared" ca="1" si="29"/>
        <v>0.15</v>
      </c>
      <c r="AE60" s="59">
        <f t="shared" ca="1" si="20"/>
        <v>0.17159999999999997</v>
      </c>
      <c r="AF60" s="59">
        <f t="shared" ca="1" si="21"/>
        <v>0.13728000000000001</v>
      </c>
      <c r="AG60" s="59">
        <f t="shared" ca="1" si="22"/>
        <v>0.11497199999999999</v>
      </c>
      <c r="AH60" s="59">
        <f t="shared" ca="1" si="23"/>
        <v>1.7</v>
      </c>
      <c r="AI60" s="59">
        <f t="shared" ca="1" si="24"/>
        <v>2.5</v>
      </c>
      <c r="AJ60" s="59">
        <f t="shared" ca="1" si="25"/>
        <v>1.4705882352941178</v>
      </c>
      <c r="AK60" s="59">
        <f t="shared" ca="1" si="30"/>
        <v>1</v>
      </c>
      <c r="AL60" s="59">
        <f t="shared" ca="1" si="26"/>
        <v>0.15661904761904763</v>
      </c>
      <c r="AM60" s="59">
        <f t="shared" ca="1" si="27"/>
        <v>0.22471428571428573</v>
      </c>
      <c r="AN60" s="59" t="e">
        <f t="shared" ca="1" si="28"/>
        <v>#N/A</v>
      </c>
    </row>
    <row r="61" spans="1:40" ht="16.5">
      <c r="I61" s="338">
        <f ca="1">一般工址Cs!I61</f>
        <v>0.67000000000000015</v>
      </c>
      <c r="J61" s="64" t="e">
        <f t="shared" ca="1" si="1"/>
        <v>#N/A</v>
      </c>
      <c r="K61" s="64" t="e">
        <f t="shared" ca="1" si="2"/>
        <v>#N/A</v>
      </c>
      <c r="L61" s="64" t="e">
        <f t="shared" ca="1" si="3"/>
        <v>#N/A</v>
      </c>
      <c r="M61" s="64" t="e">
        <f t="shared" ca="1" si="4"/>
        <v>#N/A</v>
      </c>
      <c r="N61" s="61" t="e">
        <f t="shared" ca="1" si="5"/>
        <v>#N/A</v>
      </c>
      <c r="O61" s="64">
        <f t="shared" ca="1" si="6"/>
        <v>1.9330000000000001</v>
      </c>
      <c r="P61" s="64">
        <f t="shared" ca="1" si="7"/>
        <v>0.67164179104477595</v>
      </c>
      <c r="Q61" s="64">
        <f t="shared" ca="1" si="8"/>
        <v>0.34749999999999998</v>
      </c>
      <c r="R61" s="64">
        <f t="shared" ca="1" si="9"/>
        <v>0.32500000000000001</v>
      </c>
      <c r="S61" s="61">
        <f t="shared" ca="1" si="10"/>
        <v>0.15</v>
      </c>
      <c r="T61" s="64" t="e">
        <f t="shared" ca="1" si="11"/>
        <v>#N/A</v>
      </c>
      <c r="U61" s="64" t="e">
        <f t="shared" ca="1" si="12"/>
        <v>#N/A</v>
      </c>
      <c r="V61" s="64" t="e">
        <f t="shared" ca="1" si="13"/>
        <v>#N/A</v>
      </c>
      <c r="W61" s="61" t="e">
        <f t="shared" ca="1" si="14"/>
        <v>#N/A</v>
      </c>
      <c r="X61" s="61" t="e">
        <f t="shared" ca="1" si="15"/>
        <v>#N/A</v>
      </c>
      <c r="Y61" s="89" t="e">
        <f t="shared" ca="1" si="16"/>
        <v>#N/A</v>
      </c>
      <c r="Z61" s="338" t="e">
        <f ca="1">MAX(一般工址Cs!Z61,'一般工址Cs (II)'!Z61)</f>
        <v>#N/A</v>
      </c>
      <c r="AA61" s="65">
        <f t="shared" ca="1" si="17"/>
        <v>0.67000000000000015</v>
      </c>
      <c r="AB61" s="270" t="e">
        <f t="shared" ca="1" si="18"/>
        <v>#N/A</v>
      </c>
      <c r="AC61" s="59">
        <f t="shared" ca="1" si="19"/>
        <v>0.15271180544538152</v>
      </c>
      <c r="AD61" s="59">
        <f t="shared" ca="1" si="29"/>
        <v>0.15</v>
      </c>
      <c r="AE61" s="59">
        <f t="shared" ca="1" si="20"/>
        <v>0.17159999999999997</v>
      </c>
      <c r="AF61" s="59">
        <f t="shared" ca="1" si="21"/>
        <v>0.13728000000000001</v>
      </c>
      <c r="AG61" s="59">
        <f t="shared" ca="1" si="22"/>
        <v>0.11497199999999999</v>
      </c>
      <c r="AH61" s="59">
        <f t="shared" ca="1" si="23"/>
        <v>1.7</v>
      </c>
      <c r="AI61" s="59">
        <f t="shared" ca="1" si="24"/>
        <v>1.5672250966268548</v>
      </c>
      <c r="AJ61" s="59">
        <f t="shared" ca="1" si="25"/>
        <v>0.92189711566285582</v>
      </c>
      <c r="AK61" s="59">
        <f t="shared" ca="1" si="30"/>
        <v>0.92189711566285582</v>
      </c>
      <c r="AL61" s="59">
        <f t="shared" ca="1" si="26"/>
        <v>0.14438664825786349</v>
      </c>
      <c r="AM61" s="59">
        <f t="shared" ca="1" si="27"/>
        <v>0.20716345184823889</v>
      </c>
      <c r="AN61" s="59" t="e">
        <f t="shared" ca="1" si="28"/>
        <v>#N/A</v>
      </c>
    </row>
    <row r="62" spans="1:40" ht="16.5">
      <c r="I62" s="338">
        <f ca="1">一般工址Cs!I62</f>
        <v>0.7200000000000002</v>
      </c>
      <c r="J62" s="64" t="e">
        <f t="shared" ca="1" si="1"/>
        <v>#N/A</v>
      </c>
      <c r="K62" s="64" t="e">
        <f t="shared" ca="1" si="2"/>
        <v>#N/A</v>
      </c>
      <c r="L62" s="64" t="e">
        <f t="shared" ca="1" si="3"/>
        <v>#N/A</v>
      </c>
      <c r="M62" s="64" t="e">
        <f t="shared" ca="1" si="4"/>
        <v>#N/A</v>
      </c>
      <c r="N62" s="61" t="e">
        <f t="shared" ca="1" si="5"/>
        <v>#N/A</v>
      </c>
      <c r="O62" s="64">
        <f t="shared" ca="1" si="6"/>
        <v>1.9330000000000001</v>
      </c>
      <c r="P62" s="64">
        <f t="shared" ca="1" si="7"/>
        <v>0.62499999999999989</v>
      </c>
      <c r="Q62" s="64">
        <f t="shared" ca="1" si="8"/>
        <v>0.32329999999999998</v>
      </c>
      <c r="R62" s="64">
        <f t="shared" ca="1" si="9"/>
        <v>0.312</v>
      </c>
      <c r="S62" s="61">
        <f t="shared" ca="1" si="10"/>
        <v>0.14399999999999999</v>
      </c>
      <c r="T62" s="64" t="e">
        <f t="shared" ca="1" si="11"/>
        <v>#N/A</v>
      </c>
      <c r="U62" s="64" t="e">
        <f t="shared" ca="1" si="12"/>
        <v>#N/A</v>
      </c>
      <c r="V62" s="64" t="e">
        <f t="shared" ca="1" si="13"/>
        <v>#N/A</v>
      </c>
      <c r="W62" s="61" t="e">
        <f t="shared" ca="1" si="14"/>
        <v>#N/A</v>
      </c>
      <c r="X62" s="61" t="e">
        <f t="shared" ca="1" si="15"/>
        <v>#N/A</v>
      </c>
      <c r="Y62" s="89" t="e">
        <f t="shared" ca="1" si="16"/>
        <v>#N/A</v>
      </c>
      <c r="Z62" s="338" t="e">
        <f ca="1">MAX(一般工址Cs!Z62,'一般工址Cs (II)'!Z62)</f>
        <v>#N/A</v>
      </c>
      <c r="AA62" s="65">
        <f t="shared" ca="1" si="17"/>
        <v>0.7200000000000002</v>
      </c>
      <c r="AB62" s="270" t="e">
        <f t="shared" ca="1" si="18"/>
        <v>#N/A</v>
      </c>
      <c r="AC62" s="59">
        <f t="shared" ca="1" si="19"/>
        <v>0.14731391274719738</v>
      </c>
      <c r="AD62" s="59">
        <f t="shared" ca="1" si="29"/>
        <v>0.14731391274719738</v>
      </c>
      <c r="AE62" s="59">
        <f t="shared" ca="1" si="20"/>
        <v>0.16852711618279378</v>
      </c>
      <c r="AF62" s="59">
        <f t="shared" ca="1" si="21"/>
        <v>0.13482169294623506</v>
      </c>
      <c r="AG62" s="59">
        <f t="shared" ca="1" si="22"/>
        <v>0.11291316784247185</v>
      </c>
      <c r="AH62" s="59">
        <f t="shared" ca="1" si="23"/>
        <v>1.7</v>
      </c>
      <c r="AI62" s="59">
        <f t="shared" ca="1" si="24"/>
        <v>1.4938015821857211</v>
      </c>
      <c r="AJ62" s="59">
        <f t="shared" ca="1" si="25"/>
        <v>0.8787068130504242</v>
      </c>
      <c r="AK62" s="59">
        <f t="shared" ca="1" si="30"/>
        <v>0.8787068130504242</v>
      </c>
      <c r="AL62" s="59">
        <f t="shared" ca="1" si="26"/>
        <v>0.13762222419632594</v>
      </c>
      <c r="AM62" s="59">
        <f t="shared" ca="1" si="27"/>
        <v>0.19745797384690247</v>
      </c>
      <c r="AN62" s="59" t="e">
        <f t="shared" ca="1" si="28"/>
        <v>#N/A</v>
      </c>
    </row>
    <row r="63" spans="1:40" s="97" customFormat="1" ht="16.5">
      <c r="A63" s="270"/>
      <c r="B63" s="270"/>
      <c r="C63" s="270"/>
      <c r="D63" s="270"/>
      <c r="E63" s="270"/>
      <c r="F63" s="270"/>
      <c r="I63" s="338">
        <f ca="1">一般工址Cs!I63</f>
        <v>0.77000000000000024</v>
      </c>
      <c r="J63" s="96" t="e">
        <f t="shared" ca="1" si="1"/>
        <v>#N/A</v>
      </c>
      <c r="K63" s="96" t="e">
        <f t="shared" ca="1" si="2"/>
        <v>#N/A</v>
      </c>
      <c r="L63" s="96" t="e">
        <f t="shared" ca="1" si="3"/>
        <v>#N/A</v>
      </c>
      <c r="M63" s="96" t="e">
        <f t="shared" ca="1" si="4"/>
        <v>#N/A</v>
      </c>
      <c r="N63" s="100" t="e">
        <f t="shared" ca="1" si="5"/>
        <v>#N/A</v>
      </c>
      <c r="O63" s="96">
        <f t="shared" ca="1" si="6"/>
        <v>1.9330000000000001</v>
      </c>
      <c r="P63" s="96">
        <f t="shared" ca="1" si="7"/>
        <v>0.58441558441558428</v>
      </c>
      <c r="Q63" s="96">
        <f t="shared" ca="1" si="8"/>
        <v>0.30230000000000001</v>
      </c>
      <c r="R63" s="96">
        <f t="shared" ca="1" si="9"/>
        <v>0.30099999999999999</v>
      </c>
      <c r="S63" s="100">
        <f t="shared" ca="1" si="10"/>
        <v>0.13900000000000001</v>
      </c>
      <c r="T63" s="96" t="e">
        <f t="shared" ca="1" si="11"/>
        <v>#N/A</v>
      </c>
      <c r="U63" s="96" t="e">
        <f t="shared" ca="1" si="12"/>
        <v>#N/A</v>
      </c>
      <c r="V63" s="96" t="e">
        <f t="shared" ca="1" si="13"/>
        <v>#N/A</v>
      </c>
      <c r="W63" s="100" t="e">
        <f t="shared" ca="1" si="14"/>
        <v>#N/A</v>
      </c>
      <c r="X63" s="100" t="e">
        <f t="shared" ca="1" si="15"/>
        <v>#N/A</v>
      </c>
      <c r="Y63" s="94" t="e">
        <f t="shared" ca="1" si="16"/>
        <v>#N/A</v>
      </c>
      <c r="Z63" s="338" t="e">
        <f ca="1">MAX(一般工址Cs!Z63,'一般工址Cs (II)'!Z63)</f>
        <v>#N/A</v>
      </c>
      <c r="AA63" s="95">
        <f t="shared" ca="1" si="17"/>
        <v>0.77000000000000024</v>
      </c>
      <c r="AB63" s="97" t="e">
        <f t="shared" ca="1" si="18"/>
        <v>#N/A</v>
      </c>
      <c r="AC63" s="101">
        <f t="shared" ca="1" si="19"/>
        <v>0.14245072057454741</v>
      </c>
      <c r="AD63" s="101">
        <f t="shared" ca="1" si="29"/>
        <v>0.14245072057454741</v>
      </c>
      <c r="AE63" s="102">
        <f t="shared" ca="1" si="20"/>
        <v>0.16296362433728223</v>
      </c>
      <c r="AF63" s="101">
        <f t="shared" ca="1" si="21"/>
        <v>0.13037089946982583</v>
      </c>
      <c r="AG63" s="101">
        <f t="shared" ca="1" si="22"/>
        <v>0.1091856283059791</v>
      </c>
      <c r="AH63" s="101">
        <f t="shared" ca="1" si="23"/>
        <v>1.7</v>
      </c>
      <c r="AI63" s="59">
        <f t="shared" ca="1" si="24"/>
        <v>1.4284139928826318</v>
      </c>
      <c r="AJ63" s="101">
        <f t="shared" ca="1" si="25"/>
        <v>0.84024352522507761</v>
      </c>
      <c r="AK63" s="101">
        <f t="shared" ca="1" si="30"/>
        <v>0.84024352522507761</v>
      </c>
      <c r="AL63" s="101">
        <f t="shared" ca="1" si="26"/>
        <v>0.13159814068882289</v>
      </c>
      <c r="AM63" s="101">
        <f t="shared" ca="1" si="27"/>
        <v>0.18881472359700674</v>
      </c>
      <c r="AN63" s="101" t="e">
        <f t="shared" ca="1" si="28"/>
        <v>#N/A</v>
      </c>
    </row>
    <row r="64" spans="1:40" ht="16.5">
      <c r="I64" s="338">
        <f ca="1">一般工址Cs!I64</f>
        <v>0.82000000000000028</v>
      </c>
      <c r="J64" s="64" t="e">
        <f t="shared" ca="1" si="1"/>
        <v>#N/A</v>
      </c>
      <c r="K64" s="64" t="e">
        <f t="shared" ca="1" si="2"/>
        <v>#N/A</v>
      </c>
      <c r="L64" s="64" t="e">
        <f t="shared" ca="1" si="3"/>
        <v>#N/A</v>
      </c>
      <c r="M64" s="64" t="e">
        <f t="shared" ca="1" si="4"/>
        <v>#N/A</v>
      </c>
      <c r="N64" s="61" t="e">
        <f t="shared" ca="1" si="5"/>
        <v>#N/A</v>
      </c>
      <c r="O64" s="64">
        <f t="shared" ca="1" si="6"/>
        <v>1.9330000000000001</v>
      </c>
      <c r="P64" s="64">
        <f t="shared" ca="1" si="7"/>
        <v>0.54878048780487787</v>
      </c>
      <c r="Q64" s="64">
        <f t="shared" ca="1" si="8"/>
        <v>0.28389999999999999</v>
      </c>
      <c r="R64" s="64">
        <f t="shared" ca="1" si="9"/>
        <v>0.28389999999999999</v>
      </c>
      <c r="S64" s="61">
        <f t="shared" ca="1" si="10"/>
        <v>0.13100000000000001</v>
      </c>
      <c r="T64" s="64" t="e">
        <f t="shared" ca="1" si="11"/>
        <v>#N/A</v>
      </c>
      <c r="U64" s="64" t="e">
        <f t="shared" ca="1" si="12"/>
        <v>#N/A</v>
      </c>
      <c r="V64" s="64" t="e">
        <f t="shared" ca="1" si="13"/>
        <v>#N/A</v>
      </c>
      <c r="W64" s="61" t="e">
        <f t="shared" ca="1" si="14"/>
        <v>#N/A</v>
      </c>
      <c r="X64" s="61" t="e">
        <f t="shared" ca="1" si="15"/>
        <v>#N/A</v>
      </c>
      <c r="Y64" s="89" t="e">
        <f t="shared" ca="1" si="16"/>
        <v>#N/A</v>
      </c>
      <c r="Z64" s="338" t="e">
        <f ca="1">MAX(一般工址Cs!Z64,'一般工址Cs (II)'!Z64)</f>
        <v>#N/A</v>
      </c>
      <c r="AA64" s="65">
        <f t="shared" ca="1" si="17"/>
        <v>0.82000000000000028</v>
      </c>
      <c r="AB64" s="270" t="e">
        <f t="shared" ca="1" si="18"/>
        <v>#N/A</v>
      </c>
      <c r="AC64" s="59">
        <f t="shared" ca="1" si="19"/>
        <v>0.13803940759355815</v>
      </c>
      <c r="AD64" s="59">
        <f t="shared" ca="1" si="29"/>
        <v>0.13803940759355815</v>
      </c>
      <c r="AE64" s="59">
        <f t="shared" ca="1" si="20"/>
        <v>0.15791708228703052</v>
      </c>
      <c r="AF64" s="59">
        <f t="shared" ca="1" si="21"/>
        <v>0.12633366582962444</v>
      </c>
      <c r="AG64" s="59">
        <f t="shared" ca="1" si="22"/>
        <v>0.10580444513231045</v>
      </c>
      <c r="AH64" s="59">
        <f t="shared" ca="1" si="23"/>
        <v>1.7</v>
      </c>
      <c r="AI64" s="59">
        <f t="shared" ca="1" si="24"/>
        <v>1.3697417009474859</v>
      </c>
      <c r="AJ64" s="59">
        <f t="shared" ca="1" si="25"/>
        <v>0.80573041232205056</v>
      </c>
      <c r="AK64" s="59">
        <f t="shared" ca="1" si="30"/>
        <v>0.80573041232205056</v>
      </c>
      <c r="AL64" s="59">
        <f t="shared" ca="1" si="26"/>
        <v>0.12619272981558211</v>
      </c>
      <c r="AM64" s="59">
        <f t="shared" ca="1" si="27"/>
        <v>0.18105913408322649</v>
      </c>
      <c r="AN64" s="59" t="e">
        <f t="shared" ca="1" si="28"/>
        <v>#N/A</v>
      </c>
    </row>
    <row r="65" spans="1:40" ht="16.5">
      <c r="I65" s="338">
        <f ca="1">一般工址Cs!I65</f>
        <v>0.87000000000000033</v>
      </c>
      <c r="J65" s="90" t="e">
        <f t="shared" ca="1" si="1"/>
        <v>#N/A</v>
      </c>
      <c r="K65" s="90" t="e">
        <f t="shared" ca="1" si="2"/>
        <v>#N/A</v>
      </c>
      <c r="L65" s="90" t="e">
        <f t="shared" ca="1" si="3"/>
        <v>#N/A</v>
      </c>
      <c r="M65" s="90" t="e">
        <f t="shared" ca="1" si="4"/>
        <v>#N/A</v>
      </c>
      <c r="N65" s="91" t="e">
        <f t="shared" ca="1" si="5"/>
        <v>#N/A</v>
      </c>
      <c r="O65" s="90">
        <f t="shared" ca="1" si="6"/>
        <v>1.9330000000000001</v>
      </c>
      <c r="P65" s="90">
        <f t="shared" ca="1" si="7"/>
        <v>0.51724137931034464</v>
      </c>
      <c r="Q65" s="90">
        <f t="shared" ca="1" si="8"/>
        <v>0.2676</v>
      </c>
      <c r="R65" s="90">
        <f t="shared" ca="1" si="9"/>
        <v>0.2676</v>
      </c>
      <c r="S65" s="91">
        <f t="shared" ca="1" si="10"/>
        <v>0.123</v>
      </c>
      <c r="T65" s="90" t="e">
        <f t="shared" ca="1" si="11"/>
        <v>#N/A</v>
      </c>
      <c r="U65" s="90" t="e">
        <f t="shared" ca="1" si="12"/>
        <v>#N/A</v>
      </c>
      <c r="V65" s="90" t="e">
        <f t="shared" ca="1" si="13"/>
        <v>#N/A</v>
      </c>
      <c r="W65" s="91" t="e">
        <f t="shared" ca="1" si="14"/>
        <v>#N/A</v>
      </c>
      <c r="X65" s="91" t="e">
        <f t="shared" ca="1" si="15"/>
        <v>#N/A</v>
      </c>
      <c r="Y65" s="92" t="e">
        <f t="shared" ca="1" si="16"/>
        <v>#N/A</v>
      </c>
      <c r="Z65" s="338" t="e">
        <f ca="1">MAX(一般工址Cs!Z65,'一般工址Cs (II)'!Z65)</f>
        <v>#N/A</v>
      </c>
      <c r="AA65" s="93">
        <f t="shared" ca="1" si="17"/>
        <v>0.87000000000000033</v>
      </c>
      <c r="AB65" s="270" t="e">
        <f t="shared" ca="1" si="18"/>
        <v>#N/A</v>
      </c>
      <c r="AC65" s="59">
        <f t="shared" ca="1" si="19"/>
        <v>0.13401406685472433</v>
      </c>
      <c r="AD65" s="59">
        <f t="shared" ca="1" si="29"/>
        <v>0.13401406685472433</v>
      </c>
      <c r="AE65" s="59">
        <f t="shared" ca="1" si="20"/>
        <v>0.15331209248180463</v>
      </c>
      <c r="AF65" s="59">
        <f t="shared" ca="1" si="21"/>
        <v>0.12264967398544374</v>
      </c>
      <c r="AG65" s="59">
        <f t="shared" ca="1" si="22"/>
        <v>0.10271910196280912</v>
      </c>
      <c r="AH65" s="59">
        <f t="shared" ca="1" si="23"/>
        <v>1.7</v>
      </c>
      <c r="AI65" s="59">
        <f t="shared" ca="1" si="24"/>
        <v>1.3167452012910397</v>
      </c>
      <c r="AJ65" s="59">
        <f t="shared" ca="1" si="25"/>
        <v>0.77455600075943509</v>
      </c>
      <c r="AK65" s="59">
        <f t="shared" ca="1" si="30"/>
        <v>0.77455600075943509</v>
      </c>
      <c r="AL65" s="59">
        <f t="shared" ca="1" si="26"/>
        <v>0.12131022316656107</v>
      </c>
      <c r="AM65" s="59">
        <f t="shared" ca="1" si="27"/>
        <v>0.17405379845637017</v>
      </c>
      <c r="AN65" s="59" t="e">
        <f t="shared" ca="1" si="28"/>
        <v>#N/A</v>
      </c>
    </row>
    <row r="66" spans="1:40" s="97" customFormat="1" ht="16.5">
      <c r="A66" s="270"/>
      <c r="B66" s="270"/>
      <c r="C66" s="270"/>
      <c r="D66" s="270"/>
      <c r="E66" s="270"/>
      <c r="F66" s="270"/>
      <c r="I66" s="338">
        <f ca="1">一般工址Cs!I66</f>
        <v>0.92000000000000037</v>
      </c>
      <c r="J66" s="96" t="e">
        <f t="shared" ca="1" si="1"/>
        <v>#N/A</v>
      </c>
      <c r="K66" s="96" t="e">
        <f t="shared" ca="1" si="2"/>
        <v>#N/A</v>
      </c>
      <c r="L66" s="96" t="e">
        <f t="shared" ca="1" si="3"/>
        <v>#N/A</v>
      </c>
      <c r="M66" s="96" t="e">
        <f t="shared" ca="1" si="4"/>
        <v>#N/A</v>
      </c>
      <c r="N66" s="100" t="e">
        <f t="shared" ca="1" si="5"/>
        <v>#N/A</v>
      </c>
      <c r="O66" s="96">
        <f t="shared" ca="1" si="6"/>
        <v>1.9330000000000001</v>
      </c>
      <c r="P66" s="96">
        <f t="shared" ca="1" si="7"/>
        <v>0.48913043478260854</v>
      </c>
      <c r="Q66" s="96">
        <f t="shared" ca="1" si="8"/>
        <v>0.253</v>
      </c>
      <c r="R66" s="96">
        <f t="shared" ca="1" si="9"/>
        <v>0.253</v>
      </c>
      <c r="S66" s="100">
        <f t="shared" ca="1" si="10"/>
        <v>0.11600000000000001</v>
      </c>
      <c r="T66" s="96" t="e">
        <f t="shared" ca="1" si="11"/>
        <v>#N/A</v>
      </c>
      <c r="U66" s="96" t="e">
        <f t="shared" ca="1" si="12"/>
        <v>#N/A</v>
      </c>
      <c r="V66" s="96" t="e">
        <f t="shared" ca="1" si="13"/>
        <v>#N/A</v>
      </c>
      <c r="W66" s="100" t="e">
        <f t="shared" ca="1" si="14"/>
        <v>#N/A</v>
      </c>
      <c r="X66" s="100" t="e">
        <f t="shared" ca="1" si="15"/>
        <v>#N/A</v>
      </c>
      <c r="Y66" s="103" t="e">
        <f t="shared" ca="1" si="16"/>
        <v>#N/A</v>
      </c>
      <c r="Z66" s="338" t="e">
        <f ca="1">MAX(一般工址Cs!Z66,'一般工址Cs (II)'!Z66)</f>
        <v>#N/A</v>
      </c>
      <c r="AA66" s="95">
        <f t="shared" ca="1" si="17"/>
        <v>0.92000000000000037</v>
      </c>
      <c r="AB66" s="97" t="e">
        <f t="shared" ca="1" si="18"/>
        <v>#N/A</v>
      </c>
      <c r="AC66" s="101">
        <f t="shared" ca="1" si="19"/>
        <v>0.1303215087856717</v>
      </c>
      <c r="AD66" s="101">
        <f t="shared" ca="1" si="29"/>
        <v>0.1303215087856717</v>
      </c>
      <c r="AE66" s="101">
        <f t="shared" ca="1" si="20"/>
        <v>0.1490878060508084</v>
      </c>
      <c r="AF66" s="101">
        <f t="shared" ca="1" si="21"/>
        <v>0.11927024484064676</v>
      </c>
      <c r="AG66" s="101">
        <f t="shared" ca="1" si="22"/>
        <v>9.9888830054041644E-2</v>
      </c>
      <c r="AH66" s="101">
        <f t="shared" ca="1" si="23"/>
        <v>1.7</v>
      </c>
      <c r="AI66" s="59">
        <f t="shared" ca="1" si="24"/>
        <v>1.2685941211550291</v>
      </c>
      <c r="AJ66" s="101">
        <f t="shared" ca="1" si="25"/>
        <v>0.74623183597354659</v>
      </c>
      <c r="AK66" s="101">
        <f t="shared" ca="1" si="30"/>
        <v>0.74623183597354659</v>
      </c>
      <c r="AL66" s="101">
        <f t="shared" ca="1" si="26"/>
        <v>0.11687411945319023</v>
      </c>
      <c r="AM66" s="101">
        <f t="shared" ca="1" si="27"/>
        <v>0.16768895399805556</v>
      </c>
      <c r="AN66" s="101" t="e">
        <f t="shared" ca="1" si="28"/>
        <v>#N/A</v>
      </c>
    </row>
    <row r="67" spans="1:40" ht="16.5">
      <c r="I67" s="338">
        <f ca="1">一般工址Cs!I67</f>
        <v>0.97000000000000042</v>
      </c>
      <c r="J67" s="90" t="e">
        <f t="shared" ca="1" si="1"/>
        <v>#N/A</v>
      </c>
      <c r="K67" s="90" t="e">
        <f t="shared" ca="1" si="2"/>
        <v>#N/A</v>
      </c>
      <c r="L67" s="90" t="e">
        <f t="shared" ca="1" si="3"/>
        <v>#N/A</v>
      </c>
      <c r="M67" s="90" t="e">
        <f t="shared" ca="1" si="4"/>
        <v>#N/A</v>
      </c>
      <c r="N67" s="91" t="e">
        <f t="shared" ca="1" si="5"/>
        <v>#N/A</v>
      </c>
      <c r="O67" s="90">
        <f t="shared" ca="1" si="6"/>
        <v>1.9330000000000001</v>
      </c>
      <c r="P67" s="90">
        <f t="shared" ca="1" si="7"/>
        <v>0.46391752577319567</v>
      </c>
      <c r="Q67" s="90">
        <f t="shared" ca="1" si="8"/>
        <v>0.24</v>
      </c>
      <c r="R67" s="90">
        <f t="shared" ca="1" si="9"/>
        <v>0.24</v>
      </c>
      <c r="S67" s="91">
        <f t="shared" ca="1" si="10"/>
        <v>0.11</v>
      </c>
      <c r="T67" s="90" t="e">
        <f t="shared" ca="1" si="11"/>
        <v>#N/A</v>
      </c>
      <c r="U67" s="90" t="e">
        <f t="shared" ca="1" si="12"/>
        <v>#N/A</v>
      </c>
      <c r="V67" s="90" t="e">
        <f t="shared" ca="1" si="13"/>
        <v>#N/A</v>
      </c>
      <c r="W67" s="91" t="e">
        <f t="shared" ca="1" si="14"/>
        <v>#N/A</v>
      </c>
      <c r="X67" s="91" t="e">
        <f t="shared" ca="1" si="15"/>
        <v>#N/A</v>
      </c>
      <c r="Y67" s="94" t="e">
        <f t="shared" ca="1" si="16"/>
        <v>#N/A</v>
      </c>
      <c r="Z67" s="338" t="e">
        <f ca="1">MAX(一般工址Cs!Z67,'一般工址Cs (II)'!Z67)</f>
        <v>#N/A</v>
      </c>
      <c r="AA67" s="95">
        <f t="shared" ca="1" si="17"/>
        <v>0.97000000000000042</v>
      </c>
      <c r="AB67" s="97" t="e">
        <f t="shared" ca="1" si="18"/>
        <v>#N/A</v>
      </c>
      <c r="AC67" s="59">
        <f t="shared" ca="1" si="19"/>
        <v>0.12691827064170236</v>
      </c>
      <c r="AD67" s="59">
        <f t="shared" ca="1" si="29"/>
        <v>0.12691827064170236</v>
      </c>
      <c r="AE67" s="59">
        <f t="shared" ca="1" si="20"/>
        <v>0.14519450161410749</v>
      </c>
      <c r="AF67" s="59">
        <f t="shared" ca="1" si="21"/>
        <v>0.11615560129128602</v>
      </c>
      <c r="AG67" s="59">
        <f t="shared" ca="1" si="22"/>
        <v>9.7280316081452031E-2</v>
      </c>
      <c r="AH67" s="59">
        <f t="shared" ca="1" si="23"/>
        <v>1.7</v>
      </c>
      <c r="AI67" s="59">
        <f t="shared" ca="1" si="24"/>
        <v>1.2246164526793348</v>
      </c>
      <c r="AJ67" s="59">
        <f t="shared" ca="1" si="25"/>
        <v>0.72036261922313816</v>
      </c>
      <c r="AK67" s="59">
        <f t="shared" ca="1" si="30"/>
        <v>0.72036261922313816</v>
      </c>
      <c r="AL67" s="59">
        <f t="shared" ca="1" si="26"/>
        <v>0.11282250736309056</v>
      </c>
      <c r="AM67" s="59">
        <f t="shared" ca="1" si="27"/>
        <v>0.16187577143399948</v>
      </c>
      <c r="AN67" s="59" t="e">
        <f t="shared" ca="1" si="28"/>
        <v>#N/A</v>
      </c>
    </row>
    <row r="68" spans="1:40" ht="16.5">
      <c r="I68" s="338">
        <f ca="1">一般工址Cs!I68</f>
        <v>1.0200000000000005</v>
      </c>
      <c r="J68" s="90" t="e">
        <f t="shared" ca="1" si="1"/>
        <v>#N/A</v>
      </c>
      <c r="K68" s="90" t="e">
        <f t="shared" ca="1" si="2"/>
        <v>#N/A</v>
      </c>
      <c r="L68" s="90" t="e">
        <f t="shared" ca="1" si="3"/>
        <v>#N/A</v>
      </c>
      <c r="M68" s="90" t="e">
        <f t="shared" ca="1" si="4"/>
        <v>#N/A</v>
      </c>
      <c r="N68" s="91" t="e">
        <f t="shared" ca="1" si="5"/>
        <v>#N/A</v>
      </c>
      <c r="O68" s="90">
        <f t="shared" ca="1" si="6"/>
        <v>1.9330000000000001</v>
      </c>
      <c r="P68" s="90">
        <f t="shared" ca="1" si="7"/>
        <v>0.44117647058823511</v>
      </c>
      <c r="Q68" s="90">
        <f t="shared" ca="1" si="8"/>
        <v>0.22819999999999999</v>
      </c>
      <c r="R68" s="90">
        <f t="shared" ca="1" si="9"/>
        <v>0.22819999999999999</v>
      </c>
      <c r="S68" s="91">
        <f t="shared" ca="1" si="10"/>
        <v>0.105</v>
      </c>
      <c r="T68" s="90" t="e">
        <f t="shared" ca="1" si="11"/>
        <v>#N/A</v>
      </c>
      <c r="U68" s="90" t="e">
        <f t="shared" ca="1" si="12"/>
        <v>#N/A</v>
      </c>
      <c r="V68" s="90" t="e">
        <f t="shared" ca="1" si="13"/>
        <v>#N/A</v>
      </c>
      <c r="W68" s="91" t="e">
        <f t="shared" ca="1" si="14"/>
        <v>#N/A</v>
      </c>
      <c r="X68" s="91" t="e">
        <f t="shared" ca="1" si="15"/>
        <v>#N/A</v>
      </c>
      <c r="Y68" s="92" t="e">
        <f t="shared" ca="1" si="16"/>
        <v>#N/A</v>
      </c>
      <c r="Z68" s="338" t="e">
        <f ca="1">MAX(一般工址Cs!Z68,'一般工址Cs (II)'!Z68)</f>
        <v>#N/A</v>
      </c>
      <c r="AA68" s="93">
        <f t="shared" ca="1" si="17"/>
        <v>1.0200000000000005</v>
      </c>
      <c r="AB68" s="270" t="e">
        <f t="shared" ca="1" si="18"/>
        <v>#N/A</v>
      </c>
      <c r="AC68" s="59">
        <f t="shared" ca="1" si="19"/>
        <v>0.12376844287208426</v>
      </c>
      <c r="AD68" s="59">
        <f t="shared" ca="1" si="29"/>
        <v>0.12376844287208426</v>
      </c>
      <c r="AE68" s="59">
        <f t="shared" ca="1" si="20"/>
        <v>0.14159109864566441</v>
      </c>
      <c r="AF68" s="59">
        <f t="shared" ca="1" si="21"/>
        <v>0.11327287891653154</v>
      </c>
      <c r="AG68" s="59">
        <f t="shared" ca="1" si="22"/>
        <v>9.4866036092595141E-2</v>
      </c>
      <c r="AH68" s="59">
        <f t="shared" ca="1" si="23"/>
        <v>1.7</v>
      </c>
      <c r="AI68" s="59">
        <f t="shared" ca="1" si="24"/>
        <v>1.1842620112471913</v>
      </c>
      <c r="AJ68" s="59">
        <f t="shared" ca="1" si="25"/>
        <v>0.6966247124983479</v>
      </c>
      <c r="AK68" s="59">
        <f t="shared" ca="1" si="30"/>
        <v>0.6966247124983479</v>
      </c>
      <c r="AL68" s="59">
        <f t="shared" ca="1" si="26"/>
        <v>0.1091046990193841</v>
      </c>
      <c r="AM68" s="59">
        <f t="shared" ca="1" si="27"/>
        <v>0.15654152467998592</v>
      </c>
      <c r="AN68" s="59" t="e">
        <f t="shared" ca="1" si="28"/>
        <v>#N/A</v>
      </c>
    </row>
    <row r="69" spans="1:40" ht="16.5">
      <c r="I69" s="338">
        <f ca="1">一般工址Cs!I69</f>
        <v>1.0700000000000005</v>
      </c>
      <c r="J69" s="64" t="e">
        <f t="shared" ca="1" si="1"/>
        <v>#N/A</v>
      </c>
      <c r="K69" s="64" t="e">
        <f t="shared" ca="1" si="2"/>
        <v>#N/A</v>
      </c>
      <c r="L69" s="64" t="e">
        <f t="shared" ca="1" si="3"/>
        <v>#N/A</v>
      </c>
      <c r="M69" s="64" t="e">
        <f t="shared" ca="1" si="4"/>
        <v>#N/A</v>
      </c>
      <c r="N69" s="61" t="e">
        <f t="shared" ca="1" si="5"/>
        <v>#N/A</v>
      </c>
      <c r="O69" s="64">
        <f t="shared" ca="1" si="6"/>
        <v>1.9330000000000001</v>
      </c>
      <c r="P69" s="64">
        <f t="shared" ca="1" si="7"/>
        <v>0.42056074766355123</v>
      </c>
      <c r="Q69" s="64">
        <f t="shared" ca="1" si="8"/>
        <v>0.21759999999999999</v>
      </c>
      <c r="R69" s="64">
        <f t="shared" ca="1" si="9"/>
        <v>0.21759999999999999</v>
      </c>
      <c r="S69" s="61">
        <f t="shared" ca="1" si="10"/>
        <v>0.1</v>
      </c>
      <c r="T69" s="64" t="e">
        <f t="shared" ca="1" si="11"/>
        <v>#N/A</v>
      </c>
      <c r="U69" s="64" t="e">
        <f t="shared" ca="1" si="12"/>
        <v>#N/A</v>
      </c>
      <c r="V69" s="64" t="e">
        <f t="shared" ca="1" si="13"/>
        <v>#N/A</v>
      </c>
      <c r="W69" s="61" t="e">
        <f t="shared" ca="1" si="14"/>
        <v>#N/A</v>
      </c>
      <c r="X69" s="61" t="e">
        <f t="shared" ca="1" si="15"/>
        <v>#N/A</v>
      </c>
      <c r="Y69" s="89" t="e">
        <f t="shared" ca="1" si="16"/>
        <v>#N/A</v>
      </c>
      <c r="Z69" s="338" t="e">
        <f ca="1">MAX(一般工址Cs!Z69,'一般工址Cs (II)'!Z69)</f>
        <v>#N/A</v>
      </c>
      <c r="AA69" s="65">
        <f t="shared" ca="1" si="17"/>
        <v>1.0700000000000005</v>
      </c>
      <c r="AB69" s="270" t="e">
        <f t="shared" ca="1" si="18"/>
        <v>#N/A</v>
      </c>
      <c r="AC69" s="59">
        <f t="shared" ca="1" si="19"/>
        <v>0.12084206113070792</v>
      </c>
      <c r="AD69" s="59">
        <f t="shared" ca="1" si="29"/>
        <v>0.12084206113070792</v>
      </c>
      <c r="AE69" s="59">
        <f t="shared" ca="1" si="20"/>
        <v>0.13824331793352987</v>
      </c>
      <c r="AF69" s="59">
        <f t="shared" ca="1" si="21"/>
        <v>0.1105946543468239</v>
      </c>
      <c r="AG69" s="59">
        <f t="shared" ca="1" si="22"/>
        <v>9.2623023015465003E-2</v>
      </c>
      <c r="AH69" s="59">
        <f t="shared" ca="1" si="23"/>
        <v>1.7</v>
      </c>
      <c r="AI69" s="59">
        <f t="shared" ca="1" si="24"/>
        <v>1.1470756505828088</v>
      </c>
      <c r="AJ69" s="59">
        <f t="shared" ca="1" si="25"/>
        <v>0.67475038269576992</v>
      </c>
      <c r="AK69" s="59">
        <f t="shared" ca="1" si="30"/>
        <v>0.67475038269576992</v>
      </c>
      <c r="AL69" s="59">
        <f t="shared" ca="1" si="26"/>
        <v>0.1056787623183994</v>
      </c>
      <c r="AM69" s="59">
        <f t="shared" ca="1" si="27"/>
        <v>0.15162605028292089</v>
      </c>
      <c r="AN69" s="59" t="e">
        <f t="shared" ca="1" si="28"/>
        <v>#N/A</v>
      </c>
    </row>
    <row r="70" spans="1:40" ht="16.5">
      <c r="I70" s="338">
        <f ca="1">一般工址Cs!I70</f>
        <v>1.1200000000000006</v>
      </c>
      <c r="J70" s="64" t="e">
        <f t="shared" ca="1" si="1"/>
        <v>#N/A</v>
      </c>
      <c r="K70" s="64" t="e">
        <f t="shared" ca="1" si="2"/>
        <v>#N/A</v>
      </c>
      <c r="L70" s="64" t="e">
        <f t="shared" ca="1" si="3"/>
        <v>#N/A</v>
      </c>
      <c r="M70" s="64" t="e">
        <f t="shared" ca="1" si="4"/>
        <v>#N/A</v>
      </c>
      <c r="N70" s="61" t="e">
        <f t="shared" ca="1" si="5"/>
        <v>#N/A</v>
      </c>
      <c r="O70" s="64">
        <f t="shared" ca="1" si="6"/>
        <v>1.9330000000000001</v>
      </c>
      <c r="P70" s="64">
        <f t="shared" ca="1" si="7"/>
        <v>0.40178571428571408</v>
      </c>
      <c r="Q70" s="64">
        <f t="shared" ca="1" si="8"/>
        <v>0.2079</v>
      </c>
      <c r="R70" s="64">
        <f t="shared" ca="1" si="9"/>
        <v>0.2079</v>
      </c>
      <c r="S70" s="61">
        <f t="shared" ca="1" si="10"/>
        <v>9.6000000000000002E-2</v>
      </c>
      <c r="T70" s="64" t="e">
        <f t="shared" ca="1" si="11"/>
        <v>#N/A</v>
      </c>
      <c r="U70" s="64" t="e">
        <f t="shared" ca="1" si="12"/>
        <v>#N/A</v>
      </c>
      <c r="V70" s="64" t="e">
        <f t="shared" ca="1" si="13"/>
        <v>#N/A</v>
      </c>
      <c r="W70" s="61" t="e">
        <f t="shared" ca="1" si="14"/>
        <v>#N/A</v>
      </c>
      <c r="X70" s="61" t="e">
        <f t="shared" ca="1" si="15"/>
        <v>#N/A</v>
      </c>
      <c r="Y70" s="89" t="e">
        <f t="shared" ca="1" si="16"/>
        <v>#N/A</v>
      </c>
      <c r="Z70" s="338" t="e">
        <f ca="1">MAX(一般工址Cs!Z70,'一般工址Cs (II)'!Z70)</f>
        <v>#N/A</v>
      </c>
      <c r="AA70" s="65">
        <f t="shared" ca="1" si="17"/>
        <v>1.1200000000000006</v>
      </c>
      <c r="AB70" s="270" t="e">
        <f t="shared" ca="1" si="18"/>
        <v>#N/A</v>
      </c>
      <c r="AC70" s="59">
        <f t="shared" ca="1" si="19"/>
        <v>0.11811389781538348</v>
      </c>
      <c r="AD70" s="59">
        <f t="shared" ca="1" si="29"/>
        <v>0.11811389781538348</v>
      </c>
      <c r="AE70" s="59">
        <f t="shared" ca="1" si="20"/>
        <v>0.1351222991007987</v>
      </c>
      <c r="AF70" s="59">
        <f t="shared" ca="1" si="21"/>
        <v>0.10809783928063897</v>
      </c>
      <c r="AG70" s="59">
        <f t="shared" ca="1" si="22"/>
        <v>9.0531940397535135E-2</v>
      </c>
      <c r="AH70" s="59">
        <f t="shared" ca="1" si="23"/>
        <v>1.7</v>
      </c>
      <c r="AI70" s="59">
        <f t="shared" ca="1" si="24"/>
        <v>1.112677307539522</v>
      </c>
      <c r="AJ70" s="59">
        <f t="shared" ca="1" si="25"/>
        <v>0.65451606325854239</v>
      </c>
      <c r="AK70" s="59">
        <f t="shared" ca="1" si="30"/>
        <v>0.65451606325854239</v>
      </c>
      <c r="AL70" s="59">
        <f t="shared" ca="1" si="26"/>
        <v>0.10250968247892124</v>
      </c>
      <c r="AM70" s="59">
        <f t="shared" ca="1" si="27"/>
        <v>0.1470791096436696</v>
      </c>
      <c r="AN70" s="59" t="e">
        <f t="shared" ca="1" si="28"/>
        <v>#N/A</v>
      </c>
    </row>
    <row r="71" spans="1:40" ht="16.5">
      <c r="I71" s="338">
        <f ca="1">一般工址Cs!I71</f>
        <v>1.1700000000000006</v>
      </c>
      <c r="J71" s="64" t="e">
        <f t="shared" ca="1" si="1"/>
        <v>#N/A</v>
      </c>
      <c r="K71" s="64" t="e">
        <f t="shared" ca="1" si="2"/>
        <v>#N/A</v>
      </c>
      <c r="L71" s="64" t="e">
        <f t="shared" ca="1" si="3"/>
        <v>#N/A</v>
      </c>
      <c r="M71" s="64" t="e">
        <f t="shared" ca="1" si="4"/>
        <v>#N/A</v>
      </c>
      <c r="N71" s="61" t="e">
        <f t="shared" ca="1" si="5"/>
        <v>#N/A</v>
      </c>
      <c r="O71" s="64">
        <f t="shared" ca="1" si="6"/>
        <v>1.9330000000000001</v>
      </c>
      <c r="P71" s="64">
        <f t="shared" ca="1" si="7"/>
        <v>0.38461538461538441</v>
      </c>
      <c r="Q71" s="64">
        <f t="shared" ca="1" si="8"/>
        <v>0.19900000000000001</v>
      </c>
      <c r="R71" s="64">
        <f t="shared" ca="1" si="9"/>
        <v>0.19900000000000001</v>
      </c>
      <c r="S71" s="61">
        <f t="shared" ca="1" si="10"/>
        <v>9.1999999999999998E-2</v>
      </c>
      <c r="T71" s="64" t="e">
        <f t="shared" ca="1" si="11"/>
        <v>#N/A</v>
      </c>
      <c r="U71" s="64" t="e">
        <f t="shared" ca="1" si="12"/>
        <v>#N/A</v>
      </c>
      <c r="V71" s="64" t="e">
        <f t="shared" ca="1" si="13"/>
        <v>#N/A</v>
      </c>
      <c r="W71" s="61" t="e">
        <f t="shared" ca="1" si="14"/>
        <v>#N/A</v>
      </c>
      <c r="X71" s="61" t="e">
        <f t="shared" ca="1" si="15"/>
        <v>#N/A</v>
      </c>
      <c r="Y71" s="89" t="e">
        <f t="shared" ca="1" si="16"/>
        <v>#N/A</v>
      </c>
      <c r="Z71" s="338" t="e">
        <f ca="1">MAX(一般工址Cs!Z71,'一般工址Cs (II)'!Z71)</f>
        <v>#N/A</v>
      </c>
      <c r="AA71" s="65">
        <f t="shared" ca="1" si="17"/>
        <v>1.1700000000000006</v>
      </c>
      <c r="AB71" s="270" t="e">
        <f t="shared" ca="1" si="18"/>
        <v>#N/A</v>
      </c>
      <c r="AC71" s="59">
        <f t="shared" ca="1" si="19"/>
        <v>0.11556254088025604</v>
      </c>
      <c r="AD71" s="59">
        <f t="shared" ca="1" si="29"/>
        <v>0.11556254088025604</v>
      </c>
      <c r="AE71" s="59">
        <f t="shared" ca="1" si="20"/>
        <v>0.1322035467670129</v>
      </c>
      <c r="AF71" s="59">
        <f t="shared" ca="1" si="21"/>
        <v>0.10576283741361034</v>
      </c>
      <c r="AG71" s="59">
        <f t="shared" ca="1" si="22"/>
        <v>8.8576376333898643E-2</v>
      </c>
      <c r="AH71" s="59">
        <f t="shared" ca="1" si="23"/>
        <v>1.7</v>
      </c>
      <c r="AI71" s="59">
        <f t="shared" ca="1" si="24"/>
        <v>1.0807469159278265</v>
      </c>
      <c r="AJ71" s="59">
        <f t="shared" ca="1" si="25"/>
        <v>0.63573347995754503</v>
      </c>
      <c r="AK71" s="59">
        <f t="shared" ca="1" si="30"/>
        <v>0.63573347995754503</v>
      </c>
      <c r="AL71" s="59">
        <f t="shared" ca="1" si="26"/>
        <v>9.9567972170493596E-2</v>
      </c>
      <c r="AM71" s="59">
        <f t="shared" ca="1" si="27"/>
        <v>0.14285839485331692</v>
      </c>
      <c r="AN71" s="59" t="e">
        <f t="shared" ca="1" si="28"/>
        <v>#N/A</v>
      </c>
    </row>
    <row r="72" spans="1:40" ht="16.5">
      <c r="I72" s="338">
        <f ca="1">一般工址Cs!I72</f>
        <v>1.2200000000000006</v>
      </c>
      <c r="J72" s="64" t="e">
        <f t="shared" ca="1" si="1"/>
        <v>#N/A</v>
      </c>
      <c r="K72" s="64" t="e">
        <f t="shared" ca="1" si="2"/>
        <v>#N/A</v>
      </c>
      <c r="L72" s="64" t="e">
        <f t="shared" ca="1" si="3"/>
        <v>#N/A</v>
      </c>
      <c r="M72" s="64" t="e">
        <f t="shared" ca="1" si="4"/>
        <v>#N/A</v>
      </c>
      <c r="N72" s="61" t="e">
        <f t="shared" ca="1" si="5"/>
        <v>#N/A</v>
      </c>
      <c r="O72" s="64">
        <f t="shared" ca="1" si="6"/>
        <v>1.9330000000000001</v>
      </c>
      <c r="P72" s="64">
        <f t="shared" ca="1" si="7"/>
        <v>0.36885245901639324</v>
      </c>
      <c r="Q72" s="64">
        <f t="shared" ca="1" si="8"/>
        <v>0.1908</v>
      </c>
      <c r="R72" s="64">
        <f t="shared" ca="1" si="9"/>
        <v>0.1908</v>
      </c>
      <c r="S72" s="61">
        <f t="shared" ca="1" si="10"/>
        <v>8.7999999999999995E-2</v>
      </c>
      <c r="T72" s="64" t="e">
        <f t="shared" ca="1" si="11"/>
        <v>#N/A</v>
      </c>
      <c r="U72" s="64" t="e">
        <f t="shared" ca="1" si="12"/>
        <v>#N/A</v>
      </c>
      <c r="V72" s="64" t="e">
        <f t="shared" ca="1" si="13"/>
        <v>#N/A</v>
      </c>
      <c r="W72" s="61" t="e">
        <f t="shared" ca="1" si="14"/>
        <v>#N/A</v>
      </c>
      <c r="X72" s="61" t="e">
        <f t="shared" ca="1" si="15"/>
        <v>#N/A</v>
      </c>
      <c r="Y72" s="89" t="e">
        <f t="shared" ca="1" si="16"/>
        <v>#N/A</v>
      </c>
      <c r="Z72" s="338" t="e">
        <f ca="1">MAX(一般工址Cs!Z72,'一般工址Cs (II)'!Z72)</f>
        <v>#N/A</v>
      </c>
      <c r="AA72" s="65">
        <f t="shared" ca="1" si="17"/>
        <v>1.2200000000000006</v>
      </c>
      <c r="AB72" s="270" t="e">
        <f t="shared" ca="1" si="18"/>
        <v>#N/A</v>
      </c>
      <c r="AC72" s="59">
        <f t="shared" ca="1" si="19"/>
        <v>0.11316968255314815</v>
      </c>
      <c r="AD72" s="59">
        <f t="shared" ca="1" si="29"/>
        <v>0.11316968255314815</v>
      </c>
      <c r="AE72" s="59">
        <f t="shared" ca="1" si="20"/>
        <v>0.12946611684080148</v>
      </c>
      <c r="AF72" s="59">
        <f t="shared" ca="1" si="21"/>
        <v>0.1035728934726412</v>
      </c>
      <c r="AG72" s="59">
        <f t="shared" ca="1" si="22"/>
        <v>8.6742298283336988E-2</v>
      </c>
      <c r="AH72" s="59">
        <f t="shared" ca="1" si="23"/>
        <v>1.7</v>
      </c>
      <c r="AI72" s="59">
        <f t="shared" ca="1" si="24"/>
        <v>1.0510128493267632</v>
      </c>
      <c r="AJ72" s="59">
        <f t="shared" ca="1" si="25"/>
        <v>0.61824285254515488</v>
      </c>
      <c r="AK72" s="59">
        <f t="shared" ca="1" si="30"/>
        <v>0.61824285254515488</v>
      </c>
      <c r="AL72" s="59">
        <f t="shared" ca="1" si="26"/>
        <v>9.6828606762905445E-2</v>
      </c>
      <c r="AM72" s="59">
        <f t="shared" ca="1" si="27"/>
        <v>0.13892800100764696</v>
      </c>
      <c r="AN72" s="59" t="e">
        <f t="shared" ca="1" si="28"/>
        <v>#N/A</v>
      </c>
    </row>
    <row r="73" spans="1:40" ht="16.5">
      <c r="I73" s="338">
        <f ca="1">一般工址Cs!I73</f>
        <v>1.2700000000000007</v>
      </c>
      <c r="J73" s="64" t="e">
        <f t="shared" ca="1" si="1"/>
        <v>#N/A</v>
      </c>
      <c r="K73" s="64" t="e">
        <f t="shared" ca="1" si="2"/>
        <v>#N/A</v>
      </c>
      <c r="L73" s="64" t="e">
        <f t="shared" ca="1" si="3"/>
        <v>#N/A</v>
      </c>
      <c r="M73" s="64" t="e">
        <f t="shared" ca="1" si="4"/>
        <v>#N/A</v>
      </c>
      <c r="N73" s="61" t="e">
        <f t="shared" ca="1" si="5"/>
        <v>#N/A</v>
      </c>
      <c r="O73" s="64">
        <f t="shared" ca="1" si="6"/>
        <v>1.9330000000000001</v>
      </c>
      <c r="P73" s="64">
        <f t="shared" ca="1" si="7"/>
        <v>0.35433070866141714</v>
      </c>
      <c r="Q73" s="64">
        <f t="shared" ca="1" si="8"/>
        <v>0.18329999999999999</v>
      </c>
      <c r="R73" s="64">
        <f t="shared" ca="1" si="9"/>
        <v>0.18329999999999999</v>
      </c>
      <c r="S73" s="61">
        <f t="shared" ca="1" si="10"/>
        <v>8.4000000000000005E-2</v>
      </c>
      <c r="T73" s="64" t="e">
        <f t="shared" ca="1" si="11"/>
        <v>#N/A</v>
      </c>
      <c r="U73" s="64" t="e">
        <f t="shared" ca="1" si="12"/>
        <v>#N/A</v>
      </c>
      <c r="V73" s="64" t="e">
        <f t="shared" ca="1" si="13"/>
        <v>#N/A</v>
      </c>
      <c r="W73" s="61" t="e">
        <f t="shared" ca="1" si="14"/>
        <v>#N/A</v>
      </c>
      <c r="X73" s="61" t="e">
        <f t="shared" ca="1" si="15"/>
        <v>#N/A</v>
      </c>
      <c r="Y73" s="89" t="e">
        <f t="shared" ca="1" si="16"/>
        <v>#N/A</v>
      </c>
      <c r="Z73" s="338" t="e">
        <f ca="1">MAX(一般工址Cs!Z73,'一般工址Cs (II)'!Z73)</f>
        <v>#N/A</v>
      </c>
      <c r="AA73" s="65">
        <f t="shared" ca="1" si="17"/>
        <v>1.2700000000000007</v>
      </c>
      <c r="AB73" s="270" t="e">
        <f t="shared" ca="1" si="18"/>
        <v>#N/A</v>
      </c>
      <c r="AC73" s="59">
        <f t="shared" ca="1" si="19"/>
        <v>0.11091956367701418</v>
      </c>
      <c r="AD73" s="59">
        <f t="shared" ca="1" si="29"/>
        <v>0.11091956367701418</v>
      </c>
      <c r="AE73" s="59">
        <f t="shared" ca="1" si="20"/>
        <v>0.12689198084650422</v>
      </c>
      <c r="AF73" s="59">
        <f t="shared" ca="1" si="21"/>
        <v>0.10151358467720338</v>
      </c>
      <c r="AG73" s="59">
        <f t="shared" ca="1" si="22"/>
        <v>8.5017627167157828E-2</v>
      </c>
      <c r="AH73" s="59">
        <f t="shared" ca="1" si="23"/>
        <v>1.7</v>
      </c>
      <c r="AI73" s="59">
        <f t="shared" ca="1" si="24"/>
        <v>1.0232429601562196</v>
      </c>
      <c r="AJ73" s="59">
        <f t="shared" ca="1" si="25"/>
        <v>0.60190762362130568</v>
      </c>
      <c r="AK73" s="59">
        <f t="shared" ca="1" si="30"/>
        <v>0.60190762362130568</v>
      </c>
      <c r="AL73" s="59">
        <f t="shared" ca="1" si="26"/>
        <v>9.4270198766213079E-2</v>
      </c>
      <c r="AM73" s="59">
        <f t="shared" ca="1" si="27"/>
        <v>0.13525724170804485</v>
      </c>
      <c r="AN73" s="59" t="e">
        <f t="shared" ca="1" si="28"/>
        <v>#N/A</v>
      </c>
    </row>
    <row r="74" spans="1:40" ht="16.5">
      <c r="I74" s="338">
        <f ca="1">一般工址Cs!I74</f>
        <v>1.3200000000000007</v>
      </c>
      <c r="J74" s="64" t="e">
        <f t="shared" ca="1" si="1"/>
        <v>#N/A</v>
      </c>
      <c r="K74" s="64" t="e">
        <f t="shared" ca="1" si="2"/>
        <v>#N/A</v>
      </c>
      <c r="L74" s="64" t="e">
        <f t="shared" ca="1" si="3"/>
        <v>#N/A</v>
      </c>
      <c r="M74" s="64" t="e">
        <f t="shared" ca="1" si="4"/>
        <v>#N/A</v>
      </c>
      <c r="N74" s="61" t="e">
        <f t="shared" ca="1" si="5"/>
        <v>#N/A</v>
      </c>
      <c r="O74" s="64">
        <f t="shared" ca="1" si="6"/>
        <v>1.9330000000000001</v>
      </c>
      <c r="P74" s="64">
        <f t="shared" ca="1" si="7"/>
        <v>0.34090909090909072</v>
      </c>
      <c r="Q74" s="64">
        <f t="shared" ca="1" si="8"/>
        <v>0.1764</v>
      </c>
      <c r="R74" s="64">
        <f t="shared" ca="1" si="9"/>
        <v>0.1764</v>
      </c>
      <c r="S74" s="61">
        <f t="shared" ca="1" si="10"/>
        <v>8.1000000000000003E-2</v>
      </c>
      <c r="T74" s="64" t="e">
        <f t="shared" ca="1" si="11"/>
        <v>#N/A</v>
      </c>
      <c r="U74" s="64" t="e">
        <f t="shared" ca="1" si="12"/>
        <v>#N/A</v>
      </c>
      <c r="V74" s="64" t="e">
        <f t="shared" ca="1" si="13"/>
        <v>#N/A</v>
      </c>
      <c r="W74" s="61" t="e">
        <f t="shared" ca="1" si="14"/>
        <v>#N/A</v>
      </c>
      <c r="X74" s="61" t="e">
        <f t="shared" ca="1" si="15"/>
        <v>#N/A</v>
      </c>
      <c r="Y74" s="89" t="e">
        <f t="shared" ca="1" si="16"/>
        <v>#N/A</v>
      </c>
      <c r="Z74" s="338" t="e">
        <f ca="1">MAX(一般工址Cs!Z74,'一般工址Cs (II)'!Z74)</f>
        <v>#N/A</v>
      </c>
      <c r="AA74" s="65">
        <f t="shared" ca="1" si="17"/>
        <v>1.3200000000000007</v>
      </c>
      <c r="AB74" s="270" t="e">
        <f t="shared" ca="1" si="18"/>
        <v>#N/A</v>
      </c>
      <c r="AC74" s="59">
        <f t="shared" ca="1" si="19"/>
        <v>0.10879853497231111</v>
      </c>
      <c r="AD74" s="59">
        <f t="shared" ca="1" si="29"/>
        <v>0.10879853497231111</v>
      </c>
      <c r="AE74" s="59">
        <f t="shared" ca="1" si="20"/>
        <v>0.12446552400832392</v>
      </c>
      <c r="AF74" s="59">
        <f t="shared" ca="1" si="21"/>
        <v>9.957241920665913E-2</v>
      </c>
      <c r="AG74" s="59">
        <f t="shared" ca="1" si="22"/>
        <v>8.3391901085577022E-2</v>
      </c>
      <c r="AH74" s="59">
        <f t="shared" ca="1" si="23"/>
        <v>1.7</v>
      </c>
      <c r="AI74" s="59">
        <f t="shared" ca="1" si="24"/>
        <v>1</v>
      </c>
      <c r="AJ74" s="59">
        <f t="shared" ca="1" si="25"/>
        <v>0.58823529411764708</v>
      </c>
      <c r="AK74" s="59">
        <f t="shared" ca="1" si="30"/>
        <v>0.58823529411764708</v>
      </c>
      <c r="AL74" s="59">
        <f t="shared" ca="1" si="26"/>
        <v>9.2128851540616258E-2</v>
      </c>
      <c r="AM74" s="59">
        <f t="shared" ca="1" si="27"/>
        <v>0.13218487394957984</v>
      </c>
      <c r="AN74" s="59" t="e">
        <f t="shared" ca="1" si="28"/>
        <v>#N/A</v>
      </c>
    </row>
    <row r="75" spans="1:40" ht="16.5">
      <c r="I75" s="338">
        <f ca="1">一般工址Cs!I75</f>
        <v>1.3700000000000008</v>
      </c>
      <c r="J75" s="64" t="e">
        <f t="shared" ca="1" si="1"/>
        <v>#N/A</v>
      </c>
      <c r="K75" s="64" t="e">
        <f t="shared" ca="1" si="2"/>
        <v>#N/A</v>
      </c>
      <c r="L75" s="64" t="e">
        <f t="shared" ca="1" si="3"/>
        <v>#N/A</v>
      </c>
      <c r="M75" s="64" t="e">
        <f t="shared" ca="1" si="4"/>
        <v>#N/A</v>
      </c>
      <c r="N75" s="61" t="e">
        <f t="shared" ref="N75:N95" ca="1" si="31">ROUND(B$13*M75/1.4/B$14,3)</f>
        <v>#N/A</v>
      </c>
      <c r="O75" s="64">
        <f t="shared" ref="O75:O95" ca="1" si="32">ROUND(IF($I75&gt;=D$19,D$12,IF($I75&gt;=F$19,D$13+(D$12-D$13)*($I75-0.6*D$19)/0.4/D$19,IF($I75&lt;E$19,D$13+(D$13-1)*($I75-E$19)/E$19,D$13))),3)</f>
        <v>1.9330000000000001</v>
      </c>
      <c r="P75" s="64">
        <f t="shared" ref="P75:P95" ca="1" si="33">IF($I75&lt;E$19,ROUND(B$19*(0.4+3*$I75/D$19),3),IF($I75&lt;=D$19,B$19,IF($I75&lt;=2.5*D$19,C$19/$I75,0.4*B$19)))</f>
        <v>0.32846715328467135</v>
      </c>
      <c r="Q75" s="64">
        <f t="shared" ca="1" si="8"/>
        <v>0.1699</v>
      </c>
      <c r="R75" s="64">
        <f t="shared" ca="1" si="9"/>
        <v>0.1699</v>
      </c>
      <c r="S75" s="61">
        <f t="shared" ref="S75:S95" ca="1" si="34">ROUND(B$13*O75*R75/4.2/B$14,3)</f>
        <v>7.8E-2</v>
      </c>
      <c r="T75" s="64" t="e">
        <f t="shared" ref="T75:T95" ca="1" si="35">ROUND(IF($I75&gt;=D$21,B$12,IF($I75&gt;=F$21,D$14+(B$12-D$14)*($I75-0.6*D$21)/0.4/D$21,IF($I75&lt;E$21,D$14+(D$14-1)*($I75-E$21)/E$21,D$14))),3)</f>
        <v>#N/A</v>
      </c>
      <c r="U75" s="64" t="e">
        <f t="shared" ref="U75:U95" ca="1" si="36">IF($I75&lt;E$21,ROUND(B$21*(0.4+3*$I75/D$21),3),IF($I75&lt;=D$21,B$21,IF($I75&lt;=2.5*D$21,C$21/$I75,0.4*B$21)))</f>
        <v>#N/A</v>
      </c>
      <c r="V75" s="64" t="e">
        <f t="shared" ca="1" si="13"/>
        <v>#N/A</v>
      </c>
      <c r="W75" s="61" t="e">
        <f t="shared" ca="1" si="14"/>
        <v>#N/A</v>
      </c>
      <c r="X75" s="61" t="e">
        <f t="shared" ref="X75:X95" ca="1" si="37">ROUND(B$13*W75/1.4/B$14,3)</f>
        <v>#N/A</v>
      </c>
      <c r="Y75" s="89" t="e">
        <f t="shared" ca="1" si="16"/>
        <v>#N/A</v>
      </c>
      <c r="Z75" s="338" t="e">
        <f ca="1">MAX(一般工址Cs!Z75,'一般工址Cs (II)'!Z75)</f>
        <v>#N/A</v>
      </c>
      <c r="AA75" s="65">
        <f t="shared" ref="AA75:AA95" ca="1" si="38">I75</f>
        <v>1.3700000000000008</v>
      </c>
      <c r="AB75" s="270" t="e">
        <f t="shared" ref="AB75:AB95" ca="1" si="39">Z75*T$41</f>
        <v>#N/A</v>
      </c>
      <c r="AC75" s="59">
        <f t="shared" ref="AC75:AC95" ca="1" si="40">1/8/I75^0.5</f>
        <v>0.10679470721459508</v>
      </c>
      <c r="AD75" s="59">
        <f t="shared" ca="1" si="29"/>
        <v>0.10679470721459508</v>
      </c>
      <c r="AE75" s="59">
        <f t="shared" ref="AE75:AE95" ca="1" si="41">$R$5*W$41*$R$11*$AD75*$AG$5</f>
        <v>0.12217314505349677</v>
      </c>
      <c r="AF75" s="59">
        <f t="shared" ref="AF75:AF95" ca="1" si="42">$R$5*X$41*$R$11*$AD75*$AG$5</f>
        <v>9.773851604279743E-2</v>
      </c>
      <c r="AG75" s="59">
        <f t="shared" ref="AG75:AG95" ca="1" si="43">$R$5*Y$41*$R$11*$AD75*$AG$5</f>
        <v>8.1856007185842836E-2</v>
      </c>
      <c r="AH75" s="59">
        <f t="shared" ref="AH75:AH95" ca="1" si="44">IF(I75&gt;0.611,$U$12,IF(I75&gt;0.406,AD$5+($U$12-AD$5)*(I75-0.406)/0.205,IF(I75&gt;0.2,AD$5,IF(I75&gt;0.03,AD$5+(AD$5-1)*(I75-0.2)/0.17,1))))</f>
        <v>1.7</v>
      </c>
      <c r="AI75" s="59">
        <f t="shared" ref="AI75:AI95" ca="1" si="45">IF(I75&lt;T$17,X$17,IF(I75&lt;U$17,Y$17*I75+V$17,IF(I75&lt;Z$17,AA$17,IF(I75&lt;W$17,AB$17/I75^(AC$17),1))))</f>
        <v>1</v>
      </c>
      <c r="AJ75" s="59">
        <f t="shared" ca="1" si="25"/>
        <v>0.58823529411764708</v>
      </c>
      <c r="AK75" s="59">
        <f t="shared" ca="1" si="30"/>
        <v>0.58823529411764708</v>
      </c>
      <c r="AL75" s="59">
        <f t="shared" ca="1" si="26"/>
        <v>9.2128851540616258E-2</v>
      </c>
      <c r="AM75" s="59">
        <f t="shared" ca="1" si="27"/>
        <v>0.13218487394957984</v>
      </c>
      <c r="AN75" s="59" t="e">
        <f t="shared" ca="1" si="28"/>
        <v>#N/A</v>
      </c>
    </row>
    <row r="76" spans="1:40" ht="16.5">
      <c r="I76" s="338">
        <f ca="1">一般工址Cs!I76</f>
        <v>1.4200000000000008</v>
      </c>
      <c r="J76" s="64" t="e">
        <f t="shared" ca="1" si="1"/>
        <v>#N/A</v>
      </c>
      <c r="K76" s="64" t="e">
        <f t="shared" ca="1" si="2"/>
        <v>#N/A</v>
      </c>
      <c r="L76" s="64" t="e">
        <f t="shared" ca="1" si="3"/>
        <v>#N/A</v>
      </c>
      <c r="M76" s="64" t="e">
        <f t="shared" ca="1" si="4"/>
        <v>#N/A</v>
      </c>
      <c r="N76" s="61" t="e">
        <f t="shared" ca="1" si="31"/>
        <v>#N/A</v>
      </c>
      <c r="O76" s="64">
        <f t="shared" ca="1" si="32"/>
        <v>1.9330000000000001</v>
      </c>
      <c r="P76" s="64">
        <f t="shared" ca="1" si="33"/>
        <v>0.32000000000000006</v>
      </c>
      <c r="Q76" s="64">
        <f t="shared" ca="1" si="8"/>
        <v>0.16550000000000001</v>
      </c>
      <c r="R76" s="64">
        <f t="shared" ca="1" si="9"/>
        <v>0.16550000000000001</v>
      </c>
      <c r="S76" s="61">
        <f t="shared" ca="1" si="34"/>
        <v>7.5999999999999998E-2</v>
      </c>
      <c r="T76" s="64" t="e">
        <f t="shared" ca="1" si="35"/>
        <v>#N/A</v>
      </c>
      <c r="U76" s="64" t="e">
        <f t="shared" ca="1" si="36"/>
        <v>#N/A</v>
      </c>
      <c r="V76" s="64" t="e">
        <f t="shared" ca="1" si="13"/>
        <v>#N/A</v>
      </c>
      <c r="W76" s="61" t="e">
        <f t="shared" ca="1" si="14"/>
        <v>#N/A</v>
      </c>
      <c r="X76" s="61" t="e">
        <f t="shared" ca="1" si="37"/>
        <v>#N/A</v>
      </c>
      <c r="Y76" s="89" t="e">
        <f t="shared" ca="1" si="16"/>
        <v>#N/A</v>
      </c>
      <c r="Z76" s="338" t="e">
        <f ca="1">MAX(一般工址Cs!Z76,'一般工址Cs (II)'!Z76)</f>
        <v>#N/A</v>
      </c>
      <c r="AA76" s="65">
        <f t="shared" ca="1" si="38"/>
        <v>1.4200000000000008</v>
      </c>
      <c r="AB76" s="270" t="e">
        <f t="shared" ca="1" si="39"/>
        <v>#N/A</v>
      </c>
      <c r="AC76" s="59">
        <f t="shared" ca="1" si="40"/>
        <v>0.1048976697870861</v>
      </c>
      <c r="AD76" s="59">
        <f t="shared" ca="1" si="29"/>
        <v>0.1048976697870861</v>
      </c>
      <c r="AE76" s="59">
        <f t="shared" ca="1" si="41"/>
        <v>0.12000293423642651</v>
      </c>
      <c r="AF76" s="59">
        <f t="shared" ca="1" si="42"/>
        <v>9.6002347389141221E-2</v>
      </c>
      <c r="AG76" s="59">
        <f t="shared" ca="1" si="43"/>
        <v>8.0401965938405762E-2</v>
      </c>
      <c r="AH76" s="59">
        <f t="shared" ca="1" si="44"/>
        <v>1.7</v>
      </c>
      <c r="AI76" s="59">
        <f t="shared" ca="1" si="45"/>
        <v>1</v>
      </c>
      <c r="AJ76" s="59">
        <f t="shared" ca="1" si="25"/>
        <v>0.58823529411764708</v>
      </c>
      <c r="AK76" s="59">
        <f t="shared" ca="1" si="30"/>
        <v>0.58823529411764708</v>
      </c>
      <c r="AL76" s="59">
        <f t="shared" ca="1" si="26"/>
        <v>9.2128851540616258E-2</v>
      </c>
      <c r="AM76" s="59">
        <f t="shared" ca="1" si="27"/>
        <v>0.13218487394957984</v>
      </c>
      <c r="AN76" s="59" t="e">
        <f t="shared" ca="1" si="28"/>
        <v>#N/A</v>
      </c>
    </row>
    <row r="77" spans="1:40" ht="16.5">
      <c r="A77" s="97"/>
      <c r="B77" s="97"/>
      <c r="C77" s="97"/>
      <c r="D77" s="97"/>
      <c r="E77" s="97"/>
      <c r="F77" s="97"/>
      <c r="I77" s="338">
        <f ca="1">一般工址Cs!I77</f>
        <v>1.4700000000000009</v>
      </c>
      <c r="J77" s="64" t="e">
        <f t="shared" ca="1" si="1"/>
        <v>#N/A</v>
      </c>
      <c r="K77" s="64" t="e">
        <f t="shared" ca="1" si="2"/>
        <v>#N/A</v>
      </c>
      <c r="L77" s="64" t="e">
        <f t="shared" ca="1" si="3"/>
        <v>#N/A</v>
      </c>
      <c r="M77" s="64" t="e">
        <f t="shared" ca="1" si="4"/>
        <v>#N/A</v>
      </c>
      <c r="N77" s="61" t="e">
        <f t="shared" ca="1" si="31"/>
        <v>#N/A</v>
      </c>
      <c r="O77" s="64">
        <f t="shared" ca="1" si="32"/>
        <v>1.9330000000000001</v>
      </c>
      <c r="P77" s="64">
        <f t="shared" ca="1" si="33"/>
        <v>0.32000000000000006</v>
      </c>
      <c r="Q77" s="64">
        <f t="shared" ca="1" si="8"/>
        <v>0.16550000000000001</v>
      </c>
      <c r="R77" s="64">
        <f t="shared" ca="1" si="9"/>
        <v>0.16550000000000001</v>
      </c>
      <c r="S77" s="61">
        <f t="shared" ca="1" si="34"/>
        <v>7.5999999999999998E-2</v>
      </c>
      <c r="T77" s="64" t="e">
        <f t="shared" ca="1" si="35"/>
        <v>#N/A</v>
      </c>
      <c r="U77" s="64" t="e">
        <f t="shared" ca="1" si="36"/>
        <v>#N/A</v>
      </c>
      <c r="V77" s="64" t="e">
        <f t="shared" ca="1" si="13"/>
        <v>#N/A</v>
      </c>
      <c r="W77" s="61" t="e">
        <f t="shared" ca="1" si="14"/>
        <v>#N/A</v>
      </c>
      <c r="X77" s="61" t="e">
        <f t="shared" ca="1" si="37"/>
        <v>#N/A</v>
      </c>
      <c r="Y77" s="89" t="e">
        <f t="shared" ca="1" si="16"/>
        <v>#N/A</v>
      </c>
      <c r="Z77" s="338" t="e">
        <f ca="1">MAX(一般工址Cs!Z77,'一般工址Cs (II)'!Z77)</f>
        <v>#N/A</v>
      </c>
      <c r="AA77" s="65">
        <f t="shared" ca="1" si="38"/>
        <v>1.4700000000000009</v>
      </c>
      <c r="AB77" s="270" t="e">
        <f t="shared" ca="1" si="39"/>
        <v>#N/A</v>
      </c>
      <c r="AC77" s="59">
        <f t="shared" ca="1" si="40"/>
        <v>0.10309826235529029</v>
      </c>
      <c r="AD77" s="59">
        <f t="shared" ca="1" si="29"/>
        <v>0.10309826235529029</v>
      </c>
      <c r="AE77" s="59">
        <f t="shared" ca="1" si="41"/>
        <v>0.1179444121344521</v>
      </c>
      <c r="AF77" s="59">
        <f t="shared" ca="1" si="42"/>
        <v>9.4355529707561683E-2</v>
      </c>
      <c r="AG77" s="59">
        <f t="shared" ca="1" si="43"/>
        <v>7.9022756130082902E-2</v>
      </c>
      <c r="AH77" s="59">
        <f t="shared" ca="1" si="44"/>
        <v>1.7</v>
      </c>
      <c r="AI77" s="59">
        <f t="shared" ca="1" si="45"/>
        <v>1</v>
      </c>
      <c r="AJ77" s="59">
        <f t="shared" ca="1" si="25"/>
        <v>0.58823529411764708</v>
      </c>
      <c r="AK77" s="59">
        <f t="shared" ca="1" si="30"/>
        <v>0.58823529411764708</v>
      </c>
      <c r="AL77" s="59">
        <f t="shared" ca="1" si="26"/>
        <v>9.2128851540616258E-2</v>
      </c>
      <c r="AM77" s="59">
        <f t="shared" ca="1" si="27"/>
        <v>0.13218487394957984</v>
      </c>
      <c r="AN77" s="59" t="e">
        <f t="shared" ca="1" si="28"/>
        <v>#N/A</v>
      </c>
    </row>
    <row r="78" spans="1:40" ht="16.5">
      <c r="I78" s="338">
        <f ca="1">一般工址Cs!I78</f>
        <v>1.5200000000000009</v>
      </c>
      <c r="J78" s="64" t="e">
        <f t="shared" ca="1" si="1"/>
        <v>#N/A</v>
      </c>
      <c r="K78" s="64" t="e">
        <f t="shared" ca="1" si="2"/>
        <v>#N/A</v>
      </c>
      <c r="L78" s="64" t="e">
        <f t="shared" ca="1" si="3"/>
        <v>#N/A</v>
      </c>
      <c r="M78" s="64" t="e">
        <f t="shared" ca="1" si="4"/>
        <v>#N/A</v>
      </c>
      <c r="N78" s="61" t="e">
        <f t="shared" ca="1" si="31"/>
        <v>#N/A</v>
      </c>
      <c r="O78" s="64">
        <f t="shared" ca="1" si="32"/>
        <v>1.9330000000000001</v>
      </c>
      <c r="P78" s="64">
        <f t="shared" ca="1" si="33"/>
        <v>0.32000000000000006</v>
      </c>
      <c r="Q78" s="64">
        <f t="shared" ca="1" si="8"/>
        <v>0.16550000000000001</v>
      </c>
      <c r="R78" s="64">
        <f t="shared" ca="1" si="9"/>
        <v>0.16550000000000001</v>
      </c>
      <c r="S78" s="61">
        <f t="shared" ca="1" si="34"/>
        <v>7.5999999999999998E-2</v>
      </c>
      <c r="T78" s="64" t="e">
        <f t="shared" ca="1" si="35"/>
        <v>#N/A</v>
      </c>
      <c r="U78" s="64" t="e">
        <f t="shared" ca="1" si="36"/>
        <v>#N/A</v>
      </c>
      <c r="V78" s="64" t="e">
        <f t="shared" ca="1" si="13"/>
        <v>#N/A</v>
      </c>
      <c r="W78" s="61" t="e">
        <f t="shared" ca="1" si="14"/>
        <v>#N/A</v>
      </c>
      <c r="X78" s="61" t="e">
        <f t="shared" ca="1" si="37"/>
        <v>#N/A</v>
      </c>
      <c r="Y78" s="89" t="e">
        <f t="shared" ca="1" si="16"/>
        <v>#N/A</v>
      </c>
      <c r="Z78" s="338" t="e">
        <f ca="1">MAX(一般工址Cs!Z78,'一般工址Cs (II)'!Z78)</f>
        <v>#N/A</v>
      </c>
      <c r="AA78" s="65">
        <f t="shared" ca="1" si="38"/>
        <v>1.5200000000000009</v>
      </c>
      <c r="AB78" s="270" t="e">
        <f t="shared" ca="1" si="39"/>
        <v>#N/A</v>
      </c>
      <c r="AC78" s="59">
        <f t="shared" ca="1" si="40"/>
        <v>0.10138838820672655</v>
      </c>
      <c r="AD78" s="59">
        <f t="shared" ca="1" si="29"/>
        <v>0.10138838820672655</v>
      </c>
      <c r="AE78" s="59">
        <f t="shared" ca="1" si="41"/>
        <v>0.11598831610849518</v>
      </c>
      <c r="AF78" s="59">
        <f t="shared" ca="1" si="42"/>
        <v>9.2790652886796152E-2</v>
      </c>
      <c r="AG78" s="59">
        <f t="shared" ca="1" si="43"/>
        <v>7.771217179269177E-2</v>
      </c>
      <c r="AH78" s="59">
        <f t="shared" ca="1" si="44"/>
        <v>1.7</v>
      </c>
      <c r="AI78" s="59">
        <f t="shared" ca="1" si="45"/>
        <v>1</v>
      </c>
      <c r="AJ78" s="59">
        <f t="shared" ca="1" si="25"/>
        <v>0.58823529411764708</v>
      </c>
      <c r="AK78" s="59">
        <f t="shared" ca="1" si="30"/>
        <v>0.58823529411764708</v>
      </c>
      <c r="AL78" s="59">
        <f t="shared" ca="1" si="26"/>
        <v>9.2128851540616258E-2</v>
      </c>
      <c r="AM78" s="59">
        <f t="shared" ca="1" si="27"/>
        <v>0.13218487394957984</v>
      </c>
      <c r="AN78" s="59" t="e">
        <f t="shared" ca="1" si="28"/>
        <v>#N/A</v>
      </c>
    </row>
    <row r="79" spans="1:40" ht="16.5">
      <c r="I79" s="338">
        <f ca="1">一般工址Cs!I79</f>
        <v>1.570000000000001</v>
      </c>
      <c r="J79" s="64" t="e">
        <f t="shared" ca="1" si="1"/>
        <v>#N/A</v>
      </c>
      <c r="K79" s="64" t="e">
        <f t="shared" ca="1" si="2"/>
        <v>#N/A</v>
      </c>
      <c r="L79" s="64" t="e">
        <f t="shared" ca="1" si="3"/>
        <v>#N/A</v>
      </c>
      <c r="M79" s="64" t="e">
        <f t="shared" ca="1" si="4"/>
        <v>#N/A</v>
      </c>
      <c r="N79" s="61" t="e">
        <f t="shared" ca="1" si="31"/>
        <v>#N/A</v>
      </c>
      <c r="O79" s="64">
        <f t="shared" ca="1" si="32"/>
        <v>1.9330000000000001</v>
      </c>
      <c r="P79" s="64">
        <f t="shared" ca="1" si="33"/>
        <v>0.32000000000000006</v>
      </c>
      <c r="Q79" s="64">
        <f t="shared" ca="1" si="8"/>
        <v>0.16550000000000001</v>
      </c>
      <c r="R79" s="64">
        <f t="shared" ca="1" si="9"/>
        <v>0.16550000000000001</v>
      </c>
      <c r="S79" s="61">
        <f t="shared" ca="1" si="34"/>
        <v>7.5999999999999998E-2</v>
      </c>
      <c r="T79" s="64" t="e">
        <f t="shared" ca="1" si="35"/>
        <v>#N/A</v>
      </c>
      <c r="U79" s="64" t="e">
        <f t="shared" ca="1" si="36"/>
        <v>#N/A</v>
      </c>
      <c r="V79" s="64" t="e">
        <f t="shared" ca="1" si="13"/>
        <v>#N/A</v>
      </c>
      <c r="W79" s="61" t="e">
        <f t="shared" ca="1" si="14"/>
        <v>#N/A</v>
      </c>
      <c r="X79" s="61" t="e">
        <f t="shared" ca="1" si="37"/>
        <v>#N/A</v>
      </c>
      <c r="Y79" s="89" t="e">
        <f t="shared" ca="1" si="16"/>
        <v>#N/A</v>
      </c>
      <c r="Z79" s="338" t="e">
        <f ca="1">MAX(一般工址Cs!Z79,'一般工址Cs (II)'!Z79)</f>
        <v>#N/A</v>
      </c>
      <c r="AA79" s="65">
        <f t="shared" ca="1" si="38"/>
        <v>1.570000000000001</v>
      </c>
      <c r="AB79" s="270" t="e">
        <f t="shared" ca="1" si="39"/>
        <v>#N/A</v>
      </c>
      <c r="AC79" s="59">
        <f t="shared" ca="1" si="40"/>
        <v>9.9760860558452735E-2</v>
      </c>
      <c r="AD79" s="59">
        <f t="shared" ca="1" si="29"/>
        <v>9.9760860558452735E-2</v>
      </c>
      <c r="AE79" s="59">
        <f t="shared" ca="1" si="41"/>
        <v>0.11412642447886993</v>
      </c>
      <c r="AF79" s="59">
        <f t="shared" ca="1" si="42"/>
        <v>9.130113958309595E-2</v>
      </c>
      <c r="AG79" s="59">
        <f t="shared" ca="1" si="43"/>
        <v>7.6464704400842853E-2</v>
      </c>
      <c r="AH79" s="59">
        <f t="shared" ca="1" si="44"/>
        <v>1.7</v>
      </c>
      <c r="AI79" s="59">
        <f t="shared" ca="1" si="45"/>
        <v>1</v>
      </c>
      <c r="AJ79" s="59">
        <f t="shared" ca="1" si="25"/>
        <v>0.58823529411764708</v>
      </c>
      <c r="AK79" s="59">
        <f t="shared" ca="1" si="30"/>
        <v>0.58823529411764708</v>
      </c>
      <c r="AL79" s="59">
        <f t="shared" ca="1" si="26"/>
        <v>9.2128851540616258E-2</v>
      </c>
      <c r="AM79" s="59">
        <f t="shared" ca="1" si="27"/>
        <v>0.13218487394957984</v>
      </c>
      <c r="AN79" s="59" t="e">
        <f t="shared" ca="1" si="28"/>
        <v>#N/A</v>
      </c>
    </row>
    <row r="80" spans="1:40" ht="16.5">
      <c r="A80" s="97"/>
      <c r="B80" s="97"/>
      <c r="C80" s="97"/>
      <c r="D80" s="97"/>
      <c r="E80" s="97"/>
      <c r="F80" s="97"/>
      <c r="I80" s="338">
        <f ca="1">一般工址Cs!I80</f>
        <v>1.620000000000001</v>
      </c>
      <c r="J80" s="64" t="e">
        <f t="shared" ca="1" si="1"/>
        <v>#N/A</v>
      </c>
      <c r="K80" s="64" t="e">
        <f t="shared" ca="1" si="2"/>
        <v>#N/A</v>
      </c>
      <c r="L80" s="64" t="e">
        <f t="shared" ca="1" si="3"/>
        <v>#N/A</v>
      </c>
      <c r="M80" s="64" t="e">
        <f t="shared" ca="1" si="4"/>
        <v>#N/A</v>
      </c>
      <c r="N80" s="61" t="e">
        <f t="shared" ca="1" si="31"/>
        <v>#N/A</v>
      </c>
      <c r="O80" s="64">
        <f t="shared" ca="1" si="32"/>
        <v>1.9330000000000001</v>
      </c>
      <c r="P80" s="64">
        <f t="shared" ca="1" si="33"/>
        <v>0.32000000000000006</v>
      </c>
      <c r="Q80" s="64">
        <f t="shared" ca="1" si="8"/>
        <v>0.16550000000000001</v>
      </c>
      <c r="R80" s="64">
        <f t="shared" ca="1" si="9"/>
        <v>0.16550000000000001</v>
      </c>
      <c r="S80" s="61">
        <f t="shared" ca="1" si="34"/>
        <v>7.5999999999999998E-2</v>
      </c>
      <c r="T80" s="64" t="e">
        <f t="shared" ca="1" si="35"/>
        <v>#N/A</v>
      </c>
      <c r="U80" s="64" t="e">
        <f t="shared" ca="1" si="36"/>
        <v>#N/A</v>
      </c>
      <c r="V80" s="64" t="e">
        <f t="shared" ca="1" si="13"/>
        <v>#N/A</v>
      </c>
      <c r="W80" s="61" t="e">
        <f t="shared" ca="1" si="14"/>
        <v>#N/A</v>
      </c>
      <c r="X80" s="61" t="e">
        <f t="shared" ca="1" si="37"/>
        <v>#N/A</v>
      </c>
      <c r="Y80" s="89" t="e">
        <f t="shared" ca="1" si="16"/>
        <v>#N/A</v>
      </c>
      <c r="Z80" s="338" t="e">
        <f ca="1">MAX(一般工址Cs!Z80,'一般工址Cs (II)'!Z80)</f>
        <v>#N/A</v>
      </c>
      <c r="AA80" s="65">
        <f t="shared" ca="1" si="38"/>
        <v>1.620000000000001</v>
      </c>
      <c r="AB80" s="270" t="e">
        <f t="shared" ca="1" si="39"/>
        <v>#N/A</v>
      </c>
      <c r="AC80" s="59">
        <f t="shared" ca="1" si="40"/>
        <v>9.8209275164798243E-2</v>
      </c>
      <c r="AD80" s="59">
        <f t="shared" ca="1" si="29"/>
        <v>9.8209275164798243E-2</v>
      </c>
      <c r="AE80" s="59">
        <f t="shared" ca="1" si="41"/>
        <v>0.11235141078852919</v>
      </c>
      <c r="AF80" s="59">
        <f t="shared" ca="1" si="42"/>
        <v>8.9881128630823356E-2</v>
      </c>
      <c r="AG80" s="59">
        <f t="shared" ca="1" si="43"/>
        <v>7.5275445228314558E-2</v>
      </c>
      <c r="AH80" s="59">
        <f t="shared" ca="1" si="44"/>
        <v>1.7</v>
      </c>
      <c r="AI80" s="59">
        <f t="shared" ca="1" si="45"/>
        <v>1</v>
      </c>
      <c r="AJ80" s="59">
        <f t="shared" ca="1" si="25"/>
        <v>0.58823529411764708</v>
      </c>
      <c r="AK80" s="59">
        <f t="shared" ca="1" si="30"/>
        <v>0.58823529411764708</v>
      </c>
      <c r="AL80" s="59">
        <f t="shared" ca="1" si="26"/>
        <v>9.2128851540616258E-2</v>
      </c>
      <c r="AM80" s="59">
        <f t="shared" ca="1" si="27"/>
        <v>0.13218487394957984</v>
      </c>
      <c r="AN80" s="59" t="e">
        <f t="shared" ca="1" si="28"/>
        <v>#N/A</v>
      </c>
    </row>
    <row r="81" spans="8:40" ht="16.5">
      <c r="I81" s="338">
        <f ca="1">一般工址Cs!I81</f>
        <v>1.670000000000001</v>
      </c>
      <c r="J81" s="64" t="e">
        <f t="shared" ca="1" si="1"/>
        <v>#N/A</v>
      </c>
      <c r="K81" s="64" t="e">
        <f t="shared" ca="1" si="2"/>
        <v>#N/A</v>
      </c>
      <c r="L81" s="64" t="e">
        <f t="shared" ca="1" si="3"/>
        <v>#N/A</v>
      </c>
      <c r="M81" s="64" t="e">
        <f t="shared" ca="1" si="4"/>
        <v>#N/A</v>
      </c>
      <c r="N81" s="61" t="e">
        <f t="shared" ca="1" si="31"/>
        <v>#N/A</v>
      </c>
      <c r="O81" s="64">
        <f t="shared" ca="1" si="32"/>
        <v>1.9330000000000001</v>
      </c>
      <c r="P81" s="64">
        <f t="shared" ca="1" si="33"/>
        <v>0.32000000000000006</v>
      </c>
      <c r="Q81" s="64">
        <f t="shared" ca="1" si="8"/>
        <v>0.16550000000000001</v>
      </c>
      <c r="R81" s="64">
        <f t="shared" ca="1" si="9"/>
        <v>0.16550000000000001</v>
      </c>
      <c r="S81" s="61">
        <f t="shared" ca="1" si="34"/>
        <v>7.5999999999999998E-2</v>
      </c>
      <c r="T81" s="64" t="e">
        <f t="shared" ca="1" si="35"/>
        <v>#N/A</v>
      </c>
      <c r="U81" s="64" t="e">
        <f t="shared" ca="1" si="36"/>
        <v>#N/A</v>
      </c>
      <c r="V81" s="64" t="e">
        <f t="shared" ca="1" si="13"/>
        <v>#N/A</v>
      </c>
      <c r="W81" s="61" t="e">
        <f t="shared" ca="1" si="14"/>
        <v>#N/A</v>
      </c>
      <c r="X81" s="61" t="e">
        <f t="shared" ca="1" si="37"/>
        <v>#N/A</v>
      </c>
      <c r="Y81" s="89" t="e">
        <f t="shared" ca="1" si="16"/>
        <v>#N/A</v>
      </c>
      <c r="Z81" s="338" t="e">
        <f ca="1">MAX(一般工址Cs!Z81,'一般工址Cs (II)'!Z81)</f>
        <v>#N/A</v>
      </c>
      <c r="AA81" s="65">
        <f t="shared" ca="1" si="38"/>
        <v>1.670000000000001</v>
      </c>
      <c r="AB81" s="270" t="e">
        <f t="shared" ca="1" si="39"/>
        <v>#N/A</v>
      </c>
      <c r="AC81" s="59">
        <f t="shared" ca="1" si="40"/>
        <v>9.6727904066767081E-2</v>
      </c>
      <c r="AD81" s="59">
        <f t="shared" ca="1" si="29"/>
        <v>9.6727904066767081E-2</v>
      </c>
      <c r="AE81" s="59">
        <f t="shared" ca="1" si="41"/>
        <v>0.11065672225238155</v>
      </c>
      <c r="AF81" s="59">
        <f t="shared" ca="1" si="42"/>
        <v>8.8525377801905239E-2</v>
      </c>
      <c r="AG81" s="59">
        <f t="shared" ca="1" si="43"/>
        <v>7.4140003909095642E-2</v>
      </c>
      <c r="AH81" s="59">
        <f t="shared" ca="1" si="44"/>
        <v>1.7</v>
      </c>
      <c r="AI81" s="59">
        <f t="shared" ca="1" si="45"/>
        <v>1</v>
      </c>
      <c r="AJ81" s="59">
        <f t="shared" ca="1" si="25"/>
        <v>0.58823529411764708</v>
      </c>
      <c r="AK81" s="59">
        <f t="shared" ca="1" si="30"/>
        <v>0.58823529411764708</v>
      </c>
      <c r="AL81" s="59">
        <f t="shared" ca="1" si="26"/>
        <v>9.2128851540616258E-2</v>
      </c>
      <c r="AM81" s="59">
        <f t="shared" ca="1" si="27"/>
        <v>0.13218487394957984</v>
      </c>
      <c r="AN81" s="59" t="e">
        <f t="shared" ca="1" si="28"/>
        <v>#N/A</v>
      </c>
    </row>
    <row r="82" spans="8:40" ht="16.5">
      <c r="I82" s="338">
        <f ca="1">一般工址Cs!I82</f>
        <v>1.7200000000000011</v>
      </c>
      <c r="J82" s="64" t="e">
        <f t="shared" ca="1" si="1"/>
        <v>#N/A</v>
      </c>
      <c r="K82" s="64" t="e">
        <f t="shared" ca="1" si="2"/>
        <v>#N/A</v>
      </c>
      <c r="L82" s="64" t="e">
        <f t="shared" ca="1" si="3"/>
        <v>#N/A</v>
      </c>
      <c r="M82" s="64" t="e">
        <f t="shared" ca="1" si="4"/>
        <v>#N/A</v>
      </c>
      <c r="N82" s="61" t="e">
        <f t="shared" ca="1" si="31"/>
        <v>#N/A</v>
      </c>
      <c r="O82" s="64">
        <f t="shared" ca="1" si="32"/>
        <v>1.9330000000000001</v>
      </c>
      <c r="P82" s="64">
        <f t="shared" ca="1" si="33"/>
        <v>0.32000000000000006</v>
      </c>
      <c r="Q82" s="64">
        <f t="shared" ca="1" si="8"/>
        <v>0.16550000000000001</v>
      </c>
      <c r="R82" s="64">
        <f t="shared" ca="1" si="9"/>
        <v>0.16550000000000001</v>
      </c>
      <c r="S82" s="61">
        <f t="shared" ca="1" si="34"/>
        <v>7.5999999999999998E-2</v>
      </c>
      <c r="T82" s="64" t="e">
        <f t="shared" ca="1" si="35"/>
        <v>#N/A</v>
      </c>
      <c r="U82" s="64" t="e">
        <f t="shared" ca="1" si="36"/>
        <v>#N/A</v>
      </c>
      <c r="V82" s="64" t="e">
        <f t="shared" ca="1" si="13"/>
        <v>#N/A</v>
      </c>
      <c r="W82" s="61" t="e">
        <f t="shared" ca="1" si="14"/>
        <v>#N/A</v>
      </c>
      <c r="X82" s="61" t="e">
        <f t="shared" ca="1" si="37"/>
        <v>#N/A</v>
      </c>
      <c r="Y82" s="89" t="e">
        <f t="shared" ca="1" si="16"/>
        <v>#N/A</v>
      </c>
      <c r="Z82" s="338" t="e">
        <f ca="1">MAX(一般工址Cs!Z82,'一般工址Cs (II)'!Z82)</f>
        <v>#N/A</v>
      </c>
      <c r="AA82" s="65">
        <f t="shared" ca="1" si="38"/>
        <v>1.7200000000000011</v>
      </c>
      <c r="AB82" s="270" t="e">
        <f t="shared" ca="1" si="39"/>
        <v>#N/A</v>
      </c>
      <c r="AC82" s="59">
        <f t="shared" ca="1" si="40"/>
        <v>9.5311606457877882E-2</v>
      </c>
      <c r="AD82" s="59">
        <f t="shared" ca="1" si="29"/>
        <v>9.5311606457877882E-2</v>
      </c>
      <c r="AE82" s="59">
        <f t="shared" ca="1" si="41"/>
        <v>0.10903647778781229</v>
      </c>
      <c r="AF82" s="59">
        <f t="shared" ca="1" si="42"/>
        <v>8.7229182230249849E-2</v>
      </c>
      <c r="AG82" s="59">
        <f t="shared" ca="1" si="43"/>
        <v>7.3054440117834241E-2</v>
      </c>
      <c r="AH82" s="59">
        <f t="shared" ca="1" si="44"/>
        <v>1.7</v>
      </c>
      <c r="AI82" s="59">
        <f t="shared" ca="1" si="45"/>
        <v>1</v>
      </c>
      <c r="AJ82" s="59">
        <f t="shared" ca="1" si="25"/>
        <v>0.58823529411764708</v>
      </c>
      <c r="AK82" s="59">
        <f t="shared" ca="1" si="30"/>
        <v>0.58823529411764708</v>
      </c>
      <c r="AL82" s="59">
        <f t="shared" ca="1" si="26"/>
        <v>9.2128851540616258E-2</v>
      </c>
      <c r="AM82" s="59">
        <f t="shared" ca="1" si="27"/>
        <v>0.13218487394957984</v>
      </c>
      <c r="AN82" s="59" t="e">
        <f t="shared" ca="1" si="28"/>
        <v>#N/A</v>
      </c>
    </row>
    <row r="83" spans="8:40" ht="16.5">
      <c r="I83" s="338">
        <f ca="1">一般工址Cs!I83</f>
        <v>1.7700000000000011</v>
      </c>
      <c r="J83" s="64" t="e">
        <f t="shared" ca="1" si="1"/>
        <v>#N/A</v>
      </c>
      <c r="K83" s="64" t="e">
        <f t="shared" ca="1" si="2"/>
        <v>#N/A</v>
      </c>
      <c r="L83" s="64" t="e">
        <f t="shared" ca="1" si="3"/>
        <v>#N/A</v>
      </c>
      <c r="M83" s="64" t="e">
        <f t="shared" ca="1" si="4"/>
        <v>#N/A</v>
      </c>
      <c r="N83" s="61" t="e">
        <f t="shared" ca="1" si="31"/>
        <v>#N/A</v>
      </c>
      <c r="O83" s="64">
        <f t="shared" ca="1" si="32"/>
        <v>1.9330000000000001</v>
      </c>
      <c r="P83" s="64">
        <f t="shared" ca="1" si="33"/>
        <v>0.32000000000000006</v>
      </c>
      <c r="Q83" s="64">
        <f t="shared" ca="1" si="8"/>
        <v>0.16550000000000001</v>
      </c>
      <c r="R83" s="64">
        <f t="shared" ca="1" si="9"/>
        <v>0.16550000000000001</v>
      </c>
      <c r="S83" s="61">
        <f t="shared" ca="1" si="34"/>
        <v>7.5999999999999998E-2</v>
      </c>
      <c r="T83" s="64" t="e">
        <f t="shared" ca="1" si="35"/>
        <v>#N/A</v>
      </c>
      <c r="U83" s="64" t="e">
        <f t="shared" ca="1" si="36"/>
        <v>#N/A</v>
      </c>
      <c r="V83" s="64" t="e">
        <f t="shared" ca="1" si="13"/>
        <v>#N/A</v>
      </c>
      <c r="W83" s="61" t="e">
        <f t="shared" ca="1" si="14"/>
        <v>#N/A</v>
      </c>
      <c r="X83" s="61" t="e">
        <f t="shared" ca="1" si="37"/>
        <v>#N/A</v>
      </c>
      <c r="Y83" s="89" t="e">
        <f t="shared" ca="1" si="16"/>
        <v>#N/A</v>
      </c>
      <c r="Z83" s="338" t="e">
        <f ca="1">MAX(一般工址Cs!Z83,'一般工址Cs (II)'!Z83)</f>
        <v>#N/A</v>
      </c>
      <c r="AA83" s="65">
        <f t="shared" ca="1" si="38"/>
        <v>1.7700000000000011</v>
      </c>
      <c r="AB83" s="270" t="e">
        <f t="shared" ca="1" si="39"/>
        <v>#N/A</v>
      </c>
      <c r="AC83" s="59">
        <f t="shared" ca="1" si="40"/>
        <v>9.3955753500353581E-2</v>
      </c>
      <c r="AD83" s="59">
        <f t="shared" ca="1" si="29"/>
        <v>9.3955753500353581E-2</v>
      </c>
      <c r="AE83" s="59">
        <f t="shared" ca="1" si="41"/>
        <v>0.10748538200440449</v>
      </c>
      <c r="AF83" s="59">
        <f t="shared" ca="1" si="42"/>
        <v>8.5988305603523607E-2</v>
      </c>
      <c r="AG83" s="59">
        <f t="shared" ca="1" si="43"/>
        <v>7.2015205942951008E-2</v>
      </c>
      <c r="AH83" s="59">
        <f t="shared" ca="1" si="44"/>
        <v>1.7</v>
      </c>
      <c r="AI83" s="59">
        <f t="shared" ca="1" si="45"/>
        <v>1</v>
      </c>
      <c r="AJ83" s="59">
        <f t="shared" ca="1" si="25"/>
        <v>0.58823529411764708</v>
      </c>
      <c r="AK83" s="59">
        <f t="shared" ca="1" si="30"/>
        <v>0.58823529411764708</v>
      </c>
      <c r="AL83" s="59">
        <f t="shared" ca="1" si="26"/>
        <v>9.2128851540616258E-2</v>
      </c>
      <c r="AM83" s="59">
        <f t="shared" ca="1" si="27"/>
        <v>0.13218487394957984</v>
      </c>
      <c r="AN83" s="59" t="e">
        <f t="shared" ca="1" si="28"/>
        <v>#N/A</v>
      </c>
    </row>
    <row r="84" spans="8:40" ht="16.5">
      <c r="I84" s="338">
        <f ca="1">一般工址Cs!I84</f>
        <v>1.8200000000000012</v>
      </c>
      <c r="J84" s="64" t="e">
        <f t="shared" ca="1" si="1"/>
        <v>#N/A</v>
      </c>
      <c r="K84" s="64" t="e">
        <f t="shared" ca="1" si="2"/>
        <v>#N/A</v>
      </c>
      <c r="L84" s="64" t="e">
        <f t="shared" ca="1" si="3"/>
        <v>#N/A</v>
      </c>
      <c r="M84" s="64" t="e">
        <f t="shared" ca="1" si="4"/>
        <v>#N/A</v>
      </c>
      <c r="N84" s="61" t="e">
        <f t="shared" ca="1" si="31"/>
        <v>#N/A</v>
      </c>
      <c r="O84" s="64">
        <f t="shared" ca="1" si="32"/>
        <v>1.9330000000000001</v>
      </c>
      <c r="P84" s="64">
        <f t="shared" ca="1" si="33"/>
        <v>0.32000000000000006</v>
      </c>
      <c r="Q84" s="64">
        <f t="shared" ca="1" si="8"/>
        <v>0.16550000000000001</v>
      </c>
      <c r="R84" s="64">
        <f t="shared" ca="1" si="9"/>
        <v>0.16550000000000001</v>
      </c>
      <c r="S84" s="61">
        <f t="shared" ca="1" si="34"/>
        <v>7.5999999999999998E-2</v>
      </c>
      <c r="T84" s="64" t="e">
        <f t="shared" ca="1" si="35"/>
        <v>#N/A</v>
      </c>
      <c r="U84" s="64" t="e">
        <f t="shared" ca="1" si="36"/>
        <v>#N/A</v>
      </c>
      <c r="V84" s="64" t="e">
        <f t="shared" ca="1" si="13"/>
        <v>#N/A</v>
      </c>
      <c r="W84" s="61" t="e">
        <f t="shared" ca="1" si="14"/>
        <v>#N/A</v>
      </c>
      <c r="X84" s="61" t="e">
        <f t="shared" ca="1" si="37"/>
        <v>#N/A</v>
      </c>
      <c r="Y84" s="89" t="e">
        <f t="shared" ca="1" si="16"/>
        <v>#N/A</v>
      </c>
      <c r="Z84" s="338" t="e">
        <f ca="1">MAX(一般工址Cs!Z84,'一般工址Cs (II)'!Z84)</f>
        <v>#N/A</v>
      </c>
      <c r="AA84" s="65">
        <f t="shared" ca="1" si="38"/>
        <v>1.8200000000000012</v>
      </c>
      <c r="AB84" s="270" t="e">
        <f t="shared" ca="1" si="39"/>
        <v>#N/A</v>
      </c>
      <c r="AC84" s="59">
        <f t="shared" ca="1" si="40"/>
        <v>9.2656164582637618E-2</v>
      </c>
      <c r="AD84" s="59">
        <f t="shared" ca="1" si="29"/>
        <v>9.2656164582637618E-2</v>
      </c>
      <c r="AE84" s="59">
        <f t="shared" ca="1" si="41"/>
        <v>0.10599865228253744</v>
      </c>
      <c r="AF84" s="59">
        <f t="shared" ca="1" si="42"/>
        <v>8.4798921826029952E-2</v>
      </c>
      <c r="AG84" s="59">
        <f t="shared" ca="1" si="43"/>
        <v>7.101909702930008E-2</v>
      </c>
      <c r="AH84" s="59">
        <f t="shared" ca="1" si="44"/>
        <v>1.7</v>
      </c>
      <c r="AI84" s="59">
        <f t="shared" ca="1" si="45"/>
        <v>1</v>
      </c>
      <c r="AJ84" s="59">
        <f t="shared" ca="1" si="25"/>
        <v>0.58823529411764708</v>
      </c>
      <c r="AK84" s="59">
        <f t="shared" ca="1" si="30"/>
        <v>0.58823529411764708</v>
      </c>
      <c r="AL84" s="59">
        <f t="shared" ca="1" si="26"/>
        <v>9.2128851540616258E-2</v>
      </c>
      <c r="AM84" s="59">
        <f t="shared" ca="1" si="27"/>
        <v>0.13218487394957984</v>
      </c>
      <c r="AN84" s="59" t="e">
        <f t="shared" ca="1" si="28"/>
        <v>#N/A</v>
      </c>
    </row>
    <row r="85" spans="8:40" ht="16.5">
      <c r="I85" s="338">
        <f ca="1">一般工址Cs!I85</f>
        <v>1.8700000000000012</v>
      </c>
      <c r="J85" s="64" t="e">
        <f t="shared" ca="1" si="1"/>
        <v>#N/A</v>
      </c>
      <c r="K85" s="64" t="e">
        <f t="shared" ca="1" si="2"/>
        <v>#N/A</v>
      </c>
      <c r="L85" s="64" t="e">
        <f t="shared" ca="1" si="3"/>
        <v>#N/A</v>
      </c>
      <c r="M85" s="64" t="e">
        <f t="shared" ca="1" si="4"/>
        <v>#N/A</v>
      </c>
      <c r="N85" s="61" t="e">
        <f t="shared" ca="1" si="31"/>
        <v>#N/A</v>
      </c>
      <c r="O85" s="64">
        <f t="shared" ca="1" si="32"/>
        <v>1.9330000000000001</v>
      </c>
      <c r="P85" s="64">
        <f t="shared" ca="1" si="33"/>
        <v>0.32000000000000006</v>
      </c>
      <c r="Q85" s="64">
        <f t="shared" ca="1" si="8"/>
        <v>0.16550000000000001</v>
      </c>
      <c r="R85" s="64">
        <f t="shared" ca="1" si="9"/>
        <v>0.16550000000000001</v>
      </c>
      <c r="S85" s="61">
        <f t="shared" ca="1" si="34"/>
        <v>7.5999999999999998E-2</v>
      </c>
      <c r="T85" s="64" t="e">
        <f t="shared" ca="1" si="35"/>
        <v>#N/A</v>
      </c>
      <c r="U85" s="64" t="e">
        <f t="shared" ca="1" si="36"/>
        <v>#N/A</v>
      </c>
      <c r="V85" s="64" t="e">
        <f t="shared" ca="1" si="13"/>
        <v>#N/A</v>
      </c>
      <c r="W85" s="61" t="e">
        <f t="shared" ca="1" si="14"/>
        <v>#N/A</v>
      </c>
      <c r="X85" s="61" t="e">
        <f t="shared" ca="1" si="37"/>
        <v>#N/A</v>
      </c>
      <c r="Y85" s="89" t="e">
        <f t="shared" ca="1" si="16"/>
        <v>#N/A</v>
      </c>
      <c r="Z85" s="338" t="e">
        <f ca="1">MAX(一般工址Cs!Z85,'一般工址Cs (II)'!Z85)</f>
        <v>#N/A</v>
      </c>
      <c r="AA85" s="65">
        <f t="shared" ca="1" si="38"/>
        <v>1.8700000000000012</v>
      </c>
      <c r="AB85" s="270" t="e">
        <f t="shared" ca="1" si="39"/>
        <v>#N/A</v>
      </c>
      <c r="AC85" s="59">
        <f t="shared" ca="1" si="40"/>
        <v>9.1409053015891306E-2</v>
      </c>
      <c r="AD85" s="59">
        <f t="shared" ca="1" si="29"/>
        <v>9.1409053015891306E-2</v>
      </c>
      <c r="AE85" s="59">
        <f t="shared" ca="1" si="41"/>
        <v>0.10457195665017967</v>
      </c>
      <c r="AF85" s="59">
        <f t="shared" ca="1" si="42"/>
        <v>8.3657565320143734E-2</v>
      </c>
      <c r="AG85" s="59">
        <f t="shared" ca="1" si="43"/>
        <v>7.0063210955620361E-2</v>
      </c>
      <c r="AH85" s="59">
        <f t="shared" ca="1" si="44"/>
        <v>1.7</v>
      </c>
      <c r="AI85" s="59">
        <f t="shared" ca="1" si="45"/>
        <v>1</v>
      </c>
      <c r="AJ85" s="59">
        <f t="shared" ca="1" si="25"/>
        <v>0.58823529411764708</v>
      </c>
      <c r="AK85" s="59">
        <f t="shared" ca="1" si="30"/>
        <v>0.58823529411764708</v>
      </c>
      <c r="AL85" s="59">
        <f t="shared" ca="1" si="26"/>
        <v>9.2128851540616258E-2</v>
      </c>
      <c r="AM85" s="59">
        <f t="shared" ca="1" si="27"/>
        <v>0.13218487394957984</v>
      </c>
      <c r="AN85" s="59" t="e">
        <f t="shared" ca="1" si="28"/>
        <v>#N/A</v>
      </c>
    </row>
    <row r="86" spans="8:40" ht="16.5">
      <c r="I86" s="338">
        <f ca="1">一般工址Cs!I86</f>
        <v>1.9200000000000013</v>
      </c>
      <c r="J86" s="64" t="e">
        <f t="shared" ca="1" si="1"/>
        <v>#N/A</v>
      </c>
      <c r="K86" s="64" t="e">
        <f t="shared" ca="1" si="2"/>
        <v>#N/A</v>
      </c>
      <c r="L86" s="64" t="e">
        <f t="shared" ca="1" si="3"/>
        <v>#N/A</v>
      </c>
      <c r="M86" s="64" t="e">
        <f t="shared" ca="1" si="4"/>
        <v>#N/A</v>
      </c>
      <c r="N86" s="61" t="e">
        <f t="shared" ca="1" si="31"/>
        <v>#N/A</v>
      </c>
      <c r="O86" s="64">
        <f t="shared" ca="1" si="32"/>
        <v>1.9330000000000001</v>
      </c>
      <c r="P86" s="64">
        <f t="shared" ca="1" si="33"/>
        <v>0.32000000000000006</v>
      </c>
      <c r="Q86" s="64">
        <f t="shared" ca="1" si="8"/>
        <v>0.16550000000000001</v>
      </c>
      <c r="R86" s="64">
        <f t="shared" ca="1" si="9"/>
        <v>0.16550000000000001</v>
      </c>
      <c r="S86" s="61">
        <f t="shared" ca="1" si="34"/>
        <v>7.5999999999999998E-2</v>
      </c>
      <c r="T86" s="64" t="e">
        <f t="shared" ca="1" si="35"/>
        <v>#N/A</v>
      </c>
      <c r="U86" s="64" t="e">
        <f t="shared" ca="1" si="36"/>
        <v>#N/A</v>
      </c>
      <c r="V86" s="64" t="e">
        <f t="shared" ca="1" si="13"/>
        <v>#N/A</v>
      </c>
      <c r="W86" s="61" t="e">
        <f t="shared" ca="1" si="14"/>
        <v>#N/A</v>
      </c>
      <c r="X86" s="61" t="e">
        <f t="shared" ca="1" si="37"/>
        <v>#N/A</v>
      </c>
      <c r="Y86" s="89" t="e">
        <f t="shared" ca="1" si="16"/>
        <v>#N/A</v>
      </c>
      <c r="Z86" s="338" t="e">
        <f ca="1">MAX(一般工址Cs!Z86,'一般工址Cs (II)'!Z86)</f>
        <v>#N/A</v>
      </c>
      <c r="AA86" s="65">
        <f t="shared" ca="1" si="38"/>
        <v>1.9200000000000013</v>
      </c>
      <c r="AB86" s="270" t="e">
        <f t="shared" ca="1" si="39"/>
        <v>#N/A</v>
      </c>
      <c r="AC86" s="59">
        <f t="shared" ca="1" si="40"/>
        <v>9.0210979560878993E-2</v>
      </c>
      <c r="AD86" s="59">
        <f t="shared" ca="1" si="29"/>
        <v>9.0210979560878993E-2</v>
      </c>
      <c r="AE86" s="59">
        <f t="shared" ca="1" si="41"/>
        <v>0.10320136061764558</v>
      </c>
      <c r="AF86" s="59">
        <f t="shared" ca="1" si="42"/>
        <v>8.2561088494116475E-2</v>
      </c>
      <c r="AG86" s="59">
        <f t="shared" ca="1" si="43"/>
        <v>6.9144911613822538E-2</v>
      </c>
      <c r="AH86" s="59">
        <f t="shared" ca="1" si="44"/>
        <v>1.7</v>
      </c>
      <c r="AI86" s="59">
        <f t="shared" ca="1" si="45"/>
        <v>1</v>
      </c>
      <c r="AJ86" s="59">
        <f t="shared" ca="1" si="25"/>
        <v>0.58823529411764708</v>
      </c>
      <c r="AK86" s="59">
        <f t="shared" ca="1" si="30"/>
        <v>0.58823529411764708</v>
      </c>
      <c r="AL86" s="59">
        <f t="shared" ca="1" si="26"/>
        <v>9.2128851540616258E-2</v>
      </c>
      <c r="AM86" s="59">
        <f t="shared" ca="1" si="27"/>
        <v>0.13218487394957984</v>
      </c>
      <c r="AN86" s="59" t="e">
        <f t="shared" ca="1" si="28"/>
        <v>#N/A</v>
      </c>
    </row>
    <row r="87" spans="8:40" ht="16.5">
      <c r="I87" s="338">
        <f ca="1">一般工址Cs!I87</f>
        <v>1.9700000000000013</v>
      </c>
      <c r="J87" s="64" t="e">
        <f t="shared" ca="1" si="1"/>
        <v>#N/A</v>
      </c>
      <c r="K87" s="64" t="e">
        <f t="shared" ca="1" si="2"/>
        <v>#N/A</v>
      </c>
      <c r="L87" s="64" t="e">
        <f t="shared" ca="1" si="3"/>
        <v>#N/A</v>
      </c>
      <c r="M87" s="64" t="e">
        <f t="shared" ca="1" si="4"/>
        <v>#N/A</v>
      </c>
      <c r="N87" s="61" t="e">
        <f t="shared" ca="1" si="31"/>
        <v>#N/A</v>
      </c>
      <c r="O87" s="64">
        <f t="shared" ca="1" si="32"/>
        <v>1.9330000000000001</v>
      </c>
      <c r="P87" s="64">
        <f t="shared" ca="1" si="33"/>
        <v>0.32000000000000006</v>
      </c>
      <c r="Q87" s="64">
        <f t="shared" ca="1" si="8"/>
        <v>0.16550000000000001</v>
      </c>
      <c r="R87" s="64">
        <f t="shared" ca="1" si="9"/>
        <v>0.16550000000000001</v>
      </c>
      <c r="S87" s="61">
        <f t="shared" ca="1" si="34"/>
        <v>7.5999999999999998E-2</v>
      </c>
      <c r="T87" s="64" t="e">
        <f t="shared" ca="1" si="35"/>
        <v>#N/A</v>
      </c>
      <c r="U87" s="64" t="e">
        <f t="shared" ca="1" si="36"/>
        <v>#N/A</v>
      </c>
      <c r="V87" s="64" t="e">
        <f t="shared" ca="1" si="13"/>
        <v>#N/A</v>
      </c>
      <c r="W87" s="61" t="e">
        <f t="shared" ca="1" si="14"/>
        <v>#N/A</v>
      </c>
      <c r="X87" s="61" t="e">
        <f t="shared" ca="1" si="37"/>
        <v>#N/A</v>
      </c>
      <c r="Y87" s="89" t="e">
        <f t="shared" ca="1" si="16"/>
        <v>#N/A</v>
      </c>
      <c r="Z87" s="338" t="e">
        <f ca="1">MAX(一般工址Cs!Z87,'一般工址Cs (II)'!Z87)</f>
        <v>#N/A</v>
      </c>
      <c r="AA87" s="65">
        <f t="shared" ca="1" si="38"/>
        <v>1.9700000000000013</v>
      </c>
      <c r="AB87" s="270" t="e">
        <f t="shared" ca="1" si="39"/>
        <v>#N/A</v>
      </c>
      <c r="AC87" s="59">
        <f t="shared" ca="1" si="40"/>
        <v>8.9058812484887034E-2</v>
      </c>
      <c r="AD87" s="59">
        <f t="shared" ca="1" si="29"/>
        <v>8.9058812484887034E-2</v>
      </c>
      <c r="AE87" s="59">
        <f t="shared" ca="1" si="41"/>
        <v>0.10188328148271078</v>
      </c>
      <c r="AF87" s="59">
        <f t="shared" ca="1" si="42"/>
        <v>8.1506625186168621E-2</v>
      </c>
      <c r="AG87" s="59">
        <f t="shared" ca="1" si="43"/>
        <v>6.8261798593416217E-2</v>
      </c>
      <c r="AH87" s="59">
        <f t="shared" ca="1" si="44"/>
        <v>1.7</v>
      </c>
      <c r="AI87" s="59">
        <f t="shared" ca="1" si="45"/>
        <v>1</v>
      </c>
      <c r="AJ87" s="59">
        <f t="shared" ca="1" si="25"/>
        <v>0.58823529411764708</v>
      </c>
      <c r="AK87" s="59">
        <f t="shared" ca="1" si="30"/>
        <v>0.58823529411764708</v>
      </c>
      <c r="AL87" s="59">
        <f t="shared" ca="1" si="26"/>
        <v>9.2128851540616258E-2</v>
      </c>
      <c r="AM87" s="59">
        <f t="shared" ca="1" si="27"/>
        <v>0.13218487394957984</v>
      </c>
      <c r="AN87" s="59" t="e">
        <f t="shared" ca="1" si="28"/>
        <v>#N/A</v>
      </c>
    </row>
    <row r="88" spans="8:40" ht="16.5">
      <c r="I88" s="338">
        <f ca="1">一般工址Cs!I88</f>
        <v>2.0200000000000014</v>
      </c>
      <c r="J88" s="64" t="e">
        <f t="shared" ca="1" si="1"/>
        <v>#N/A</v>
      </c>
      <c r="K88" s="64" t="e">
        <f t="shared" ca="1" si="2"/>
        <v>#N/A</v>
      </c>
      <c r="L88" s="64" t="e">
        <f t="shared" ca="1" si="3"/>
        <v>#N/A</v>
      </c>
      <c r="M88" s="64" t="e">
        <f t="shared" ca="1" si="4"/>
        <v>#N/A</v>
      </c>
      <c r="N88" s="61" t="e">
        <f t="shared" ca="1" si="31"/>
        <v>#N/A</v>
      </c>
      <c r="O88" s="64">
        <f t="shared" ca="1" si="32"/>
        <v>1.9330000000000001</v>
      </c>
      <c r="P88" s="64">
        <f t="shared" ca="1" si="33"/>
        <v>0.32000000000000006</v>
      </c>
      <c r="Q88" s="64">
        <f t="shared" ca="1" si="8"/>
        <v>0.16550000000000001</v>
      </c>
      <c r="R88" s="64">
        <f t="shared" ca="1" si="9"/>
        <v>0.16550000000000001</v>
      </c>
      <c r="S88" s="61">
        <f t="shared" ca="1" si="34"/>
        <v>7.5999999999999998E-2</v>
      </c>
      <c r="T88" s="64" t="e">
        <f t="shared" ca="1" si="35"/>
        <v>#N/A</v>
      </c>
      <c r="U88" s="64" t="e">
        <f t="shared" ca="1" si="36"/>
        <v>#N/A</v>
      </c>
      <c r="V88" s="64" t="e">
        <f t="shared" ca="1" si="13"/>
        <v>#N/A</v>
      </c>
      <c r="W88" s="61" t="e">
        <f t="shared" ca="1" si="14"/>
        <v>#N/A</v>
      </c>
      <c r="X88" s="61" t="e">
        <f t="shared" ca="1" si="37"/>
        <v>#N/A</v>
      </c>
      <c r="Y88" s="89" t="e">
        <f t="shared" ca="1" si="16"/>
        <v>#N/A</v>
      </c>
      <c r="Z88" s="338" t="e">
        <f ca="1">MAX(一般工址Cs!Z88,'一般工址Cs (II)'!Z88)</f>
        <v>#N/A</v>
      </c>
      <c r="AA88" s="65">
        <f t="shared" ca="1" si="38"/>
        <v>2.0200000000000014</v>
      </c>
      <c r="AB88" s="270" t="e">
        <f t="shared" ca="1" si="39"/>
        <v>#N/A</v>
      </c>
      <c r="AC88" s="59">
        <f t="shared" ca="1" si="40"/>
        <v>8.794969309128646E-2</v>
      </c>
      <c r="AD88" s="59">
        <f t="shared" ca="1" si="29"/>
        <v>8.794969309128646E-2</v>
      </c>
      <c r="AE88" s="59">
        <f t="shared" ca="1" si="41"/>
        <v>0.1006144488964317</v>
      </c>
      <c r="AF88" s="59">
        <f t="shared" ca="1" si="42"/>
        <v>8.0491559117145381E-2</v>
      </c>
      <c r="AG88" s="59">
        <f t="shared" ca="1" si="43"/>
        <v>6.7411680760609244E-2</v>
      </c>
      <c r="AH88" s="59">
        <f t="shared" ca="1" si="44"/>
        <v>1.7</v>
      </c>
      <c r="AI88" s="59">
        <f t="shared" ca="1" si="45"/>
        <v>1</v>
      </c>
      <c r="AJ88" s="59">
        <f t="shared" ca="1" si="25"/>
        <v>0.58823529411764708</v>
      </c>
      <c r="AK88" s="59">
        <f t="shared" ca="1" si="30"/>
        <v>0.58823529411764708</v>
      </c>
      <c r="AL88" s="59">
        <f t="shared" ca="1" si="26"/>
        <v>9.2128851540616258E-2</v>
      </c>
      <c r="AM88" s="59">
        <f t="shared" ca="1" si="27"/>
        <v>0.13218487394957984</v>
      </c>
      <c r="AN88" s="59" t="e">
        <f t="shared" ca="1" si="28"/>
        <v>#N/A</v>
      </c>
    </row>
    <row r="89" spans="8:40" ht="16.5">
      <c r="I89" s="338">
        <f ca="1">一般工址Cs!I89</f>
        <v>2.0700000000000012</v>
      </c>
      <c r="J89" s="64" t="e">
        <f t="shared" ca="1" si="1"/>
        <v>#N/A</v>
      </c>
      <c r="K89" s="64" t="e">
        <f t="shared" ca="1" si="2"/>
        <v>#N/A</v>
      </c>
      <c r="L89" s="64" t="e">
        <f t="shared" ca="1" si="3"/>
        <v>#N/A</v>
      </c>
      <c r="M89" s="64" t="e">
        <f t="shared" ca="1" si="4"/>
        <v>#N/A</v>
      </c>
      <c r="N89" s="61" t="e">
        <f t="shared" ca="1" si="31"/>
        <v>#N/A</v>
      </c>
      <c r="O89" s="64">
        <f t="shared" ca="1" si="32"/>
        <v>1.9330000000000001</v>
      </c>
      <c r="P89" s="64">
        <f t="shared" ca="1" si="33"/>
        <v>0.32000000000000006</v>
      </c>
      <c r="Q89" s="64">
        <f t="shared" ca="1" si="8"/>
        <v>0.16550000000000001</v>
      </c>
      <c r="R89" s="64">
        <f t="shared" ca="1" si="9"/>
        <v>0.16550000000000001</v>
      </c>
      <c r="S89" s="61">
        <f t="shared" ca="1" si="34"/>
        <v>7.5999999999999998E-2</v>
      </c>
      <c r="T89" s="64" t="e">
        <f t="shared" ca="1" si="35"/>
        <v>#N/A</v>
      </c>
      <c r="U89" s="64" t="e">
        <f t="shared" ca="1" si="36"/>
        <v>#N/A</v>
      </c>
      <c r="V89" s="64" t="e">
        <f t="shared" ca="1" si="13"/>
        <v>#N/A</v>
      </c>
      <c r="W89" s="61" t="e">
        <f t="shared" ca="1" si="14"/>
        <v>#N/A</v>
      </c>
      <c r="X89" s="61" t="e">
        <f t="shared" ca="1" si="37"/>
        <v>#N/A</v>
      </c>
      <c r="Y89" s="89" t="e">
        <f t="shared" ca="1" si="16"/>
        <v>#N/A</v>
      </c>
      <c r="Z89" s="338" t="e">
        <f ca="1">MAX(一般工址Cs!Z89,'一般工址Cs (II)'!Z89)</f>
        <v>#N/A</v>
      </c>
      <c r="AA89" s="65">
        <f t="shared" ca="1" si="38"/>
        <v>2.0700000000000012</v>
      </c>
      <c r="AB89" s="270" t="e">
        <f t="shared" ca="1" si="39"/>
        <v>#N/A</v>
      </c>
      <c r="AC89" s="59">
        <f t="shared" ca="1" si="40"/>
        <v>8.688100585711446E-2</v>
      </c>
      <c r="AD89" s="59">
        <f t="shared" ca="1" si="29"/>
        <v>8.688100585711446E-2</v>
      </c>
      <c r="AE89" s="59">
        <f t="shared" ca="1" si="41"/>
        <v>9.9391870700538953E-2</v>
      </c>
      <c r="AF89" s="59">
        <f t="shared" ca="1" si="42"/>
        <v>7.9513496560431177E-2</v>
      </c>
      <c r="AG89" s="59">
        <f t="shared" ca="1" si="43"/>
        <v>6.6592553369361082E-2</v>
      </c>
      <c r="AH89" s="59">
        <f t="shared" ca="1" si="44"/>
        <v>1.7</v>
      </c>
      <c r="AI89" s="59">
        <f t="shared" ca="1" si="45"/>
        <v>1</v>
      </c>
      <c r="AJ89" s="59">
        <f t="shared" ca="1" si="25"/>
        <v>0.58823529411764708</v>
      </c>
      <c r="AK89" s="59">
        <f t="shared" ca="1" si="30"/>
        <v>0.58823529411764708</v>
      </c>
      <c r="AL89" s="59">
        <f t="shared" ca="1" si="26"/>
        <v>9.2128851540616258E-2</v>
      </c>
      <c r="AM89" s="59">
        <f t="shared" ca="1" si="27"/>
        <v>0.13218487394957984</v>
      </c>
      <c r="AN89" s="59" t="e">
        <f t="shared" ca="1" si="28"/>
        <v>#N/A</v>
      </c>
    </row>
    <row r="90" spans="8:40" ht="16.5">
      <c r="I90" s="338">
        <f ca="1">一般工址Cs!I90</f>
        <v>2.120000000000001</v>
      </c>
      <c r="J90" s="64" t="e">
        <f t="shared" ca="1" si="1"/>
        <v>#N/A</v>
      </c>
      <c r="K90" s="64" t="e">
        <f t="shared" ca="1" si="2"/>
        <v>#N/A</v>
      </c>
      <c r="L90" s="64" t="e">
        <f t="shared" ca="1" si="3"/>
        <v>#N/A</v>
      </c>
      <c r="M90" s="64" t="e">
        <f t="shared" ca="1" si="4"/>
        <v>#N/A</v>
      </c>
      <c r="N90" s="61" t="e">
        <f t="shared" ca="1" si="31"/>
        <v>#N/A</v>
      </c>
      <c r="O90" s="64">
        <f t="shared" ca="1" si="32"/>
        <v>1.9330000000000001</v>
      </c>
      <c r="P90" s="64">
        <f t="shared" ca="1" si="33"/>
        <v>0.32000000000000006</v>
      </c>
      <c r="Q90" s="64">
        <f t="shared" ca="1" si="8"/>
        <v>0.16550000000000001</v>
      </c>
      <c r="R90" s="64">
        <f t="shared" ca="1" si="9"/>
        <v>0.16550000000000001</v>
      </c>
      <c r="S90" s="61">
        <f t="shared" ca="1" si="34"/>
        <v>7.5999999999999998E-2</v>
      </c>
      <c r="T90" s="64" t="e">
        <f t="shared" ca="1" si="35"/>
        <v>#N/A</v>
      </c>
      <c r="U90" s="64" t="e">
        <f t="shared" ca="1" si="36"/>
        <v>#N/A</v>
      </c>
      <c r="V90" s="64" t="e">
        <f t="shared" ca="1" si="13"/>
        <v>#N/A</v>
      </c>
      <c r="W90" s="61" t="e">
        <f t="shared" ca="1" si="14"/>
        <v>#N/A</v>
      </c>
      <c r="X90" s="61" t="e">
        <f t="shared" ca="1" si="37"/>
        <v>#N/A</v>
      </c>
      <c r="Y90" s="89" t="e">
        <f t="shared" ca="1" si="16"/>
        <v>#N/A</v>
      </c>
      <c r="Z90" s="338" t="e">
        <f ca="1">MAX(一般工址Cs!Z90,'一般工址Cs (II)'!Z90)</f>
        <v>#N/A</v>
      </c>
      <c r="AA90" s="65">
        <f t="shared" ca="1" si="38"/>
        <v>2.120000000000001</v>
      </c>
      <c r="AB90" s="270" t="e">
        <f t="shared" ca="1" si="39"/>
        <v>#N/A</v>
      </c>
      <c r="AC90" s="59">
        <f t="shared" ca="1" si="40"/>
        <v>8.5850352467930616E-2</v>
      </c>
      <c r="AD90" s="59">
        <f t="shared" ca="1" si="29"/>
        <v>8.5850352467930616E-2</v>
      </c>
      <c r="AE90" s="59">
        <f t="shared" ca="1" si="41"/>
        <v>9.821280322331262E-2</v>
      </c>
      <c r="AF90" s="59">
        <f t="shared" ca="1" si="42"/>
        <v>7.8570242578650112E-2</v>
      </c>
      <c r="AG90" s="59">
        <f t="shared" ca="1" si="43"/>
        <v>6.5802578159619457E-2</v>
      </c>
      <c r="AH90" s="59">
        <f t="shared" ca="1" si="44"/>
        <v>1.7</v>
      </c>
      <c r="AI90" s="59">
        <f t="shared" ca="1" si="45"/>
        <v>1</v>
      </c>
      <c r="AJ90" s="59">
        <f t="shared" ca="1" si="25"/>
        <v>0.58823529411764708</v>
      </c>
      <c r="AK90" s="59">
        <f t="shared" ca="1" si="30"/>
        <v>0.58823529411764708</v>
      </c>
      <c r="AL90" s="59">
        <f t="shared" ca="1" si="26"/>
        <v>9.2128851540616258E-2</v>
      </c>
      <c r="AM90" s="59">
        <f t="shared" ca="1" si="27"/>
        <v>0.13218487394957984</v>
      </c>
      <c r="AN90" s="59" t="e">
        <f t="shared" ca="1" si="28"/>
        <v>#N/A</v>
      </c>
    </row>
    <row r="91" spans="8:40" ht="16.5">
      <c r="I91" s="338">
        <f>一般工址Cs!I91</f>
        <v>2.2999999999999998</v>
      </c>
      <c r="J91" s="64" t="e">
        <f ca="1">ROUND(IF($I91&gt;=D$17,D$12,IF($I91&gt;=F$17,D$13+(D$12-D$13)*($I91-0.6*D$17)/0.4/D$17,IF($I91&lt;E$17,D$13+(D$13-1)*($I91-E$17)/E$17,D$13))),3)</f>
        <v>#N/A</v>
      </c>
      <c r="K91" s="64" t="e">
        <f ca="1">IF($I91&lt;E$17,ROUND(B$17*(0.4+3*$I91/D$17),3),IF($I91&lt;=D$17,B$17,IF($I91&lt;=2.5*D$17,C$17/$I91,0.4*B$17)))</f>
        <v>#N/A</v>
      </c>
      <c r="L91" s="64" t="e">
        <f t="shared" ca="1" si="3"/>
        <v>#N/A</v>
      </c>
      <c r="M91" s="64" t="e">
        <f t="shared" ca="1" si="4"/>
        <v>#N/A</v>
      </c>
      <c r="N91" s="61" t="e">
        <f t="shared" ca="1" si="31"/>
        <v>#N/A</v>
      </c>
      <c r="O91" s="64">
        <f t="shared" ca="1" si="32"/>
        <v>1.9330000000000001</v>
      </c>
      <c r="P91" s="64">
        <f t="shared" ca="1" si="33"/>
        <v>0.32000000000000006</v>
      </c>
      <c r="Q91" s="64">
        <f t="shared" ca="1" si="8"/>
        <v>0.16550000000000001</v>
      </c>
      <c r="R91" s="64">
        <f t="shared" ca="1" si="9"/>
        <v>0.16550000000000001</v>
      </c>
      <c r="S91" s="61">
        <f t="shared" ca="1" si="34"/>
        <v>7.5999999999999998E-2</v>
      </c>
      <c r="T91" s="64" t="e">
        <f t="shared" ca="1" si="35"/>
        <v>#N/A</v>
      </c>
      <c r="U91" s="64" t="e">
        <f t="shared" ca="1" si="36"/>
        <v>#N/A</v>
      </c>
      <c r="V91" s="64" t="e">
        <f t="shared" ca="1" si="13"/>
        <v>#N/A</v>
      </c>
      <c r="W91" s="61" t="e">
        <f t="shared" ca="1" si="14"/>
        <v>#N/A</v>
      </c>
      <c r="X91" s="61" t="e">
        <f t="shared" ca="1" si="37"/>
        <v>#N/A</v>
      </c>
      <c r="Y91" s="89" t="e">
        <f t="shared" ca="1" si="16"/>
        <v>#N/A</v>
      </c>
      <c r="Z91" s="338" t="e">
        <f ca="1">MAX(一般工址Cs!Z91,'一般工址Cs (II)'!Z91)</f>
        <v>#N/A</v>
      </c>
      <c r="AA91" s="65">
        <f t="shared" si="38"/>
        <v>2.2999999999999998</v>
      </c>
      <c r="AB91" s="270" t="e">
        <f t="shared" ca="1" si="39"/>
        <v>#N/A</v>
      </c>
      <c r="AC91" s="59">
        <f t="shared" si="40"/>
        <v>8.2422559174473387E-2</v>
      </c>
      <c r="AD91" s="59">
        <f t="shared" si="29"/>
        <v>8.2422559174473387E-2</v>
      </c>
      <c r="AE91" s="59">
        <f t="shared" si="41"/>
        <v>9.4291407695597559E-2</v>
      </c>
      <c r="AF91" s="59">
        <f t="shared" si="42"/>
        <v>7.5433126156478056E-2</v>
      </c>
      <c r="AG91" s="59">
        <f t="shared" si="43"/>
        <v>6.3175243156050359E-2</v>
      </c>
      <c r="AH91" s="59">
        <f t="shared" si="44"/>
        <v>1.7</v>
      </c>
      <c r="AI91" s="59">
        <f t="shared" si="45"/>
        <v>1</v>
      </c>
      <c r="AJ91" s="59">
        <f t="shared" si="25"/>
        <v>0.58823529411764708</v>
      </c>
      <c r="AK91" s="59">
        <f t="shared" si="30"/>
        <v>0.58823529411764708</v>
      </c>
      <c r="AL91" s="59">
        <f t="shared" si="26"/>
        <v>9.2128851540616258E-2</v>
      </c>
      <c r="AM91" s="59">
        <f t="shared" si="27"/>
        <v>0.13218487394957984</v>
      </c>
      <c r="AN91" s="59" t="e">
        <f t="shared" ca="1" si="28"/>
        <v>#N/A</v>
      </c>
    </row>
    <row r="92" spans="8:40" ht="16.5">
      <c r="I92" s="338">
        <f>一般工址Cs!I92</f>
        <v>2.35</v>
      </c>
      <c r="J92" s="64" t="e">
        <f ca="1">ROUND(IF($I92&gt;=D$17,D$12,IF($I92&gt;=F$17,D$13+(D$12-D$13)*($I92-0.6*D$17)/0.4/D$17,IF($I92&lt;E$17,D$13+(D$13-1)*($I92-E$17)/E$17,D$13))),3)</f>
        <v>#N/A</v>
      </c>
      <c r="K92" s="64" t="e">
        <f ca="1">IF($I92&lt;E$17,ROUND(B$17*(0.4+3*$I92/D$17),3),IF($I92&lt;=D$17,B$17,IF($I92&lt;=2.5*D$17,C$17/$I92,0.4*B$17)))</f>
        <v>#N/A</v>
      </c>
      <c r="L92" s="64" t="e">
        <f t="shared" ca="1" si="3"/>
        <v>#N/A</v>
      </c>
      <c r="M92" s="64" t="e">
        <f t="shared" ca="1" si="4"/>
        <v>#N/A</v>
      </c>
      <c r="N92" s="61" t="e">
        <f t="shared" ca="1" si="31"/>
        <v>#N/A</v>
      </c>
      <c r="O92" s="64">
        <f t="shared" ca="1" si="32"/>
        <v>1.9330000000000001</v>
      </c>
      <c r="P92" s="64">
        <f t="shared" ca="1" si="33"/>
        <v>0.32000000000000006</v>
      </c>
      <c r="Q92" s="64">
        <f t="shared" ca="1" si="8"/>
        <v>0.16550000000000001</v>
      </c>
      <c r="R92" s="64">
        <f t="shared" ca="1" si="9"/>
        <v>0.16550000000000001</v>
      </c>
      <c r="S92" s="61">
        <f t="shared" ca="1" si="34"/>
        <v>7.5999999999999998E-2</v>
      </c>
      <c r="T92" s="64" t="e">
        <f t="shared" ca="1" si="35"/>
        <v>#N/A</v>
      </c>
      <c r="U92" s="64" t="e">
        <f t="shared" ca="1" si="36"/>
        <v>#N/A</v>
      </c>
      <c r="V92" s="64" t="e">
        <f t="shared" ca="1" si="13"/>
        <v>#N/A</v>
      </c>
      <c r="W92" s="61" t="e">
        <f t="shared" ca="1" si="14"/>
        <v>#N/A</v>
      </c>
      <c r="X92" s="61" t="e">
        <f t="shared" ca="1" si="37"/>
        <v>#N/A</v>
      </c>
      <c r="Y92" s="89" t="e">
        <f t="shared" ca="1" si="16"/>
        <v>#N/A</v>
      </c>
      <c r="Z92" s="338" t="e">
        <f ca="1">MAX(一般工址Cs!Z92,'一般工址Cs (II)'!Z92)</f>
        <v>#N/A</v>
      </c>
      <c r="AA92" s="65">
        <f t="shared" si="38"/>
        <v>2.35</v>
      </c>
      <c r="AB92" s="270" t="e">
        <f t="shared" ca="1" si="39"/>
        <v>#N/A</v>
      </c>
      <c r="AC92" s="59">
        <f t="shared" si="40"/>
        <v>8.1541009131680275E-2</v>
      </c>
      <c r="AD92" s="59">
        <f t="shared" si="29"/>
        <v>8.1541009131680275E-2</v>
      </c>
      <c r="AE92" s="59">
        <f t="shared" si="41"/>
        <v>9.3282914446642246E-2</v>
      </c>
      <c r="AF92" s="59">
        <f t="shared" si="42"/>
        <v>7.4626331557313796E-2</v>
      </c>
      <c r="AG92" s="59">
        <f t="shared" si="43"/>
        <v>6.2499552679250302E-2</v>
      </c>
      <c r="AH92" s="59">
        <f t="shared" si="44"/>
        <v>1.7</v>
      </c>
      <c r="AI92" s="59">
        <f t="shared" si="45"/>
        <v>1</v>
      </c>
      <c r="AJ92" s="59">
        <f t="shared" si="25"/>
        <v>0.58823529411764708</v>
      </c>
      <c r="AK92" s="59">
        <f t="shared" si="30"/>
        <v>0.58823529411764708</v>
      </c>
      <c r="AL92" s="59">
        <f t="shared" si="26"/>
        <v>9.2128851540616258E-2</v>
      </c>
      <c r="AM92" s="59">
        <f t="shared" si="27"/>
        <v>0.13218487394957984</v>
      </c>
      <c r="AN92" s="59" t="e">
        <f t="shared" ca="1" si="28"/>
        <v>#N/A</v>
      </c>
    </row>
    <row r="93" spans="8:40" ht="16.5">
      <c r="I93" s="338">
        <f>一般工址Cs!I93</f>
        <v>2.4</v>
      </c>
      <c r="J93" s="64" t="e">
        <f ca="1">ROUND(IF($I93&gt;=D$17,D$12,IF($I93&gt;=F$17,D$13+(D$12-D$13)*($I93-0.6*D$17)/0.4/D$17,IF($I93&lt;E$17,D$13+(D$13-1)*($I93-E$17)/E$17,D$13))),3)</f>
        <v>#N/A</v>
      </c>
      <c r="K93" s="64" t="e">
        <f ca="1">IF($I93&lt;E$17,ROUND(B$17*(0.4+3*$I93/D$17),3),IF($I93&lt;=D$17,B$17,IF($I93&lt;=2.5*D$17,C$17/$I93,0.4*B$17)))</f>
        <v>#N/A</v>
      </c>
      <c r="L93" s="64" t="e">
        <f t="shared" ca="1" si="3"/>
        <v>#N/A</v>
      </c>
      <c r="M93" s="64" t="e">
        <f t="shared" ca="1" si="4"/>
        <v>#N/A</v>
      </c>
      <c r="N93" s="61" t="e">
        <f t="shared" ca="1" si="31"/>
        <v>#N/A</v>
      </c>
      <c r="O93" s="64">
        <f t="shared" ca="1" si="32"/>
        <v>1.9330000000000001</v>
      </c>
      <c r="P93" s="64">
        <f t="shared" ca="1" si="33"/>
        <v>0.32000000000000006</v>
      </c>
      <c r="Q93" s="64">
        <f t="shared" ca="1" si="8"/>
        <v>0.16550000000000001</v>
      </c>
      <c r="R93" s="64">
        <f t="shared" ca="1" si="9"/>
        <v>0.16550000000000001</v>
      </c>
      <c r="S93" s="61">
        <f t="shared" ca="1" si="34"/>
        <v>7.5999999999999998E-2</v>
      </c>
      <c r="T93" s="64" t="e">
        <f t="shared" ca="1" si="35"/>
        <v>#N/A</v>
      </c>
      <c r="U93" s="64" t="e">
        <f t="shared" ca="1" si="36"/>
        <v>#N/A</v>
      </c>
      <c r="V93" s="64" t="e">
        <f t="shared" ca="1" si="13"/>
        <v>#N/A</v>
      </c>
      <c r="W93" s="61" t="e">
        <f t="shared" ca="1" si="14"/>
        <v>#N/A</v>
      </c>
      <c r="X93" s="61" t="e">
        <f t="shared" ca="1" si="37"/>
        <v>#N/A</v>
      </c>
      <c r="Y93" s="89" t="e">
        <f t="shared" ca="1" si="16"/>
        <v>#N/A</v>
      </c>
      <c r="Z93" s="338" t="e">
        <f ca="1">MAX(一般工址Cs!Z93,'一般工址Cs (II)'!Z93)</f>
        <v>#N/A</v>
      </c>
      <c r="AA93" s="65">
        <f t="shared" si="38"/>
        <v>2.4</v>
      </c>
      <c r="AB93" s="270" t="e">
        <f t="shared" ca="1" si="39"/>
        <v>#N/A</v>
      </c>
      <c r="AC93" s="59">
        <f t="shared" si="40"/>
        <v>8.068715304598785E-2</v>
      </c>
      <c r="AD93" s="59">
        <f t="shared" si="29"/>
        <v>8.068715304598785E-2</v>
      </c>
      <c r="AE93" s="59">
        <f t="shared" si="41"/>
        <v>9.2306103084610111E-2</v>
      </c>
      <c r="AF93" s="59">
        <f t="shared" si="42"/>
        <v>7.3844882467688083E-2</v>
      </c>
      <c r="AG93" s="59">
        <f t="shared" si="43"/>
        <v>6.1845089066688771E-2</v>
      </c>
      <c r="AH93" s="59">
        <f t="shared" si="44"/>
        <v>1.7</v>
      </c>
      <c r="AI93" s="59">
        <f t="shared" si="45"/>
        <v>1</v>
      </c>
      <c r="AJ93" s="59">
        <f t="shared" si="25"/>
        <v>0.58823529411764708</v>
      </c>
      <c r="AK93" s="59">
        <f t="shared" si="30"/>
        <v>0.58823529411764708</v>
      </c>
      <c r="AL93" s="59">
        <f t="shared" si="26"/>
        <v>9.2128851540616258E-2</v>
      </c>
      <c r="AM93" s="59">
        <f t="shared" si="27"/>
        <v>0.13218487394957984</v>
      </c>
      <c r="AN93" s="59" t="e">
        <f t="shared" ca="1" si="28"/>
        <v>#N/A</v>
      </c>
    </row>
    <row r="94" spans="8:40" ht="16.5">
      <c r="I94" s="338">
        <f>一般工址Cs!I94</f>
        <v>2.4500000000000002</v>
      </c>
      <c r="J94" s="64" t="e">
        <f ca="1">ROUND(IF($I94&gt;=D$17,D$12,IF($I94&gt;=F$17,D$13+(D$12-D$13)*($I94-0.6*D$17)/0.4/D$17,IF($I94&lt;E$17,D$13+(D$13-1)*($I94-E$17)/E$17,D$13))),3)</f>
        <v>#N/A</v>
      </c>
      <c r="K94" s="64" t="e">
        <f ca="1">IF($I94&lt;E$17,ROUND(B$17*(0.4+3*$I94/D$17),3),IF($I94&lt;=D$17,B$17,IF($I94&lt;=2.5*D$17,C$17/$I94,0.4*B$17)))</f>
        <v>#N/A</v>
      </c>
      <c r="L94" s="64" t="e">
        <f t="shared" ca="1" si="3"/>
        <v>#N/A</v>
      </c>
      <c r="M94" s="64" t="e">
        <f t="shared" ca="1" si="4"/>
        <v>#N/A</v>
      </c>
      <c r="N94" s="61" t="e">
        <f t="shared" ca="1" si="31"/>
        <v>#N/A</v>
      </c>
      <c r="O94" s="64">
        <f t="shared" ca="1" si="32"/>
        <v>1.9330000000000001</v>
      </c>
      <c r="P94" s="64">
        <f t="shared" ca="1" si="33"/>
        <v>0.32000000000000006</v>
      </c>
      <c r="Q94" s="64">
        <f t="shared" ca="1" si="8"/>
        <v>0.16550000000000001</v>
      </c>
      <c r="R94" s="64">
        <f t="shared" ca="1" si="9"/>
        <v>0.16550000000000001</v>
      </c>
      <c r="S94" s="61">
        <f t="shared" ca="1" si="34"/>
        <v>7.5999999999999998E-2</v>
      </c>
      <c r="T94" s="64" t="e">
        <f t="shared" ca="1" si="35"/>
        <v>#N/A</v>
      </c>
      <c r="U94" s="64" t="e">
        <f t="shared" ca="1" si="36"/>
        <v>#N/A</v>
      </c>
      <c r="V94" s="64" t="e">
        <f t="shared" ca="1" si="13"/>
        <v>#N/A</v>
      </c>
      <c r="W94" s="61" t="e">
        <f t="shared" ca="1" si="14"/>
        <v>#N/A</v>
      </c>
      <c r="X94" s="61" t="e">
        <f t="shared" ca="1" si="37"/>
        <v>#N/A</v>
      </c>
      <c r="Y94" s="89" t="e">
        <f t="shared" ca="1" si="16"/>
        <v>#N/A</v>
      </c>
      <c r="Z94" s="338" t="e">
        <f ca="1">MAX(一般工址Cs!Z94,'一般工址Cs (II)'!Z94)</f>
        <v>#N/A</v>
      </c>
      <c r="AA94" s="65">
        <f t="shared" si="38"/>
        <v>2.4500000000000002</v>
      </c>
      <c r="AB94" s="270" t="e">
        <f t="shared" ca="1" si="39"/>
        <v>#N/A</v>
      </c>
      <c r="AC94" s="59">
        <f t="shared" si="40"/>
        <v>7.9859570624992493E-2</v>
      </c>
      <c r="AD94" s="59">
        <f t="shared" si="29"/>
        <v>7.9859570624992493E-2</v>
      </c>
      <c r="AE94" s="59">
        <f t="shared" si="41"/>
        <v>9.1359348794991399E-2</v>
      </c>
      <c r="AF94" s="59">
        <f t="shared" si="42"/>
        <v>7.308747903599315E-2</v>
      </c>
      <c r="AG94" s="59">
        <f t="shared" si="43"/>
        <v>6.1210763692644242E-2</v>
      </c>
      <c r="AH94" s="59">
        <f t="shared" si="44"/>
        <v>1.7</v>
      </c>
      <c r="AI94" s="59">
        <f t="shared" si="45"/>
        <v>1</v>
      </c>
      <c r="AJ94" s="59">
        <f t="shared" si="25"/>
        <v>0.58823529411764708</v>
      </c>
      <c r="AK94" s="59">
        <f t="shared" si="30"/>
        <v>0.58823529411764708</v>
      </c>
      <c r="AL94" s="59">
        <f t="shared" si="26"/>
        <v>9.2128851540616258E-2</v>
      </c>
      <c r="AM94" s="59">
        <f t="shared" si="27"/>
        <v>0.13218487394957984</v>
      </c>
      <c r="AN94" s="59" t="e">
        <f t="shared" ca="1" si="28"/>
        <v>#N/A</v>
      </c>
    </row>
    <row r="95" spans="8:40" ht="16.5">
      <c r="I95" s="338">
        <f>一般工址Cs!I95</f>
        <v>2.5</v>
      </c>
      <c r="J95" s="64" t="e">
        <f ca="1">ROUND(IF($I95&gt;=D$17,D$12,IF($I95&gt;=F$17,D$13+(D$12-D$13)*($I95-0.6*D$17)/0.4/D$17,IF($I95&lt;E$17,D$13+(D$13-1)*($I95-E$17)/E$17,D$13))),3)</f>
        <v>#N/A</v>
      </c>
      <c r="K95" s="64" t="e">
        <f ca="1">IF($I95&lt;E$17,ROUND(B$17*(0.4+3*$I95/D$17),3),IF($I95&lt;=D$17,B$17,IF($I95&lt;=2.5*D$17,C$17/$I95,0.4*B$17)))</f>
        <v>#N/A</v>
      </c>
      <c r="L95" s="64" t="e">
        <f t="shared" ca="1" si="3"/>
        <v>#N/A</v>
      </c>
      <c r="M95" s="64" t="e">
        <f t="shared" ca="1" si="4"/>
        <v>#N/A</v>
      </c>
      <c r="N95" s="61" t="e">
        <f t="shared" ca="1" si="31"/>
        <v>#N/A</v>
      </c>
      <c r="O95" s="64">
        <f t="shared" ca="1" si="32"/>
        <v>1.9330000000000001</v>
      </c>
      <c r="P95" s="64">
        <f t="shared" ca="1" si="33"/>
        <v>0.32000000000000006</v>
      </c>
      <c r="Q95" s="64">
        <f t="shared" ca="1" si="8"/>
        <v>0.16550000000000001</v>
      </c>
      <c r="R95" s="64">
        <f t="shared" ca="1" si="9"/>
        <v>0.16550000000000001</v>
      </c>
      <c r="S95" s="61">
        <f t="shared" ca="1" si="34"/>
        <v>7.5999999999999998E-2</v>
      </c>
      <c r="T95" s="64" t="e">
        <f t="shared" ca="1" si="35"/>
        <v>#N/A</v>
      </c>
      <c r="U95" s="64" t="e">
        <f t="shared" ca="1" si="36"/>
        <v>#N/A</v>
      </c>
      <c r="V95" s="64" t="e">
        <f t="shared" ca="1" si="13"/>
        <v>#N/A</v>
      </c>
      <c r="W95" s="61" t="e">
        <f t="shared" ca="1" si="14"/>
        <v>#N/A</v>
      </c>
      <c r="X95" s="61" t="e">
        <f t="shared" ca="1" si="37"/>
        <v>#N/A</v>
      </c>
      <c r="Y95" s="89" t="e">
        <f t="shared" ca="1" si="16"/>
        <v>#N/A</v>
      </c>
      <c r="Z95" s="338" t="e">
        <f ca="1">MAX(一般工址Cs!Z95,'一般工址Cs (II)'!Z95)</f>
        <v>#N/A</v>
      </c>
      <c r="AA95" s="65">
        <f t="shared" si="38"/>
        <v>2.5</v>
      </c>
      <c r="AB95" s="270" t="e">
        <f t="shared" ca="1" si="39"/>
        <v>#N/A</v>
      </c>
      <c r="AC95" s="59">
        <f t="shared" si="40"/>
        <v>7.9056941504209485E-2</v>
      </c>
      <c r="AD95" s="59">
        <f t="shared" si="29"/>
        <v>7.9056941504209485E-2</v>
      </c>
      <c r="AE95" s="59">
        <f t="shared" si="41"/>
        <v>9.0441141080815662E-2</v>
      </c>
      <c r="AF95" s="59">
        <f t="shared" si="42"/>
        <v>7.2352912864652522E-2</v>
      </c>
      <c r="AG95" s="59">
        <f t="shared" si="43"/>
        <v>6.0595564524146481E-2</v>
      </c>
      <c r="AH95" s="59">
        <f t="shared" si="44"/>
        <v>1.7</v>
      </c>
      <c r="AI95" s="59">
        <f t="shared" si="45"/>
        <v>1</v>
      </c>
      <c r="AJ95" s="59">
        <f t="shared" si="25"/>
        <v>0.58823529411764708</v>
      </c>
      <c r="AK95" s="59">
        <f t="shared" si="30"/>
        <v>0.58823529411764708</v>
      </c>
      <c r="AL95" s="59">
        <f t="shared" si="26"/>
        <v>9.2128851540616258E-2</v>
      </c>
      <c r="AM95" s="59">
        <f t="shared" si="27"/>
        <v>0.13218487394957984</v>
      </c>
      <c r="AN95" s="59" t="e">
        <f t="shared" ca="1" si="28"/>
        <v>#N/A</v>
      </c>
    </row>
    <row r="96" spans="8:40" ht="16.5">
      <c r="H96" t="s">
        <v>520</v>
      </c>
      <c r="I96" s="16">
        <f>F11</f>
        <v>0.89729999999999999</v>
      </c>
      <c r="J96" t="s">
        <v>521</v>
      </c>
    </row>
    <row r="97" spans="8:24" ht="16.5">
      <c r="H97" t="s">
        <v>505</v>
      </c>
      <c r="I97" s="16">
        <f>I96</f>
        <v>0.89729999999999999</v>
      </c>
      <c r="J97" s="16">
        <v>0</v>
      </c>
      <c r="K97" s="16">
        <v>0</v>
      </c>
      <c r="P97" s="16">
        <v>0</v>
      </c>
      <c r="T97" s="16">
        <v>0</v>
      </c>
      <c r="U97" s="16">
        <v>0</v>
      </c>
      <c r="X97" s="16">
        <v>0</v>
      </c>
    </row>
    <row r="98" spans="8:24" ht="16.5">
      <c r="I98" s="16">
        <f>I96</f>
        <v>0.89729999999999999</v>
      </c>
      <c r="J98" s="16" t="e">
        <f ca="1">ROUNDUP(MAX(J43:J95),2)</f>
        <v>#N/A</v>
      </c>
      <c r="K98" s="16" t="e">
        <f ca="1">ROUNDUP(MAX(K43:K95),2)</f>
        <v>#N/A</v>
      </c>
      <c r="P98" s="16">
        <f ca="1">ROUNDUP(MAX(P43:P95),2)</f>
        <v>0.8</v>
      </c>
      <c r="T98" s="16" t="e">
        <f ca="1">ROUNDUP(MAX(T43:T95),2)</f>
        <v>#N/A</v>
      </c>
      <c r="U98" s="16" t="e">
        <f ca="1">ROUNDUP(MAX(U43:U95),2)</f>
        <v>#N/A</v>
      </c>
      <c r="X98" s="16" t="e">
        <f ca="1">ROUNDUP(MAX(X43:X95),2)</f>
        <v>#N/A</v>
      </c>
    </row>
    <row r="99" spans="8:24" ht="20.25">
      <c r="J99" s="39" t="s">
        <v>1406</v>
      </c>
      <c r="K99" s="39" t="s">
        <v>1407</v>
      </c>
      <c r="P99" s="39" t="s">
        <v>1410</v>
      </c>
      <c r="T99" s="39" t="s">
        <v>1412</v>
      </c>
      <c r="U99" s="39" t="s">
        <v>1413</v>
      </c>
      <c r="X99" s="39" t="s">
        <v>1757</v>
      </c>
    </row>
    <row r="159" spans="2:2" ht="17.25">
      <c r="B159" s="319"/>
    </row>
    <row r="160" spans="2:2">
      <c r="B160" s="318"/>
    </row>
  </sheetData>
  <mergeCells count="21">
    <mergeCell ref="A23:B23"/>
    <mergeCell ref="H23:I23"/>
    <mergeCell ref="P3:S3"/>
    <mergeCell ref="I14:J14"/>
    <mergeCell ref="K14:L14"/>
    <mergeCell ref="A15:B15"/>
    <mergeCell ref="H15:I15"/>
    <mergeCell ref="A30:B30"/>
    <mergeCell ref="H30:I30"/>
    <mergeCell ref="D31:F31"/>
    <mergeCell ref="K31:L31"/>
    <mergeCell ref="A32:B32"/>
    <mergeCell ref="H32:I32"/>
    <mergeCell ref="A37:F37"/>
    <mergeCell ref="H37:M37"/>
    <mergeCell ref="D33:F33"/>
    <mergeCell ref="K33:L33"/>
    <mergeCell ref="A34:B34"/>
    <mergeCell ref="H34:I34"/>
    <mergeCell ref="D35:F35"/>
    <mergeCell ref="K35:L35"/>
  </mergeCells>
  <phoneticPr fontId="7" type="noConversion"/>
  <dataValidations count="6">
    <dataValidation type="list" allowBlank="1" showInputMessage="1" showErrorMessage="1" sqref="H6" xr:uid="{A16E9440-4F1E-455D-8BD9-F46AD4762990}">
      <formula1>INDIRECT("斷層"&amp;$N$1)</formula1>
    </dataValidation>
    <dataValidation type="list" allowBlank="1" showInputMessage="1" showErrorMessage="1" sqref="H2" xr:uid="{96A8E5BF-8FC9-4231-A6A2-37B0D3FBD67F}">
      <formula1>縣市</formula1>
    </dataValidation>
    <dataValidation type="list" allowBlank="1" showInputMessage="1" showErrorMessage="1" sqref="H5" xr:uid="{9BBE99DF-29B6-418E-B0E1-A33512543E42}">
      <formula1>地盤種類</formula1>
    </dataValidation>
    <dataValidation type="list" allowBlank="1" showInputMessage="1" showErrorMessage="1" sqref="HW4 WUI4 WKM4 WAQ4 VQU4 VGY4 UXC4 UNG4 UDK4 TTO4 TJS4 SZW4 SQA4 SGE4 RWI4 RMM4 RCQ4 QSU4 QIY4 PZC4 PPG4 PFK4 OVO4 OLS4 OBW4 NSA4 NIE4 MYI4 MOM4 MEQ4 LUU4 LKY4 LBC4 KRG4 KHK4 JXO4 JNS4 JDW4 IUA4 IKE4 IAI4 HQM4 HGQ4 GWU4 GMY4 GDC4 FTG4 FJK4 EZO4 EPS4 EFW4 DWA4 DME4 DCI4 CSM4 CIQ4 BYU4 BOY4 BFC4 AVG4 ALK4 ABO4 RS4" xr:uid="{F31F2F40-675A-4F27-85E2-BCE77176E249}">
      <formula1>INDIRECT(#REF!)</formula1>
    </dataValidation>
    <dataValidation type="list" allowBlank="1" showInputMessage="1" showErrorMessage="1" sqref="HW3 WUI3 WKM3 WAQ3 VQU3 VGY3 UXC3 UNG3 UDK3 TTO3 TJS3 SZW3 SQA3 SGE3 RWI3 RMM3 RCQ3 QSU3 QIY3 PZC3 PPG3 PFK3 OVO3 OLS3 OBW3 NSA3 NIE3 MYI3 MOM3 MEQ3 LUU3 LKY3 LBC3 KRG3 KHK3 JXO3 JNS3 JDW3 IUA3 IKE3 IAI3 HQM3 HGQ3 GWU3 GMY3 GDC3 FTG3 FJK3 EZO3 EPS3 EFW3 DWA3 DME3 DCI3 CSM3 CIQ3 BYU3 BOY3 BFC3 AVG3 ALK3 ABO3 RS3" xr:uid="{94FAAD2E-074B-41A9-B47F-DD684D38ABC1}">
      <formula1>行政區</formula1>
    </dataValidation>
    <dataValidation type="list" allowBlank="1" showInputMessage="1" showErrorMessage="1" sqref="H3" xr:uid="{840447AB-FFEC-471E-BF5A-E8FBDD15C55D}">
      <formula1>INDEX(INDIRECT(H2),,1)</formula1>
    </dataValidation>
  </dataValidations>
  <pageMargins left="0.74803149606299213" right="0.19685039370078741" top="0.78740157480314965" bottom="0.59055118110236227" header="0.51181102362204722" footer="0.51181102362204722"/>
  <pageSetup paperSize="9" scale="90"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AG187"/>
  <sheetViews>
    <sheetView topLeftCell="A46" zoomScale="115" zoomScaleNormal="115" workbookViewId="0">
      <selection activeCell="I39" sqref="I39"/>
    </sheetView>
  </sheetViews>
  <sheetFormatPr defaultRowHeight="16.5"/>
  <cols>
    <col min="1" max="1" width="3.875" style="32" customWidth="1"/>
    <col min="2" max="2" width="27.625" style="32" bestFit="1" customWidth="1"/>
    <col min="3" max="3" width="16.375" style="32" bestFit="1" customWidth="1"/>
    <col min="4" max="5" width="9" style="32" bestFit="1" customWidth="1"/>
    <col min="6" max="6" width="8.75" style="32" bestFit="1" customWidth="1"/>
    <col min="7" max="7" width="9.125" style="32" bestFit="1" customWidth="1"/>
    <col min="8" max="8" width="11.75" style="32" bestFit="1" customWidth="1"/>
    <col min="9" max="9" width="9.125" style="32" bestFit="1" customWidth="1"/>
    <col min="10" max="10" width="31.75" style="32" bestFit="1" customWidth="1"/>
    <col min="11" max="11" width="16.375" style="32" bestFit="1" customWidth="1"/>
    <col min="12" max="12" width="10.5" style="32" customWidth="1"/>
    <col min="28" max="28" width="16.25" bestFit="1" customWidth="1"/>
    <col min="29" max="29" width="8.75" customWidth="1"/>
    <col min="31" max="33" width="9" style="15"/>
    <col min="34" max="246" width="9" style="32"/>
    <col min="247" max="247" width="3.875" style="32" customWidth="1"/>
    <col min="248" max="248" width="20" style="32" customWidth="1"/>
    <col min="249" max="249" width="10.875" style="32" customWidth="1"/>
    <col min="250" max="250" width="11.625" style="32" customWidth="1"/>
    <col min="251" max="252" width="13" style="32" customWidth="1"/>
    <col min="253" max="253" width="11.375" style="32" customWidth="1"/>
    <col min="254" max="254" width="2.875" style="32" customWidth="1"/>
    <col min="255" max="255" width="9" style="32"/>
    <col min="256" max="256" width="11.625" style="32" bestFit="1" customWidth="1"/>
    <col min="257" max="257" width="10.5" style="32" customWidth="1"/>
    <col min="258" max="258" width="2.375" style="32" customWidth="1"/>
    <col min="259" max="282" width="9" style="32"/>
    <col min="283" max="283" width="3.625" style="32" customWidth="1"/>
    <col min="284" max="284" width="9" style="32"/>
    <col min="285" max="285" width="3.375" style="32" customWidth="1"/>
    <col min="286" max="286" width="7.375" style="32" customWidth="1"/>
    <col min="287" max="287" width="3.375" style="32" customWidth="1"/>
    <col min="288" max="288" width="9" style="32" bestFit="1" customWidth="1"/>
    <col min="289" max="502" width="9" style="32"/>
    <col min="503" max="503" width="3.875" style="32" customWidth="1"/>
    <col min="504" max="504" width="20" style="32" customWidth="1"/>
    <col min="505" max="505" width="10.875" style="32" customWidth="1"/>
    <col min="506" max="506" width="11.625" style="32" customWidth="1"/>
    <col min="507" max="508" width="13" style="32" customWidth="1"/>
    <col min="509" max="509" width="11.375" style="32" customWidth="1"/>
    <col min="510" max="510" width="2.875" style="32" customWidth="1"/>
    <col min="511" max="511" width="9" style="32"/>
    <col min="512" max="512" width="11.625" style="32" bestFit="1" customWidth="1"/>
    <col min="513" max="513" width="10.5" style="32" customWidth="1"/>
    <col min="514" max="514" width="2.375" style="32" customWidth="1"/>
    <col min="515" max="538" width="9" style="32"/>
    <col min="539" max="539" width="3.625" style="32" customWidth="1"/>
    <col min="540" max="540" width="9" style="32"/>
    <col min="541" max="541" width="3.375" style="32" customWidth="1"/>
    <col min="542" max="542" width="7.375" style="32" customWidth="1"/>
    <col min="543" max="543" width="3.375" style="32" customWidth="1"/>
    <col min="544" max="544" width="9" style="32" bestFit="1" customWidth="1"/>
    <col min="545" max="758" width="9" style="32"/>
    <col min="759" max="759" width="3.875" style="32" customWidth="1"/>
    <col min="760" max="760" width="20" style="32" customWidth="1"/>
    <col min="761" max="761" width="10.875" style="32" customWidth="1"/>
    <col min="762" max="762" width="11.625" style="32" customWidth="1"/>
    <col min="763" max="764" width="13" style="32" customWidth="1"/>
    <col min="765" max="765" width="11.375" style="32" customWidth="1"/>
    <col min="766" max="766" width="2.875" style="32" customWidth="1"/>
    <col min="767" max="767" width="9" style="32"/>
    <col min="768" max="768" width="11.625" style="32" bestFit="1" customWidth="1"/>
    <col min="769" max="769" width="10.5" style="32" customWidth="1"/>
    <col min="770" max="770" width="2.375" style="32" customWidth="1"/>
    <col min="771" max="794" width="9" style="32"/>
    <col min="795" max="795" width="3.625" style="32" customWidth="1"/>
    <col min="796" max="796" width="9" style="32"/>
    <col min="797" max="797" width="3.375" style="32" customWidth="1"/>
    <col min="798" max="798" width="7.375" style="32" customWidth="1"/>
    <col min="799" max="799" width="3.375" style="32" customWidth="1"/>
    <col min="800" max="800" width="9" style="32" bestFit="1" customWidth="1"/>
    <col min="801" max="1014" width="9" style="32"/>
    <col min="1015" max="1015" width="3.875" style="32" customWidth="1"/>
    <col min="1016" max="1016" width="20" style="32" customWidth="1"/>
    <col min="1017" max="1017" width="10.875" style="32" customWidth="1"/>
    <col min="1018" max="1018" width="11.625" style="32" customWidth="1"/>
    <col min="1019" max="1020" width="13" style="32" customWidth="1"/>
    <col min="1021" max="1021" width="11.375" style="32" customWidth="1"/>
    <col min="1022" max="1022" width="2.875" style="32" customWidth="1"/>
    <col min="1023" max="1023" width="9" style="32"/>
    <col min="1024" max="1024" width="11.625" style="32" bestFit="1" customWidth="1"/>
    <col min="1025" max="1025" width="10.5" style="32" customWidth="1"/>
    <col min="1026" max="1026" width="2.375" style="32" customWidth="1"/>
    <col min="1027" max="1050" width="9" style="32"/>
    <col min="1051" max="1051" width="3.625" style="32" customWidth="1"/>
    <col min="1052" max="1052" width="9" style="32"/>
    <col min="1053" max="1053" width="3.375" style="32" customWidth="1"/>
    <col min="1054" max="1054" width="7.375" style="32" customWidth="1"/>
    <col min="1055" max="1055" width="3.375" style="32" customWidth="1"/>
    <col min="1056" max="1056" width="9" style="32" bestFit="1" customWidth="1"/>
    <col min="1057" max="1270" width="9" style="32"/>
    <col min="1271" max="1271" width="3.875" style="32" customWidth="1"/>
    <col min="1272" max="1272" width="20" style="32" customWidth="1"/>
    <col min="1273" max="1273" width="10.875" style="32" customWidth="1"/>
    <col min="1274" max="1274" width="11.625" style="32" customWidth="1"/>
    <col min="1275" max="1276" width="13" style="32" customWidth="1"/>
    <col min="1277" max="1277" width="11.375" style="32" customWidth="1"/>
    <col min="1278" max="1278" width="2.875" style="32" customWidth="1"/>
    <col min="1279" max="1279" width="9" style="32"/>
    <col min="1280" max="1280" width="11.625" style="32" bestFit="1" customWidth="1"/>
    <col min="1281" max="1281" width="10.5" style="32" customWidth="1"/>
    <col min="1282" max="1282" width="2.375" style="32" customWidth="1"/>
    <col min="1283" max="1306" width="9" style="32"/>
    <col min="1307" max="1307" width="3.625" style="32" customWidth="1"/>
    <col min="1308" max="1308" width="9" style="32"/>
    <col min="1309" max="1309" width="3.375" style="32" customWidth="1"/>
    <col min="1310" max="1310" width="7.375" style="32" customWidth="1"/>
    <col min="1311" max="1311" width="3.375" style="32" customWidth="1"/>
    <col min="1312" max="1312" width="9" style="32" bestFit="1" customWidth="1"/>
    <col min="1313" max="1526" width="9" style="32"/>
    <col min="1527" max="1527" width="3.875" style="32" customWidth="1"/>
    <col min="1528" max="1528" width="20" style="32" customWidth="1"/>
    <col min="1529" max="1529" width="10.875" style="32" customWidth="1"/>
    <col min="1530" max="1530" width="11.625" style="32" customWidth="1"/>
    <col min="1531" max="1532" width="13" style="32" customWidth="1"/>
    <col min="1533" max="1533" width="11.375" style="32" customWidth="1"/>
    <col min="1534" max="1534" width="2.875" style="32" customWidth="1"/>
    <col min="1535" max="1535" width="9" style="32"/>
    <col min="1536" max="1536" width="11.625" style="32" bestFit="1" customWidth="1"/>
    <col min="1537" max="1537" width="10.5" style="32" customWidth="1"/>
    <col min="1538" max="1538" width="2.375" style="32" customWidth="1"/>
    <col min="1539" max="1562" width="9" style="32"/>
    <col min="1563" max="1563" width="3.625" style="32" customWidth="1"/>
    <col min="1564" max="1564" width="9" style="32"/>
    <col min="1565" max="1565" width="3.375" style="32" customWidth="1"/>
    <col min="1566" max="1566" width="7.375" style="32" customWidth="1"/>
    <col min="1567" max="1567" width="3.375" style="32" customWidth="1"/>
    <col min="1568" max="1568" width="9" style="32" bestFit="1" customWidth="1"/>
    <col min="1569" max="1782" width="9" style="32"/>
    <col min="1783" max="1783" width="3.875" style="32" customWidth="1"/>
    <col min="1784" max="1784" width="20" style="32" customWidth="1"/>
    <col min="1785" max="1785" width="10.875" style="32" customWidth="1"/>
    <col min="1786" max="1786" width="11.625" style="32" customWidth="1"/>
    <col min="1787" max="1788" width="13" style="32" customWidth="1"/>
    <col min="1789" max="1789" width="11.375" style="32" customWidth="1"/>
    <col min="1790" max="1790" width="2.875" style="32" customWidth="1"/>
    <col min="1791" max="1791" width="9" style="32"/>
    <col min="1792" max="1792" width="11.625" style="32" bestFit="1" customWidth="1"/>
    <col min="1793" max="1793" width="10.5" style="32" customWidth="1"/>
    <col min="1794" max="1794" width="2.375" style="32" customWidth="1"/>
    <col min="1795" max="1818" width="9" style="32"/>
    <col min="1819" max="1819" width="3.625" style="32" customWidth="1"/>
    <col min="1820" max="1820" width="9" style="32"/>
    <col min="1821" max="1821" width="3.375" style="32" customWidth="1"/>
    <col min="1822" max="1822" width="7.375" style="32" customWidth="1"/>
    <col min="1823" max="1823" width="3.375" style="32" customWidth="1"/>
    <col min="1824" max="1824" width="9" style="32" bestFit="1" customWidth="1"/>
    <col min="1825" max="2038" width="9" style="32"/>
    <col min="2039" max="2039" width="3.875" style="32" customWidth="1"/>
    <col min="2040" max="2040" width="20" style="32" customWidth="1"/>
    <col min="2041" max="2041" width="10.875" style="32" customWidth="1"/>
    <col min="2042" max="2042" width="11.625" style="32" customWidth="1"/>
    <col min="2043" max="2044" width="13" style="32" customWidth="1"/>
    <col min="2045" max="2045" width="11.375" style="32" customWidth="1"/>
    <col min="2046" max="2046" width="2.875" style="32" customWidth="1"/>
    <col min="2047" max="2047" width="9" style="32"/>
    <col min="2048" max="2048" width="11.625" style="32" bestFit="1" customWidth="1"/>
    <col min="2049" max="2049" width="10.5" style="32" customWidth="1"/>
    <col min="2050" max="2050" width="2.375" style="32" customWidth="1"/>
    <col min="2051" max="2074" width="9" style="32"/>
    <col min="2075" max="2075" width="3.625" style="32" customWidth="1"/>
    <col min="2076" max="2076" width="9" style="32"/>
    <col min="2077" max="2077" width="3.375" style="32" customWidth="1"/>
    <col min="2078" max="2078" width="7.375" style="32" customWidth="1"/>
    <col min="2079" max="2079" width="3.375" style="32" customWidth="1"/>
    <col min="2080" max="2080" width="9" style="32" bestFit="1" customWidth="1"/>
    <col min="2081" max="2294" width="9" style="32"/>
    <col min="2295" max="2295" width="3.875" style="32" customWidth="1"/>
    <col min="2296" max="2296" width="20" style="32" customWidth="1"/>
    <col min="2297" max="2297" width="10.875" style="32" customWidth="1"/>
    <col min="2298" max="2298" width="11.625" style="32" customWidth="1"/>
    <col min="2299" max="2300" width="13" style="32" customWidth="1"/>
    <col min="2301" max="2301" width="11.375" style="32" customWidth="1"/>
    <col min="2302" max="2302" width="2.875" style="32" customWidth="1"/>
    <col min="2303" max="2303" width="9" style="32"/>
    <col min="2304" max="2304" width="11.625" style="32" bestFit="1" customWidth="1"/>
    <col min="2305" max="2305" width="10.5" style="32" customWidth="1"/>
    <col min="2306" max="2306" width="2.375" style="32" customWidth="1"/>
    <col min="2307" max="2330" width="9" style="32"/>
    <col min="2331" max="2331" width="3.625" style="32" customWidth="1"/>
    <col min="2332" max="2332" width="9" style="32"/>
    <col min="2333" max="2333" width="3.375" style="32" customWidth="1"/>
    <col min="2334" max="2334" width="7.375" style="32" customWidth="1"/>
    <col min="2335" max="2335" width="3.375" style="32" customWidth="1"/>
    <col min="2336" max="2336" width="9" style="32" bestFit="1" customWidth="1"/>
    <col min="2337" max="2550" width="9" style="32"/>
    <col min="2551" max="2551" width="3.875" style="32" customWidth="1"/>
    <col min="2552" max="2552" width="20" style="32" customWidth="1"/>
    <col min="2553" max="2553" width="10.875" style="32" customWidth="1"/>
    <col min="2554" max="2554" width="11.625" style="32" customWidth="1"/>
    <col min="2555" max="2556" width="13" style="32" customWidth="1"/>
    <col min="2557" max="2557" width="11.375" style="32" customWidth="1"/>
    <col min="2558" max="2558" width="2.875" style="32" customWidth="1"/>
    <col min="2559" max="2559" width="9" style="32"/>
    <col min="2560" max="2560" width="11.625" style="32" bestFit="1" customWidth="1"/>
    <col min="2561" max="2561" width="10.5" style="32" customWidth="1"/>
    <col min="2562" max="2562" width="2.375" style="32" customWidth="1"/>
    <col min="2563" max="2586" width="9" style="32"/>
    <col min="2587" max="2587" width="3.625" style="32" customWidth="1"/>
    <col min="2588" max="2588" width="9" style="32"/>
    <col min="2589" max="2589" width="3.375" style="32" customWidth="1"/>
    <col min="2590" max="2590" width="7.375" style="32" customWidth="1"/>
    <col min="2591" max="2591" width="3.375" style="32" customWidth="1"/>
    <col min="2592" max="2592" width="9" style="32" bestFit="1" customWidth="1"/>
    <col min="2593" max="2806" width="9" style="32"/>
    <col min="2807" max="2807" width="3.875" style="32" customWidth="1"/>
    <col min="2808" max="2808" width="20" style="32" customWidth="1"/>
    <col min="2809" max="2809" width="10.875" style="32" customWidth="1"/>
    <col min="2810" max="2810" width="11.625" style="32" customWidth="1"/>
    <col min="2811" max="2812" width="13" style="32" customWidth="1"/>
    <col min="2813" max="2813" width="11.375" style="32" customWidth="1"/>
    <col min="2814" max="2814" width="2.875" style="32" customWidth="1"/>
    <col min="2815" max="2815" width="9" style="32"/>
    <col min="2816" max="2816" width="11.625" style="32" bestFit="1" customWidth="1"/>
    <col min="2817" max="2817" width="10.5" style="32" customWidth="1"/>
    <col min="2818" max="2818" width="2.375" style="32" customWidth="1"/>
    <col min="2819" max="2842" width="9" style="32"/>
    <col min="2843" max="2843" width="3.625" style="32" customWidth="1"/>
    <col min="2844" max="2844" width="9" style="32"/>
    <col min="2845" max="2845" width="3.375" style="32" customWidth="1"/>
    <col min="2846" max="2846" width="7.375" style="32" customWidth="1"/>
    <col min="2847" max="2847" width="3.375" style="32" customWidth="1"/>
    <col min="2848" max="2848" width="9" style="32" bestFit="1" customWidth="1"/>
    <col min="2849" max="3062" width="9" style="32"/>
    <col min="3063" max="3063" width="3.875" style="32" customWidth="1"/>
    <col min="3064" max="3064" width="20" style="32" customWidth="1"/>
    <col min="3065" max="3065" width="10.875" style="32" customWidth="1"/>
    <col min="3066" max="3066" width="11.625" style="32" customWidth="1"/>
    <col min="3067" max="3068" width="13" style="32" customWidth="1"/>
    <col min="3069" max="3069" width="11.375" style="32" customWidth="1"/>
    <col min="3070" max="3070" width="2.875" style="32" customWidth="1"/>
    <col min="3071" max="3071" width="9" style="32"/>
    <col min="3072" max="3072" width="11.625" style="32" bestFit="1" customWidth="1"/>
    <col min="3073" max="3073" width="10.5" style="32" customWidth="1"/>
    <col min="3074" max="3074" width="2.375" style="32" customWidth="1"/>
    <col min="3075" max="3098" width="9" style="32"/>
    <col min="3099" max="3099" width="3.625" style="32" customWidth="1"/>
    <col min="3100" max="3100" width="9" style="32"/>
    <col min="3101" max="3101" width="3.375" style="32" customWidth="1"/>
    <col min="3102" max="3102" width="7.375" style="32" customWidth="1"/>
    <col min="3103" max="3103" width="3.375" style="32" customWidth="1"/>
    <col min="3104" max="3104" width="9" style="32" bestFit="1" customWidth="1"/>
    <col min="3105" max="3318" width="9" style="32"/>
    <col min="3319" max="3319" width="3.875" style="32" customWidth="1"/>
    <col min="3320" max="3320" width="20" style="32" customWidth="1"/>
    <col min="3321" max="3321" width="10.875" style="32" customWidth="1"/>
    <col min="3322" max="3322" width="11.625" style="32" customWidth="1"/>
    <col min="3323" max="3324" width="13" style="32" customWidth="1"/>
    <col min="3325" max="3325" width="11.375" style="32" customWidth="1"/>
    <col min="3326" max="3326" width="2.875" style="32" customWidth="1"/>
    <col min="3327" max="3327" width="9" style="32"/>
    <col min="3328" max="3328" width="11.625" style="32" bestFit="1" customWidth="1"/>
    <col min="3329" max="3329" width="10.5" style="32" customWidth="1"/>
    <col min="3330" max="3330" width="2.375" style="32" customWidth="1"/>
    <col min="3331" max="3354" width="9" style="32"/>
    <col min="3355" max="3355" width="3.625" style="32" customWidth="1"/>
    <col min="3356" max="3356" width="9" style="32"/>
    <col min="3357" max="3357" width="3.375" style="32" customWidth="1"/>
    <col min="3358" max="3358" width="7.375" style="32" customWidth="1"/>
    <col min="3359" max="3359" width="3.375" style="32" customWidth="1"/>
    <col min="3360" max="3360" width="9" style="32" bestFit="1" customWidth="1"/>
    <col min="3361" max="3574" width="9" style="32"/>
    <col min="3575" max="3575" width="3.875" style="32" customWidth="1"/>
    <col min="3576" max="3576" width="20" style="32" customWidth="1"/>
    <col min="3577" max="3577" width="10.875" style="32" customWidth="1"/>
    <col min="3578" max="3578" width="11.625" style="32" customWidth="1"/>
    <col min="3579" max="3580" width="13" style="32" customWidth="1"/>
    <col min="3581" max="3581" width="11.375" style="32" customWidth="1"/>
    <col min="3582" max="3582" width="2.875" style="32" customWidth="1"/>
    <col min="3583" max="3583" width="9" style="32"/>
    <col min="3584" max="3584" width="11.625" style="32" bestFit="1" customWidth="1"/>
    <col min="3585" max="3585" width="10.5" style="32" customWidth="1"/>
    <col min="3586" max="3586" width="2.375" style="32" customWidth="1"/>
    <col min="3587" max="3610" width="9" style="32"/>
    <col min="3611" max="3611" width="3.625" style="32" customWidth="1"/>
    <col min="3612" max="3612" width="9" style="32"/>
    <col min="3613" max="3613" width="3.375" style="32" customWidth="1"/>
    <col min="3614" max="3614" width="7.375" style="32" customWidth="1"/>
    <col min="3615" max="3615" width="3.375" style="32" customWidth="1"/>
    <col min="3616" max="3616" width="9" style="32" bestFit="1" customWidth="1"/>
    <col min="3617" max="3830" width="9" style="32"/>
    <col min="3831" max="3831" width="3.875" style="32" customWidth="1"/>
    <col min="3832" max="3832" width="20" style="32" customWidth="1"/>
    <col min="3833" max="3833" width="10.875" style="32" customWidth="1"/>
    <col min="3834" max="3834" width="11.625" style="32" customWidth="1"/>
    <col min="3835" max="3836" width="13" style="32" customWidth="1"/>
    <col min="3837" max="3837" width="11.375" style="32" customWidth="1"/>
    <col min="3838" max="3838" width="2.875" style="32" customWidth="1"/>
    <col min="3839" max="3839" width="9" style="32"/>
    <col min="3840" max="3840" width="11.625" style="32" bestFit="1" customWidth="1"/>
    <col min="3841" max="3841" width="10.5" style="32" customWidth="1"/>
    <col min="3842" max="3842" width="2.375" style="32" customWidth="1"/>
    <col min="3843" max="3866" width="9" style="32"/>
    <col min="3867" max="3867" width="3.625" style="32" customWidth="1"/>
    <col min="3868" max="3868" width="9" style="32"/>
    <col min="3869" max="3869" width="3.375" style="32" customWidth="1"/>
    <col min="3870" max="3870" width="7.375" style="32" customWidth="1"/>
    <col min="3871" max="3871" width="3.375" style="32" customWidth="1"/>
    <col min="3872" max="3872" width="9" style="32" bestFit="1" customWidth="1"/>
    <col min="3873" max="4086" width="9" style="32"/>
    <col min="4087" max="4087" width="3.875" style="32" customWidth="1"/>
    <col min="4088" max="4088" width="20" style="32" customWidth="1"/>
    <col min="4089" max="4089" width="10.875" style="32" customWidth="1"/>
    <col min="4090" max="4090" width="11.625" style="32" customWidth="1"/>
    <col min="4091" max="4092" width="13" style="32" customWidth="1"/>
    <col min="4093" max="4093" width="11.375" style="32" customWidth="1"/>
    <col min="4094" max="4094" width="2.875" style="32" customWidth="1"/>
    <col min="4095" max="4095" width="9" style="32"/>
    <col min="4096" max="4096" width="11.625" style="32" bestFit="1" customWidth="1"/>
    <col min="4097" max="4097" width="10.5" style="32" customWidth="1"/>
    <col min="4098" max="4098" width="2.375" style="32" customWidth="1"/>
    <col min="4099" max="4122" width="9" style="32"/>
    <col min="4123" max="4123" width="3.625" style="32" customWidth="1"/>
    <col min="4124" max="4124" width="9" style="32"/>
    <col min="4125" max="4125" width="3.375" style="32" customWidth="1"/>
    <col min="4126" max="4126" width="7.375" style="32" customWidth="1"/>
    <col min="4127" max="4127" width="3.375" style="32" customWidth="1"/>
    <col min="4128" max="4128" width="9" style="32" bestFit="1" customWidth="1"/>
    <col min="4129" max="4342" width="9" style="32"/>
    <col min="4343" max="4343" width="3.875" style="32" customWidth="1"/>
    <col min="4344" max="4344" width="20" style="32" customWidth="1"/>
    <col min="4345" max="4345" width="10.875" style="32" customWidth="1"/>
    <col min="4346" max="4346" width="11.625" style="32" customWidth="1"/>
    <col min="4347" max="4348" width="13" style="32" customWidth="1"/>
    <col min="4349" max="4349" width="11.375" style="32" customWidth="1"/>
    <col min="4350" max="4350" width="2.875" style="32" customWidth="1"/>
    <col min="4351" max="4351" width="9" style="32"/>
    <col min="4352" max="4352" width="11.625" style="32" bestFit="1" customWidth="1"/>
    <col min="4353" max="4353" width="10.5" style="32" customWidth="1"/>
    <col min="4354" max="4354" width="2.375" style="32" customWidth="1"/>
    <col min="4355" max="4378" width="9" style="32"/>
    <col min="4379" max="4379" width="3.625" style="32" customWidth="1"/>
    <col min="4380" max="4380" width="9" style="32"/>
    <col min="4381" max="4381" width="3.375" style="32" customWidth="1"/>
    <col min="4382" max="4382" width="7.375" style="32" customWidth="1"/>
    <col min="4383" max="4383" width="3.375" style="32" customWidth="1"/>
    <col min="4384" max="4384" width="9" style="32" bestFit="1" customWidth="1"/>
    <col min="4385" max="4598" width="9" style="32"/>
    <col min="4599" max="4599" width="3.875" style="32" customWidth="1"/>
    <col min="4600" max="4600" width="20" style="32" customWidth="1"/>
    <col min="4601" max="4601" width="10.875" style="32" customWidth="1"/>
    <col min="4602" max="4602" width="11.625" style="32" customWidth="1"/>
    <col min="4603" max="4604" width="13" style="32" customWidth="1"/>
    <col min="4605" max="4605" width="11.375" style="32" customWidth="1"/>
    <col min="4606" max="4606" width="2.875" style="32" customWidth="1"/>
    <col min="4607" max="4607" width="9" style="32"/>
    <col min="4608" max="4608" width="11.625" style="32" bestFit="1" customWidth="1"/>
    <col min="4609" max="4609" width="10.5" style="32" customWidth="1"/>
    <col min="4610" max="4610" width="2.375" style="32" customWidth="1"/>
    <col min="4611" max="4634" width="9" style="32"/>
    <col min="4635" max="4635" width="3.625" style="32" customWidth="1"/>
    <col min="4636" max="4636" width="9" style="32"/>
    <col min="4637" max="4637" width="3.375" style="32" customWidth="1"/>
    <col min="4638" max="4638" width="7.375" style="32" customWidth="1"/>
    <col min="4639" max="4639" width="3.375" style="32" customWidth="1"/>
    <col min="4640" max="4640" width="9" style="32" bestFit="1" customWidth="1"/>
    <col min="4641" max="4854" width="9" style="32"/>
    <col min="4855" max="4855" width="3.875" style="32" customWidth="1"/>
    <col min="4856" max="4856" width="20" style="32" customWidth="1"/>
    <col min="4857" max="4857" width="10.875" style="32" customWidth="1"/>
    <col min="4858" max="4858" width="11.625" style="32" customWidth="1"/>
    <col min="4859" max="4860" width="13" style="32" customWidth="1"/>
    <col min="4861" max="4861" width="11.375" style="32" customWidth="1"/>
    <col min="4862" max="4862" width="2.875" style="32" customWidth="1"/>
    <col min="4863" max="4863" width="9" style="32"/>
    <col min="4864" max="4864" width="11.625" style="32" bestFit="1" customWidth="1"/>
    <col min="4865" max="4865" width="10.5" style="32" customWidth="1"/>
    <col min="4866" max="4866" width="2.375" style="32" customWidth="1"/>
    <col min="4867" max="4890" width="9" style="32"/>
    <col min="4891" max="4891" width="3.625" style="32" customWidth="1"/>
    <col min="4892" max="4892" width="9" style="32"/>
    <col min="4893" max="4893" width="3.375" style="32" customWidth="1"/>
    <col min="4894" max="4894" width="7.375" style="32" customWidth="1"/>
    <col min="4895" max="4895" width="3.375" style="32" customWidth="1"/>
    <col min="4896" max="4896" width="9" style="32" bestFit="1" customWidth="1"/>
    <col min="4897" max="5110" width="9" style="32"/>
    <col min="5111" max="5111" width="3.875" style="32" customWidth="1"/>
    <col min="5112" max="5112" width="20" style="32" customWidth="1"/>
    <col min="5113" max="5113" width="10.875" style="32" customWidth="1"/>
    <col min="5114" max="5114" width="11.625" style="32" customWidth="1"/>
    <col min="5115" max="5116" width="13" style="32" customWidth="1"/>
    <col min="5117" max="5117" width="11.375" style="32" customWidth="1"/>
    <col min="5118" max="5118" width="2.875" style="32" customWidth="1"/>
    <col min="5119" max="5119" width="9" style="32"/>
    <col min="5120" max="5120" width="11.625" style="32" bestFit="1" customWidth="1"/>
    <col min="5121" max="5121" width="10.5" style="32" customWidth="1"/>
    <col min="5122" max="5122" width="2.375" style="32" customWidth="1"/>
    <col min="5123" max="5146" width="9" style="32"/>
    <col min="5147" max="5147" width="3.625" style="32" customWidth="1"/>
    <col min="5148" max="5148" width="9" style="32"/>
    <col min="5149" max="5149" width="3.375" style="32" customWidth="1"/>
    <col min="5150" max="5150" width="7.375" style="32" customWidth="1"/>
    <col min="5151" max="5151" width="3.375" style="32" customWidth="1"/>
    <col min="5152" max="5152" width="9" style="32" bestFit="1" customWidth="1"/>
    <col min="5153" max="5366" width="9" style="32"/>
    <col min="5367" max="5367" width="3.875" style="32" customWidth="1"/>
    <col min="5368" max="5368" width="20" style="32" customWidth="1"/>
    <col min="5369" max="5369" width="10.875" style="32" customWidth="1"/>
    <col min="5370" max="5370" width="11.625" style="32" customWidth="1"/>
    <col min="5371" max="5372" width="13" style="32" customWidth="1"/>
    <col min="5373" max="5373" width="11.375" style="32" customWidth="1"/>
    <col min="5374" max="5374" width="2.875" style="32" customWidth="1"/>
    <col min="5375" max="5375" width="9" style="32"/>
    <col min="5376" max="5376" width="11.625" style="32" bestFit="1" customWidth="1"/>
    <col min="5377" max="5377" width="10.5" style="32" customWidth="1"/>
    <col min="5378" max="5378" width="2.375" style="32" customWidth="1"/>
    <col min="5379" max="5402" width="9" style="32"/>
    <col min="5403" max="5403" width="3.625" style="32" customWidth="1"/>
    <col min="5404" max="5404" width="9" style="32"/>
    <col min="5405" max="5405" width="3.375" style="32" customWidth="1"/>
    <col min="5406" max="5406" width="7.375" style="32" customWidth="1"/>
    <col min="5407" max="5407" width="3.375" style="32" customWidth="1"/>
    <col min="5408" max="5408" width="9" style="32" bestFit="1" customWidth="1"/>
    <col min="5409" max="5622" width="9" style="32"/>
    <col min="5623" max="5623" width="3.875" style="32" customWidth="1"/>
    <col min="5624" max="5624" width="20" style="32" customWidth="1"/>
    <col min="5625" max="5625" width="10.875" style="32" customWidth="1"/>
    <col min="5626" max="5626" width="11.625" style="32" customWidth="1"/>
    <col min="5627" max="5628" width="13" style="32" customWidth="1"/>
    <col min="5629" max="5629" width="11.375" style="32" customWidth="1"/>
    <col min="5630" max="5630" width="2.875" style="32" customWidth="1"/>
    <col min="5631" max="5631" width="9" style="32"/>
    <col min="5632" max="5632" width="11.625" style="32" bestFit="1" customWidth="1"/>
    <col min="5633" max="5633" width="10.5" style="32" customWidth="1"/>
    <col min="5634" max="5634" width="2.375" style="32" customWidth="1"/>
    <col min="5635" max="5658" width="9" style="32"/>
    <col min="5659" max="5659" width="3.625" style="32" customWidth="1"/>
    <col min="5660" max="5660" width="9" style="32"/>
    <col min="5661" max="5661" width="3.375" style="32" customWidth="1"/>
    <col min="5662" max="5662" width="7.375" style="32" customWidth="1"/>
    <col min="5663" max="5663" width="3.375" style="32" customWidth="1"/>
    <col min="5664" max="5664" width="9" style="32" bestFit="1" customWidth="1"/>
    <col min="5665" max="5878" width="9" style="32"/>
    <col min="5879" max="5879" width="3.875" style="32" customWidth="1"/>
    <col min="5880" max="5880" width="20" style="32" customWidth="1"/>
    <col min="5881" max="5881" width="10.875" style="32" customWidth="1"/>
    <col min="5882" max="5882" width="11.625" style="32" customWidth="1"/>
    <col min="5883" max="5884" width="13" style="32" customWidth="1"/>
    <col min="5885" max="5885" width="11.375" style="32" customWidth="1"/>
    <col min="5886" max="5886" width="2.875" style="32" customWidth="1"/>
    <col min="5887" max="5887" width="9" style="32"/>
    <col min="5888" max="5888" width="11.625" style="32" bestFit="1" customWidth="1"/>
    <col min="5889" max="5889" width="10.5" style="32" customWidth="1"/>
    <col min="5890" max="5890" width="2.375" style="32" customWidth="1"/>
    <col min="5891" max="5914" width="9" style="32"/>
    <col min="5915" max="5915" width="3.625" style="32" customWidth="1"/>
    <col min="5916" max="5916" width="9" style="32"/>
    <col min="5917" max="5917" width="3.375" style="32" customWidth="1"/>
    <col min="5918" max="5918" width="7.375" style="32" customWidth="1"/>
    <col min="5919" max="5919" width="3.375" style="32" customWidth="1"/>
    <col min="5920" max="5920" width="9" style="32" bestFit="1" customWidth="1"/>
    <col min="5921" max="6134" width="9" style="32"/>
    <col min="6135" max="6135" width="3.875" style="32" customWidth="1"/>
    <col min="6136" max="6136" width="20" style="32" customWidth="1"/>
    <col min="6137" max="6137" width="10.875" style="32" customWidth="1"/>
    <col min="6138" max="6138" width="11.625" style="32" customWidth="1"/>
    <col min="6139" max="6140" width="13" style="32" customWidth="1"/>
    <col min="6141" max="6141" width="11.375" style="32" customWidth="1"/>
    <col min="6142" max="6142" width="2.875" style="32" customWidth="1"/>
    <col min="6143" max="6143" width="9" style="32"/>
    <col min="6144" max="6144" width="11.625" style="32" bestFit="1" customWidth="1"/>
    <col min="6145" max="6145" width="10.5" style="32" customWidth="1"/>
    <col min="6146" max="6146" width="2.375" style="32" customWidth="1"/>
    <col min="6147" max="6170" width="9" style="32"/>
    <col min="6171" max="6171" width="3.625" style="32" customWidth="1"/>
    <col min="6172" max="6172" width="9" style="32"/>
    <col min="6173" max="6173" width="3.375" style="32" customWidth="1"/>
    <col min="6174" max="6174" width="7.375" style="32" customWidth="1"/>
    <col min="6175" max="6175" width="3.375" style="32" customWidth="1"/>
    <col min="6176" max="6176" width="9" style="32" bestFit="1" customWidth="1"/>
    <col min="6177" max="6390" width="9" style="32"/>
    <col min="6391" max="6391" width="3.875" style="32" customWidth="1"/>
    <col min="6392" max="6392" width="20" style="32" customWidth="1"/>
    <col min="6393" max="6393" width="10.875" style="32" customWidth="1"/>
    <col min="6394" max="6394" width="11.625" style="32" customWidth="1"/>
    <col min="6395" max="6396" width="13" style="32" customWidth="1"/>
    <col min="6397" max="6397" width="11.375" style="32" customWidth="1"/>
    <col min="6398" max="6398" width="2.875" style="32" customWidth="1"/>
    <col min="6399" max="6399" width="9" style="32"/>
    <col min="6400" max="6400" width="11.625" style="32" bestFit="1" customWidth="1"/>
    <col min="6401" max="6401" width="10.5" style="32" customWidth="1"/>
    <col min="6402" max="6402" width="2.375" style="32" customWidth="1"/>
    <col min="6403" max="6426" width="9" style="32"/>
    <col min="6427" max="6427" width="3.625" style="32" customWidth="1"/>
    <col min="6428" max="6428" width="9" style="32"/>
    <col min="6429" max="6429" width="3.375" style="32" customWidth="1"/>
    <col min="6430" max="6430" width="7.375" style="32" customWidth="1"/>
    <col min="6431" max="6431" width="3.375" style="32" customWidth="1"/>
    <col min="6432" max="6432" width="9" style="32" bestFit="1" customWidth="1"/>
    <col min="6433" max="6646" width="9" style="32"/>
    <col min="6647" max="6647" width="3.875" style="32" customWidth="1"/>
    <col min="6648" max="6648" width="20" style="32" customWidth="1"/>
    <col min="6649" max="6649" width="10.875" style="32" customWidth="1"/>
    <col min="6650" max="6650" width="11.625" style="32" customWidth="1"/>
    <col min="6651" max="6652" width="13" style="32" customWidth="1"/>
    <col min="6653" max="6653" width="11.375" style="32" customWidth="1"/>
    <col min="6654" max="6654" width="2.875" style="32" customWidth="1"/>
    <col min="6655" max="6655" width="9" style="32"/>
    <col min="6656" max="6656" width="11.625" style="32" bestFit="1" customWidth="1"/>
    <col min="6657" max="6657" width="10.5" style="32" customWidth="1"/>
    <col min="6658" max="6658" width="2.375" style="32" customWidth="1"/>
    <col min="6659" max="6682" width="9" style="32"/>
    <col min="6683" max="6683" width="3.625" style="32" customWidth="1"/>
    <col min="6684" max="6684" width="9" style="32"/>
    <col min="6685" max="6685" width="3.375" style="32" customWidth="1"/>
    <col min="6686" max="6686" width="7.375" style="32" customWidth="1"/>
    <col min="6687" max="6687" width="3.375" style="32" customWidth="1"/>
    <col min="6688" max="6688" width="9" style="32" bestFit="1" customWidth="1"/>
    <col min="6689" max="6902" width="9" style="32"/>
    <col min="6903" max="6903" width="3.875" style="32" customWidth="1"/>
    <col min="6904" max="6904" width="20" style="32" customWidth="1"/>
    <col min="6905" max="6905" width="10.875" style="32" customWidth="1"/>
    <col min="6906" max="6906" width="11.625" style="32" customWidth="1"/>
    <col min="6907" max="6908" width="13" style="32" customWidth="1"/>
    <col min="6909" max="6909" width="11.375" style="32" customWidth="1"/>
    <col min="6910" max="6910" width="2.875" style="32" customWidth="1"/>
    <col min="6911" max="6911" width="9" style="32"/>
    <col min="6912" max="6912" width="11.625" style="32" bestFit="1" customWidth="1"/>
    <col min="6913" max="6913" width="10.5" style="32" customWidth="1"/>
    <col min="6914" max="6914" width="2.375" style="32" customWidth="1"/>
    <col min="6915" max="6938" width="9" style="32"/>
    <col min="6939" max="6939" width="3.625" style="32" customWidth="1"/>
    <col min="6940" max="6940" width="9" style="32"/>
    <col min="6941" max="6941" width="3.375" style="32" customWidth="1"/>
    <col min="6942" max="6942" width="7.375" style="32" customWidth="1"/>
    <col min="6943" max="6943" width="3.375" style="32" customWidth="1"/>
    <col min="6944" max="6944" width="9" style="32" bestFit="1" customWidth="1"/>
    <col min="6945" max="7158" width="9" style="32"/>
    <col min="7159" max="7159" width="3.875" style="32" customWidth="1"/>
    <col min="7160" max="7160" width="20" style="32" customWidth="1"/>
    <col min="7161" max="7161" width="10.875" style="32" customWidth="1"/>
    <col min="7162" max="7162" width="11.625" style="32" customWidth="1"/>
    <col min="7163" max="7164" width="13" style="32" customWidth="1"/>
    <col min="7165" max="7165" width="11.375" style="32" customWidth="1"/>
    <col min="7166" max="7166" width="2.875" style="32" customWidth="1"/>
    <col min="7167" max="7167" width="9" style="32"/>
    <col min="7168" max="7168" width="11.625" style="32" bestFit="1" customWidth="1"/>
    <col min="7169" max="7169" width="10.5" style="32" customWidth="1"/>
    <col min="7170" max="7170" width="2.375" style="32" customWidth="1"/>
    <col min="7171" max="7194" width="9" style="32"/>
    <col min="7195" max="7195" width="3.625" style="32" customWidth="1"/>
    <col min="7196" max="7196" width="9" style="32"/>
    <col min="7197" max="7197" width="3.375" style="32" customWidth="1"/>
    <col min="7198" max="7198" width="7.375" style="32" customWidth="1"/>
    <col min="7199" max="7199" width="3.375" style="32" customWidth="1"/>
    <col min="7200" max="7200" width="9" style="32" bestFit="1" customWidth="1"/>
    <col min="7201" max="7414" width="9" style="32"/>
    <col min="7415" max="7415" width="3.875" style="32" customWidth="1"/>
    <col min="7416" max="7416" width="20" style="32" customWidth="1"/>
    <col min="7417" max="7417" width="10.875" style="32" customWidth="1"/>
    <col min="7418" max="7418" width="11.625" style="32" customWidth="1"/>
    <col min="7419" max="7420" width="13" style="32" customWidth="1"/>
    <col min="7421" max="7421" width="11.375" style="32" customWidth="1"/>
    <col min="7422" max="7422" width="2.875" style="32" customWidth="1"/>
    <col min="7423" max="7423" width="9" style="32"/>
    <col min="7424" max="7424" width="11.625" style="32" bestFit="1" customWidth="1"/>
    <col min="7425" max="7425" width="10.5" style="32" customWidth="1"/>
    <col min="7426" max="7426" width="2.375" style="32" customWidth="1"/>
    <col min="7427" max="7450" width="9" style="32"/>
    <col min="7451" max="7451" width="3.625" style="32" customWidth="1"/>
    <col min="7452" max="7452" width="9" style="32"/>
    <col min="7453" max="7453" width="3.375" style="32" customWidth="1"/>
    <col min="7454" max="7454" width="7.375" style="32" customWidth="1"/>
    <col min="7455" max="7455" width="3.375" style="32" customWidth="1"/>
    <col min="7456" max="7456" width="9" style="32" bestFit="1" customWidth="1"/>
    <col min="7457" max="7670" width="9" style="32"/>
    <col min="7671" max="7671" width="3.875" style="32" customWidth="1"/>
    <col min="7672" max="7672" width="20" style="32" customWidth="1"/>
    <col min="7673" max="7673" width="10.875" style="32" customWidth="1"/>
    <col min="7674" max="7674" width="11.625" style="32" customWidth="1"/>
    <col min="7675" max="7676" width="13" style="32" customWidth="1"/>
    <col min="7677" max="7677" width="11.375" style="32" customWidth="1"/>
    <col min="7678" max="7678" width="2.875" style="32" customWidth="1"/>
    <col min="7679" max="7679" width="9" style="32"/>
    <col min="7680" max="7680" width="11.625" style="32" bestFit="1" customWidth="1"/>
    <col min="7681" max="7681" width="10.5" style="32" customWidth="1"/>
    <col min="7682" max="7682" width="2.375" style="32" customWidth="1"/>
    <col min="7683" max="7706" width="9" style="32"/>
    <col min="7707" max="7707" width="3.625" style="32" customWidth="1"/>
    <col min="7708" max="7708" width="9" style="32"/>
    <col min="7709" max="7709" width="3.375" style="32" customWidth="1"/>
    <col min="7710" max="7710" width="7.375" style="32" customWidth="1"/>
    <col min="7711" max="7711" width="3.375" style="32" customWidth="1"/>
    <col min="7712" max="7712" width="9" style="32" bestFit="1" customWidth="1"/>
    <col min="7713" max="7926" width="9" style="32"/>
    <col min="7927" max="7927" width="3.875" style="32" customWidth="1"/>
    <col min="7928" max="7928" width="20" style="32" customWidth="1"/>
    <col min="7929" max="7929" width="10.875" style="32" customWidth="1"/>
    <col min="7930" max="7930" width="11.625" style="32" customWidth="1"/>
    <col min="7931" max="7932" width="13" style="32" customWidth="1"/>
    <col min="7933" max="7933" width="11.375" style="32" customWidth="1"/>
    <col min="7934" max="7934" width="2.875" style="32" customWidth="1"/>
    <col min="7935" max="7935" width="9" style="32"/>
    <col min="7936" max="7936" width="11.625" style="32" bestFit="1" customWidth="1"/>
    <col min="7937" max="7937" width="10.5" style="32" customWidth="1"/>
    <col min="7938" max="7938" width="2.375" style="32" customWidth="1"/>
    <col min="7939" max="7962" width="9" style="32"/>
    <col min="7963" max="7963" width="3.625" style="32" customWidth="1"/>
    <col min="7964" max="7964" width="9" style="32"/>
    <col min="7965" max="7965" width="3.375" style="32" customWidth="1"/>
    <col min="7966" max="7966" width="7.375" style="32" customWidth="1"/>
    <col min="7967" max="7967" width="3.375" style="32" customWidth="1"/>
    <col min="7968" max="7968" width="9" style="32" bestFit="1" customWidth="1"/>
    <col min="7969" max="8182" width="9" style="32"/>
    <col min="8183" max="8183" width="3.875" style="32" customWidth="1"/>
    <col min="8184" max="8184" width="20" style="32" customWidth="1"/>
    <col min="8185" max="8185" width="10.875" style="32" customWidth="1"/>
    <col min="8186" max="8186" width="11.625" style="32" customWidth="1"/>
    <col min="8187" max="8188" width="13" style="32" customWidth="1"/>
    <col min="8189" max="8189" width="11.375" style="32" customWidth="1"/>
    <col min="8190" max="8190" width="2.875" style="32" customWidth="1"/>
    <col min="8191" max="8191" width="9" style="32"/>
    <col min="8192" max="8192" width="11.625" style="32" bestFit="1" customWidth="1"/>
    <col min="8193" max="8193" width="10.5" style="32" customWidth="1"/>
    <col min="8194" max="8194" width="2.375" style="32" customWidth="1"/>
    <col min="8195" max="8218" width="9" style="32"/>
    <col min="8219" max="8219" width="3.625" style="32" customWidth="1"/>
    <col min="8220" max="8220" width="9" style="32"/>
    <col min="8221" max="8221" width="3.375" style="32" customWidth="1"/>
    <col min="8222" max="8222" width="7.375" style="32" customWidth="1"/>
    <col min="8223" max="8223" width="3.375" style="32" customWidth="1"/>
    <col min="8224" max="8224" width="9" style="32" bestFit="1" customWidth="1"/>
    <col min="8225" max="8438" width="9" style="32"/>
    <col min="8439" max="8439" width="3.875" style="32" customWidth="1"/>
    <col min="8440" max="8440" width="20" style="32" customWidth="1"/>
    <col min="8441" max="8441" width="10.875" style="32" customWidth="1"/>
    <col min="8442" max="8442" width="11.625" style="32" customWidth="1"/>
    <col min="8443" max="8444" width="13" style="32" customWidth="1"/>
    <col min="8445" max="8445" width="11.375" style="32" customWidth="1"/>
    <col min="8446" max="8446" width="2.875" style="32" customWidth="1"/>
    <col min="8447" max="8447" width="9" style="32"/>
    <col min="8448" max="8448" width="11.625" style="32" bestFit="1" customWidth="1"/>
    <col min="8449" max="8449" width="10.5" style="32" customWidth="1"/>
    <col min="8450" max="8450" width="2.375" style="32" customWidth="1"/>
    <col min="8451" max="8474" width="9" style="32"/>
    <col min="8475" max="8475" width="3.625" style="32" customWidth="1"/>
    <col min="8476" max="8476" width="9" style="32"/>
    <col min="8477" max="8477" width="3.375" style="32" customWidth="1"/>
    <col min="8478" max="8478" width="7.375" style="32" customWidth="1"/>
    <col min="8479" max="8479" width="3.375" style="32" customWidth="1"/>
    <col min="8480" max="8480" width="9" style="32" bestFit="1" customWidth="1"/>
    <col min="8481" max="8694" width="9" style="32"/>
    <col min="8695" max="8695" width="3.875" style="32" customWidth="1"/>
    <col min="8696" max="8696" width="20" style="32" customWidth="1"/>
    <col min="8697" max="8697" width="10.875" style="32" customWidth="1"/>
    <col min="8698" max="8698" width="11.625" style="32" customWidth="1"/>
    <col min="8699" max="8700" width="13" style="32" customWidth="1"/>
    <col min="8701" max="8701" width="11.375" style="32" customWidth="1"/>
    <col min="8702" max="8702" width="2.875" style="32" customWidth="1"/>
    <col min="8703" max="8703" width="9" style="32"/>
    <col min="8704" max="8704" width="11.625" style="32" bestFit="1" customWidth="1"/>
    <col min="8705" max="8705" width="10.5" style="32" customWidth="1"/>
    <col min="8706" max="8706" width="2.375" style="32" customWidth="1"/>
    <col min="8707" max="8730" width="9" style="32"/>
    <col min="8731" max="8731" width="3.625" style="32" customWidth="1"/>
    <col min="8732" max="8732" width="9" style="32"/>
    <col min="8733" max="8733" width="3.375" style="32" customWidth="1"/>
    <col min="8734" max="8734" width="7.375" style="32" customWidth="1"/>
    <col min="8735" max="8735" width="3.375" style="32" customWidth="1"/>
    <col min="8736" max="8736" width="9" style="32" bestFit="1" customWidth="1"/>
    <col min="8737" max="8950" width="9" style="32"/>
    <col min="8951" max="8951" width="3.875" style="32" customWidth="1"/>
    <col min="8952" max="8952" width="20" style="32" customWidth="1"/>
    <col min="8953" max="8953" width="10.875" style="32" customWidth="1"/>
    <col min="8954" max="8954" width="11.625" style="32" customWidth="1"/>
    <col min="8955" max="8956" width="13" style="32" customWidth="1"/>
    <col min="8957" max="8957" width="11.375" style="32" customWidth="1"/>
    <col min="8958" max="8958" width="2.875" style="32" customWidth="1"/>
    <col min="8959" max="8959" width="9" style="32"/>
    <col min="8960" max="8960" width="11.625" style="32" bestFit="1" customWidth="1"/>
    <col min="8961" max="8961" width="10.5" style="32" customWidth="1"/>
    <col min="8962" max="8962" width="2.375" style="32" customWidth="1"/>
    <col min="8963" max="8986" width="9" style="32"/>
    <col min="8987" max="8987" width="3.625" style="32" customWidth="1"/>
    <col min="8988" max="8988" width="9" style="32"/>
    <col min="8989" max="8989" width="3.375" style="32" customWidth="1"/>
    <col min="8990" max="8990" width="7.375" style="32" customWidth="1"/>
    <col min="8991" max="8991" width="3.375" style="32" customWidth="1"/>
    <col min="8992" max="8992" width="9" style="32" bestFit="1" customWidth="1"/>
    <col min="8993" max="9206" width="9" style="32"/>
    <col min="9207" max="9207" width="3.875" style="32" customWidth="1"/>
    <col min="9208" max="9208" width="20" style="32" customWidth="1"/>
    <col min="9209" max="9209" width="10.875" style="32" customWidth="1"/>
    <col min="9210" max="9210" width="11.625" style="32" customWidth="1"/>
    <col min="9211" max="9212" width="13" style="32" customWidth="1"/>
    <col min="9213" max="9213" width="11.375" style="32" customWidth="1"/>
    <col min="9214" max="9214" width="2.875" style="32" customWidth="1"/>
    <col min="9215" max="9215" width="9" style="32"/>
    <col min="9216" max="9216" width="11.625" style="32" bestFit="1" customWidth="1"/>
    <col min="9217" max="9217" width="10.5" style="32" customWidth="1"/>
    <col min="9218" max="9218" width="2.375" style="32" customWidth="1"/>
    <col min="9219" max="9242" width="9" style="32"/>
    <col min="9243" max="9243" width="3.625" style="32" customWidth="1"/>
    <col min="9244" max="9244" width="9" style="32"/>
    <col min="9245" max="9245" width="3.375" style="32" customWidth="1"/>
    <col min="9246" max="9246" width="7.375" style="32" customWidth="1"/>
    <col min="9247" max="9247" width="3.375" style="32" customWidth="1"/>
    <col min="9248" max="9248" width="9" style="32" bestFit="1" customWidth="1"/>
    <col min="9249" max="9462" width="9" style="32"/>
    <col min="9463" max="9463" width="3.875" style="32" customWidth="1"/>
    <col min="9464" max="9464" width="20" style="32" customWidth="1"/>
    <col min="9465" max="9465" width="10.875" style="32" customWidth="1"/>
    <col min="9466" max="9466" width="11.625" style="32" customWidth="1"/>
    <col min="9467" max="9468" width="13" style="32" customWidth="1"/>
    <col min="9469" max="9469" width="11.375" style="32" customWidth="1"/>
    <col min="9470" max="9470" width="2.875" style="32" customWidth="1"/>
    <col min="9471" max="9471" width="9" style="32"/>
    <col min="9472" max="9472" width="11.625" style="32" bestFit="1" customWidth="1"/>
    <col min="9473" max="9473" width="10.5" style="32" customWidth="1"/>
    <col min="9474" max="9474" width="2.375" style="32" customWidth="1"/>
    <col min="9475" max="9498" width="9" style="32"/>
    <col min="9499" max="9499" width="3.625" style="32" customWidth="1"/>
    <col min="9500" max="9500" width="9" style="32"/>
    <col min="9501" max="9501" width="3.375" style="32" customWidth="1"/>
    <col min="9502" max="9502" width="7.375" style="32" customWidth="1"/>
    <col min="9503" max="9503" width="3.375" style="32" customWidth="1"/>
    <col min="9504" max="9504" width="9" style="32" bestFit="1" customWidth="1"/>
    <col min="9505" max="9718" width="9" style="32"/>
    <col min="9719" max="9719" width="3.875" style="32" customWidth="1"/>
    <col min="9720" max="9720" width="20" style="32" customWidth="1"/>
    <col min="9721" max="9721" width="10.875" style="32" customWidth="1"/>
    <col min="9722" max="9722" width="11.625" style="32" customWidth="1"/>
    <col min="9723" max="9724" width="13" style="32" customWidth="1"/>
    <col min="9725" max="9725" width="11.375" style="32" customWidth="1"/>
    <col min="9726" max="9726" width="2.875" style="32" customWidth="1"/>
    <col min="9727" max="9727" width="9" style="32"/>
    <col min="9728" max="9728" width="11.625" style="32" bestFit="1" customWidth="1"/>
    <col min="9729" max="9729" width="10.5" style="32" customWidth="1"/>
    <col min="9730" max="9730" width="2.375" style="32" customWidth="1"/>
    <col min="9731" max="9754" width="9" style="32"/>
    <col min="9755" max="9755" width="3.625" style="32" customWidth="1"/>
    <col min="9756" max="9756" width="9" style="32"/>
    <col min="9757" max="9757" width="3.375" style="32" customWidth="1"/>
    <col min="9758" max="9758" width="7.375" style="32" customWidth="1"/>
    <col min="9759" max="9759" width="3.375" style="32" customWidth="1"/>
    <col min="9760" max="9760" width="9" style="32" bestFit="1" customWidth="1"/>
    <col min="9761" max="9974" width="9" style="32"/>
    <col min="9975" max="9975" width="3.875" style="32" customWidth="1"/>
    <col min="9976" max="9976" width="20" style="32" customWidth="1"/>
    <col min="9977" max="9977" width="10.875" style="32" customWidth="1"/>
    <col min="9978" max="9978" width="11.625" style="32" customWidth="1"/>
    <col min="9979" max="9980" width="13" style="32" customWidth="1"/>
    <col min="9981" max="9981" width="11.375" style="32" customWidth="1"/>
    <col min="9982" max="9982" width="2.875" style="32" customWidth="1"/>
    <col min="9983" max="9983" width="9" style="32"/>
    <col min="9984" max="9984" width="11.625" style="32" bestFit="1" customWidth="1"/>
    <col min="9985" max="9985" width="10.5" style="32" customWidth="1"/>
    <col min="9986" max="9986" width="2.375" style="32" customWidth="1"/>
    <col min="9987" max="10010" width="9" style="32"/>
    <col min="10011" max="10011" width="3.625" style="32" customWidth="1"/>
    <col min="10012" max="10012" width="9" style="32"/>
    <col min="10013" max="10013" width="3.375" style="32" customWidth="1"/>
    <col min="10014" max="10014" width="7.375" style="32" customWidth="1"/>
    <col min="10015" max="10015" width="3.375" style="32" customWidth="1"/>
    <col min="10016" max="10016" width="9" style="32" bestFit="1" customWidth="1"/>
    <col min="10017" max="10230" width="9" style="32"/>
    <col min="10231" max="10231" width="3.875" style="32" customWidth="1"/>
    <col min="10232" max="10232" width="20" style="32" customWidth="1"/>
    <col min="10233" max="10233" width="10.875" style="32" customWidth="1"/>
    <col min="10234" max="10234" width="11.625" style="32" customWidth="1"/>
    <col min="10235" max="10236" width="13" style="32" customWidth="1"/>
    <col min="10237" max="10237" width="11.375" style="32" customWidth="1"/>
    <col min="10238" max="10238" width="2.875" style="32" customWidth="1"/>
    <col min="10239" max="10239" width="9" style="32"/>
    <col min="10240" max="10240" width="11.625" style="32" bestFit="1" customWidth="1"/>
    <col min="10241" max="10241" width="10.5" style="32" customWidth="1"/>
    <col min="10242" max="10242" width="2.375" style="32" customWidth="1"/>
    <col min="10243" max="10266" width="9" style="32"/>
    <col min="10267" max="10267" width="3.625" style="32" customWidth="1"/>
    <col min="10268" max="10268" width="9" style="32"/>
    <col min="10269" max="10269" width="3.375" style="32" customWidth="1"/>
    <col min="10270" max="10270" width="7.375" style="32" customWidth="1"/>
    <col min="10271" max="10271" width="3.375" style="32" customWidth="1"/>
    <col min="10272" max="10272" width="9" style="32" bestFit="1" customWidth="1"/>
    <col min="10273" max="10486" width="9" style="32"/>
    <col min="10487" max="10487" width="3.875" style="32" customWidth="1"/>
    <col min="10488" max="10488" width="20" style="32" customWidth="1"/>
    <col min="10489" max="10489" width="10.875" style="32" customWidth="1"/>
    <col min="10490" max="10490" width="11.625" style="32" customWidth="1"/>
    <col min="10491" max="10492" width="13" style="32" customWidth="1"/>
    <col min="10493" max="10493" width="11.375" style="32" customWidth="1"/>
    <col min="10494" max="10494" width="2.875" style="32" customWidth="1"/>
    <col min="10495" max="10495" width="9" style="32"/>
    <col min="10496" max="10496" width="11.625" style="32" bestFit="1" customWidth="1"/>
    <col min="10497" max="10497" width="10.5" style="32" customWidth="1"/>
    <col min="10498" max="10498" width="2.375" style="32" customWidth="1"/>
    <col min="10499" max="10522" width="9" style="32"/>
    <col min="10523" max="10523" width="3.625" style="32" customWidth="1"/>
    <col min="10524" max="10524" width="9" style="32"/>
    <col min="10525" max="10525" width="3.375" style="32" customWidth="1"/>
    <col min="10526" max="10526" width="7.375" style="32" customWidth="1"/>
    <col min="10527" max="10527" width="3.375" style="32" customWidth="1"/>
    <col min="10528" max="10528" width="9" style="32" bestFit="1" customWidth="1"/>
    <col min="10529" max="10742" width="9" style="32"/>
    <col min="10743" max="10743" width="3.875" style="32" customWidth="1"/>
    <col min="10744" max="10744" width="20" style="32" customWidth="1"/>
    <col min="10745" max="10745" width="10.875" style="32" customWidth="1"/>
    <col min="10746" max="10746" width="11.625" style="32" customWidth="1"/>
    <col min="10747" max="10748" width="13" style="32" customWidth="1"/>
    <col min="10749" max="10749" width="11.375" style="32" customWidth="1"/>
    <col min="10750" max="10750" width="2.875" style="32" customWidth="1"/>
    <col min="10751" max="10751" width="9" style="32"/>
    <col min="10752" max="10752" width="11.625" style="32" bestFit="1" customWidth="1"/>
    <col min="10753" max="10753" width="10.5" style="32" customWidth="1"/>
    <col min="10754" max="10754" width="2.375" style="32" customWidth="1"/>
    <col min="10755" max="10778" width="9" style="32"/>
    <col min="10779" max="10779" width="3.625" style="32" customWidth="1"/>
    <col min="10780" max="10780" width="9" style="32"/>
    <col min="10781" max="10781" width="3.375" style="32" customWidth="1"/>
    <col min="10782" max="10782" width="7.375" style="32" customWidth="1"/>
    <col min="10783" max="10783" width="3.375" style="32" customWidth="1"/>
    <col min="10784" max="10784" width="9" style="32" bestFit="1" customWidth="1"/>
    <col min="10785" max="10998" width="9" style="32"/>
    <col min="10999" max="10999" width="3.875" style="32" customWidth="1"/>
    <col min="11000" max="11000" width="20" style="32" customWidth="1"/>
    <col min="11001" max="11001" width="10.875" style="32" customWidth="1"/>
    <col min="11002" max="11002" width="11.625" style="32" customWidth="1"/>
    <col min="11003" max="11004" width="13" style="32" customWidth="1"/>
    <col min="11005" max="11005" width="11.375" style="32" customWidth="1"/>
    <col min="11006" max="11006" width="2.875" style="32" customWidth="1"/>
    <col min="11007" max="11007" width="9" style="32"/>
    <col min="11008" max="11008" width="11.625" style="32" bestFit="1" customWidth="1"/>
    <col min="11009" max="11009" width="10.5" style="32" customWidth="1"/>
    <col min="11010" max="11010" width="2.375" style="32" customWidth="1"/>
    <col min="11011" max="11034" width="9" style="32"/>
    <col min="11035" max="11035" width="3.625" style="32" customWidth="1"/>
    <col min="11036" max="11036" width="9" style="32"/>
    <col min="11037" max="11037" width="3.375" style="32" customWidth="1"/>
    <col min="11038" max="11038" width="7.375" style="32" customWidth="1"/>
    <col min="11039" max="11039" width="3.375" style="32" customWidth="1"/>
    <col min="11040" max="11040" width="9" style="32" bestFit="1" customWidth="1"/>
    <col min="11041" max="11254" width="9" style="32"/>
    <col min="11255" max="11255" width="3.875" style="32" customWidth="1"/>
    <col min="11256" max="11256" width="20" style="32" customWidth="1"/>
    <col min="11257" max="11257" width="10.875" style="32" customWidth="1"/>
    <col min="11258" max="11258" width="11.625" style="32" customWidth="1"/>
    <col min="11259" max="11260" width="13" style="32" customWidth="1"/>
    <col min="11261" max="11261" width="11.375" style="32" customWidth="1"/>
    <col min="11262" max="11262" width="2.875" style="32" customWidth="1"/>
    <col min="11263" max="11263" width="9" style="32"/>
    <col min="11264" max="11264" width="11.625" style="32" bestFit="1" customWidth="1"/>
    <col min="11265" max="11265" width="10.5" style="32" customWidth="1"/>
    <col min="11266" max="11266" width="2.375" style="32" customWidth="1"/>
    <col min="11267" max="11290" width="9" style="32"/>
    <col min="11291" max="11291" width="3.625" style="32" customWidth="1"/>
    <col min="11292" max="11292" width="9" style="32"/>
    <col min="11293" max="11293" width="3.375" style="32" customWidth="1"/>
    <col min="11294" max="11294" width="7.375" style="32" customWidth="1"/>
    <col min="11295" max="11295" width="3.375" style="32" customWidth="1"/>
    <col min="11296" max="11296" width="9" style="32" bestFit="1" customWidth="1"/>
    <col min="11297" max="11510" width="9" style="32"/>
    <col min="11511" max="11511" width="3.875" style="32" customWidth="1"/>
    <col min="11512" max="11512" width="20" style="32" customWidth="1"/>
    <col min="11513" max="11513" width="10.875" style="32" customWidth="1"/>
    <col min="11514" max="11514" width="11.625" style="32" customWidth="1"/>
    <col min="11515" max="11516" width="13" style="32" customWidth="1"/>
    <col min="11517" max="11517" width="11.375" style="32" customWidth="1"/>
    <col min="11518" max="11518" width="2.875" style="32" customWidth="1"/>
    <col min="11519" max="11519" width="9" style="32"/>
    <col min="11520" max="11520" width="11.625" style="32" bestFit="1" customWidth="1"/>
    <col min="11521" max="11521" width="10.5" style="32" customWidth="1"/>
    <col min="11522" max="11522" width="2.375" style="32" customWidth="1"/>
    <col min="11523" max="11546" width="9" style="32"/>
    <col min="11547" max="11547" width="3.625" style="32" customWidth="1"/>
    <col min="11548" max="11548" width="9" style="32"/>
    <col min="11549" max="11549" width="3.375" style="32" customWidth="1"/>
    <col min="11550" max="11550" width="7.375" style="32" customWidth="1"/>
    <col min="11551" max="11551" width="3.375" style="32" customWidth="1"/>
    <col min="11552" max="11552" width="9" style="32" bestFit="1" customWidth="1"/>
    <col min="11553" max="11766" width="9" style="32"/>
    <col min="11767" max="11767" width="3.875" style="32" customWidth="1"/>
    <col min="11768" max="11768" width="20" style="32" customWidth="1"/>
    <col min="11769" max="11769" width="10.875" style="32" customWidth="1"/>
    <col min="11770" max="11770" width="11.625" style="32" customWidth="1"/>
    <col min="11771" max="11772" width="13" style="32" customWidth="1"/>
    <col min="11773" max="11773" width="11.375" style="32" customWidth="1"/>
    <col min="11774" max="11774" width="2.875" style="32" customWidth="1"/>
    <col min="11775" max="11775" width="9" style="32"/>
    <col min="11776" max="11776" width="11.625" style="32" bestFit="1" customWidth="1"/>
    <col min="11777" max="11777" width="10.5" style="32" customWidth="1"/>
    <col min="11778" max="11778" width="2.375" style="32" customWidth="1"/>
    <col min="11779" max="11802" width="9" style="32"/>
    <col min="11803" max="11803" width="3.625" style="32" customWidth="1"/>
    <col min="11804" max="11804" width="9" style="32"/>
    <col min="11805" max="11805" width="3.375" style="32" customWidth="1"/>
    <col min="11806" max="11806" width="7.375" style="32" customWidth="1"/>
    <col min="11807" max="11807" width="3.375" style="32" customWidth="1"/>
    <col min="11808" max="11808" width="9" style="32" bestFit="1" customWidth="1"/>
    <col min="11809" max="12022" width="9" style="32"/>
    <col min="12023" max="12023" width="3.875" style="32" customWidth="1"/>
    <col min="12024" max="12024" width="20" style="32" customWidth="1"/>
    <col min="12025" max="12025" width="10.875" style="32" customWidth="1"/>
    <col min="12026" max="12026" width="11.625" style="32" customWidth="1"/>
    <col min="12027" max="12028" width="13" style="32" customWidth="1"/>
    <col min="12029" max="12029" width="11.375" style="32" customWidth="1"/>
    <col min="12030" max="12030" width="2.875" style="32" customWidth="1"/>
    <col min="12031" max="12031" width="9" style="32"/>
    <col min="12032" max="12032" width="11.625" style="32" bestFit="1" customWidth="1"/>
    <col min="12033" max="12033" width="10.5" style="32" customWidth="1"/>
    <col min="12034" max="12034" width="2.375" style="32" customWidth="1"/>
    <col min="12035" max="12058" width="9" style="32"/>
    <col min="12059" max="12059" width="3.625" style="32" customWidth="1"/>
    <col min="12060" max="12060" width="9" style="32"/>
    <col min="12061" max="12061" width="3.375" style="32" customWidth="1"/>
    <col min="12062" max="12062" width="7.375" style="32" customWidth="1"/>
    <col min="12063" max="12063" width="3.375" style="32" customWidth="1"/>
    <col min="12064" max="12064" width="9" style="32" bestFit="1" customWidth="1"/>
    <col min="12065" max="12278" width="9" style="32"/>
    <col min="12279" max="12279" width="3.875" style="32" customWidth="1"/>
    <col min="12280" max="12280" width="20" style="32" customWidth="1"/>
    <col min="12281" max="12281" width="10.875" style="32" customWidth="1"/>
    <col min="12282" max="12282" width="11.625" style="32" customWidth="1"/>
    <col min="12283" max="12284" width="13" style="32" customWidth="1"/>
    <col min="12285" max="12285" width="11.375" style="32" customWidth="1"/>
    <col min="12286" max="12286" width="2.875" style="32" customWidth="1"/>
    <col min="12287" max="12287" width="9" style="32"/>
    <col min="12288" max="12288" width="11.625" style="32" bestFit="1" customWidth="1"/>
    <col min="12289" max="12289" width="10.5" style="32" customWidth="1"/>
    <col min="12290" max="12290" width="2.375" style="32" customWidth="1"/>
    <col min="12291" max="12314" width="9" style="32"/>
    <col min="12315" max="12315" width="3.625" style="32" customWidth="1"/>
    <col min="12316" max="12316" width="9" style="32"/>
    <col min="12317" max="12317" width="3.375" style="32" customWidth="1"/>
    <col min="12318" max="12318" width="7.375" style="32" customWidth="1"/>
    <col min="12319" max="12319" width="3.375" style="32" customWidth="1"/>
    <col min="12320" max="12320" width="9" style="32" bestFit="1" customWidth="1"/>
    <col min="12321" max="12534" width="9" style="32"/>
    <col min="12535" max="12535" width="3.875" style="32" customWidth="1"/>
    <col min="12536" max="12536" width="20" style="32" customWidth="1"/>
    <col min="12537" max="12537" width="10.875" style="32" customWidth="1"/>
    <col min="12538" max="12538" width="11.625" style="32" customWidth="1"/>
    <col min="12539" max="12540" width="13" style="32" customWidth="1"/>
    <col min="12541" max="12541" width="11.375" style="32" customWidth="1"/>
    <col min="12542" max="12542" width="2.875" style="32" customWidth="1"/>
    <col min="12543" max="12543" width="9" style="32"/>
    <col min="12544" max="12544" width="11.625" style="32" bestFit="1" customWidth="1"/>
    <col min="12545" max="12545" width="10.5" style="32" customWidth="1"/>
    <col min="12546" max="12546" width="2.375" style="32" customWidth="1"/>
    <col min="12547" max="12570" width="9" style="32"/>
    <col min="12571" max="12571" width="3.625" style="32" customWidth="1"/>
    <col min="12572" max="12572" width="9" style="32"/>
    <col min="12573" max="12573" width="3.375" style="32" customWidth="1"/>
    <col min="12574" max="12574" width="7.375" style="32" customWidth="1"/>
    <col min="12575" max="12575" width="3.375" style="32" customWidth="1"/>
    <col min="12576" max="12576" width="9" style="32" bestFit="1" customWidth="1"/>
    <col min="12577" max="12790" width="9" style="32"/>
    <col min="12791" max="12791" width="3.875" style="32" customWidth="1"/>
    <col min="12792" max="12792" width="20" style="32" customWidth="1"/>
    <col min="12793" max="12793" width="10.875" style="32" customWidth="1"/>
    <col min="12794" max="12794" width="11.625" style="32" customWidth="1"/>
    <col min="12795" max="12796" width="13" style="32" customWidth="1"/>
    <col min="12797" max="12797" width="11.375" style="32" customWidth="1"/>
    <col min="12798" max="12798" width="2.875" style="32" customWidth="1"/>
    <col min="12799" max="12799" width="9" style="32"/>
    <col min="12800" max="12800" width="11.625" style="32" bestFit="1" customWidth="1"/>
    <col min="12801" max="12801" width="10.5" style="32" customWidth="1"/>
    <col min="12802" max="12802" width="2.375" style="32" customWidth="1"/>
    <col min="12803" max="12826" width="9" style="32"/>
    <col min="12827" max="12827" width="3.625" style="32" customWidth="1"/>
    <col min="12828" max="12828" width="9" style="32"/>
    <col min="12829" max="12829" width="3.375" style="32" customWidth="1"/>
    <col min="12830" max="12830" width="7.375" style="32" customWidth="1"/>
    <col min="12831" max="12831" width="3.375" style="32" customWidth="1"/>
    <col min="12832" max="12832" width="9" style="32" bestFit="1" customWidth="1"/>
    <col min="12833" max="13046" width="9" style="32"/>
    <col min="13047" max="13047" width="3.875" style="32" customWidth="1"/>
    <col min="13048" max="13048" width="20" style="32" customWidth="1"/>
    <col min="13049" max="13049" width="10.875" style="32" customWidth="1"/>
    <col min="13050" max="13050" width="11.625" style="32" customWidth="1"/>
    <col min="13051" max="13052" width="13" style="32" customWidth="1"/>
    <col min="13053" max="13053" width="11.375" style="32" customWidth="1"/>
    <col min="13054" max="13054" width="2.875" style="32" customWidth="1"/>
    <col min="13055" max="13055" width="9" style="32"/>
    <col min="13056" max="13056" width="11.625" style="32" bestFit="1" customWidth="1"/>
    <col min="13057" max="13057" width="10.5" style="32" customWidth="1"/>
    <col min="13058" max="13058" width="2.375" style="32" customWidth="1"/>
    <col min="13059" max="13082" width="9" style="32"/>
    <col min="13083" max="13083" width="3.625" style="32" customWidth="1"/>
    <col min="13084" max="13084" width="9" style="32"/>
    <col min="13085" max="13085" width="3.375" style="32" customWidth="1"/>
    <col min="13086" max="13086" width="7.375" style="32" customWidth="1"/>
    <col min="13087" max="13087" width="3.375" style="32" customWidth="1"/>
    <col min="13088" max="13088" width="9" style="32" bestFit="1" customWidth="1"/>
    <col min="13089" max="13302" width="9" style="32"/>
    <col min="13303" max="13303" width="3.875" style="32" customWidth="1"/>
    <col min="13304" max="13304" width="20" style="32" customWidth="1"/>
    <col min="13305" max="13305" width="10.875" style="32" customWidth="1"/>
    <col min="13306" max="13306" width="11.625" style="32" customWidth="1"/>
    <col min="13307" max="13308" width="13" style="32" customWidth="1"/>
    <col min="13309" max="13309" width="11.375" style="32" customWidth="1"/>
    <col min="13310" max="13310" width="2.875" style="32" customWidth="1"/>
    <col min="13311" max="13311" width="9" style="32"/>
    <col min="13312" max="13312" width="11.625" style="32" bestFit="1" customWidth="1"/>
    <col min="13313" max="13313" width="10.5" style="32" customWidth="1"/>
    <col min="13314" max="13314" width="2.375" style="32" customWidth="1"/>
    <col min="13315" max="13338" width="9" style="32"/>
    <col min="13339" max="13339" width="3.625" style="32" customWidth="1"/>
    <col min="13340" max="13340" width="9" style="32"/>
    <col min="13341" max="13341" width="3.375" style="32" customWidth="1"/>
    <col min="13342" max="13342" width="7.375" style="32" customWidth="1"/>
    <col min="13343" max="13343" width="3.375" style="32" customWidth="1"/>
    <col min="13344" max="13344" width="9" style="32" bestFit="1" customWidth="1"/>
    <col min="13345" max="13558" width="9" style="32"/>
    <col min="13559" max="13559" width="3.875" style="32" customWidth="1"/>
    <col min="13560" max="13560" width="20" style="32" customWidth="1"/>
    <col min="13561" max="13561" width="10.875" style="32" customWidth="1"/>
    <col min="13562" max="13562" width="11.625" style="32" customWidth="1"/>
    <col min="13563" max="13564" width="13" style="32" customWidth="1"/>
    <col min="13565" max="13565" width="11.375" style="32" customWidth="1"/>
    <col min="13566" max="13566" width="2.875" style="32" customWidth="1"/>
    <col min="13567" max="13567" width="9" style="32"/>
    <col min="13568" max="13568" width="11.625" style="32" bestFit="1" customWidth="1"/>
    <col min="13569" max="13569" width="10.5" style="32" customWidth="1"/>
    <col min="13570" max="13570" width="2.375" style="32" customWidth="1"/>
    <col min="13571" max="13594" width="9" style="32"/>
    <col min="13595" max="13595" width="3.625" style="32" customWidth="1"/>
    <col min="13596" max="13596" width="9" style="32"/>
    <col min="13597" max="13597" width="3.375" style="32" customWidth="1"/>
    <col min="13598" max="13598" width="7.375" style="32" customWidth="1"/>
    <col min="13599" max="13599" width="3.375" style="32" customWidth="1"/>
    <col min="13600" max="13600" width="9" style="32" bestFit="1" customWidth="1"/>
    <col min="13601" max="13814" width="9" style="32"/>
    <col min="13815" max="13815" width="3.875" style="32" customWidth="1"/>
    <col min="13816" max="13816" width="20" style="32" customWidth="1"/>
    <col min="13817" max="13817" width="10.875" style="32" customWidth="1"/>
    <col min="13818" max="13818" width="11.625" style="32" customWidth="1"/>
    <col min="13819" max="13820" width="13" style="32" customWidth="1"/>
    <col min="13821" max="13821" width="11.375" style="32" customWidth="1"/>
    <col min="13822" max="13822" width="2.875" style="32" customWidth="1"/>
    <col min="13823" max="13823" width="9" style="32"/>
    <col min="13824" max="13824" width="11.625" style="32" bestFit="1" customWidth="1"/>
    <col min="13825" max="13825" width="10.5" style="32" customWidth="1"/>
    <col min="13826" max="13826" width="2.375" style="32" customWidth="1"/>
    <col min="13827" max="13850" width="9" style="32"/>
    <col min="13851" max="13851" width="3.625" style="32" customWidth="1"/>
    <col min="13852" max="13852" width="9" style="32"/>
    <col min="13853" max="13853" width="3.375" style="32" customWidth="1"/>
    <col min="13854" max="13854" width="7.375" style="32" customWidth="1"/>
    <col min="13855" max="13855" width="3.375" style="32" customWidth="1"/>
    <col min="13856" max="13856" width="9" style="32" bestFit="1" customWidth="1"/>
    <col min="13857" max="14070" width="9" style="32"/>
    <col min="14071" max="14071" width="3.875" style="32" customWidth="1"/>
    <col min="14072" max="14072" width="20" style="32" customWidth="1"/>
    <col min="14073" max="14073" width="10.875" style="32" customWidth="1"/>
    <col min="14074" max="14074" width="11.625" style="32" customWidth="1"/>
    <col min="14075" max="14076" width="13" style="32" customWidth="1"/>
    <col min="14077" max="14077" width="11.375" style="32" customWidth="1"/>
    <col min="14078" max="14078" width="2.875" style="32" customWidth="1"/>
    <col min="14079" max="14079" width="9" style="32"/>
    <col min="14080" max="14080" width="11.625" style="32" bestFit="1" customWidth="1"/>
    <col min="14081" max="14081" width="10.5" style="32" customWidth="1"/>
    <col min="14082" max="14082" width="2.375" style="32" customWidth="1"/>
    <col min="14083" max="14106" width="9" style="32"/>
    <col min="14107" max="14107" width="3.625" style="32" customWidth="1"/>
    <col min="14108" max="14108" width="9" style="32"/>
    <col min="14109" max="14109" width="3.375" style="32" customWidth="1"/>
    <col min="14110" max="14110" width="7.375" style="32" customWidth="1"/>
    <col min="14111" max="14111" width="3.375" style="32" customWidth="1"/>
    <col min="14112" max="14112" width="9" style="32" bestFit="1" customWidth="1"/>
    <col min="14113" max="14326" width="9" style="32"/>
    <col min="14327" max="14327" width="3.875" style="32" customWidth="1"/>
    <col min="14328" max="14328" width="20" style="32" customWidth="1"/>
    <col min="14329" max="14329" width="10.875" style="32" customWidth="1"/>
    <col min="14330" max="14330" width="11.625" style="32" customWidth="1"/>
    <col min="14331" max="14332" width="13" style="32" customWidth="1"/>
    <col min="14333" max="14333" width="11.375" style="32" customWidth="1"/>
    <col min="14334" max="14334" width="2.875" style="32" customWidth="1"/>
    <col min="14335" max="14335" width="9" style="32"/>
    <col min="14336" max="14336" width="11.625" style="32" bestFit="1" customWidth="1"/>
    <col min="14337" max="14337" width="10.5" style="32" customWidth="1"/>
    <col min="14338" max="14338" width="2.375" style="32" customWidth="1"/>
    <col min="14339" max="14362" width="9" style="32"/>
    <col min="14363" max="14363" width="3.625" style="32" customWidth="1"/>
    <col min="14364" max="14364" width="9" style="32"/>
    <col min="14365" max="14365" width="3.375" style="32" customWidth="1"/>
    <col min="14366" max="14366" width="7.375" style="32" customWidth="1"/>
    <col min="14367" max="14367" width="3.375" style="32" customWidth="1"/>
    <col min="14368" max="14368" width="9" style="32" bestFit="1" customWidth="1"/>
    <col min="14369" max="14582" width="9" style="32"/>
    <col min="14583" max="14583" width="3.875" style="32" customWidth="1"/>
    <col min="14584" max="14584" width="20" style="32" customWidth="1"/>
    <col min="14585" max="14585" width="10.875" style="32" customWidth="1"/>
    <col min="14586" max="14586" width="11.625" style="32" customWidth="1"/>
    <col min="14587" max="14588" width="13" style="32" customWidth="1"/>
    <col min="14589" max="14589" width="11.375" style="32" customWidth="1"/>
    <col min="14590" max="14590" width="2.875" style="32" customWidth="1"/>
    <col min="14591" max="14591" width="9" style="32"/>
    <col min="14592" max="14592" width="11.625" style="32" bestFit="1" customWidth="1"/>
    <col min="14593" max="14593" width="10.5" style="32" customWidth="1"/>
    <col min="14594" max="14594" width="2.375" style="32" customWidth="1"/>
    <col min="14595" max="14618" width="9" style="32"/>
    <col min="14619" max="14619" width="3.625" style="32" customWidth="1"/>
    <col min="14620" max="14620" width="9" style="32"/>
    <col min="14621" max="14621" width="3.375" style="32" customWidth="1"/>
    <col min="14622" max="14622" width="7.375" style="32" customWidth="1"/>
    <col min="14623" max="14623" width="3.375" style="32" customWidth="1"/>
    <col min="14624" max="14624" width="9" style="32" bestFit="1" customWidth="1"/>
    <col min="14625" max="14838" width="9" style="32"/>
    <col min="14839" max="14839" width="3.875" style="32" customWidth="1"/>
    <col min="14840" max="14840" width="20" style="32" customWidth="1"/>
    <col min="14841" max="14841" width="10.875" style="32" customWidth="1"/>
    <col min="14842" max="14842" width="11.625" style="32" customWidth="1"/>
    <col min="14843" max="14844" width="13" style="32" customWidth="1"/>
    <col min="14845" max="14845" width="11.375" style="32" customWidth="1"/>
    <col min="14846" max="14846" width="2.875" style="32" customWidth="1"/>
    <col min="14847" max="14847" width="9" style="32"/>
    <col min="14848" max="14848" width="11.625" style="32" bestFit="1" customWidth="1"/>
    <col min="14849" max="14849" width="10.5" style="32" customWidth="1"/>
    <col min="14850" max="14850" width="2.375" style="32" customWidth="1"/>
    <col min="14851" max="14874" width="9" style="32"/>
    <col min="14875" max="14875" width="3.625" style="32" customWidth="1"/>
    <col min="14876" max="14876" width="9" style="32"/>
    <col min="14877" max="14877" width="3.375" style="32" customWidth="1"/>
    <col min="14878" max="14878" width="7.375" style="32" customWidth="1"/>
    <col min="14879" max="14879" width="3.375" style="32" customWidth="1"/>
    <col min="14880" max="14880" width="9" style="32" bestFit="1" customWidth="1"/>
    <col min="14881" max="15094" width="9" style="32"/>
    <col min="15095" max="15095" width="3.875" style="32" customWidth="1"/>
    <col min="15096" max="15096" width="20" style="32" customWidth="1"/>
    <col min="15097" max="15097" width="10.875" style="32" customWidth="1"/>
    <col min="15098" max="15098" width="11.625" style="32" customWidth="1"/>
    <col min="15099" max="15100" width="13" style="32" customWidth="1"/>
    <col min="15101" max="15101" width="11.375" style="32" customWidth="1"/>
    <col min="15102" max="15102" width="2.875" style="32" customWidth="1"/>
    <col min="15103" max="15103" width="9" style="32"/>
    <col min="15104" max="15104" width="11.625" style="32" bestFit="1" customWidth="1"/>
    <col min="15105" max="15105" width="10.5" style="32" customWidth="1"/>
    <col min="15106" max="15106" width="2.375" style="32" customWidth="1"/>
    <col min="15107" max="15130" width="9" style="32"/>
    <col min="15131" max="15131" width="3.625" style="32" customWidth="1"/>
    <col min="15132" max="15132" width="9" style="32"/>
    <col min="15133" max="15133" width="3.375" style="32" customWidth="1"/>
    <col min="15134" max="15134" width="7.375" style="32" customWidth="1"/>
    <col min="15135" max="15135" width="3.375" style="32" customWidth="1"/>
    <col min="15136" max="15136" width="9" style="32" bestFit="1" customWidth="1"/>
    <col min="15137" max="15350" width="9" style="32"/>
    <col min="15351" max="15351" width="3.875" style="32" customWidth="1"/>
    <col min="15352" max="15352" width="20" style="32" customWidth="1"/>
    <col min="15353" max="15353" width="10.875" style="32" customWidth="1"/>
    <col min="15354" max="15354" width="11.625" style="32" customWidth="1"/>
    <col min="15355" max="15356" width="13" style="32" customWidth="1"/>
    <col min="15357" max="15357" width="11.375" style="32" customWidth="1"/>
    <col min="15358" max="15358" width="2.875" style="32" customWidth="1"/>
    <col min="15359" max="15359" width="9" style="32"/>
    <col min="15360" max="15360" width="11.625" style="32" bestFit="1" customWidth="1"/>
    <col min="15361" max="15361" width="10.5" style="32" customWidth="1"/>
    <col min="15362" max="15362" width="2.375" style="32" customWidth="1"/>
    <col min="15363" max="15386" width="9" style="32"/>
    <col min="15387" max="15387" width="3.625" style="32" customWidth="1"/>
    <col min="15388" max="15388" width="9" style="32"/>
    <col min="15389" max="15389" width="3.375" style="32" customWidth="1"/>
    <col min="15390" max="15390" width="7.375" style="32" customWidth="1"/>
    <col min="15391" max="15391" width="3.375" style="32" customWidth="1"/>
    <col min="15392" max="15392" width="9" style="32" bestFit="1" customWidth="1"/>
    <col min="15393" max="15606" width="9" style="32"/>
    <col min="15607" max="15607" width="3.875" style="32" customWidth="1"/>
    <col min="15608" max="15608" width="20" style="32" customWidth="1"/>
    <col min="15609" max="15609" width="10.875" style="32" customWidth="1"/>
    <col min="15610" max="15610" width="11.625" style="32" customWidth="1"/>
    <col min="15611" max="15612" width="13" style="32" customWidth="1"/>
    <col min="15613" max="15613" width="11.375" style="32" customWidth="1"/>
    <col min="15614" max="15614" width="2.875" style="32" customWidth="1"/>
    <col min="15615" max="15615" width="9" style="32"/>
    <col min="15616" max="15616" width="11.625" style="32" bestFit="1" customWidth="1"/>
    <col min="15617" max="15617" width="10.5" style="32" customWidth="1"/>
    <col min="15618" max="15618" width="2.375" style="32" customWidth="1"/>
    <col min="15619" max="15642" width="9" style="32"/>
    <col min="15643" max="15643" width="3.625" style="32" customWidth="1"/>
    <col min="15644" max="15644" width="9" style="32"/>
    <col min="15645" max="15645" width="3.375" style="32" customWidth="1"/>
    <col min="15646" max="15646" width="7.375" style="32" customWidth="1"/>
    <col min="15647" max="15647" width="3.375" style="32" customWidth="1"/>
    <col min="15648" max="15648" width="9" style="32" bestFit="1" customWidth="1"/>
    <col min="15649" max="15862" width="9" style="32"/>
    <col min="15863" max="15863" width="3.875" style="32" customWidth="1"/>
    <col min="15864" max="15864" width="20" style="32" customWidth="1"/>
    <col min="15865" max="15865" width="10.875" style="32" customWidth="1"/>
    <col min="15866" max="15866" width="11.625" style="32" customWidth="1"/>
    <col min="15867" max="15868" width="13" style="32" customWidth="1"/>
    <col min="15869" max="15869" width="11.375" style="32" customWidth="1"/>
    <col min="15870" max="15870" width="2.875" style="32" customWidth="1"/>
    <col min="15871" max="15871" width="9" style="32"/>
    <col min="15872" max="15872" width="11.625" style="32" bestFit="1" customWidth="1"/>
    <col min="15873" max="15873" width="10.5" style="32" customWidth="1"/>
    <col min="15874" max="15874" width="2.375" style="32" customWidth="1"/>
    <col min="15875" max="15898" width="9" style="32"/>
    <col min="15899" max="15899" width="3.625" style="32" customWidth="1"/>
    <col min="15900" max="15900" width="9" style="32"/>
    <col min="15901" max="15901" width="3.375" style="32" customWidth="1"/>
    <col min="15902" max="15902" width="7.375" style="32" customWidth="1"/>
    <col min="15903" max="15903" width="3.375" style="32" customWidth="1"/>
    <col min="15904" max="15904" width="9" style="32" bestFit="1" customWidth="1"/>
    <col min="15905" max="16118" width="9" style="32"/>
    <col min="16119" max="16119" width="3.875" style="32" customWidth="1"/>
    <col min="16120" max="16120" width="20" style="32" customWidth="1"/>
    <col min="16121" max="16121" width="10.875" style="32" customWidth="1"/>
    <col min="16122" max="16122" width="11.625" style="32" customWidth="1"/>
    <col min="16123" max="16124" width="13" style="32" customWidth="1"/>
    <col min="16125" max="16125" width="11.375" style="32" customWidth="1"/>
    <col min="16126" max="16126" width="2.875" style="32" customWidth="1"/>
    <col min="16127" max="16127" width="9" style="32"/>
    <col min="16128" max="16128" width="11.625" style="32" bestFit="1" customWidth="1"/>
    <col min="16129" max="16129" width="10.5" style="32" customWidth="1"/>
    <col min="16130" max="16130" width="2.375" style="32" customWidth="1"/>
    <col min="16131" max="16154" width="9" style="32"/>
    <col min="16155" max="16155" width="3.625" style="32" customWidth="1"/>
    <col min="16156" max="16156" width="9" style="32"/>
    <col min="16157" max="16157" width="3.375" style="32" customWidth="1"/>
    <col min="16158" max="16158" width="7.375" style="32" customWidth="1"/>
    <col min="16159" max="16159" width="3.375" style="32" customWidth="1"/>
    <col min="16160" max="16160" width="9" style="32" bestFit="1" customWidth="1"/>
    <col min="16161" max="16384" width="9" style="32"/>
  </cols>
  <sheetData>
    <row r="1" spans="2:33" ht="21.95" customHeight="1">
      <c r="J1" s="32" t="s">
        <v>484</v>
      </c>
      <c r="M1" t="s">
        <v>493</v>
      </c>
      <c r="N1">
        <f>台北盆地Cs!C12</f>
        <v>4</v>
      </c>
      <c r="O1" t="s">
        <v>494</v>
      </c>
      <c r="P1">
        <f>台北盆地Cs!C13</f>
        <v>2.5</v>
      </c>
      <c r="Q1" t="s">
        <v>495</v>
      </c>
      <c r="R1">
        <f>台北盆地Cs!C11</f>
        <v>1</v>
      </c>
      <c r="S1" t="s">
        <v>496</v>
      </c>
      <c r="T1">
        <f>台北盆地Cs!C14</f>
        <v>1</v>
      </c>
      <c r="AE1" s="15" t="s">
        <v>497</v>
      </c>
    </row>
    <row r="2" spans="2:33" ht="21.95" customHeight="1" thickBot="1">
      <c r="B2" s="32" t="s">
        <v>1744</v>
      </c>
      <c r="J2" s="32" t="s">
        <v>1744</v>
      </c>
    </row>
    <row r="3" spans="2:33" ht="21.95" customHeight="1" thickBot="1">
      <c r="B3" s="105" t="s">
        <v>1737</v>
      </c>
      <c r="C3" s="305" t="s">
        <v>1747</v>
      </c>
      <c r="J3" s="299" t="s">
        <v>1737</v>
      </c>
      <c r="K3" s="304" t="str">
        <f>C3</f>
        <v>新北市微分區　</v>
      </c>
      <c r="M3" t="s">
        <v>498</v>
      </c>
      <c r="N3">
        <v>0.6</v>
      </c>
      <c r="R3" t="s">
        <v>499</v>
      </c>
      <c r="S3">
        <v>0.8</v>
      </c>
    </row>
    <row r="4" spans="2:33" ht="21.95" customHeight="1" thickBot="1">
      <c r="B4" s="105"/>
      <c r="C4" s="305" t="s">
        <v>1746</v>
      </c>
      <c r="E4" s="35"/>
      <c r="J4" s="299"/>
      <c r="K4" s="304" t="str">
        <f>C4</f>
        <v>新店區</v>
      </c>
      <c r="AE4" s="15" t="s">
        <v>500</v>
      </c>
      <c r="AF4" s="15">
        <v>0.8</v>
      </c>
    </row>
    <row r="5" spans="2:33" ht="21.95" customHeight="1" thickBot="1">
      <c r="B5" s="105"/>
      <c r="C5" s="305" t="s">
        <v>1749</v>
      </c>
      <c r="E5" s="35"/>
      <c r="J5" s="302" t="s">
        <v>485</v>
      </c>
      <c r="K5" s="304" t="s">
        <v>486</v>
      </c>
      <c r="AE5" s="15" t="s">
        <v>501</v>
      </c>
      <c r="AF5" s="15">
        <v>0.67</v>
      </c>
    </row>
    <row r="6" spans="2:33" ht="21.95" customHeight="1" thickBot="1">
      <c r="B6" s="105" t="s">
        <v>437</v>
      </c>
      <c r="C6" s="308" t="str">
        <f ca="1">VLOOKUP(C5,INDIRECT(C4),2,FALSE)</f>
        <v>台北三區</v>
      </c>
      <c r="E6" s="35"/>
      <c r="J6" s="302" t="s">
        <v>487</v>
      </c>
      <c r="K6" s="304">
        <v>0.8</v>
      </c>
      <c r="M6" t="s">
        <v>502</v>
      </c>
      <c r="N6" t="s">
        <v>503</v>
      </c>
      <c r="O6" t="s">
        <v>504</v>
      </c>
      <c r="R6" t="s">
        <v>502</v>
      </c>
      <c r="S6" t="s">
        <v>503</v>
      </c>
      <c r="T6" t="s">
        <v>504</v>
      </c>
      <c r="AE6" s="15" t="s">
        <v>495</v>
      </c>
      <c r="AF6" s="15">
        <v>1.25</v>
      </c>
    </row>
    <row r="7" spans="2:33" ht="21.95" customHeight="1" thickBot="1">
      <c r="B7" s="32" t="s">
        <v>449</v>
      </c>
      <c r="J7" s="32" t="s">
        <v>449</v>
      </c>
      <c r="M7">
        <f>0.2*N7</f>
        <v>0.26</v>
      </c>
      <c r="N7">
        <v>1.3</v>
      </c>
      <c r="O7">
        <f>2.5*N7</f>
        <v>3.25</v>
      </c>
      <c r="R7">
        <f>0.2*S7</f>
        <v>0.26</v>
      </c>
      <c r="S7">
        <v>1.3</v>
      </c>
      <c r="T7">
        <f>2.5*S7</f>
        <v>3.25</v>
      </c>
    </row>
    <row r="8" spans="2:33" ht="21.95" customHeight="1" thickBot="1">
      <c r="B8" s="274" t="s">
        <v>1369</v>
      </c>
      <c r="C8" s="309">
        <v>2.8</v>
      </c>
      <c r="J8" s="301" t="s">
        <v>1369</v>
      </c>
      <c r="K8" s="304">
        <f>C8</f>
        <v>2.8</v>
      </c>
      <c r="AB8" t="s">
        <v>505</v>
      </c>
    </row>
    <row r="9" spans="2:33" ht="21.95" customHeight="1" thickBot="1">
      <c r="B9" s="274" t="s">
        <v>1426</v>
      </c>
      <c r="C9" s="309" t="s">
        <v>1291</v>
      </c>
      <c r="D9" s="104" t="s">
        <v>1722</v>
      </c>
      <c r="E9" s="104" t="s">
        <v>1751</v>
      </c>
      <c r="F9" s="104" t="s">
        <v>1724</v>
      </c>
      <c r="J9" s="311" t="s">
        <v>1753</v>
      </c>
      <c r="K9" s="307">
        <v>10</v>
      </c>
      <c r="M9" t="s">
        <v>0</v>
      </c>
      <c r="N9" t="s">
        <v>506</v>
      </c>
      <c r="O9" t="s">
        <v>507</v>
      </c>
      <c r="P9" t="s">
        <v>508</v>
      </c>
      <c r="Q9" t="s">
        <v>509</v>
      </c>
      <c r="R9" t="s">
        <v>0</v>
      </c>
      <c r="S9" t="s">
        <v>510</v>
      </c>
      <c r="T9" t="s">
        <v>511</v>
      </c>
      <c r="U9" t="s">
        <v>512</v>
      </c>
      <c r="V9" t="s">
        <v>513</v>
      </c>
      <c r="W9" t="s">
        <v>1280</v>
      </c>
      <c r="X9" t="s">
        <v>514</v>
      </c>
      <c r="Y9" t="s">
        <v>515</v>
      </c>
      <c r="Z9" t="s">
        <v>516</v>
      </c>
      <c r="AB9" t="s">
        <v>517</v>
      </c>
      <c r="AC9" t="s">
        <v>518</v>
      </c>
      <c r="AE9" s="15" t="s">
        <v>0</v>
      </c>
      <c r="AF9" s="15" t="s">
        <v>519</v>
      </c>
      <c r="AG9" s="15" t="s">
        <v>516</v>
      </c>
    </row>
    <row r="10" spans="2:33" ht="21.95" customHeight="1" thickBot="1">
      <c r="B10" s="274" t="s">
        <v>1750</v>
      </c>
      <c r="C10" s="304">
        <f>ROUND(IF(D10&gt;=E10,E10,IF(E10&gt;=F10,F10,E10)),4)</f>
        <v>0.21210000000000001</v>
      </c>
      <c r="D10" s="304">
        <f>ROUND(IF(C9="鋼構",0.085,IF(C9="RC",0.07,0.05))*C8^0.75,4)</f>
        <v>0.1515</v>
      </c>
      <c r="E10" s="310">
        <v>0.22</v>
      </c>
      <c r="F10" s="304">
        <f>D10*1.4</f>
        <v>0.21209999999999998</v>
      </c>
      <c r="J10" s="301" t="s">
        <v>454</v>
      </c>
      <c r="K10" s="304" t="str">
        <f>C9</f>
        <v>RC</v>
      </c>
      <c r="M10">
        <v>1E-3</v>
      </c>
      <c r="N10">
        <f t="shared" ref="N10:N41" si="0">IF(M10&lt;=0.2*$N$7,$N$3*(0.4+3*M10/$N$7),IF(M10&lt;=$N$7,$N$3,IF(M10&lt;=2.5*$N$7,$N$3*$N$7/M10,0.4*$N$3)))</f>
        <v>0.24138461538461536</v>
      </c>
      <c r="O10">
        <f t="shared" ref="O10:O41" si="1">M10^2/(4*PI()^2)*(N10*981)</f>
        <v>5.9981712049717778E-6</v>
      </c>
      <c r="P10">
        <f t="shared" ref="P10:P41" si="2">IF(M10&gt;$N$7,$P$1,IF(M10&gt;0.6*$N$7,SQRT(2*$P$1-1)+($P$1-SQRT(2*$P$1-1))*(M10-0.6*$N$7)/0.4/$N$7,IF(M10&gt;0.2*$N$7,SQRT(2*$P$1-1),SQRT(2*$P$1-1)+(SQRT(2*$P$1-1)-1)*(M10-0.2*$N$7)/0.2/$N$7)))</f>
        <v>1.0038461538461538</v>
      </c>
      <c r="Q10">
        <f t="shared" ref="Q10:Q41" si="3">IF(N10/P10&lt;=0.3,N10/P10,IF(N10/P10&lt;0.8,0.52*N10/P10+0.144,0.7*N10/P10))</f>
        <v>0.24045977011494252</v>
      </c>
      <c r="R10">
        <v>0</v>
      </c>
      <c r="S10">
        <f t="shared" ref="S10:S41" si="4">IF(R10&lt;=0.2*$S$7,$S$3*(0.4+3*R10/$S$7),IF(R10&lt;=$S$7,$S$3,IF(R10&lt;=2.5*$S$7,$S$3*$S$7/R10,0.4*$S$3)))</f>
        <v>0.32000000000000006</v>
      </c>
      <c r="T10">
        <f t="shared" ref="T10:T41" si="5">R10^2/(4*PI()^2)*(S10*981)</f>
        <v>0</v>
      </c>
      <c r="U10" s="16">
        <f t="shared" ref="U10:U41" si="6">IF(R10&gt;$S$7,$N$1,IF(R10&gt;0.6*$S$7,SQRT(2*$N$1-1)+($N$1-SQRT(2*$N$1-1))*(R10-0.6*$S$7)/0.4/$S$7,IF(R10&gt;0.2*$S$7,SQRT(2*$N$1-1),SQRT(2*$N$1-1)+(SQRT(2*$N$1-1)-1)*(R10-0.2*$S$7)/0.2/$S$7)))</f>
        <v>1.0000000000000002</v>
      </c>
      <c r="V10" s="16">
        <f t="shared" ref="V10:V41" si="7">IF(S10/U10&lt;=0.3,S10/U10,IF(S10/U10&lt;0.8,0.52*S10/U10+0.144,0.7*S10/U10))</f>
        <v>0.31040000000000001</v>
      </c>
      <c r="W10" s="16">
        <f t="shared" ref="W10:W41" si="8">$R$1/1.4/$T$1*Q10</f>
        <v>0.17175697865353037</v>
      </c>
      <c r="X10">
        <f t="shared" ref="X10:X41" si="9">$R$1*P10/3.5/$T$1*Q10</f>
        <v>6.8967032967032965E-2</v>
      </c>
      <c r="Y10">
        <f t="shared" ref="Y10:Y41" si="10">$R$1/1.4/$T$1*V10</f>
        <v>0.22171428571428572</v>
      </c>
      <c r="Z10" s="16">
        <f t="shared" ref="Z10:Z41" si="11">MAX(W10:Y10)</f>
        <v>0.22171428571428572</v>
      </c>
      <c r="AB10" s="16">
        <v>0</v>
      </c>
      <c r="AC10" s="16">
        <f>AC13</f>
        <v>0.21210000000000001</v>
      </c>
      <c r="AE10" s="15">
        <v>1E-3</v>
      </c>
      <c r="AF10" s="15">
        <f t="shared" ref="AF10:AF42" si="12">IF(0.248/AE10&lt;=0.0625,0.0625,IF(0.248/AE10&gt;=0.15,0.15,0.248/AE10))</f>
        <v>0.15</v>
      </c>
      <c r="AG10" s="15">
        <f t="shared" ref="AG10:AG41" si="13">$AF$4*$AF$5*AF10*$AF$6</f>
        <v>0.10050000000000001</v>
      </c>
    </row>
    <row r="11" spans="2:33" ht="21.95" customHeight="1" thickBot="1">
      <c r="B11" s="274" t="s">
        <v>459</v>
      </c>
      <c r="C11" s="307">
        <v>1</v>
      </c>
      <c r="J11" s="301" t="s">
        <v>1739</v>
      </c>
      <c r="K11" s="304">
        <f>IF($K$10="鋼構",0.085*K8^0.75,IF($K$10="RC",0.06*K8^0.75,0.09*K8/SQRT(K9)))</f>
        <v>0.12987326951658282</v>
      </c>
      <c r="M11">
        <v>0.02</v>
      </c>
      <c r="N11">
        <f t="shared" si="0"/>
        <v>0.26769230769230767</v>
      </c>
      <c r="O11">
        <f t="shared" si="1"/>
        <v>2.6607566339454155E-3</v>
      </c>
      <c r="P11">
        <f t="shared" si="2"/>
        <v>1.0769230769230771</v>
      </c>
      <c r="Q11">
        <f t="shared" si="3"/>
        <v>0.24857142857142853</v>
      </c>
      <c r="R11">
        <v>0.02</v>
      </c>
      <c r="S11">
        <f t="shared" si="4"/>
        <v>0.35692307692307695</v>
      </c>
      <c r="T11">
        <f t="shared" si="5"/>
        <v>3.5476755119272221E-3</v>
      </c>
      <c r="U11" s="16">
        <f t="shared" si="6"/>
        <v>1.1265962546972761</v>
      </c>
      <c r="V11" s="16">
        <f t="shared" si="7"/>
        <v>0.30874402362527997</v>
      </c>
      <c r="W11" s="16">
        <f t="shared" si="8"/>
        <v>0.17755102040816323</v>
      </c>
      <c r="X11">
        <f t="shared" si="9"/>
        <v>7.6483516483516492E-2</v>
      </c>
      <c r="Y11">
        <f t="shared" si="10"/>
        <v>0.22053144544662856</v>
      </c>
      <c r="Z11" s="16">
        <f t="shared" si="11"/>
        <v>0.22053144544662856</v>
      </c>
      <c r="AB11" s="16">
        <f>ROUNDUP(MAX(Z11:Z188),2)</f>
        <v>0.23</v>
      </c>
      <c r="AC11" s="16">
        <f>AC13</f>
        <v>0.21210000000000001</v>
      </c>
      <c r="AE11" s="15">
        <v>0.02</v>
      </c>
      <c r="AF11" s="15">
        <f t="shared" si="12"/>
        <v>0.15</v>
      </c>
      <c r="AG11" s="15">
        <f t="shared" si="13"/>
        <v>0.10050000000000001</v>
      </c>
    </row>
    <row r="12" spans="2:33" ht="21.95" customHeight="1" thickBot="1">
      <c r="B12" s="274" t="s">
        <v>461</v>
      </c>
      <c r="C12" s="307">
        <v>4</v>
      </c>
      <c r="J12" s="301" t="s">
        <v>488</v>
      </c>
      <c r="K12" s="304">
        <f>IF(0.248/K11&lt;=0.0625,0.0625,IF(0.248/K11&gt;=0.15,0.15,0.248/K11))</f>
        <v>0.15</v>
      </c>
      <c r="M12">
        <v>0.04</v>
      </c>
      <c r="N12">
        <f t="shared" si="0"/>
        <v>0.29538461538461541</v>
      </c>
      <c r="O12">
        <f t="shared" si="1"/>
        <v>1.1744029280862527E-2</v>
      </c>
      <c r="P12">
        <f t="shared" si="2"/>
        <v>1.153846153846154</v>
      </c>
      <c r="Q12">
        <f t="shared" si="3"/>
        <v>0.25600000000000001</v>
      </c>
      <c r="R12">
        <v>0.04</v>
      </c>
      <c r="S12">
        <f t="shared" si="4"/>
        <v>0.3938461538461539</v>
      </c>
      <c r="T12">
        <f t="shared" si="5"/>
        <v>1.5658705707816703E-2</v>
      </c>
      <c r="U12" s="16">
        <f t="shared" si="6"/>
        <v>1.2531925093945524</v>
      </c>
      <c r="V12" s="16">
        <f t="shared" si="7"/>
        <v>0.3074226174069169</v>
      </c>
      <c r="W12" s="16">
        <f t="shared" si="8"/>
        <v>0.18285714285714286</v>
      </c>
      <c r="X12">
        <f t="shared" si="9"/>
        <v>8.4395604395604409E-2</v>
      </c>
      <c r="Y12">
        <f t="shared" si="10"/>
        <v>0.21958758386208349</v>
      </c>
      <c r="Z12" s="16">
        <f t="shared" si="11"/>
        <v>0.21958758386208349</v>
      </c>
      <c r="AE12" s="15">
        <v>0.04</v>
      </c>
      <c r="AF12" s="15">
        <f t="shared" si="12"/>
        <v>0.15</v>
      </c>
      <c r="AG12" s="15">
        <f t="shared" si="13"/>
        <v>0.10050000000000001</v>
      </c>
    </row>
    <row r="13" spans="2:33" ht="21.95" customHeight="1" thickBot="1">
      <c r="B13" s="274" t="s">
        <v>1740</v>
      </c>
      <c r="C13" s="304">
        <f>1+(C12-1)/2</f>
        <v>2.5</v>
      </c>
      <c r="J13" s="301" t="s">
        <v>459</v>
      </c>
      <c r="K13" s="304">
        <f>C11</f>
        <v>1</v>
      </c>
      <c r="M13">
        <v>0.06</v>
      </c>
      <c r="N13">
        <f t="shared" si="0"/>
        <v>0.32307692307692304</v>
      </c>
      <c r="O13">
        <f t="shared" si="1"/>
        <v>2.8901322058372619E-2</v>
      </c>
      <c r="P13">
        <f t="shared" si="2"/>
        <v>1.2307692307692308</v>
      </c>
      <c r="Q13">
        <f t="shared" si="3"/>
        <v>0.26249999999999996</v>
      </c>
      <c r="R13">
        <v>0.06</v>
      </c>
      <c r="S13">
        <f t="shared" si="4"/>
        <v>0.43076923076923079</v>
      </c>
      <c r="T13">
        <f t="shared" si="5"/>
        <v>3.8535096077830164E-2</v>
      </c>
      <c r="U13" s="16">
        <f t="shared" si="6"/>
        <v>1.3797887640918287</v>
      </c>
      <c r="V13" s="16">
        <f t="shared" si="7"/>
        <v>0.30634369044701992</v>
      </c>
      <c r="W13" s="16">
        <f t="shared" si="8"/>
        <v>0.18749999999999997</v>
      </c>
      <c r="X13">
        <f t="shared" si="9"/>
        <v>9.2307692307692299E-2</v>
      </c>
      <c r="Y13">
        <f t="shared" si="10"/>
        <v>0.21881692174787137</v>
      </c>
      <c r="Z13" s="16">
        <f t="shared" si="11"/>
        <v>0.21881692174787137</v>
      </c>
      <c r="AB13" t="s">
        <v>520</v>
      </c>
      <c r="AC13" s="16">
        <f>台北盆地Cs!C10</f>
        <v>0.21210000000000001</v>
      </c>
      <c r="AD13" t="s">
        <v>521</v>
      </c>
      <c r="AE13" s="15">
        <v>0.06</v>
      </c>
      <c r="AF13" s="15">
        <f t="shared" si="12"/>
        <v>0.15</v>
      </c>
      <c r="AG13" s="15">
        <f t="shared" si="13"/>
        <v>0.10050000000000001</v>
      </c>
    </row>
    <row r="14" spans="2:33" ht="21.95" customHeight="1" thickBot="1">
      <c r="B14" s="274" t="s">
        <v>1741</v>
      </c>
      <c r="C14" s="307">
        <v>1</v>
      </c>
      <c r="J14" s="301" t="s">
        <v>1743</v>
      </c>
      <c r="K14" s="307">
        <v>0.67</v>
      </c>
      <c r="M14">
        <v>0.08</v>
      </c>
      <c r="N14">
        <f t="shared" si="0"/>
        <v>0.35076923076923078</v>
      </c>
      <c r="O14">
        <f t="shared" si="1"/>
        <v>5.5784139084096997E-2</v>
      </c>
      <c r="P14">
        <f t="shared" si="2"/>
        <v>1.3076923076923079</v>
      </c>
      <c r="Q14">
        <f t="shared" si="3"/>
        <v>0.26823529411764702</v>
      </c>
      <c r="R14">
        <v>0.08</v>
      </c>
      <c r="S14">
        <f t="shared" si="4"/>
        <v>0.46769230769230774</v>
      </c>
      <c r="T14">
        <f t="shared" si="5"/>
        <v>7.4378852112129343E-2</v>
      </c>
      <c r="U14" s="16">
        <f t="shared" si="6"/>
        <v>1.506385018789105</v>
      </c>
      <c r="V14" s="16">
        <f t="shared" si="7"/>
        <v>0.3054461090402335</v>
      </c>
      <c r="W14" s="16">
        <f t="shared" si="8"/>
        <v>0.19159663865546217</v>
      </c>
      <c r="X14">
        <f t="shared" si="9"/>
        <v>0.10021978021978022</v>
      </c>
      <c r="Y14">
        <f t="shared" si="10"/>
        <v>0.21817579217159536</v>
      </c>
      <c r="Z14" s="16">
        <f t="shared" si="11"/>
        <v>0.21817579217159536</v>
      </c>
      <c r="AE14" s="15">
        <v>0.08</v>
      </c>
      <c r="AF14" s="15">
        <f t="shared" si="12"/>
        <v>0.15</v>
      </c>
      <c r="AG14" s="15">
        <f t="shared" si="13"/>
        <v>0.10050000000000001</v>
      </c>
    </row>
    <row r="15" spans="2:33" ht="21.95" customHeight="1" thickBot="1">
      <c r="B15" s="403" t="s">
        <v>467</v>
      </c>
      <c r="C15" s="403"/>
      <c r="J15" s="32" t="s">
        <v>489</v>
      </c>
      <c r="K15" s="300">
        <f>K6*K14*K12*K13</f>
        <v>8.0399999999999999E-2</v>
      </c>
      <c r="M15">
        <v>0.1</v>
      </c>
      <c r="N15">
        <f t="shared" si="0"/>
        <v>0.37846153846153846</v>
      </c>
      <c r="O15">
        <f t="shared" si="1"/>
        <v>9.4043984475656969E-2</v>
      </c>
      <c r="P15">
        <f t="shared" si="2"/>
        <v>1.3846153846153846</v>
      </c>
      <c r="Q15">
        <f t="shared" si="3"/>
        <v>0.27333333333333332</v>
      </c>
      <c r="R15">
        <v>0.1</v>
      </c>
      <c r="S15">
        <f t="shared" si="4"/>
        <v>0.50461538461538458</v>
      </c>
      <c r="T15">
        <f t="shared" si="5"/>
        <v>0.12539197930087595</v>
      </c>
      <c r="U15" s="16">
        <f t="shared" si="6"/>
        <v>1.6329812734863811</v>
      </c>
      <c r="V15" s="16">
        <f t="shared" si="7"/>
        <v>0.30468769695060949</v>
      </c>
      <c r="W15" s="16">
        <f t="shared" si="8"/>
        <v>0.19523809523809524</v>
      </c>
      <c r="X15">
        <f t="shared" si="9"/>
        <v>0.10813186813186812</v>
      </c>
      <c r="Y15">
        <f t="shared" si="10"/>
        <v>0.21763406925043535</v>
      </c>
      <c r="Z15" s="16">
        <f t="shared" si="11"/>
        <v>0.21763406925043535</v>
      </c>
      <c r="AE15" s="15">
        <v>0.1</v>
      </c>
      <c r="AF15" s="15">
        <f t="shared" si="12"/>
        <v>0.15</v>
      </c>
      <c r="AG15" s="15">
        <f t="shared" si="13"/>
        <v>0.10050000000000001</v>
      </c>
    </row>
    <row r="16" spans="2:33" ht="21.95" customHeight="1">
      <c r="C16" s="274" t="s">
        <v>1738</v>
      </c>
      <c r="D16" s="274" t="s">
        <v>1375</v>
      </c>
      <c r="E16" s="274" t="s">
        <v>1386</v>
      </c>
      <c r="F16" s="274" t="s">
        <v>1387</v>
      </c>
      <c r="G16" s="274" t="s">
        <v>1388</v>
      </c>
      <c r="H16" s="274" t="s">
        <v>1389</v>
      </c>
      <c r="M16">
        <v>0.12</v>
      </c>
      <c r="N16">
        <f t="shared" si="0"/>
        <v>0.40615384615384614</v>
      </c>
      <c r="O16">
        <f t="shared" si="1"/>
        <v>0.14533236235067373</v>
      </c>
      <c r="P16">
        <f t="shared" si="2"/>
        <v>1.4615384615384615</v>
      </c>
      <c r="Q16">
        <f t="shared" si="3"/>
        <v>0.27789473684210525</v>
      </c>
      <c r="R16">
        <v>0.12</v>
      </c>
      <c r="S16">
        <f t="shared" si="4"/>
        <v>0.54153846153846164</v>
      </c>
      <c r="T16">
        <f t="shared" si="5"/>
        <v>0.19377648313423168</v>
      </c>
      <c r="U16" s="16">
        <f t="shared" si="6"/>
        <v>1.7595775281836574</v>
      </c>
      <c r="V16" s="16">
        <f t="shared" si="7"/>
        <v>0.30403841575010604</v>
      </c>
      <c r="W16" s="16">
        <f t="shared" si="8"/>
        <v>0.19849624060150375</v>
      </c>
      <c r="X16">
        <f t="shared" si="9"/>
        <v>0.11604395604395602</v>
      </c>
      <c r="Y16">
        <f t="shared" si="10"/>
        <v>0.21717029696436146</v>
      </c>
      <c r="Z16" s="16">
        <f t="shared" si="11"/>
        <v>0.21717029696436146</v>
      </c>
      <c r="AE16" s="15">
        <v>0.12</v>
      </c>
      <c r="AF16" s="15">
        <f t="shared" si="12"/>
        <v>0.15</v>
      </c>
      <c r="AG16" s="15">
        <f t="shared" si="13"/>
        <v>0.10050000000000001</v>
      </c>
    </row>
    <row r="17" spans="2:33" ht="21.95" customHeight="1">
      <c r="C17" s="304">
        <f ca="1">VLOOKUP(C6,台北盆地設計反應譜!I2:L4,2,FALSE)</f>
        <v>0.6</v>
      </c>
      <c r="D17" s="304">
        <f ca="1">VLOOKUP(C6,台北盆地設計反應譜!I2:L4,4,FALSE)</f>
        <v>1.05</v>
      </c>
      <c r="E17" s="304">
        <f ca="1">IF(C10&lt;=0.2*D17,C17*(0.4+3*C10/D17),IF(C10&lt;=D17,C17,IF(C10&lt;=2.5*D17,C17*D17/C10,0.4*C17)))</f>
        <v>0.6</v>
      </c>
      <c r="F17" s="304">
        <f ca="1">IF(C10&lt;=0.2*D17,SQRT(2*C13-1)+(SQRT(2*C13-1)-1)*(C10-0.2*D17)/(0.2*D17),IF(C10&lt;=0.6*D17,SQRT(2*C13-1),IF(C10&lt;=D17,SQRT(2*C13-1)+(C13-SQRT(2*C13-1))*(C10-0.6*D17)/(0.4*D17),C13)))</f>
        <v>2</v>
      </c>
      <c r="G17" s="304">
        <f ca="1">E17/F17</f>
        <v>0.3</v>
      </c>
      <c r="H17" s="304">
        <f ca="1">IF(G17&lt;=0.3,G17,IF(G17&lt;0.8,0.52*G17+0.144,0.7*G17))</f>
        <v>0.3</v>
      </c>
      <c r="M17">
        <v>0.14000000000000001</v>
      </c>
      <c r="N17">
        <f t="shared" si="0"/>
        <v>0.43384615384615388</v>
      </c>
      <c r="O17">
        <f t="shared" si="1"/>
        <v>0.21130077682676879</v>
      </c>
      <c r="P17">
        <f t="shared" si="2"/>
        <v>1.5384615384615385</v>
      </c>
      <c r="Q17">
        <f t="shared" si="3"/>
        <v>0.28200000000000003</v>
      </c>
      <c r="R17">
        <v>0.14000000000000001</v>
      </c>
      <c r="S17">
        <f t="shared" si="4"/>
        <v>0.57846153846153858</v>
      </c>
      <c r="T17">
        <f t="shared" si="5"/>
        <v>0.28173436910235844</v>
      </c>
      <c r="U17" s="16">
        <f t="shared" si="6"/>
        <v>1.8861737828809335</v>
      </c>
      <c r="V17" s="16">
        <f t="shared" si="7"/>
        <v>0.30347629149025679</v>
      </c>
      <c r="W17" s="16">
        <f t="shared" si="8"/>
        <v>0.20142857142857146</v>
      </c>
      <c r="X17">
        <f t="shared" si="9"/>
        <v>0.12395604395604398</v>
      </c>
      <c r="Y17">
        <f t="shared" si="10"/>
        <v>0.21676877963589772</v>
      </c>
      <c r="Z17" s="16">
        <f t="shared" si="11"/>
        <v>0.21676877963589772</v>
      </c>
      <c r="AE17" s="15">
        <v>0.14000000000000001</v>
      </c>
      <c r="AF17" s="15">
        <f t="shared" si="12"/>
        <v>0.15</v>
      </c>
      <c r="AG17" s="15">
        <f t="shared" si="13"/>
        <v>0.10050000000000001</v>
      </c>
    </row>
    <row r="18" spans="2:33" ht="21.95" customHeight="1">
      <c r="C18" s="274" t="s">
        <v>1381</v>
      </c>
      <c r="D18" s="274" t="s">
        <v>1383</v>
      </c>
      <c r="E18" s="274" t="s">
        <v>1393</v>
      </c>
      <c r="F18" s="274" t="s">
        <v>1394</v>
      </c>
      <c r="G18" s="274" t="s">
        <v>1395</v>
      </c>
      <c r="H18" s="274" t="s">
        <v>1396</v>
      </c>
      <c r="M18">
        <v>0.16</v>
      </c>
      <c r="N18">
        <f t="shared" si="0"/>
        <v>0.46153846153846145</v>
      </c>
      <c r="O18">
        <f t="shared" si="1"/>
        <v>0.29360073202156306</v>
      </c>
      <c r="P18">
        <f t="shared" si="2"/>
        <v>1.6153846153846154</v>
      </c>
      <c r="Q18">
        <f t="shared" si="3"/>
        <v>0.28571428571428564</v>
      </c>
      <c r="R18">
        <v>0.16</v>
      </c>
      <c r="S18">
        <f t="shared" si="4"/>
        <v>0.61538461538461542</v>
      </c>
      <c r="T18">
        <f t="shared" si="5"/>
        <v>0.39146764269541756</v>
      </c>
      <c r="U18" s="16">
        <f t="shared" si="6"/>
        <v>2.0127700375782096</v>
      </c>
      <c r="V18" s="16">
        <f t="shared" si="7"/>
        <v>0.30298487856319045</v>
      </c>
      <c r="W18" s="16">
        <f t="shared" si="8"/>
        <v>0.20408163265306117</v>
      </c>
      <c r="X18">
        <f t="shared" si="9"/>
        <v>0.13186813186813184</v>
      </c>
      <c r="Y18">
        <f t="shared" si="10"/>
        <v>0.21641777040227889</v>
      </c>
      <c r="Z18" s="16">
        <f t="shared" si="11"/>
        <v>0.21641777040227889</v>
      </c>
      <c r="AE18" s="15">
        <v>0.16</v>
      </c>
      <c r="AF18" s="15">
        <f t="shared" si="12"/>
        <v>0.15</v>
      </c>
      <c r="AG18" s="15">
        <f t="shared" si="13"/>
        <v>0.10050000000000001</v>
      </c>
    </row>
    <row r="19" spans="2:33" ht="21.95" customHeight="1">
      <c r="C19" s="304">
        <f ca="1">VLOOKUP(C6,台北盆地設計反應譜!I2:L4,3,FALSE)</f>
        <v>0.8</v>
      </c>
      <c r="D19" s="304">
        <f ca="1">D17</f>
        <v>1.05</v>
      </c>
      <c r="E19" s="304">
        <f ca="1">IF(C10&lt;=0.2*D19,C19*(0.4+3*C10/D19),IF(C10&lt;=D19,C19,IF(C10&lt;=2.5*D19,C19*D19/C10,0.4*C19)))</f>
        <v>0.8</v>
      </c>
      <c r="F19" s="304">
        <f ca="1">IF(C10&lt;=0.2*D19,SQRT(2*C12-1)+(SQRT(2*C12-1)-1)*(C10-0.2*D19)/(0.2*D19),IF(C10&lt;=0.6*D19,SQRT(2*C12-1),IF(C10&lt;=D19,SQRT(2*C12-1)+(C12-SQRT(2*C12-1))*(C10-0.6*D19)/(0.4*D19),C12)))</f>
        <v>2.6457513110645907</v>
      </c>
      <c r="G19" s="304">
        <f ca="1">E19/F19</f>
        <v>0.30237157840738177</v>
      </c>
      <c r="H19" s="304">
        <f ca="1">IF(G19&lt;=0.3,G19,IF(G19&lt;0.8,0.52*G19+0.144,0.7*G19))</f>
        <v>0.30123322077183851</v>
      </c>
      <c r="M19">
        <v>0.18</v>
      </c>
      <c r="N19">
        <f t="shared" si="0"/>
        <v>0.48923076923076919</v>
      </c>
      <c r="O19">
        <f t="shared" si="1"/>
        <v>0.39388373205267824</v>
      </c>
      <c r="P19">
        <f t="shared" si="2"/>
        <v>1.6923076923076923</v>
      </c>
      <c r="Q19">
        <f t="shared" si="3"/>
        <v>0.28909090909090907</v>
      </c>
      <c r="R19">
        <v>0.18</v>
      </c>
      <c r="S19">
        <f t="shared" si="4"/>
        <v>0.65230769230769237</v>
      </c>
      <c r="T19">
        <f t="shared" si="5"/>
        <v>0.52517830940357102</v>
      </c>
      <c r="U19" s="16">
        <f t="shared" si="6"/>
        <v>2.1393662922754859</v>
      </c>
      <c r="V19" s="16">
        <f t="shared" si="7"/>
        <v>0.30255162401349145</v>
      </c>
      <c r="W19" s="16">
        <f t="shared" si="8"/>
        <v>0.20649350649350648</v>
      </c>
      <c r="X19">
        <f t="shared" si="9"/>
        <v>0.13978021978021976</v>
      </c>
      <c r="Y19">
        <f t="shared" si="10"/>
        <v>0.21610830286677962</v>
      </c>
      <c r="Z19" s="16">
        <f t="shared" si="11"/>
        <v>0.21610830286677962</v>
      </c>
      <c r="AB19" t="s">
        <v>505</v>
      </c>
      <c r="AE19" s="15">
        <v>0.18</v>
      </c>
      <c r="AF19" s="15">
        <f t="shared" si="12"/>
        <v>0.15</v>
      </c>
      <c r="AG19" s="15">
        <f t="shared" si="13"/>
        <v>0.10050000000000001</v>
      </c>
    </row>
    <row r="20" spans="2:33" ht="21.95" customHeight="1">
      <c r="I20" s="306"/>
      <c r="L20" s="306"/>
      <c r="M20">
        <v>0.2</v>
      </c>
      <c r="N20">
        <f t="shared" si="0"/>
        <v>0.51692307692307693</v>
      </c>
      <c r="O20">
        <f t="shared" si="1"/>
        <v>0.5138012810377357</v>
      </c>
      <c r="P20">
        <f t="shared" si="2"/>
        <v>1.7692307692307692</v>
      </c>
      <c r="Q20">
        <f t="shared" si="3"/>
        <v>0.29217391304347828</v>
      </c>
      <c r="R20">
        <v>0.2</v>
      </c>
      <c r="S20">
        <f t="shared" si="4"/>
        <v>0.68923076923076931</v>
      </c>
      <c r="T20">
        <f t="shared" si="5"/>
        <v>0.68506837471698101</v>
      </c>
      <c r="U20" s="16">
        <f t="shared" si="6"/>
        <v>2.2659625469727622</v>
      </c>
      <c r="V20" s="16">
        <f t="shared" si="7"/>
        <v>0.30216678015212939</v>
      </c>
      <c r="W20" s="16">
        <f t="shared" si="8"/>
        <v>0.20869565217391306</v>
      </c>
      <c r="X20">
        <f t="shared" si="9"/>
        <v>0.14769230769230771</v>
      </c>
      <c r="Y20">
        <f t="shared" si="10"/>
        <v>0.21583341439437814</v>
      </c>
      <c r="Z20" s="16">
        <f t="shared" si="11"/>
        <v>0.21583341439437814</v>
      </c>
      <c r="AB20" t="s">
        <v>517</v>
      </c>
      <c r="AC20" t="s">
        <v>518</v>
      </c>
      <c r="AE20" s="15">
        <v>0.2</v>
      </c>
      <c r="AF20" s="15">
        <f t="shared" si="12"/>
        <v>0.15</v>
      </c>
      <c r="AG20" s="15">
        <f t="shared" si="13"/>
        <v>0.10050000000000001</v>
      </c>
    </row>
    <row r="21" spans="2:33" ht="21.95" customHeight="1">
      <c r="B21" s="385" t="s">
        <v>1752</v>
      </c>
      <c r="C21" s="404"/>
      <c r="D21" s="304">
        <f ca="1">C11*H17/1.4/C14</f>
        <v>0.2142857142857143</v>
      </c>
      <c r="E21" s="271" t="s">
        <v>1736</v>
      </c>
      <c r="F21" s="57"/>
      <c r="G21" s="57"/>
      <c r="M21">
        <v>0.22</v>
      </c>
      <c r="N21">
        <f t="shared" si="0"/>
        <v>0.54461538461538461</v>
      </c>
      <c r="O21">
        <f t="shared" si="1"/>
        <v>0.65500488309435601</v>
      </c>
      <c r="P21">
        <f t="shared" si="2"/>
        <v>1.846153846153846</v>
      </c>
      <c r="Q21">
        <f t="shared" si="3"/>
        <v>0.29500000000000004</v>
      </c>
      <c r="R21">
        <v>0.22</v>
      </c>
      <c r="S21">
        <f t="shared" si="4"/>
        <v>0.72615384615384615</v>
      </c>
      <c r="T21">
        <f t="shared" si="5"/>
        <v>0.87333984412580801</v>
      </c>
      <c r="U21" s="16">
        <f t="shared" si="6"/>
        <v>2.3925588016700381</v>
      </c>
      <c r="V21" s="16">
        <f t="shared" si="7"/>
        <v>0.30182266238824729</v>
      </c>
      <c r="W21" s="16">
        <f t="shared" si="8"/>
        <v>0.21071428571428574</v>
      </c>
      <c r="X21">
        <f t="shared" si="9"/>
        <v>0.15560439560439562</v>
      </c>
      <c r="Y21">
        <f t="shared" si="10"/>
        <v>0.2155876159916052</v>
      </c>
      <c r="Z21" s="16">
        <f t="shared" si="11"/>
        <v>0.2155876159916052</v>
      </c>
      <c r="AB21" s="16">
        <v>0</v>
      </c>
      <c r="AC21" s="312">
        <f>AC13</f>
        <v>0.21210000000000001</v>
      </c>
      <c r="AE21" s="15">
        <v>0.22</v>
      </c>
      <c r="AF21" s="15">
        <f t="shared" si="12"/>
        <v>0.15</v>
      </c>
      <c r="AG21" s="15">
        <f t="shared" si="13"/>
        <v>0.10050000000000001</v>
      </c>
    </row>
    <row r="22" spans="2:33" ht="21.95" customHeight="1">
      <c r="D22" s="271"/>
      <c r="E22" s="57"/>
      <c r="F22" s="57"/>
      <c r="G22" s="57"/>
      <c r="M22">
        <v>0.24</v>
      </c>
      <c r="N22">
        <f t="shared" si="0"/>
        <v>0.5723076923076923</v>
      </c>
      <c r="O22">
        <f t="shared" si="1"/>
        <v>0.81914604234016108</v>
      </c>
      <c r="P22">
        <f t="shared" si="2"/>
        <v>1.9230769230769229</v>
      </c>
      <c r="Q22">
        <f t="shared" si="3"/>
        <v>0.29760000000000003</v>
      </c>
      <c r="R22">
        <v>0.24</v>
      </c>
      <c r="S22">
        <f t="shared" si="4"/>
        <v>0.7630769230769231</v>
      </c>
      <c r="T22">
        <f t="shared" si="5"/>
        <v>1.0921947231202147</v>
      </c>
      <c r="U22" s="16">
        <f t="shared" si="6"/>
        <v>2.5191550563673144</v>
      </c>
      <c r="V22" s="16">
        <f t="shared" si="7"/>
        <v>0.30151313084006653</v>
      </c>
      <c r="W22" s="16">
        <f t="shared" si="8"/>
        <v>0.21257142857142861</v>
      </c>
      <c r="X22">
        <f t="shared" si="9"/>
        <v>0.16351648351648351</v>
      </c>
      <c r="Y22">
        <f t="shared" si="10"/>
        <v>0.21536652202861895</v>
      </c>
      <c r="Z22" s="16">
        <f t="shared" si="11"/>
        <v>0.21536652202861895</v>
      </c>
      <c r="AB22" s="16">
        <f>ROUNDUP(MAX(U10:U199),2)</f>
        <v>4</v>
      </c>
      <c r="AC22" s="312">
        <f>AC13</f>
        <v>0.21210000000000001</v>
      </c>
      <c r="AE22" s="15">
        <v>0.24</v>
      </c>
      <c r="AF22" s="15">
        <f t="shared" si="12"/>
        <v>0.15</v>
      </c>
      <c r="AG22" s="15">
        <f t="shared" si="13"/>
        <v>0.10050000000000001</v>
      </c>
    </row>
    <row r="23" spans="2:33" ht="21.95" customHeight="1">
      <c r="B23" s="385" t="s">
        <v>476</v>
      </c>
      <c r="C23" s="404"/>
      <c r="D23" s="304">
        <f ca="1">C11*F17*H17/3.5/C14</f>
        <v>0.17142857142857143</v>
      </c>
      <c r="E23" s="271" t="s">
        <v>1736</v>
      </c>
      <c r="F23" s="57"/>
      <c r="G23" s="57"/>
      <c r="M23">
        <v>0.26</v>
      </c>
      <c r="N23">
        <f t="shared" si="0"/>
        <v>0.6</v>
      </c>
      <c r="O23">
        <f t="shared" si="1"/>
        <v>1.0078762628927724</v>
      </c>
      <c r="P23">
        <f t="shared" si="2"/>
        <v>2</v>
      </c>
      <c r="Q23">
        <f t="shared" si="3"/>
        <v>0.3</v>
      </c>
      <c r="R23">
        <v>0.26</v>
      </c>
      <c r="S23">
        <f t="shared" si="4"/>
        <v>0.8</v>
      </c>
      <c r="T23">
        <f t="shared" si="5"/>
        <v>1.3438350171903632</v>
      </c>
      <c r="U23" s="16">
        <f t="shared" si="6"/>
        <v>2.6457513110645907</v>
      </c>
      <c r="V23" s="16">
        <f t="shared" si="7"/>
        <v>0.30123322077183856</v>
      </c>
      <c r="W23" s="16">
        <f t="shared" si="8"/>
        <v>0.21428571428571427</v>
      </c>
      <c r="X23">
        <f t="shared" si="9"/>
        <v>0.1714285714285714</v>
      </c>
      <c r="Y23">
        <f t="shared" si="10"/>
        <v>0.21516658626559898</v>
      </c>
      <c r="Z23" s="16">
        <f t="shared" si="11"/>
        <v>0.21516658626559898</v>
      </c>
      <c r="AE23" s="15">
        <v>0.26</v>
      </c>
      <c r="AF23" s="15">
        <f t="shared" si="12"/>
        <v>0.15</v>
      </c>
      <c r="AG23" s="15">
        <f t="shared" si="13"/>
        <v>0.10050000000000001</v>
      </c>
    </row>
    <row r="24" spans="2:33" ht="21.95" customHeight="1">
      <c r="F24" s="57"/>
      <c r="G24" s="57"/>
      <c r="M24">
        <v>0.28000000000000003</v>
      </c>
      <c r="N24">
        <f t="shared" si="0"/>
        <v>0.6</v>
      </c>
      <c r="O24">
        <f t="shared" si="1"/>
        <v>1.1688979143608484</v>
      </c>
      <c r="P24">
        <f t="shared" si="2"/>
        <v>2</v>
      </c>
      <c r="Q24">
        <f t="shared" si="3"/>
        <v>0.3</v>
      </c>
      <c r="R24">
        <v>0.28000000000000003</v>
      </c>
      <c r="S24">
        <f t="shared" si="4"/>
        <v>0.8</v>
      </c>
      <c r="T24">
        <f t="shared" si="5"/>
        <v>1.5585305524811315</v>
      </c>
      <c r="U24" s="16">
        <f t="shared" si="6"/>
        <v>2.6457513110645907</v>
      </c>
      <c r="V24" s="16">
        <f t="shared" si="7"/>
        <v>0.30123322077183856</v>
      </c>
      <c r="W24" s="16">
        <f t="shared" si="8"/>
        <v>0.21428571428571427</v>
      </c>
      <c r="X24">
        <f t="shared" si="9"/>
        <v>0.1714285714285714</v>
      </c>
      <c r="Y24">
        <f t="shared" si="10"/>
        <v>0.21516658626559898</v>
      </c>
      <c r="Z24" s="16">
        <f t="shared" si="11"/>
        <v>0.21516658626559898</v>
      </c>
      <c r="AE24" s="15">
        <v>0.28000000000000003</v>
      </c>
      <c r="AF24" s="15">
        <f t="shared" si="12"/>
        <v>0.15</v>
      </c>
      <c r="AG24" s="15">
        <f t="shared" si="13"/>
        <v>0.10050000000000001</v>
      </c>
    </row>
    <row r="25" spans="2:33" ht="21.95" customHeight="1">
      <c r="B25" s="385" t="s">
        <v>1742</v>
      </c>
      <c r="C25" s="404"/>
      <c r="D25" s="304">
        <f ca="1">C11*H19/1.4/C14</f>
        <v>0.21516658626559895</v>
      </c>
      <c r="E25" s="271" t="s">
        <v>1736</v>
      </c>
      <c r="F25" s="57"/>
      <c r="G25" s="57"/>
      <c r="M25">
        <v>0.3</v>
      </c>
      <c r="N25">
        <f t="shared" si="0"/>
        <v>0.6</v>
      </c>
      <c r="O25">
        <f t="shared" si="1"/>
        <v>1.3418470955673003</v>
      </c>
      <c r="P25">
        <f t="shared" si="2"/>
        <v>2</v>
      </c>
      <c r="Q25">
        <f t="shared" si="3"/>
        <v>0.3</v>
      </c>
      <c r="R25">
        <v>0.3</v>
      </c>
      <c r="S25">
        <f t="shared" si="4"/>
        <v>0.8</v>
      </c>
      <c r="T25">
        <f t="shared" si="5"/>
        <v>1.7891294607564006</v>
      </c>
      <c r="U25" s="16">
        <f t="shared" si="6"/>
        <v>2.6457513110645907</v>
      </c>
      <c r="V25" s="16">
        <f t="shared" si="7"/>
        <v>0.30123322077183856</v>
      </c>
      <c r="W25" s="16">
        <f t="shared" si="8"/>
        <v>0.21428571428571427</v>
      </c>
      <c r="X25">
        <f t="shared" si="9"/>
        <v>0.1714285714285714</v>
      </c>
      <c r="Y25">
        <f t="shared" si="10"/>
        <v>0.21516658626559898</v>
      </c>
      <c r="Z25" s="16">
        <f t="shared" si="11"/>
        <v>0.21516658626559898</v>
      </c>
      <c r="AE25" s="15">
        <v>0.3</v>
      </c>
      <c r="AF25" s="15">
        <f t="shared" si="12"/>
        <v>0.15</v>
      </c>
      <c r="AG25" s="15">
        <f t="shared" si="13"/>
        <v>0.10050000000000001</v>
      </c>
    </row>
    <row r="26" spans="2:33" ht="21.95" customHeight="1">
      <c r="D26" s="57"/>
      <c r="E26" s="57"/>
      <c r="F26" s="57"/>
      <c r="M26">
        <v>0.32</v>
      </c>
      <c r="N26">
        <f t="shared" si="0"/>
        <v>0.6</v>
      </c>
      <c r="O26">
        <f t="shared" si="1"/>
        <v>1.5267238065121285</v>
      </c>
      <c r="P26">
        <f t="shared" si="2"/>
        <v>2</v>
      </c>
      <c r="Q26">
        <f t="shared" si="3"/>
        <v>0.3</v>
      </c>
      <c r="R26">
        <v>0.32</v>
      </c>
      <c r="S26">
        <f t="shared" si="4"/>
        <v>0.8</v>
      </c>
      <c r="T26">
        <f t="shared" si="5"/>
        <v>2.0356317420161716</v>
      </c>
      <c r="U26" s="16">
        <f t="shared" si="6"/>
        <v>2.6457513110645907</v>
      </c>
      <c r="V26" s="16">
        <f t="shared" si="7"/>
        <v>0.30123322077183856</v>
      </c>
      <c r="W26" s="16">
        <f t="shared" si="8"/>
        <v>0.21428571428571427</v>
      </c>
      <c r="X26">
        <f t="shared" si="9"/>
        <v>0.1714285714285714</v>
      </c>
      <c r="Y26">
        <f t="shared" si="10"/>
        <v>0.21516658626559898</v>
      </c>
      <c r="Z26" s="16">
        <f t="shared" si="11"/>
        <v>0.21516658626559898</v>
      </c>
      <c r="AE26" s="15">
        <v>0.32</v>
      </c>
      <c r="AF26" s="15">
        <f t="shared" si="12"/>
        <v>0.15</v>
      </c>
      <c r="AG26" s="15">
        <f t="shared" si="13"/>
        <v>0.10050000000000001</v>
      </c>
    </row>
    <row r="27" spans="2:33" ht="21.95" customHeight="1">
      <c r="B27" s="401" t="s">
        <v>1745</v>
      </c>
      <c r="C27" s="402"/>
      <c r="D27" s="303">
        <f ca="1">MAX(D21,D23,D25)</f>
        <v>0.21516658626559895</v>
      </c>
      <c r="M27">
        <v>0.34</v>
      </c>
      <c r="N27">
        <f t="shared" si="0"/>
        <v>0.6</v>
      </c>
      <c r="O27">
        <f t="shared" si="1"/>
        <v>1.7235280471953329</v>
      </c>
      <c r="P27">
        <f t="shared" si="2"/>
        <v>2</v>
      </c>
      <c r="Q27">
        <f t="shared" si="3"/>
        <v>0.3</v>
      </c>
      <c r="R27">
        <v>0.34</v>
      </c>
      <c r="S27">
        <f t="shared" si="4"/>
        <v>0.8</v>
      </c>
      <c r="T27">
        <f t="shared" si="5"/>
        <v>2.2980373962604439</v>
      </c>
      <c r="U27" s="16">
        <f t="shared" si="6"/>
        <v>2.6457513110645907</v>
      </c>
      <c r="V27" s="16">
        <f t="shared" si="7"/>
        <v>0.30123322077183856</v>
      </c>
      <c r="W27" s="16">
        <f t="shared" si="8"/>
        <v>0.21428571428571427</v>
      </c>
      <c r="X27">
        <f t="shared" si="9"/>
        <v>0.1714285714285714</v>
      </c>
      <c r="Y27">
        <f t="shared" si="10"/>
        <v>0.21516658626559898</v>
      </c>
      <c r="Z27" s="16">
        <f t="shared" si="11"/>
        <v>0.21516658626559898</v>
      </c>
      <c r="AE27" s="15">
        <v>0.34</v>
      </c>
      <c r="AF27" s="15">
        <f t="shared" si="12"/>
        <v>0.15</v>
      </c>
      <c r="AG27" s="15">
        <f t="shared" si="13"/>
        <v>0.10050000000000001</v>
      </c>
    </row>
    <row r="28" spans="2:33">
      <c r="C28" s="271"/>
      <c r="M28">
        <v>0.36</v>
      </c>
      <c r="N28">
        <f t="shared" si="0"/>
        <v>0.6</v>
      </c>
      <c r="O28">
        <f t="shared" si="1"/>
        <v>1.9322598176169123</v>
      </c>
      <c r="P28">
        <f t="shared" si="2"/>
        <v>2</v>
      </c>
      <c r="Q28">
        <f t="shared" si="3"/>
        <v>0.3</v>
      </c>
      <c r="R28">
        <v>0.36</v>
      </c>
      <c r="S28">
        <f t="shared" si="4"/>
        <v>0.8</v>
      </c>
      <c r="T28">
        <f t="shared" si="5"/>
        <v>2.5763464234892166</v>
      </c>
      <c r="U28" s="16">
        <f t="shared" si="6"/>
        <v>2.6457513110645907</v>
      </c>
      <c r="V28" s="16">
        <f t="shared" si="7"/>
        <v>0.30123322077183856</v>
      </c>
      <c r="W28" s="16">
        <f t="shared" si="8"/>
        <v>0.21428571428571427</v>
      </c>
      <c r="X28">
        <f t="shared" si="9"/>
        <v>0.1714285714285714</v>
      </c>
      <c r="Y28">
        <f t="shared" si="10"/>
        <v>0.21516658626559898</v>
      </c>
      <c r="Z28" s="16">
        <f t="shared" si="11"/>
        <v>0.21516658626559898</v>
      </c>
      <c r="AE28" s="15">
        <v>0.36</v>
      </c>
      <c r="AF28" s="15">
        <f t="shared" si="12"/>
        <v>0.15</v>
      </c>
      <c r="AG28" s="15">
        <f t="shared" si="13"/>
        <v>0.10050000000000001</v>
      </c>
    </row>
    <row r="29" spans="2:33">
      <c r="M29">
        <v>0.38</v>
      </c>
      <c r="N29">
        <f t="shared" si="0"/>
        <v>0.6</v>
      </c>
      <c r="O29">
        <f t="shared" si="1"/>
        <v>2.1529191177768685</v>
      </c>
      <c r="P29">
        <f t="shared" si="2"/>
        <v>2</v>
      </c>
      <c r="Q29">
        <f t="shared" si="3"/>
        <v>0.3</v>
      </c>
      <c r="R29">
        <v>0.38</v>
      </c>
      <c r="S29">
        <f t="shared" si="4"/>
        <v>0.8</v>
      </c>
      <c r="T29">
        <f t="shared" si="5"/>
        <v>2.8705588237024915</v>
      </c>
      <c r="U29" s="16">
        <f t="shared" si="6"/>
        <v>2.6457513110645907</v>
      </c>
      <c r="V29" s="16">
        <f t="shared" si="7"/>
        <v>0.30123322077183856</v>
      </c>
      <c r="W29" s="16">
        <f t="shared" si="8"/>
        <v>0.21428571428571427</v>
      </c>
      <c r="X29">
        <f t="shared" si="9"/>
        <v>0.1714285714285714</v>
      </c>
      <c r="Y29">
        <f t="shared" si="10"/>
        <v>0.21516658626559898</v>
      </c>
      <c r="Z29" s="16">
        <f t="shared" si="11"/>
        <v>0.21516658626559898</v>
      </c>
      <c r="AE29" s="15">
        <v>0.38</v>
      </c>
      <c r="AF29" s="15">
        <f t="shared" si="12"/>
        <v>0.15</v>
      </c>
      <c r="AG29" s="15">
        <f t="shared" si="13"/>
        <v>0.10050000000000001</v>
      </c>
    </row>
    <row r="30" spans="2:33">
      <c r="M30">
        <v>0.4</v>
      </c>
      <c r="N30">
        <f t="shared" si="0"/>
        <v>0.6</v>
      </c>
      <c r="O30">
        <f t="shared" si="1"/>
        <v>2.3855059476752012</v>
      </c>
      <c r="P30">
        <f t="shared" si="2"/>
        <v>2</v>
      </c>
      <c r="Q30">
        <f t="shared" si="3"/>
        <v>0.3</v>
      </c>
      <c r="R30">
        <v>0.4</v>
      </c>
      <c r="S30">
        <f t="shared" si="4"/>
        <v>0.8</v>
      </c>
      <c r="T30">
        <f t="shared" si="5"/>
        <v>3.1806745969002685</v>
      </c>
      <c r="U30" s="16">
        <f t="shared" si="6"/>
        <v>2.6457513110645907</v>
      </c>
      <c r="V30" s="16">
        <f t="shared" si="7"/>
        <v>0.30123322077183856</v>
      </c>
      <c r="W30" s="16">
        <f t="shared" si="8"/>
        <v>0.21428571428571427</v>
      </c>
      <c r="X30">
        <f t="shared" si="9"/>
        <v>0.1714285714285714</v>
      </c>
      <c r="Y30">
        <f t="shared" si="10"/>
        <v>0.21516658626559898</v>
      </c>
      <c r="Z30" s="16">
        <f t="shared" si="11"/>
        <v>0.21516658626559898</v>
      </c>
      <c r="AE30" s="15">
        <v>0.4</v>
      </c>
      <c r="AF30" s="15">
        <f t="shared" si="12"/>
        <v>0.15</v>
      </c>
      <c r="AG30" s="15">
        <f t="shared" si="13"/>
        <v>0.10050000000000001</v>
      </c>
    </row>
    <row r="31" spans="2:33">
      <c r="M31">
        <v>0.42</v>
      </c>
      <c r="N31">
        <f t="shared" si="0"/>
        <v>0.6</v>
      </c>
      <c r="O31">
        <f t="shared" si="1"/>
        <v>2.6300203073119084</v>
      </c>
      <c r="P31">
        <f t="shared" si="2"/>
        <v>2</v>
      </c>
      <c r="Q31">
        <f t="shared" si="3"/>
        <v>0.3</v>
      </c>
      <c r="R31">
        <v>0.42</v>
      </c>
      <c r="S31">
        <f t="shared" si="4"/>
        <v>0.8</v>
      </c>
      <c r="T31">
        <f t="shared" si="5"/>
        <v>3.5066937430825447</v>
      </c>
      <c r="U31" s="16">
        <f t="shared" si="6"/>
        <v>2.6457513110645907</v>
      </c>
      <c r="V31" s="16">
        <f t="shared" si="7"/>
        <v>0.30123322077183856</v>
      </c>
      <c r="W31" s="16">
        <f t="shared" si="8"/>
        <v>0.21428571428571427</v>
      </c>
      <c r="X31">
        <f t="shared" si="9"/>
        <v>0.1714285714285714</v>
      </c>
      <c r="Y31">
        <f t="shared" si="10"/>
        <v>0.21516658626559898</v>
      </c>
      <c r="Z31" s="16">
        <f t="shared" si="11"/>
        <v>0.21516658626559898</v>
      </c>
      <c r="AE31" s="15">
        <v>0.42</v>
      </c>
      <c r="AF31" s="15">
        <f t="shared" si="12"/>
        <v>0.15</v>
      </c>
      <c r="AG31" s="15">
        <f t="shared" si="13"/>
        <v>0.10050000000000001</v>
      </c>
    </row>
    <row r="32" spans="2:33">
      <c r="M32">
        <v>0.44</v>
      </c>
      <c r="N32">
        <f t="shared" si="0"/>
        <v>0.6</v>
      </c>
      <c r="O32">
        <f t="shared" si="1"/>
        <v>2.8864621966869928</v>
      </c>
      <c r="P32">
        <f t="shared" si="2"/>
        <v>2</v>
      </c>
      <c r="Q32">
        <f t="shared" si="3"/>
        <v>0.3</v>
      </c>
      <c r="R32">
        <v>0.44</v>
      </c>
      <c r="S32">
        <f t="shared" si="4"/>
        <v>0.8</v>
      </c>
      <c r="T32">
        <f t="shared" si="5"/>
        <v>3.8486162622493238</v>
      </c>
      <c r="U32" s="16">
        <f t="shared" si="6"/>
        <v>2.6457513110645907</v>
      </c>
      <c r="V32" s="16">
        <f t="shared" si="7"/>
        <v>0.30123322077183856</v>
      </c>
      <c r="W32" s="16">
        <f t="shared" si="8"/>
        <v>0.21428571428571427</v>
      </c>
      <c r="X32">
        <f t="shared" si="9"/>
        <v>0.1714285714285714</v>
      </c>
      <c r="Y32">
        <f t="shared" si="10"/>
        <v>0.21516658626559898</v>
      </c>
      <c r="Z32" s="16">
        <f t="shared" si="11"/>
        <v>0.21516658626559898</v>
      </c>
      <c r="AE32" s="15">
        <v>0.44</v>
      </c>
      <c r="AF32" s="15">
        <f t="shared" si="12"/>
        <v>0.15</v>
      </c>
      <c r="AG32" s="15">
        <f t="shared" si="13"/>
        <v>0.10050000000000001</v>
      </c>
    </row>
    <row r="33" spans="13:33">
      <c r="M33">
        <v>0.46</v>
      </c>
      <c r="N33">
        <f t="shared" si="0"/>
        <v>0.6</v>
      </c>
      <c r="O33">
        <f t="shared" si="1"/>
        <v>3.1548316158004535</v>
      </c>
      <c r="P33">
        <f t="shared" si="2"/>
        <v>2</v>
      </c>
      <c r="Q33">
        <f t="shared" si="3"/>
        <v>0.3</v>
      </c>
      <c r="R33">
        <v>0.46</v>
      </c>
      <c r="S33">
        <f t="shared" si="4"/>
        <v>0.8</v>
      </c>
      <c r="T33">
        <f t="shared" si="5"/>
        <v>4.2064421544006043</v>
      </c>
      <c r="U33" s="16">
        <f t="shared" si="6"/>
        <v>2.6457513110645907</v>
      </c>
      <c r="V33" s="16">
        <f t="shared" si="7"/>
        <v>0.30123322077183856</v>
      </c>
      <c r="W33" s="16">
        <f t="shared" si="8"/>
        <v>0.21428571428571427</v>
      </c>
      <c r="X33">
        <f t="shared" si="9"/>
        <v>0.1714285714285714</v>
      </c>
      <c r="Y33">
        <f t="shared" si="10"/>
        <v>0.21516658626559898</v>
      </c>
      <c r="Z33" s="16">
        <f t="shared" si="11"/>
        <v>0.21516658626559898</v>
      </c>
      <c r="AE33" s="15">
        <v>0.46</v>
      </c>
      <c r="AF33" s="15">
        <f t="shared" si="12"/>
        <v>0.15</v>
      </c>
      <c r="AG33" s="15">
        <f t="shared" si="13"/>
        <v>0.10050000000000001</v>
      </c>
    </row>
    <row r="34" spans="13:33">
      <c r="M34">
        <v>0.48</v>
      </c>
      <c r="N34">
        <f t="shared" si="0"/>
        <v>0.6</v>
      </c>
      <c r="O34">
        <f t="shared" si="1"/>
        <v>3.4351285646522887</v>
      </c>
      <c r="P34">
        <f t="shared" si="2"/>
        <v>2</v>
      </c>
      <c r="Q34">
        <f t="shared" si="3"/>
        <v>0.3</v>
      </c>
      <c r="R34">
        <v>0.48</v>
      </c>
      <c r="S34">
        <f t="shared" si="4"/>
        <v>0.8</v>
      </c>
      <c r="T34">
        <f t="shared" si="5"/>
        <v>4.5801714195363852</v>
      </c>
      <c r="U34" s="16">
        <f t="shared" si="6"/>
        <v>2.6457513110645907</v>
      </c>
      <c r="V34" s="16">
        <f t="shared" si="7"/>
        <v>0.30123322077183856</v>
      </c>
      <c r="W34" s="16">
        <f t="shared" si="8"/>
        <v>0.21428571428571427</v>
      </c>
      <c r="X34">
        <f t="shared" si="9"/>
        <v>0.1714285714285714</v>
      </c>
      <c r="Y34">
        <f t="shared" si="10"/>
        <v>0.21516658626559898</v>
      </c>
      <c r="Z34" s="16">
        <f t="shared" si="11"/>
        <v>0.21516658626559898</v>
      </c>
      <c r="AE34" s="15">
        <v>0.48</v>
      </c>
      <c r="AF34" s="15">
        <f t="shared" si="12"/>
        <v>0.15</v>
      </c>
      <c r="AG34" s="15">
        <f t="shared" si="13"/>
        <v>0.10050000000000001</v>
      </c>
    </row>
    <row r="35" spans="13:33">
      <c r="M35">
        <v>0.5</v>
      </c>
      <c r="N35">
        <f t="shared" si="0"/>
        <v>0.6</v>
      </c>
      <c r="O35">
        <f t="shared" si="1"/>
        <v>3.7273530432425011</v>
      </c>
      <c r="P35">
        <f t="shared" si="2"/>
        <v>2</v>
      </c>
      <c r="Q35">
        <f t="shared" si="3"/>
        <v>0.3</v>
      </c>
      <c r="R35">
        <v>0.5</v>
      </c>
      <c r="S35">
        <f t="shared" si="4"/>
        <v>0.8</v>
      </c>
      <c r="T35">
        <f t="shared" si="5"/>
        <v>4.9698040576566687</v>
      </c>
      <c r="U35" s="16">
        <f t="shared" si="6"/>
        <v>2.6457513110645907</v>
      </c>
      <c r="V35" s="16">
        <f t="shared" si="7"/>
        <v>0.30123322077183856</v>
      </c>
      <c r="W35" s="16">
        <f t="shared" si="8"/>
        <v>0.21428571428571427</v>
      </c>
      <c r="X35">
        <f t="shared" si="9"/>
        <v>0.1714285714285714</v>
      </c>
      <c r="Y35">
        <f t="shared" si="10"/>
        <v>0.21516658626559898</v>
      </c>
      <c r="Z35" s="16">
        <f t="shared" si="11"/>
        <v>0.21516658626559898</v>
      </c>
      <c r="AE35" s="15">
        <v>0.5</v>
      </c>
      <c r="AF35" s="15">
        <f t="shared" si="12"/>
        <v>0.15</v>
      </c>
      <c r="AG35" s="15">
        <f t="shared" si="13"/>
        <v>0.10050000000000001</v>
      </c>
    </row>
    <row r="36" spans="13:33">
      <c r="M36">
        <v>0.52</v>
      </c>
      <c r="N36">
        <f t="shared" si="0"/>
        <v>0.6</v>
      </c>
      <c r="O36">
        <f t="shared" si="1"/>
        <v>4.0315050515710897</v>
      </c>
      <c r="P36">
        <f t="shared" si="2"/>
        <v>2</v>
      </c>
      <c r="Q36">
        <f t="shared" si="3"/>
        <v>0.3</v>
      </c>
      <c r="R36">
        <v>0.52</v>
      </c>
      <c r="S36">
        <f t="shared" si="4"/>
        <v>0.8</v>
      </c>
      <c r="T36">
        <f t="shared" si="5"/>
        <v>5.375340068761453</v>
      </c>
      <c r="U36" s="16">
        <f t="shared" si="6"/>
        <v>2.6457513110645907</v>
      </c>
      <c r="V36" s="16">
        <f t="shared" si="7"/>
        <v>0.30123322077183856</v>
      </c>
      <c r="W36" s="16">
        <f t="shared" si="8"/>
        <v>0.21428571428571427</v>
      </c>
      <c r="X36">
        <f t="shared" si="9"/>
        <v>0.1714285714285714</v>
      </c>
      <c r="Y36">
        <f t="shared" si="10"/>
        <v>0.21516658626559898</v>
      </c>
      <c r="Z36" s="16">
        <f t="shared" si="11"/>
        <v>0.21516658626559898</v>
      </c>
      <c r="AE36" s="15">
        <v>0.52</v>
      </c>
      <c r="AF36" s="15">
        <f t="shared" si="12"/>
        <v>0.15</v>
      </c>
      <c r="AG36" s="15">
        <f t="shared" si="13"/>
        <v>0.10050000000000001</v>
      </c>
    </row>
    <row r="37" spans="13:33">
      <c r="M37">
        <v>0.54</v>
      </c>
      <c r="N37">
        <f t="shared" si="0"/>
        <v>0.6</v>
      </c>
      <c r="O37">
        <f t="shared" si="1"/>
        <v>4.3475845896380534</v>
      </c>
      <c r="P37">
        <f t="shared" si="2"/>
        <v>2</v>
      </c>
      <c r="Q37">
        <f t="shared" si="3"/>
        <v>0.3</v>
      </c>
      <c r="R37">
        <v>0.54</v>
      </c>
      <c r="S37">
        <f t="shared" si="4"/>
        <v>0.8</v>
      </c>
      <c r="T37">
        <f t="shared" si="5"/>
        <v>5.7967794528507381</v>
      </c>
      <c r="U37" s="16">
        <f t="shared" si="6"/>
        <v>2.6457513110645907</v>
      </c>
      <c r="V37" s="16">
        <f t="shared" si="7"/>
        <v>0.30123322077183856</v>
      </c>
      <c r="W37" s="16">
        <f t="shared" si="8"/>
        <v>0.21428571428571427</v>
      </c>
      <c r="X37">
        <f t="shared" si="9"/>
        <v>0.1714285714285714</v>
      </c>
      <c r="Y37">
        <f t="shared" si="10"/>
        <v>0.21516658626559898</v>
      </c>
      <c r="Z37" s="16">
        <f t="shared" si="11"/>
        <v>0.21516658626559898</v>
      </c>
      <c r="AE37" s="15">
        <v>0.54</v>
      </c>
      <c r="AF37" s="15">
        <f t="shared" si="12"/>
        <v>0.15</v>
      </c>
      <c r="AG37" s="15">
        <f t="shared" si="13"/>
        <v>0.10050000000000001</v>
      </c>
    </row>
    <row r="38" spans="13:33">
      <c r="M38">
        <v>0.56000000000000005</v>
      </c>
      <c r="N38">
        <f t="shared" si="0"/>
        <v>0.6</v>
      </c>
      <c r="O38">
        <f t="shared" si="1"/>
        <v>4.6755916574433938</v>
      </c>
      <c r="P38">
        <f t="shared" si="2"/>
        <v>2</v>
      </c>
      <c r="Q38">
        <f t="shared" si="3"/>
        <v>0.3</v>
      </c>
      <c r="R38">
        <v>0.56000000000000005</v>
      </c>
      <c r="S38">
        <f t="shared" si="4"/>
        <v>0.8</v>
      </c>
      <c r="T38">
        <f t="shared" si="5"/>
        <v>6.2341222099245259</v>
      </c>
      <c r="U38" s="16">
        <f t="shared" si="6"/>
        <v>2.6457513110645907</v>
      </c>
      <c r="V38" s="16">
        <f t="shared" si="7"/>
        <v>0.30123322077183856</v>
      </c>
      <c r="W38" s="16">
        <f t="shared" si="8"/>
        <v>0.21428571428571427</v>
      </c>
      <c r="X38">
        <f t="shared" si="9"/>
        <v>0.1714285714285714</v>
      </c>
      <c r="Y38">
        <f t="shared" si="10"/>
        <v>0.21516658626559898</v>
      </c>
      <c r="Z38" s="16">
        <f t="shared" si="11"/>
        <v>0.21516658626559898</v>
      </c>
      <c r="AE38" s="15">
        <v>0.56000000000000005</v>
      </c>
      <c r="AF38" s="15">
        <f t="shared" si="12"/>
        <v>0.15</v>
      </c>
      <c r="AG38" s="15">
        <f t="shared" si="13"/>
        <v>0.10050000000000001</v>
      </c>
    </row>
    <row r="39" spans="13:33">
      <c r="M39">
        <v>0.57999999999999996</v>
      </c>
      <c r="N39">
        <f t="shared" si="0"/>
        <v>0.6</v>
      </c>
      <c r="O39">
        <f t="shared" si="1"/>
        <v>5.01552625498711</v>
      </c>
      <c r="P39">
        <f t="shared" si="2"/>
        <v>2</v>
      </c>
      <c r="Q39">
        <f t="shared" si="3"/>
        <v>0.3</v>
      </c>
      <c r="R39">
        <v>0.57999999999999996</v>
      </c>
      <c r="S39">
        <f t="shared" si="4"/>
        <v>0.8</v>
      </c>
      <c r="T39">
        <f t="shared" si="5"/>
        <v>6.6873683399828128</v>
      </c>
      <c r="U39" s="16">
        <f t="shared" si="6"/>
        <v>2.6457513110645907</v>
      </c>
      <c r="V39" s="16">
        <f t="shared" si="7"/>
        <v>0.30123322077183856</v>
      </c>
      <c r="W39" s="16">
        <f t="shared" si="8"/>
        <v>0.21428571428571427</v>
      </c>
      <c r="X39">
        <f t="shared" si="9"/>
        <v>0.1714285714285714</v>
      </c>
      <c r="Y39">
        <f t="shared" si="10"/>
        <v>0.21516658626559898</v>
      </c>
      <c r="Z39" s="16">
        <f t="shared" si="11"/>
        <v>0.21516658626559898</v>
      </c>
      <c r="AE39" s="15">
        <v>0.57999999999999996</v>
      </c>
      <c r="AF39" s="15">
        <f t="shared" si="12"/>
        <v>0.15</v>
      </c>
      <c r="AG39" s="15">
        <f t="shared" si="13"/>
        <v>0.10050000000000001</v>
      </c>
    </row>
    <row r="40" spans="13:33">
      <c r="M40">
        <v>0.6</v>
      </c>
      <c r="N40">
        <f t="shared" si="0"/>
        <v>0.6</v>
      </c>
      <c r="O40">
        <f t="shared" si="1"/>
        <v>5.3673883822692012</v>
      </c>
      <c r="P40">
        <f t="shared" si="2"/>
        <v>2</v>
      </c>
      <c r="Q40">
        <f t="shared" si="3"/>
        <v>0.3</v>
      </c>
      <c r="R40">
        <v>0.6</v>
      </c>
      <c r="S40">
        <f t="shared" si="4"/>
        <v>0.8</v>
      </c>
      <c r="T40">
        <f t="shared" si="5"/>
        <v>7.1565178430256022</v>
      </c>
      <c r="U40" s="16">
        <f t="shared" si="6"/>
        <v>2.6457513110645907</v>
      </c>
      <c r="V40" s="16">
        <f t="shared" si="7"/>
        <v>0.30123322077183856</v>
      </c>
      <c r="W40" s="16">
        <f t="shared" si="8"/>
        <v>0.21428571428571427</v>
      </c>
      <c r="X40">
        <f t="shared" si="9"/>
        <v>0.1714285714285714</v>
      </c>
      <c r="Y40">
        <f t="shared" si="10"/>
        <v>0.21516658626559898</v>
      </c>
      <c r="Z40" s="16">
        <f t="shared" si="11"/>
        <v>0.21516658626559898</v>
      </c>
      <c r="AE40" s="15">
        <v>0.6</v>
      </c>
      <c r="AF40" s="15">
        <f t="shared" si="12"/>
        <v>0.15</v>
      </c>
      <c r="AG40" s="15">
        <f t="shared" si="13"/>
        <v>0.10050000000000001</v>
      </c>
    </row>
    <row r="41" spans="13:33">
      <c r="M41">
        <v>0.62</v>
      </c>
      <c r="N41">
        <f t="shared" si="0"/>
        <v>0.6</v>
      </c>
      <c r="O41">
        <f t="shared" si="1"/>
        <v>5.731178039289671</v>
      </c>
      <c r="P41">
        <f t="shared" si="2"/>
        <v>2</v>
      </c>
      <c r="Q41">
        <f t="shared" si="3"/>
        <v>0.3</v>
      </c>
      <c r="R41">
        <v>0.62</v>
      </c>
      <c r="S41">
        <f t="shared" si="4"/>
        <v>0.8</v>
      </c>
      <c r="T41">
        <f t="shared" si="5"/>
        <v>7.6415707190528943</v>
      </c>
      <c r="U41" s="16">
        <f t="shared" si="6"/>
        <v>2.6457513110645907</v>
      </c>
      <c r="V41" s="16">
        <f t="shared" si="7"/>
        <v>0.30123322077183856</v>
      </c>
      <c r="W41" s="16">
        <f t="shared" si="8"/>
        <v>0.21428571428571427</v>
      </c>
      <c r="X41">
        <f t="shared" si="9"/>
        <v>0.1714285714285714</v>
      </c>
      <c r="Y41">
        <f t="shared" si="10"/>
        <v>0.21516658626559898</v>
      </c>
      <c r="Z41" s="16">
        <f t="shared" si="11"/>
        <v>0.21516658626559898</v>
      </c>
      <c r="AE41" s="15">
        <v>0.62</v>
      </c>
      <c r="AF41" s="15">
        <f t="shared" si="12"/>
        <v>0.15</v>
      </c>
      <c r="AG41" s="15">
        <f t="shared" si="13"/>
        <v>0.10050000000000001</v>
      </c>
    </row>
    <row r="42" spans="13:33">
      <c r="M42">
        <v>0.64</v>
      </c>
      <c r="N42">
        <f t="shared" ref="N42:N73" si="14">IF(M42&lt;=0.2*$N$7,$N$3*(0.4+3*M42/$N$7),IF(M42&lt;=$N$7,$N$3,IF(M42&lt;=2.5*$N$7,$N$3*$N$7/M42,0.4*$N$3)))</f>
        <v>0.6</v>
      </c>
      <c r="O42">
        <f t="shared" ref="O42:O73" si="15">M42^2/(4*PI()^2)*(N42*981)</f>
        <v>6.1068952260485139</v>
      </c>
      <c r="P42">
        <f t="shared" ref="P42:P73" si="16">IF(M42&gt;$N$7,$P$1,IF(M42&gt;0.6*$N$7,SQRT(2*$P$1-1)+($P$1-SQRT(2*$P$1-1))*(M42-0.6*$N$7)/0.4/$N$7,IF(M42&gt;0.2*$N$7,SQRT(2*$P$1-1),SQRT(2*$P$1-1)+(SQRT(2*$P$1-1)-1)*(M42-0.2*$N$7)/0.2/$N$7)))</f>
        <v>2</v>
      </c>
      <c r="Q42">
        <f t="shared" ref="Q42:Q73" si="17">IF(N42/P42&lt;=0.3,N42/P42,IF(N42/P42&lt;0.8,0.52*N42/P42+0.144,0.7*N42/P42))</f>
        <v>0.3</v>
      </c>
      <c r="R42">
        <v>0.64</v>
      </c>
      <c r="S42">
        <f t="shared" ref="S42:S73" si="18">IF(R42&lt;=0.2*$S$7,$S$3*(0.4+3*R42/$S$7),IF(R42&lt;=$S$7,$S$3,IF(R42&lt;=2.5*$S$7,$S$3*$S$7/R42,0.4*$S$3)))</f>
        <v>0.8</v>
      </c>
      <c r="T42">
        <f t="shared" ref="T42:T73" si="19">R42^2/(4*PI()^2)*(S42*981)</f>
        <v>8.1425269680646863</v>
      </c>
      <c r="U42" s="16">
        <f t="shared" ref="U42:U73" si="20">IF(R42&gt;$S$7,$N$1,IF(R42&gt;0.6*$S$7,SQRT(2*$N$1-1)+($N$1-SQRT(2*$N$1-1))*(R42-0.6*$S$7)/0.4/$S$7,IF(R42&gt;0.2*$S$7,SQRT(2*$N$1-1),SQRT(2*$N$1-1)+(SQRT(2*$N$1-1)-1)*(R42-0.2*$S$7)/0.2/$S$7)))</f>
        <v>2.6457513110645907</v>
      </c>
      <c r="V42" s="16">
        <f t="shared" ref="V42:V73" si="21">IF(S42/U42&lt;=0.3,S42/U42,IF(S42/U42&lt;0.8,0.52*S42/U42+0.144,0.7*S42/U42))</f>
        <v>0.30123322077183856</v>
      </c>
      <c r="W42" s="16">
        <f t="shared" ref="W42:W73" si="22">$R$1/1.4/$T$1*Q42</f>
        <v>0.21428571428571427</v>
      </c>
      <c r="X42">
        <f t="shared" ref="X42:X73" si="23">$R$1*P42/3.5/$T$1*Q42</f>
        <v>0.1714285714285714</v>
      </c>
      <c r="Y42">
        <f t="shared" ref="Y42:Y73" si="24">$R$1/1.4/$T$1*V42</f>
        <v>0.21516658626559898</v>
      </c>
      <c r="Z42" s="16">
        <f t="shared" ref="Z42:Z73" si="25">MAX(W42:Y42)</f>
        <v>0.21516658626559898</v>
      </c>
      <c r="AE42" s="15">
        <v>0.64</v>
      </c>
      <c r="AF42" s="15">
        <f t="shared" si="12"/>
        <v>0.15</v>
      </c>
      <c r="AG42" s="15">
        <f t="shared" ref="AG42:AG73" si="26">$AF$4*$AF$5*AF42*$AF$6</f>
        <v>0.10050000000000001</v>
      </c>
    </row>
    <row r="43" spans="13:33">
      <c r="M43">
        <v>0.66</v>
      </c>
      <c r="N43">
        <f t="shared" si="14"/>
        <v>0.6</v>
      </c>
      <c r="O43">
        <f t="shared" si="15"/>
        <v>6.4945399425457344</v>
      </c>
      <c r="P43">
        <f t="shared" si="16"/>
        <v>2</v>
      </c>
      <c r="Q43">
        <f t="shared" si="17"/>
        <v>0.3</v>
      </c>
      <c r="R43">
        <v>0.66</v>
      </c>
      <c r="S43">
        <f t="shared" si="18"/>
        <v>0.8</v>
      </c>
      <c r="T43">
        <f t="shared" si="19"/>
        <v>8.6593865900609792</v>
      </c>
      <c r="U43" s="16">
        <f t="shared" si="20"/>
        <v>2.6457513110645907</v>
      </c>
      <c r="V43" s="16">
        <f t="shared" si="21"/>
        <v>0.30123322077183856</v>
      </c>
      <c r="W43" s="16">
        <f t="shared" si="22"/>
        <v>0.21428571428571427</v>
      </c>
      <c r="X43">
        <f t="shared" si="23"/>
        <v>0.1714285714285714</v>
      </c>
      <c r="Y43">
        <f t="shared" si="24"/>
        <v>0.21516658626559898</v>
      </c>
      <c r="Z43" s="16">
        <f t="shared" si="25"/>
        <v>0.21516658626559898</v>
      </c>
      <c r="AE43" s="15">
        <v>0.66</v>
      </c>
      <c r="AF43" s="15">
        <f t="shared" ref="AF43:AF74" si="27">IF(0.248/AE43&lt;=0.0625,0.0625,IF(0.248/AE43&gt;=0.15,0.15,0.248/AE43))</f>
        <v>0.15</v>
      </c>
      <c r="AG43" s="15">
        <f t="shared" si="26"/>
        <v>0.10050000000000001</v>
      </c>
    </row>
    <row r="44" spans="13:33">
      <c r="M44">
        <v>0.68</v>
      </c>
      <c r="N44">
        <f t="shared" si="14"/>
        <v>0.6</v>
      </c>
      <c r="O44">
        <f t="shared" si="15"/>
        <v>6.8941121887813317</v>
      </c>
      <c r="P44">
        <f t="shared" si="16"/>
        <v>2</v>
      </c>
      <c r="Q44">
        <f t="shared" si="17"/>
        <v>0.3</v>
      </c>
      <c r="R44">
        <v>0.68</v>
      </c>
      <c r="S44">
        <f t="shared" si="18"/>
        <v>0.8</v>
      </c>
      <c r="T44">
        <f t="shared" si="19"/>
        <v>9.1921495850417756</v>
      </c>
      <c r="U44" s="16">
        <f t="shared" si="20"/>
        <v>2.6457513110645907</v>
      </c>
      <c r="V44" s="16">
        <f t="shared" si="21"/>
        <v>0.30123322077183856</v>
      </c>
      <c r="W44" s="16">
        <f t="shared" si="22"/>
        <v>0.21428571428571427</v>
      </c>
      <c r="X44">
        <f t="shared" si="23"/>
        <v>0.1714285714285714</v>
      </c>
      <c r="Y44">
        <f t="shared" si="24"/>
        <v>0.21516658626559898</v>
      </c>
      <c r="Z44" s="16">
        <f t="shared" si="25"/>
        <v>0.21516658626559898</v>
      </c>
      <c r="AE44" s="15">
        <v>0.68</v>
      </c>
      <c r="AF44" s="15">
        <f t="shared" si="27"/>
        <v>0.15</v>
      </c>
      <c r="AG44" s="15">
        <f t="shared" si="26"/>
        <v>0.10050000000000001</v>
      </c>
    </row>
    <row r="45" spans="13:33">
      <c r="M45">
        <v>0.7</v>
      </c>
      <c r="N45">
        <f t="shared" si="14"/>
        <v>0.6</v>
      </c>
      <c r="O45">
        <f t="shared" si="15"/>
        <v>7.3056119647553013</v>
      </c>
      <c r="P45">
        <f t="shared" si="16"/>
        <v>2</v>
      </c>
      <c r="Q45">
        <f t="shared" si="17"/>
        <v>0.3</v>
      </c>
      <c r="R45">
        <v>0.7</v>
      </c>
      <c r="S45">
        <f t="shared" si="18"/>
        <v>0.8</v>
      </c>
      <c r="T45">
        <f t="shared" si="19"/>
        <v>9.7408159530070684</v>
      </c>
      <c r="U45" s="16">
        <f t="shared" si="20"/>
        <v>2.6457513110645907</v>
      </c>
      <c r="V45" s="16">
        <f t="shared" si="21"/>
        <v>0.30123322077183856</v>
      </c>
      <c r="W45" s="16">
        <f t="shared" si="22"/>
        <v>0.21428571428571427</v>
      </c>
      <c r="X45">
        <f t="shared" si="23"/>
        <v>0.1714285714285714</v>
      </c>
      <c r="Y45">
        <f t="shared" si="24"/>
        <v>0.21516658626559898</v>
      </c>
      <c r="Z45" s="16">
        <f t="shared" si="25"/>
        <v>0.21516658626559898</v>
      </c>
      <c r="AE45" s="15">
        <v>0.7</v>
      </c>
      <c r="AF45" s="15">
        <f t="shared" si="27"/>
        <v>0.15</v>
      </c>
      <c r="AG45" s="15">
        <f t="shared" si="26"/>
        <v>0.10050000000000001</v>
      </c>
    </row>
    <row r="46" spans="13:33">
      <c r="M46">
        <v>0.72</v>
      </c>
      <c r="N46">
        <f t="shared" si="14"/>
        <v>0.6</v>
      </c>
      <c r="O46">
        <f t="shared" si="15"/>
        <v>7.7290392704676494</v>
      </c>
      <c r="P46">
        <f t="shared" si="16"/>
        <v>2</v>
      </c>
      <c r="Q46">
        <f t="shared" si="17"/>
        <v>0.3</v>
      </c>
      <c r="R46">
        <v>0.72</v>
      </c>
      <c r="S46">
        <f t="shared" si="18"/>
        <v>0.8</v>
      </c>
      <c r="T46">
        <f t="shared" si="19"/>
        <v>10.305385693956866</v>
      </c>
      <c r="U46" s="16">
        <f t="shared" si="20"/>
        <v>2.6457513110645907</v>
      </c>
      <c r="V46" s="16">
        <f t="shared" si="21"/>
        <v>0.30123322077183856</v>
      </c>
      <c r="W46" s="16">
        <f t="shared" si="22"/>
        <v>0.21428571428571427</v>
      </c>
      <c r="X46">
        <f t="shared" si="23"/>
        <v>0.1714285714285714</v>
      </c>
      <c r="Y46">
        <f t="shared" si="24"/>
        <v>0.21516658626559898</v>
      </c>
      <c r="Z46" s="16">
        <f t="shared" si="25"/>
        <v>0.21516658626559898</v>
      </c>
      <c r="AE46" s="15">
        <v>0.72</v>
      </c>
      <c r="AF46" s="15">
        <f t="shared" si="27"/>
        <v>0.15</v>
      </c>
      <c r="AG46" s="15">
        <f t="shared" si="26"/>
        <v>0.10050000000000001</v>
      </c>
    </row>
    <row r="47" spans="13:33">
      <c r="M47">
        <v>0.74</v>
      </c>
      <c r="N47">
        <f t="shared" si="14"/>
        <v>0.6</v>
      </c>
      <c r="O47">
        <f t="shared" si="15"/>
        <v>8.1643941059183742</v>
      </c>
      <c r="P47">
        <f t="shared" si="16"/>
        <v>2</v>
      </c>
      <c r="Q47">
        <f t="shared" si="17"/>
        <v>0.3</v>
      </c>
      <c r="R47">
        <v>0.74</v>
      </c>
      <c r="S47">
        <f t="shared" si="18"/>
        <v>0.8</v>
      </c>
      <c r="T47">
        <f t="shared" si="19"/>
        <v>10.885858807891166</v>
      </c>
      <c r="U47" s="16">
        <f t="shared" si="20"/>
        <v>2.6457513110645907</v>
      </c>
      <c r="V47" s="16">
        <f t="shared" si="21"/>
        <v>0.30123322077183856</v>
      </c>
      <c r="W47" s="16">
        <f t="shared" si="22"/>
        <v>0.21428571428571427</v>
      </c>
      <c r="X47">
        <f t="shared" si="23"/>
        <v>0.1714285714285714</v>
      </c>
      <c r="Y47">
        <f t="shared" si="24"/>
        <v>0.21516658626559898</v>
      </c>
      <c r="Z47" s="16">
        <f t="shared" si="25"/>
        <v>0.21516658626559898</v>
      </c>
      <c r="AE47" s="15">
        <v>0.74</v>
      </c>
      <c r="AF47" s="15">
        <f t="shared" si="27"/>
        <v>0.15</v>
      </c>
      <c r="AG47" s="15">
        <f t="shared" si="26"/>
        <v>0.10050000000000001</v>
      </c>
    </row>
    <row r="48" spans="13:33">
      <c r="M48">
        <v>0.76</v>
      </c>
      <c r="N48">
        <f t="shared" si="14"/>
        <v>0.6</v>
      </c>
      <c r="O48">
        <f t="shared" si="15"/>
        <v>8.611676471107474</v>
      </c>
      <c r="P48">
        <f t="shared" si="16"/>
        <v>2</v>
      </c>
      <c r="Q48">
        <f t="shared" si="17"/>
        <v>0.3</v>
      </c>
      <c r="R48">
        <v>0.76</v>
      </c>
      <c r="S48">
        <f t="shared" si="18"/>
        <v>0.8</v>
      </c>
      <c r="T48">
        <f t="shared" si="19"/>
        <v>11.482235294809966</v>
      </c>
      <c r="U48" s="16">
        <f t="shared" si="20"/>
        <v>2.6457513110645907</v>
      </c>
      <c r="V48" s="16">
        <f t="shared" si="21"/>
        <v>0.30123322077183856</v>
      </c>
      <c r="W48" s="16">
        <f t="shared" si="22"/>
        <v>0.21428571428571427</v>
      </c>
      <c r="X48">
        <f t="shared" si="23"/>
        <v>0.1714285714285714</v>
      </c>
      <c r="Y48">
        <f t="shared" si="24"/>
        <v>0.21516658626559898</v>
      </c>
      <c r="Z48" s="16">
        <f t="shared" si="25"/>
        <v>0.21516658626559898</v>
      </c>
      <c r="AE48" s="15">
        <v>0.76</v>
      </c>
      <c r="AF48" s="15">
        <f t="shared" si="27"/>
        <v>0.15</v>
      </c>
      <c r="AG48" s="15">
        <f t="shared" si="26"/>
        <v>0.10050000000000001</v>
      </c>
    </row>
    <row r="49" spans="13:33">
      <c r="M49">
        <v>0.78</v>
      </c>
      <c r="N49">
        <f t="shared" si="14"/>
        <v>0.6</v>
      </c>
      <c r="O49">
        <f t="shared" si="15"/>
        <v>9.0708863660349515</v>
      </c>
      <c r="P49">
        <f t="shared" si="16"/>
        <v>2</v>
      </c>
      <c r="Q49">
        <f t="shared" si="17"/>
        <v>0.3</v>
      </c>
      <c r="R49">
        <v>0.78</v>
      </c>
      <c r="S49">
        <f t="shared" si="18"/>
        <v>0.8</v>
      </c>
      <c r="T49">
        <f t="shared" si="19"/>
        <v>12.094515154713269</v>
      </c>
      <c r="U49" s="16">
        <f t="shared" si="20"/>
        <v>2.6457513110645907</v>
      </c>
      <c r="V49" s="16">
        <f t="shared" si="21"/>
        <v>0.30123322077183856</v>
      </c>
      <c r="W49" s="16">
        <f t="shared" si="22"/>
        <v>0.21428571428571427</v>
      </c>
      <c r="X49">
        <f t="shared" si="23"/>
        <v>0.1714285714285714</v>
      </c>
      <c r="Y49">
        <f t="shared" si="24"/>
        <v>0.21516658626559898</v>
      </c>
      <c r="Z49" s="16">
        <f t="shared" si="25"/>
        <v>0.21516658626559898</v>
      </c>
      <c r="AE49" s="15">
        <v>0.78</v>
      </c>
      <c r="AF49" s="15">
        <f t="shared" si="27"/>
        <v>0.15</v>
      </c>
      <c r="AG49" s="15">
        <f t="shared" si="26"/>
        <v>0.10050000000000001</v>
      </c>
    </row>
    <row r="50" spans="13:33">
      <c r="M50">
        <v>0.8</v>
      </c>
      <c r="N50">
        <f t="shared" si="14"/>
        <v>0.6</v>
      </c>
      <c r="O50">
        <f t="shared" si="15"/>
        <v>9.5420237907008048</v>
      </c>
      <c r="P50">
        <f t="shared" si="16"/>
        <v>2.0192307692307692</v>
      </c>
      <c r="Q50">
        <f t="shared" si="17"/>
        <v>0.29714285714285715</v>
      </c>
      <c r="R50">
        <v>0.8</v>
      </c>
      <c r="S50">
        <f t="shared" si="18"/>
        <v>0.8</v>
      </c>
      <c r="T50">
        <f t="shared" si="19"/>
        <v>12.722698387601074</v>
      </c>
      <c r="U50" s="16">
        <f t="shared" si="20"/>
        <v>2.6978377991005682</v>
      </c>
      <c r="V50" s="16">
        <f t="shared" si="21"/>
        <v>0.29653376502720508</v>
      </c>
      <c r="W50" s="16">
        <f t="shared" si="22"/>
        <v>0.21224489795918369</v>
      </c>
      <c r="X50">
        <f t="shared" si="23"/>
        <v>0.17142857142857143</v>
      </c>
      <c r="Y50">
        <f t="shared" si="24"/>
        <v>0.21180983216228935</v>
      </c>
      <c r="Z50" s="16">
        <f t="shared" si="25"/>
        <v>0.21224489795918369</v>
      </c>
      <c r="AE50" s="15">
        <v>0.8</v>
      </c>
      <c r="AF50" s="15">
        <f t="shared" si="27"/>
        <v>0.15</v>
      </c>
      <c r="AG50" s="15">
        <f t="shared" si="26"/>
        <v>0.10050000000000001</v>
      </c>
    </row>
    <row r="51" spans="13:33">
      <c r="M51">
        <v>0.82</v>
      </c>
      <c r="N51">
        <f t="shared" si="14"/>
        <v>0.6</v>
      </c>
      <c r="O51">
        <f t="shared" si="15"/>
        <v>10.025088745105029</v>
      </c>
      <c r="P51">
        <f t="shared" si="16"/>
        <v>2.0384615384615383</v>
      </c>
      <c r="Q51">
        <f t="shared" si="17"/>
        <v>0.29433962264150942</v>
      </c>
      <c r="R51">
        <v>0.82</v>
      </c>
      <c r="S51">
        <f t="shared" si="18"/>
        <v>0.8</v>
      </c>
      <c r="T51">
        <f t="shared" si="19"/>
        <v>13.366784993473372</v>
      </c>
      <c r="U51" s="16">
        <f t="shared" si="20"/>
        <v>2.7499242871365452</v>
      </c>
      <c r="V51" s="16">
        <f t="shared" si="21"/>
        <v>0.29091710042425495</v>
      </c>
      <c r="W51" s="16">
        <f t="shared" si="22"/>
        <v>0.21024258760107817</v>
      </c>
      <c r="X51">
        <f t="shared" si="23"/>
        <v>0.1714285714285714</v>
      </c>
      <c r="Y51">
        <f t="shared" si="24"/>
        <v>0.20779792887446782</v>
      </c>
      <c r="Z51" s="16">
        <f t="shared" si="25"/>
        <v>0.21024258760107817</v>
      </c>
      <c r="AE51" s="15">
        <v>0.82</v>
      </c>
      <c r="AF51" s="15">
        <f t="shared" si="27"/>
        <v>0.15</v>
      </c>
      <c r="AG51" s="15">
        <f t="shared" si="26"/>
        <v>0.10050000000000001</v>
      </c>
    </row>
    <row r="52" spans="13:33">
      <c r="M52">
        <v>0.84</v>
      </c>
      <c r="N52">
        <f t="shared" si="14"/>
        <v>0.6</v>
      </c>
      <c r="O52">
        <f t="shared" si="15"/>
        <v>10.520081229247634</v>
      </c>
      <c r="P52">
        <f t="shared" si="16"/>
        <v>2.0576923076923075</v>
      </c>
      <c r="Q52">
        <f t="shared" si="17"/>
        <v>0.29158878504672897</v>
      </c>
      <c r="R52">
        <v>0.84</v>
      </c>
      <c r="S52">
        <f t="shared" si="18"/>
        <v>0.8</v>
      </c>
      <c r="T52">
        <f t="shared" si="19"/>
        <v>14.026774972330179</v>
      </c>
      <c r="U52" s="16">
        <f t="shared" si="20"/>
        <v>2.8020107751725223</v>
      </c>
      <c r="V52" s="16">
        <f t="shared" si="21"/>
        <v>0.28550925181604392</v>
      </c>
      <c r="W52" s="16">
        <f t="shared" si="22"/>
        <v>0.20827770360480641</v>
      </c>
      <c r="X52">
        <f t="shared" si="23"/>
        <v>0.1714285714285714</v>
      </c>
      <c r="Y52">
        <f t="shared" si="24"/>
        <v>0.2039351798686028</v>
      </c>
      <c r="Z52" s="16">
        <f t="shared" si="25"/>
        <v>0.20827770360480641</v>
      </c>
      <c r="AE52" s="15">
        <v>0.84</v>
      </c>
      <c r="AF52" s="15">
        <f t="shared" si="27"/>
        <v>0.15</v>
      </c>
      <c r="AG52" s="15">
        <f t="shared" si="26"/>
        <v>0.10050000000000001</v>
      </c>
    </row>
    <row r="53" spans="13:33">
      <c r="M53">
        <v>0.86</v>
      </c>
      <c r="N53">
        <f t="shared" si="14"/>
        <v>0.6</v>
      </c>
      <c r="O53">
        <f t="shared" si="15"/>
        <v>11.027001243128614</v>
      </c>
      <c r="P53">
        <f t="shared" si="16"/>
        <v>2.0769230769230771</v>
      </c>
      <c r="Q53">
        <f t="shared" si="17"/>
        <v>0.28888888888888886</v>
      </c>
      <c r="R53">
        <v>0.86</v>
      </c>
      <c r="S53">
        <f t="shared" si="18"/>
        <v>0.8</v>
      </c>
      <c r="T53">
        <f t="shared" si="19"/>
        <v>14.702668324171487</v>
      </c>
      <c r="U53" s="16">
        <f t="shared" si="20"/>
        <v>2.8540972632084998</v>
      </c>
      <c r="V53" s="16">
        <f t="shared" si="21"/>
        <v>0.28029878669960301</v>
      </c>
      <c r="W53" s="16">
        <f t="shared" si="22"/>
        <v>0.20634920634920634</v>
      </c>
      <c r="X53">
        <f t="shared" si="23"/>
        <v>0.1714285714285714</v>
      </c>
      <c r="Y53">
        <f t="shared" si="24"/>
        <v>0.20021341907114501</v>
      </c>
      <c r="Z53" s="16">
        <f t="shared" si="25"/>
        <v>0.20634920634920634</v>
      </c>
      <c r="AE53" s="15">
        <v>0.86</v>
      </c>
      <c r="AF53" s="15">
        <f t="shared" si="27"/>
        <v>0.15</v>
      </c>
      <c r="AG53" s="15">
        <f t="shared" si="26"/>
        <v>0.10050000000000001</v>
      </c>
    </row>
    <row r="54" spans="13:33">
      <c r="M54">
        <v>0.88</v>
      </c>
      <c r="N54">
        <f t="shared" si="14"/>
        <v>0.6</v>
      </c>
      <c r="O54">
        <f t="shared" si="15"/>
        <v>11.545848786747971</v>
      </c>
      <c r="P54">
        <f t="shared" si="16"/>
        <v>2.0961538461538463</v>
      </c>
      <c r="Q54">
        <f t="shared" si="17"/>
        <v>0.2862385321100917</v>
      </c>
      <c r="R54">
        <v>0.88</v>
      </c>
      <c r="S54">
        <f t="shared" si="18"/>
        <v>0.8</v>
      </c>
      <c r="T54">
        <f t="shared" si="19"/>
        <v>15.394465048997295</v>
      </c>
      <c r="U54" s="16">
        <f t="shared" si="20"/>
        <v>2.9061837512444773</v>
      </c>
      <c r="V54" s="16">
        <f t="shared" si="21"/>
        <v>0.27527509217454899</v>
      </c>
      <c r="W54" s="16">
        <f t="shared" si="22"/>
        <v>0.20445609436435122</v>
      </c>
      <c r="X54">
        <f t="shared" si="23"/>
        <v>0.1714285714285714</v>
      </c>
      <c r="Y54">
        <f t="shared" si="24"/>
        <v>0.19662506583896355</v>
      </c>
      <c r="Z54" s="16">
        <f t="shared" si="25"/>
        <v>0.20445609436435122</v>
      </c>
      <c r="AE54" s="15">
        <v>0.88</v>
      </c>
      <c r="AF54" s="15">
        <f t="shared" si="27"/>
        <v>0.15</v>
      </c>
      <c r="AG54" s="15">
        <f t="shared" si="26"/>
        <v>0.10050000000000001</v>
      </c>
    </row>
    <row r="55" spans="13:33">
      <c r="M55">
        <v>0.9</v>
      </c>
      <c r="N55">
        <f t="shared" si="14"/>
        <v>0.6</v>
      </c>
      <c r="O55">
        <f t="shared" si="15"/>
        <v>12.076623860105705</v>
      </c>
      <c r="P55">
        <f t="shared" si="16"/>
        <v>2.1153846153846154</v>
      </c>
      <c r="Q55">
        <f t="shared" si="17"/>
        <v>0.28363636363636363</v>
      </c>
      <c r="R55">
        <v>0.9</v>
      </c>
      <c r="S55">
        <f t="shared" si="18"/>
        <v>0.8</v>
      </c>
      <c r="T55">
        <f t="shared" si="19"/>
        <v>16.102165146807607</v>
      </c>
      <c r="U55" s="16">
        <f t="shared" si="20"/>
        <v>2.9582702392804543</v>
      </c>
      <c r="V55" s="16">
        <f t="shared" si="21"/>
        <v>0.2704283027890601</v>
      </c>
      <c r="W55" s="16">
        <f t="shared" si="22"/>
        <v>0.20259740259740261</v>
      </c>
      <c r="X55">
        <f t="shared" si="23"/>
        <v>0.1714285714285714</v>
      </c>
      <c r="Y55">
        <f t="shared" si="24"/>
        <v>0.19316307342075723</v>
      </c>
      <c r="Z55" s="16">
        <f t="shared" si="25"/>
        <v>0.20259740259740261</v>
      </c>
      <c r="AE55" s="15">
        <v>0.9</v>
      </c>
      <c r="AF55" s="15">
        <f t="shared" si="27"/>
        <v>0.15</v>
      </c>
      <c r="AG55" s="15">
        <f t="shared" si="26"/>
        <v>0.10050000000000001</v>
      </c>
    </row>
    <row r="56" spans="13:33">
      <c r="M56">
        <v>0.92</v>
      </c>
      <c r="N56">
        <f t="shared" si="14"/>
        <v>0.6</v>
      </c>
      <c r="O56">
        <f t="shared" si="15"/>
        <v>12.619326463201814</v>
      </c>
      <c r="P56">
        <f t="shared" si="16"/>
        <v>2.1346153846153846</v>
      </c>
      <c r="Q56">
        <f t="shared" si="17"/>
        <v>0.2810810810810811</v>
      </c>
      <c r="R56">
        <v>0.92</v>
      </c>
      <c r="S56">
        <f t="shared" si="18"/>
        <v>0.8</v>
      </c>
      <c r="T56">
        <f t="shared" si="19"/>
        <v>16.825768617602417</v>
      </c>
      <c r="U56" s="16">
        <f t="shared" si="20"/>
        <v>3.0103567273164318</v>
      </c>
      <c r="V56" s="16">
        <f t="shared" si="21"/>
        <v>0.26574923587649235</v>
      </c>
      <c r="W56" s="16">
        <f t="shared" si="22"/>
        <v>0.20077220077220079</v>
      </c>
      <c r="X56">
        <f t="shared" si="23"/>
        <v>0.17142857142857143</v>
      </c>
      <c r="Y56">
        <f t="shared" si="24"/>
        <v>0.18982088276892312</v>
      </c>
      <c r="Z56" s="16">
        <f t="shared" si="25"/>
        <v>0.20077220077220079</v>
      </c>
      <c r="AE56" s="15">
        <v>0.92</v>
      </c>
      <c r="AF56" s="15">
        <f t="shared" si="27"/>
        <v>0.15</v>
      </c>
      <c r="AG56" s="15">
        <f t="shared" si="26"/>
        <v>0.10050000000000001</v>
      </c>
    </row>
    <row r="57" spans="13:33">
      <c r="M57">
        <v>0.94</v>
      </c>
      <c r="N57">
        <f t="shared" si="14"/>
        <v>0.6</v>
      </c>
      <c r="O57">
        <f t="shared" si="15"/>
        <v>13.173956596036295</v>
      </c>
      <c r="P57">
        <f t="shared" si="16"/>
        <v>2.1538461538461537</v>
      </c>
      <c r="Q57">
        <f t="shared" si="17"/>
        <v>0.27857142857142858</v>
      </c>
      <c r="R57">
        <v>0.94</v>
      </c>
      <c r="S57">
        <f t="shared" si="18"/>
        <v>0.8</v>
      </c>
      <c r="T57">
        <f t="shared" si="19"/>
        <v>17.565275461381727</v>
      </c>
      <c r="U57" s="16">
        <f t="shared" si="20"/>
        <v>3.0624432153524088</v>
      </c>
      <c r="V57" s="16">
        <f t="shared" si="21"/>
        <v>0.26122933349082211</v>
      </c>
      <c r="W57" s="16">
        <f t="shared" si="22"/>
        <v>0.19897959183673469</v>
      </c>
      <c r="X57">
        <f t="shared" si="23"/>
        <v>0.1714285714285714</v>
      </c>
      <c r="Y57">
        <f t="shared" si="24"/>
        <v>0.18659238106487294</v>
      </c>
      <c r="Z57" s="16">
        <f t="shared" si="25"/>
        <v>0.19897959183673469</v>
      </c>
      <c r="AE57" s="15">
        <v>0.94</v>
      </c>
      <c r="AF57" s="15">
        <f t="shared" si="27"/>
        <v>0.15</v>
      </c>
      <c r="AG57" s="15">
        <f t="shared" si="26"/>
        <v>0.10050000000000001</v>
      </c>
    </row>
    <row r="58" spans="13:33">
      <c r="M58">
        <v>0.96</v>
      </c>
      <c r="N58">
        <f t="shared" si="14"/>
        <v>0.6</v>
      </c>
      <c r="O58">
        <f t="shared" si="15"/>
        <v>13.740514258609155</v>
      </c>
      <c r="P58">
        <f t="shared" si="16"/>
        <v>2.1730769230769229</v>
      </c>
      <c r="Q58">
        <f t="shared" si="17"/>
        <v>0.27610619469026548</v>
      </c>
      <c r="R58">
        <v>0.96</v>
      </c>
      <c r="S58">
        <f t="shared" si="18"/>
        <v>0.8</v>
      </c>
      <c r="T58">
        <f t="shared" si="19"/>
        <v>18.320685678145541</v>
      </c>
      <c r="U58" s="16">
        <f t="shared" si="20"/>
        <v>3.1145297033883859</v>
      </c>
      <c r="V58" s="16">
        <f t="shared" si="21"/>
        <v>0.25686061016841716</v>
      </c>
      <c r="W58" s="16">
        <f t="shared" si="22"/>
        <v>0.19721871049304679</v>
      </c>
      <c r="X58">
        <f t="shared" si="23"/>
        <v>0.1714285714285714</v>
      </c>
      <c r="Y58">
        <f t="shared" si="24"/>
        <v>0.18347186440601226</v>
      </c>
      <c r="Z58" s="16">
        <f t="shared" si="25"/>
        <v>0.19721871049304679</v>
      </c>
      <c r="AE58" s="15">
        <v>0.96</v>
      </c>
      <c r="AF58" s="15">
        <f t="shared" si="27"/>
        <v>0.15</v>
      </c>
      <c r="AG58" s="15">
        <f t="shared" si="26"/>
        <v>0.10050000000000001</v>
      </c>
    </row>
    <row r="59" spans="13:33">
      <c r="M59">
        <v>0.98</v>
      </c>
      <c r="N59">
        <f t="shared" si="14"/>
        <v>0.6</v>
      </c>
      <c r="O59">
        <f t="shared" si="15"/>
        <v>14.318999450920392</v>
      </c>
      <c r="P59">
        <f t="shared" si="16"/>
        <v>2.1923076923076921</v>
      </c>
      <c r="Q59">
        <f t="shared" si="17"/>
        <v>0.27368421052631581</v>
      </c>
      <c r="R59">
        <v>0.98</v>
      </c>
      <c r="S59">
        <f t="shared" si="18"/>
        <v>0.8</v>
      </c>
      <c r="T59">
        <f t="shared" si="19"/>
        <v>19.091999267893858</v>
      </c>
      <c r="U59" s="16">
        <f t="shared" si="20"/>
        <v>3.1666161914243633</v>
      </c>
      <c r="V59" s="16">
        <f t="shared" si="21"/>
        <v>0.25263560584529038</v>
      </c>
      <c r="W59" s="16">
        <f t="shared" si="22"/>
        <v>0.1954887218045113</v>
      </c>
      <c r="X59">
        <f t="shared" si="23"/>
        <v>0.1714285714285714</v>
      </c>
      <c r="Y59">
        <f t="shared" si="24"/>
        <v>0.18045400417520741</v>
      </c>
      <c r="Z59" s="16">
        <f t="shared" si="25"/>
        <v>0.1954887218045113</v>
      </c>
      <c r="AE59" s="15">
        <v>0.98</v>
      </c>
      <c r="AF59" s="15">
        <f t="shared" si="27"/>
        <v>0.15</v>
      </c>
      <c r="AG59" s="15">
        <f t="shared" si="26"/>
        <v>0.10050000000000001</v>
      </c>
    </row>
    <row r="60" spans="13:33">
      <c r="M60">
        <v>1</v>
      </c>
      <c r="N60">
        <f t="shared" si="14"/>
        <v>0.6</v>
      </c>
      <c r="O60">
        <f t="shared" si="15"/>
        <v>14.909412172970004</v>
      </c>
      <c r="P60">
        <f t="shared" si="16"/>
        <v>2.2115384615384617</v>
      </c>
      <c r="Q60">
        <f t="shared" si="17"/>
        <v>0.27130434782608692</v>
      </c>
      <c r="R60">
        <v>1</v>
      </c>
      <c r="S60">
        <f t="shared" si="18"/>
        <v>0.8</v>
      </c>
      <c r="T60">
        <f t="shared" si="19"/>
        <v>19.879216230626675</v>
      </c>
      <c r="U60" s="16">
        <f t="shared" si="20"/>
        <v>3.2187026794603408</v>
      </c>
      <c r="V60" s="16">
        <f t="shared" si="21"/>
        <v>0.24854734334583861</v>
      </c>
      <c r="W60" s="16">
        <f t="shared" si="22"/>
        <v>0.19378881987577637</v>
      </c>
      <c r="X60">
        <f t="shared" si="23"/>
        <v>0.17142857142857143</v>
      </c>
      <c r="Y60">
        <f t="shared" si="24"/>
        <v>0.177533816675599</v>
      </c>
      <c r="Z60" s="16">
        <f t="shared" si="25"/>
        <v>0.19378881987577637</v>
      </c>
      <c r="AE60" s="15">
        <v>1</v>
      </c>
      <c r="AF60" s="15">
        <f t="shared" si="27"/>
        <v>0.15</v>
      </c>
      <c r="AG60" s="15">
        <f t="shared" si="26"/>
        <v>0.10050000000000001</v>
      </c>
    </row>
    <row r="61" spans="13:33">
      <c r="M61">
        <v>1.02</v>
      </c>
      <c r="N61">
        <f t="shared" si="14"/>
        <v>0.6</v>
      </c>
      <c r="O61">
        <f t="shared" si="15"/>
        <v>15.511752424757994</v>
      </c>
      <c r="P61">
        <f t="shared" si="16"/>
        <v>2.2307692307692308</v>
      </c>
      <c r="Q61">
        <f t="shared" si="17"/>
        <v>0.26896551724137929</v>
      </c>
      <c r="R61">
        <v>1.02</v>
      </c>
      <c r="S61">
        <f t="shared" si="18"/>
        <v>0.8</v>
      </c>
      <c r="T61">
        <f t="shared" si="19"/>
        <v>20.682336566343992</v>
      </c>
      <c r="U61" s="16">
        <f t="shared" si="20"/>
        <v>3.2707891674963179</v>
      </c>
      <c r="V61" s="16">
        <f t="shared" si="21"/>
        <v>0.24458928993346699</v>
      </c>
      <c r="W61" s="16">
        <f t="shared" si="22"/>
        <v>0.19211822660098521</v>
      </c>
      <c r="X61">
        <f t="shared" si="23"/>
        <v>0.17142857142857143</v>
      </c>
      <c r="Y61">
        <f t="shared" si="24"/>
        <v>0.17470663566676214</v>
      </c>
      <c r="Z61" s="16">
        <f t="shared" si="25"/>
        <v>0.19211822660098521</v>
      </c>
      <c r="AE61" s="15">
        <v>1.02</v>
      </c>
      <c r="AF61" s="15">
        <f t="shared" si="27"/>
        <v>0.15</v>
      </c>
      <c r="AG61" s="15">
        <f t="shared" si="26"/>
        <v>0.10050000000000001</v>
      </c>
    </row>
    <row r="62" spans="13:33">
      <c r="M62">
        <v>1.04</v>
      </c>
      <c r="N62">
        <f t="shared" si="14"/>
        <v>0.6</v>
      </c>
      <c r="O62">
        <f t="shared" si="15"/>
        <v>16.126020206284359</v>
      </c>
      <c r="P62">
        <f t="shared" si="16"/>
        <v>2.25</v>
      </c>
      <c r="Q62">
        <f t="shared" si="17"/>
        <v>0.26666666666666666</v>
      </c>
      <c r="R62">
        <v>1.04</v>
      </c>
      <c r="S62">
        <f t="shared" si="18"/>
        <v>0.8</v>
      </c>
      <c r="T62">
        <f t="shared" si="19"/>
        <v>21.501360275045812</v>
      </c>
      <c r="U62" s="16">
        <f t="shared" si="20"/>
        <v>3.3228756555322954</v>
      </c>
      <c r="V62" s="16">
        <f t="shared" si="21"/>
        <v>0.24075532247740614</v>
      </c>
      <c r="W62" s="16">
        <f t="shared" si="22"/>
        <v>0.19047619047619047</v>
      </c>
      <c r="X62">
        <f t="shared" si="23"/>
        <v>0.17142857142857143</v>
      </c>
      <c r="Y62">
        <f t="shared" si="24"/>
        <v>0.17196808748386153</v>
      </c>
      <c r="Z62" s="16">
        <f t="shared" si="25"/>
        <v>0.19047619047619047</v>
      </c>
      <c r="AE62" s="15">
        <v>1.04</v>
      </c>
      <c r="AF62" s="15">
        <f t="shared" si="27"/>
        <v>0.15</v>
      </c>
      <c r="AG62" s="15">
        <f t="shared" si="26"/>
        <v>0.10050000000000001</v>
      </c>
    </row>
    <row r="63" spans="13:33">
      <c r="M63">
        <v>1.06</v>
      </c>
      <c r="N63">
        <f t="shared" si="14"/>
        <v>0.6</v>
      </c>
      <c r="O63">
        <f t="shared" si="15"/>
        <v>16.7522155175491</v>
      </c>
      <c r="P63">
        <f t="shared" si="16"/>
        <v>2.2692307692307692</v>
      </c>
      <c r="Q63">
        <f t="shared" si="17"/>
        <v>0.26440677966101694</v>
      </c>
      <c r="R63">
        <v>1.06</v>
      </c>
      <c r="S63">
        <f t="shared" si="18"/>
        <v>0.8</v>
      </c>
      <c r="T63">
        <f t="shared" si="19"/>
        <v>22.336287356732136</v>
      </c>
      <c r="U63" s="16">
        <f t="shared" si="20"/>
        <v>3.3749621435682728</v>
      </c>
      <c r="V63" s="16">
        <f t="shared" si="21"/>
        <v>0.23703969584505555</v>
      </c>
      <c r="W63" s="16">
        <f t="shared" si="22"/>
        <v>0.18886198547215496</v>
      </c>
      <c r="X63">
        <f t="shared" si="23"/>
        <v>0.17142857142857143</v>
      </c>
      <c r="Y63">
        <f t="shared" si="24"/>
        <v>0.16931406846075397</v>
      </c>
      <c r="Z63" s="16">
        <f t="shared" si="25"/>
        <v>0.18886198547215496</v>
      </c>
      <c r="AE63" s="15">
        <v>1.06</v>
      </c>
      <c r="AF63" s="15">
        <f t="shared" si="27"/>
        <v>0.15</v>
      </c>
      <c r="AG63" s="15">
        <f t="shared" si="26"/>
        <v>0.10050000000000001</v>
      </c>
    </row>
    <row r="64" spans="13:33">
      <c r="M64">
        <v>1.08</v>
      </c>
      <c r="N64">
        <f t="shared" si="14"/>
        <v>0.6</v>
      </c>
      <c r="O64">
        <f t="shared" si="15"/>
        <v>17.390338358552214</v>
      </c>
      <c r="P64">
        <f t="shared" si="16"/>
        <v>2.2884615384615383</v>
      </c>
      <c r="Q64">
        <f t="shared" si="17"/>
        <v>0.26218487394957984</v>
      </c>
      <c r="R64">
        <v>1.08</v>
      </c>
      <c r="S64">
        <f t="shared" si="18"/>
        <v>0.8</v>
      </c>
      <c r="T64">
        <f t="shared" si="19"/>
        <v>23.187117811402953</v>
      </c>
      <c r="U64" s="16">
        <f t="shared" si="20"/>
        <v>3.4270486316042499</v>
      </c>
      <c r="V64" s="16">
        <f t="shared" si="21"/>
        <v>0.23343701417668786</v>
      </c>
      <c r="W64" s="16">
        <f t="shared" si="22"/>
        <v>0.1872749099639856</v>
      </c>
      <c r="X64">
        <f t="shared" si="23"/>
        <v>0.17142857142857143</v>
      </c>
      <c r="Y64">
        <f t="shared" si="24"/>
        <v>0.16674072441191989</v>
      </c>
      <c r="Z64" s="16">
        <f t="shared" si="25"/>
        <v>0.1872749099639856</v>
      </c>
      <c r="AE64" s="15">
        <v>1.08</v>
      </c>
      <c r="AF64" s="15">
        <f t="shared" si="27"/>
        <v>0.15</v>
      </c>
      <c r="AG64" s="15">
        <f t="shared" si="26"/>
        <v>0.10050000000000001</v>
      </c>
    </row>
    <row r="65" spans="13:33">
      <c r="M65">
        <v>1.1000000000000001</v>
      </c>
      <c r="N65">
        <f t="shared" si="14"/>
        <v>0.6</v>
      </c>
      <c r="O65">
        <f t="shared" si="15"/>
        <v>18.04038872929371</v>
      </c>
      <c r="P65">
        <f t="shared" si="16"/>
        <v>2.3076923076923079</v>
      </c>
      <c r="Q65">
        <f t="shared" si="17"/>
        <v>0.25999999999999995</v>
      </c>
      <c r="R65">
        <v>1.1000000000000001</v>
      </c>
      <c r="S65">
        <f t="shared" si="18"/>
        <v>0.8</v>
      </c>
      <c r="T65">
        <f t="shared" si="19"/>
        <v>24.05385163905828</v>
      </c>
      <c r="U65" s="16">
        <f t="shared" si="20"/>
        <v>3.4791351196402274</v>
      </c>
      <c r="V65" s="16">
        <f t="shared" si="21"/>
        <v>0.2299422047404491</v>
      </c>
      <c r="W65" s="16">
        <f t="shared" si="22"/>
        <v>0.18571428571428569</v>
      </c>
      <c r="X65">
        <f t="shared" si="23"/>
        <v>0.17142857142857143</v>
      </c>
      <c r="Y65">
        <f t="shared" si="24"/>
        <v>0.16424443195746366</v>
      </c>
      <c r="Z65" s="16">
        <f t="shared" si="25"/>
        <v>0.18571428571428569</v>
      </c>
      <c r="AE65" s="15">
        <v>1.1000000000000001</v>
      </c>
      <c r="AF65" s="15">
        <f t="shared" si="27"/>
        <v>0.15</v>
      </c>
      <c r="AG65" s="15">
        <f t="shared" si="26"/>
        <v>0.10050000000000001</v>
      </c>
    </row>
    <row r="66" spans="13:33">
      <c r="M66">
        <v>1.1200000000000001</v>
      </c>
      <c r="N66">
        <f t="shared" si="14"/>
        <v>0.6</v>
      </c>
      <c r="O66">
        <f t="shared" si="15"/>
        <v>18.702366629773575</v>
      </c>
      <c r="P66">
        <f t="shared" si="16"/>
        <v>2.3269230769230771</v>
      </c>
      <c r="Q66">
        <f t="shared" si="17"/>
        <v>0.25785123966942147</v>
      </c>
      <c r="R66">
        <v>1.1200000000000001</v>
      </c>
      <c r="S66">
        <f t="shared" si="18"/>
        <v>0.8</v>
      </c>
      <c r="T66">
        <f t="shared" si="19"/>
        <v>24.936488839698104</v>
      </c>
      <c r="U66" s="16">
        <f t="shared" si="20"/>
        <v>3.5312216076762049</v>
      </c>
      <c r="V66" s="16">
        <f t="shared" si="21"/>
        <v>0.22655049410123454</v>
      </c>
      <c r="W66" s="16">
        <f t="shared" si="22"/>
        <v>0.18417945690672963</v>
      </c>
      <c r="X66">
        <f t="shared" si="23"/>
        <v>0.17142857142857143</v>
      </c>
      <c r="Y66">
        <f t="shared" si="24"/>
        <v>0.16182178150088181</v>
      </c>
      <c r="Z66" s="16">
        <f t="shared" si="25"/>
        <v>0.18417945690672963</v>
      </c>
      <c r="AE66" s="15">
        <v>1.1200000000000001</v>
      </c>
      <c r="AF66" s="15">
        <f t="shared" si="27"/>
        <v>0.15</v>
      </c>
      <c r="AG66" s="15">
        <f t="shared" si="26"/>
        <v>0.10050000000000001</v>
      </c>
    </row>
    <row r="67" spans="13:33">
      <c r="M67">
        <v>1.1399999999999999</v>
      </c>
      <c r="N67">
        <f t="shared" si="14"/>
        <v>0.6</v>
      </c>
      <c r="O67">
        <f t="shared" si="15"/>
        <v>19.376272059991816</v>
      </c>
      <c r="P67">
        <f t="shared" si="16"/>
        <v>2.3461538461538458</v>
      </c>
      <c r="Q67">
        <f t="shared" si="17"/>
        <v>0.25573770491803283</v>
      </c>
      <c r="R67">
        <v>1.1399999999999999</v>
      </c>
      <c r="S67">
        <f t="shared" si="18"/>
        <v>0.8</v>
      </c>
      <c r="T67">
        <f t="shared" si="19"/>
        <v>25.83502941332242</v>
      </c>
      <c r="U67" s="16">
        <f t="shared" si="20"/>
        <v>3.583308095712181</v>
      </c>
      <c r="V67" s="16">
        <f t="shared" si="21"/>
        <v>0.22325738636800094</v>
      </c>
      <c r="W67" s="16">
        <f t="shared" si="22"/>
        <v>0.18266978922716631</v>
      </c>
      <c r="X67">
        <f t="shared" si="23"/>
        <v>0.17142857142857143</v>
      </c>
      <c r="Y67">
        <f t="shared" si="24"/>
        <v>0.15946956169142926</v>
      </c>
      <c r="Z67" s="16">
        <f t="shared" si="25"/>
        <v>0.18266978922716631</v>
      </c>
      <c r="AE67" s="15">
        <v>1.1399999999999999</v>
      </c>
      <c r="AF67" s="15">
        <f t="shared" si="27"/>
        <v>0.15</v>
      </c>
      <c r="AG67" s="15">
        <f t="shared" si="26"/>
        <v>0.10050000000000001</v>
      </c>
    </row>
    <row r="68" spans="13:33">
      <c r="M68">
        <v>1.1599999999999999</v>
      </c>
      <c r="N68">
        <f t="shared" si="14"/>
        <v>0.6</v>
      </c>
      <c r="O68">
        <f t="shared" si="15"/>
        <v>20.06210501994844</v>
      </c>
      <c r="P68">
        <f t="shared" si="16"/>
        <v>2.3653846153846154</v>
      </c>
      <c r="Q68">
        <f t="shared" si="17"/>
        <v>0.25365853658536586</v>
      </c>
      <c r="R68">
        <v>1.1599999999999999</v>
      </c>
      <c r="S68">
        <f t="shared" si="18"/>
        <v>0.8</v>
      </c>
      <c r="T68">
        <f t="shared" si="19"/>
        <v>26.749473359931251</v>
      </c>
      <c r="U68" s="16">
        <f t="shared" si="20"/>
        <v>3.6353945837481589</v>
      </c>
      <c r="V68" s="16">
        <f t="shared" si="21"/>
        <v>0.22005864331106123</v>
      </c>
      <c r="W68" s="16">
        <f t="shared" si="22"/>
        <v>0.18118466898954705</v>
      </c>
      <c r="X68">
        <f t="shared" si="23"/>
        <v>0.17142857142857143</v>
      </c>
      <c r="Y68">
        <f t="shared" si="24"/>
        <v>0.15718474522218659</v>
      </c>
      <c r="Z68" s="16">
        <f t="shared" si="25"/>
        <v>0.18118466898954705</v>
      </c>
      <c r="AE68" s="15">
        <v>1.1599999999999999</v>
      </c>
      <c r="AF68" s="15">
        <f t="shared" si="27"/>
        <v>0.15</v>
      </c>
      <c r="AG68" s="15">
        <f t="shared" si="26"/>
        <v>0.10050000000000001</v>
      </c>
    </row>
    <row r="69" spans="13:33">
      <c r="M69">
        <v>1.18</v>
      </c>
      <c r="N69">
        <f t="shared" si="14"/>
        <v>0.6</v>
      </c>
      <c r="O69">
        <f t="shared" si="15"/>
        <v>20.759865509643429</v>
      </c>
      <c r="P69">
        <f t="shared" si="16"/>
        <v>2.3846153846153846</v>
      </c>
      <c r="Q69">
        <f t="shared" si="17"/>
        <v>0.25161290322580643</v>
      </c>
      <c r="R69">
        <v>1.18</v>
      </c>
      <c r="S69">
        <f t="shared" si="18"/>
        <v>0.8</v>
      </c>
      <c r="T69">
        <f t="shared" si="19"/>
        <v>27.679820679524575</v>
      </c>
      <c r="U69" s="16">
        <f t="shared" si="20"/>
        <v>3.687481071784136</v>
      </c>
      <c r="V69" s="16">
        <f t="shared" si="21"/>
        <v>0.21695026616446639</v>
      </c>
      <c r="W69" s="16">
        <f t="shared" si="22"/>
        <v>0.17972350230414746</v>
      </c>
      <c r="X69">
        <f t="shared" si="23"/>
        <v>0.17142857142857143</v>
      </c>
      <c r="Y69">
        <f t="shared" si="24"/>
        <v>0.15496447583176171</v>
      </c>
      <c r="Z69" s="16">
        <f t="shared" si="25"/>
        <v>0.17972350230414746</v>
      </c>
      <c r="AE69" s="15">
        <v>1.18</v>
      </c>
      <c r="AF69" s="15">
        <f t="shared" si="27"/>
        <v>0.15</v>
      </c>
      <c r="AG69" s="15">
        <f t="shared" si="26"/>
        <v>0.10050000000000001</v>
      </c>
    </row>
    <row r="70" spans="13:33">
      <c r="M70">
        <v>1.2</v>
      </c>
      <c r="N70">
        <f t="shared" si="14"/>
        <v>0.6</v>
      </c>
      <c r="O70">
        <f t="shared" si="15"/>
        <v>21.469553529076805</v>
      </c>
      <c r="P70">
        <f t="shared" si="16"/>
        <v>2.4038461538461537</v>
      </c>
      <c r="Q70">
        <f t="shared" si="17"/>
        <v>0.24959999999999999</v>
      </c>
      <c r="R70">
        <v>1.2</v>
      </c>
      <c r="S70">
        <f t="shared" si="18"/>
        <v>0.8</v>
      </c>
      <c r="T70">
        <f t="shared" si="19"/>
        <v>28.626071372102409</v>
      </c>
      <c r="U70" s="16">
        <f t="shared" si="20"/>
        <v>3.739567559820113</v>
      </c>
      <c r="V70" s="16">
        <f t="shared" si="21"/>
        <v>0.21392847894917641</v>
      </c>
      <c r="W70" s="16">
        <f t="shared" si="22"/>
        <v>0.17828571428571427</v>
      </c>
      <c r="X70">
        <f t="shared" si="23"/>
        <v>0.17142857142857143</v>
      </c>
      <c r="Y70">
        <f t="shared" si="24"/>
        <v>0.15280605639226888</v>
      </c>
      <c r="Z70" s="16">
        <f t="shared" si="25"/>
        <v>0.17828571428571427</v>
      </c>
      <c r="AE70" s="15">
        <v>1.2</v>
      </c>
      <c r="AF70" s="15">
        <f t="shared" si="27"/>
        <v>0.15</v>
      </c>
      <c r="AG70" s="15">
        <f t="shared" si="26"/>
        <v>0.10050000000000001</v>
      </c>
    </row>
    <row r="71" spans="13:33">
      <c r="M71">
        <v>1.22</v>
      </c>
      <c r="N71">
        <f t="shared" si="14"/>
        <v>0.6</v>
      </c>
      <c r="O71">
        <f t="shared" si="15"/>
        <v>22.191169078248556</v>
      </c>
      <c r="P71">
        <f t="shared" si="16"/>
        <v>2.4230769230769229</v>
      </c>
      <c r="Q71">
        <f t="shared" si="17"/>
        <v>0.24761904761904763</v>
      </c>
      <c r="R71">
        <v>1.22</v>
      </c>
      <c r="S71">
        <f t="shared" si="18"/>
        <v>0.8</v>
      </c>
      <c r="T71">
        <f t="shared" si="19"/>
        <v>29.58822543766474</v>
      </c>
      <c r="U71" s="16">
        <f t="shared" si="20"/>
        <v>3.7916540478560909</v>
      </c>
      <c r="V71" s="16">
        <f t="shared" si="21"/>
        <v>0.21098971317078435</v>
      </c>
      <c r="W71" s="16">
        <f t="shared" si="22"/>
        <v>0.17687074829931973</v>
      </c>
      <c r="X71">
        <f t="shared" si="23"/>
        <v>0.17142857142857143</v>
      </c>
      <c r="Y71">
        <f t="shared" si="24"/>
        <v>0.15070693797913168</v>
      </c>
      <c r="Z71" s="16">
        <f t="shared" si="25"/>
        <v>0.17687074829931973</v>
      </c>
      <c r="AE71" s="15">
        <v>1.22</v>
      </c>
      <c r="AF71" s="15">
        <f t="shared" si="27"/>
        <v>0.15</v>
      </c>
      <c r="AG71" s="15">
        <f t="shared" si="26"/>
        <v>0.10050000000000001</v>
      </c>
    </row>
    <row r="72" spans="13:33">
      <c r="M72">
        <v>1.24</v>
      </c>
      <c r="N72">
        <f t="shared" si="14"/>
        <v>0.6</v>
      </c>
      <c r="O72">
        <f t="shared" si="15"/>
        <v>22.924712157158684</v>
      </c>
      <c r="P72">
        <f t="shared" si="16"/>
        <v>2.4423076923076921</v>
      </c>
      <c r="Q72">
        <f t="shared" si="17"/>
        <v>0.2456692913385827</v>
      </c>
      <c r="R72">
        <v>1.24</v>
      </c>
      <c r="S72">
        <f t="shared" si="18"/>
        <v>0.8</v>
      </c>
      <c r="T72">
        <f t="shared" si="19"/>
        <v>30.566282876211577</v>
      </c>
      <c r="U72" s="16">
        <f t="shared" si="20"/>
        <v>3.843740535892068</v>
      </c>
      <c r="V72" s="16">
        <f t="shared" si="21"/>
        <v>0.20813059376140575</v>
      </c>
      <c r="W72" s="16">
        <f t="shared" si="22"/>
        <v>0.17547806524184478</v>
      </c>
      <c r="X72">
        <f t="shared" si="23"/>
        <v>0.17142857142857143</v>
      </c>
      <c r="Y72">
        <f t="shared" si="24"/>
        <v>0.14866470982957553</v>
      </c>
      <c r="Z72" s="16">
        <f t="shared" si="25"/>
        <v>0.17547806524184478</v>
      </c>
      <c r="AE72" s="15">
        <v>1.24</v>
      </c>
      <c r="AF72" s="15">
        <f t="shared" si="27"/>
        <v>0.15</v>
      </c>
      <c r="AG72" s="15">
        <f t="shared" si="26"/>
        <v>0.10050000000000001</v>
      </c>
    </row>
    <row r="73" spans="13:33">
      <c r="M73">
        <v>1.26</v>
      </c>
      <c r="N73">
        <f t="shared" si="14"/>
        <v>0.6</v>
      </c>
      <c r="O73">
        <f t="shared" si="15"/>
        <v>23.670182765807184</v>
      </c>
      <c r="P73">
        <f t="shared" si="16"/>
        <v>2.4615384615384617</v>
      </c>
      <c r="Q73">
        <f t="shared" si="17"/>
        <v>0.24374999999999997</v>
      </c>
      <c r="R73">
        <v>1.26</v>
      </c>
      <c r="S73">
        <f t="shared" si="18"/>
        <v>0.8</v>
      </c>
      <c r="T73">
        <f t="shared" si="19"/>
        <v>31.560243687742911</v>
      </c>
      <c r="U73" s="16">
        <f t="shared" si="20"/>
        <v>3.895827023928045</v>
      </c>
      <c r="V73" s="16">
        <f t="shared" si="21"/>
        <v>0.20534792614929401</v>
      </c>
      <c r="W73" s="16">
        <f t="shared" si="22"/>
        <v>0.17410714285714285</v>
      </c>
      <c r="X73">
        <f t="shared" si="23"/>
        <v>0.17142857142857143</v>
      </c>
      <c r="Y73">
        <f t="shared" si="24"/>
        <v>0.14667709010663857</v>
      </c>
      <c r="Z73" s="16">
        <f t="shared" si="25"/>
        <v>0.17410714285714285</v>
      </c>
      <c r="AE73" s="15">
        <v>1.26</v>
      </c>
      <c r="AF73" s="15">
        <f t="shared" si="27"/>
        <v>0.15</v>
      </c>
      <c r="AG73" s="15">
        <f t="shared" si="26"/>
        <v>0.10050000000000001</v>
      </c>
    </row>
    <row r="74" spans="13:33">
      <c r="M74">
        <v>1.28</v>
      </c>
      <c r="N74">
        <f t="shared" ref="N74:N105" si="28">IF(M74&lt;=0.2*$N$7,$N$3*(0.4+3*M74/$N$7),IF(M74&lt;=$N$7,$N$3,IF(M74&lt;=2.5*$N$7,$N$3*$N$7/M74,0.4*$N$3)))</f>
        <v>0.6</v>
      </c>
      <c r="O74">
        <f t="shared" ref="O74:O105" si="29">M74^2/(4*PI()^2)*(N74*981)</f>
        <v>24.427580904194055</v>
      </c>
      <c r="P74">
        <f t="shared" ref="P74:P105" si="30">IF(M74&gt;$N$7,$P$1,IF(M74&gt;0.6*$N$7,SQRT(2*$P$1-1)+($P$1-SQRT(2*$P$1-1))*(M74-0.6*$N$7)/0.4/$N$7,IF(M74&gt;0.2*$N$7,SQRT(2*$P$1-1),SQRT(2*$P$1-1)+(SQRT(2*$P$1-1)-1)*(M74-0.2*$N$7)/0.2/$N$7)))</f>
        <v>2.4807692307692308</v>
      </c>
      <c r="Q74">
        <f t="shared" ref="Q74:Q105" si="31">IF(N74/P74&lt;=0.3,N74/P74,IF(N74/P74&lt;0.8,0.52*N74/P74+0.144,0.7*N74/P74))</f>
        <v>0.24186046511627907</v>
      </c>
      <c r="R74">
        <v>1.28</v>
      </c>
      <c r="S74">
        <f t="shared" ref="S74:S105" si="32">IF(R74&lt;=0.2*$S$7,$S$3*(0.4+3*R74/$S$7),IF(R74&lt;=$S$7,$S$3,IF(R74&lt;=2.5*$S$7,$S$3*$S$7/R74,0.4*$S$3)))</f>
        <v>0.8</v>
      </c>
      <c r="T74">
        <f t="shared" ref="T74:T105" si="33">R74^2/(4*PI()^2)*(S74*981)</f>
        <v>32.570107872258745</v>
      </c>
      <c r="U74" s="16">
        <f t="shared" ref="U74:U105" si="34">IF(R74&gt;$S$7,$N$1,IF(R74&gt;0.6*$S$7,SQRT(2*$N$1-1)+($N$1-SQRT(2*$N$1-1))*(R74-0.6*$S$7)/0.4/$S$7,IF(R74&gt;0.2*$S$7,SQRT(2*$N$1-1),SQRT(2*$N$1-1)+(SQRT(2*$N$1-1)-1)*(R74-0.2*$S$7)/0.2/$S$7)))</f>
        <v>3.947913511964023</v>
      </c>
      <c r="V74" s="16">
        <f t="shared" ref="V74:V105" si="35">IF(S74/U74&lt;=0.3,S74/U74,IF(S74/U74&lt;0.8,0.52*S74/U74+0.144,0.7*S74/U74))</f>
        <v>0.20263868435203208</v>
      </c>
      <c r="W74" s="16">
        <f t="shared" ref="W74:W105" si="36">$R$1/1.4/$T$1*Q74</f>
        <v>0.17275747508305647</v>
      </c>
      <c r="X74">
        <f t="shared" ref="X74:X105" si="37">$R$1*P74/3.5/$T$1*Q74</f>
        <v>0.17142857142857143</v>
      </c>
      <c r="Y74">
        <f t="shared" ref="Y74:Y105" si="38">$R$1/1.4/$T$1*V74</f>
        <v>0.14474191739430864</v>
      </c>
      <c r="Z74" s="16">
        <f t="shared" ref="Z74:Z105" si="39">MAX(W74:Y74)</f>
        <v>0.17275747508305647</v>
      </c>
      <c r="AE74" s="15">
        <v>1.28</v>
      </c>
      <c r="AF74" s="15">
        <f t="shared" si="27"/>
        <v>0.15</v>
      </c>
      <c r="AG74" s="15">
        <f t="shared" ref="AG74:AG105" si="40">$AF$4*$AF$5*AF74*$AF$6</f>
        <v>0.10050000000000001</v>
      </c>
    </row>
    <row r="75" spans="13:33">
      <c r="M75">
        <v>1.3</v>
      </c>
      <c r="N75">
        <f t="shared" si="28"/>
        <v>0.6</v>
      </c>
      <c r="O75">
        <f t="shared" si="29"/>
        <v>25.19690657231931</v>
      </c>
      <c r="P75">
        <f t="shared" si="30"/>
        <v>2.5</v>
      </c>
      <c r="Q75">
        <f t="shared" si="31"/>
        <v>0.24</v>
      </c>
      <c r="R75">
        <v>1.3</v>
      </c>
      <c r="S75">
        <f t="shared" si="32"/>
        <v>0.8</v>
      </c>
      <c r="T75">
        <f t="shared" si="33"/>
        <v>33.595875429759083</v>
      </c>
      <c r="U75" s="16">
        <f t="shared" si="34"/>
        <v>4</v>
      </c>
      <c r="V75" s="16">
        <f t="shared" si="35"/>
        <v>0.2</v>
      </c>
      <c r="W75" s="16">
        <f t="shared" si="36"/>
        <v>0.17142857142857143</v>
      </c>
      <c r="X75">
        <f t="shared" si="37"/>
        <v>0.17142857142857143</v>
      </c>
      <c r="Y75">
        <f t="shared" si="38"/>
        <v>0.14285714285714288</v>
      </c>
      <c r="Z75" s="16">
        <f t="shared" si="39"/>
        <v>0.17142857142857143</v>
      </c>
      <c r="AE75" s="15">
        <v>1.3</v>
      </c>
      <c r="AF75" s="15">
        <f t="shared" ref="AF75:AF106" si="41">IF(0.248/AE75&lt;=0.0625,0.0625,IF(0.248/AE75&gt;=0.15,0.15,0.248/AE75))</f>
        <v>0.15</v>
      </c>
      <c r="AG75" s="15">
        <f t="shared" si="40"/>
        <v>0.10050000000000001</v>
      </c>
    </row>
    <row r="76" spans="13:33">
      <c r="M76">
        <v>1.32</v>
      </c>
      <c r="N76">
        <f t="shared" si="28"/>
        <v>0.59090909090909094</v>
      </c>
      <c r="O76">
        <f t="shared" si="29"/>
        <v>25.584551288816531</v>
      </c>
      <c r="P76">
        <f t="shared" si="30"/>
        <v>2.5</v>
      </c>
      <c r="Q76">
        <f t="shared" si="31"/>
        <v>0.23636363636363639</v>
      </c>
      <c r="R76">
        <v>1.32</v>
      </c>
      <c r="S76">
        <f t="shared" si="32"/>
        <v>0.78787878787878785</v>
      </c>
      <c r="T76">
        <f t="shared" si="33"/>
        <v>34.112735051755365</v>
      </c>
      <c r="U76" s="16">
        <f t="shared" si="34"/>
        <v>4</v>
      </c>
      <c r="V76" s="16">
        <f t="shared" si="35"/>
        <v>0.19696969696969696</v>
      </c>
      <c r="W76" s="16">
        <f t="shared" si="36"/>
        <v>0.16883116883116886</v>
      </c>
      <c r="X76">
        <f t="shared" si="37"/>
        <v>0.16883116883116886</v>
      </c>
      <c r="Y76">
        <f t="shared" si="38"/>
        <v>0.1406926406926407</v>
      </c>
      <c r="Z76" s="16">
        <f t="shared" si="39"/>
        <v>0.16883116883116886</v>
      </c>
      <c r="AE76" s="15">
        <v>1.32</v>
      </c>
      <c r="AF76" s="15">
        <f t="shared" si="41"/>
        <v>0.15</v>
      </c>
      <c r="AG76" s="15">
        <f t="shared" si="40"/>
        <v>0.10050000000000001</v>
      </c>
    </row>
    <row r="77" spans="13:33">
      <c r="M77">
        <v>1.34</v>
      </c>
      <c r="N77">
        <f t="shared" si="28"/>
        <v>0.58208955223880599</v>
      </c>
      <c r="O77">
        <f t="shared" si="29"/>
        <v>25.972196005313755</v>
      </c>
      <c r="P77">
        <f t="shared" si="30"/>
        <v>2.5</v>
      </c>
      <c r="Q77">
        <f t="shared" si="31"/>
        <v>0.23283582089552241</v>
      </c>
      <c r="R77">
        <v>1.34</v>
      </c>
      <c r="S77">
        <f t="shared" si="32"/>
        <v>0.77611940298507465</v>
      </c>
      <c r="T77">
        <f t="shared" si="33"/>
        <v>34.629594673751669</v>
      </c>
      <c r="U77" s="16">
        <f t="shared" si="34"/>
        <v>4</v>
      </c>
      <c r="V77" s="16">
        <f t="shared" si="35"/>
        <v>0.19402985074626866</v>
      </c>
      <c r="W77" s="16">
        <f t="shared" si="36"/>
        <v>0.16631130063965888</v>
      </c>
      <c r="X77">
        <f t="shared" si="37"/>
        <v>0.16631130063965888</v>
      </c>
      <c r="Y77">
        <f t="shared" si="38"/>
        <v>0.13859275053304904</v>
      </c>
      <c r="Z77" s="16">
        <f t="shared" si="39"/>
        <v>0.16631130063965888</v>
      </c>
      <c r="AE77" s="15">
        <v>1.34</v>
      </c>
      <c r="AF77" s="15">
        <f t="shared" si="41"/>
        <v>0.15</v>
      </c>
      <c r="AG77" s="15">
        <f t="shared" si="40"/>
        <v>0.10050000000000001</v>
      </c>
    </row>
    <row r="78" spans="13:33">
      <c r="M78">
        <v>1.36</v>
      </c>
      <c r="N78">
        <f t="shared" si="28"/>
        <v>0.57352941176470584</v>
      </c>
      <c r="O78">
        <f t="shared" si="29"/>
        <v>26.359840721810972</v>
      </c>
      <c r="P78">
        <f t="shared" si="30"/>
        <v>2.5</v>
      </c>
      <c r="Q78">
        <f t="shared" si="31"/>
        <v>0.22941176470588234</v>
      </c>
      <c r="R78">
        <v>1.36</v>
      </c>
      <c r="S78">
        <f t="shared" si="32"/>
        <v>0.76470588235294112</v>
      </c>
      <c r="T78">
        <f t="shared" si="33"/>
        <v>35.146454295747958</v>
      </c>
      <c r="U78" s="16">
        <f t="shared" si="34"/>
        <v>4</v>
      </c>
      <c r="V78" s="16">
        <f t="shared" si="35"/>
        <v>0.19117647058823528</v>
      </c>
      <c r="W78" s="16">
        <f t="shared" si="36"/>
        <v>0.1638655462184874</v>
      </c>
      <c r="X78">
        <f t="shared" si="37"/>
        <v>0.1638655462184874</v>
      </c>
      <c r="Y78">
        <f t="shared" si="38"/>
        <v>0.13655462184873948</v>
      </c>
      <c r="Z78" s="16">
        <f t="shared" si="39"/>
        <v>0.1638655462184874</v>
      </c>
      <c r="AE78" s="15">
        <v>1.36</v>
      </c>
      <c r="AF78" s="15">
        <f t="shared" si="41"/>
        <v>0.15</v>
      </c>
      <c r="AG78" s="15">
        <f t="shared" si="40"/>
        <v>0.10050000000000001</v>
      </c>
    </row>
    <row r="79" spans="13:33">
      <c r="M79">
        <v>1.38</v>
      </c>
      <c r="N79">
        <f t="shared" si="28"/>
        <v>0.56521739130434789</v>
      </c>
      <c r="O79">
        <f t="shared" si="29"/>
        <v>26.747485438308182</v>
      </c>
      <c r="P79">
        <f t="shared" si="30"/>
        <v>2.5</v>
      </c>
      <c r="Q79">
        <f t="shared" si="31"/>
        <v>0.22608695652173916</v>
      </c>
      <c r="R79">
        <v>1.38</v>
      </c>
      <c r="S79">
        <f t="shared" si="32"/>
        <v>0.75362318840579723</v>
      </c>
      <c r="T79">
        <f t="shared" si="33"/>
        <v>35.663313917744247</v>
      </c>
      <c r="U79" s="16">
        <f t="shared" si="34"/>
        <v>4</v>
      </c>
      <c r="V79" s="16">
        <f t="shared" si="35"/>
        <v>0.18840579710144931</v>
      </c>
      <c r="W79" s="16">
        <f t="shared" si="36"/>
        <v>0.16149068322981369</v>
      </c>
      <c r="X79">
        <f t="shared" si="37"/>
        <v>0.16149068322981369</v>
      </c>
      <c r="Y79">
        <f t="shared" si="38"/>
        <v>0.13457556935817808</v>
      </c>
      <c r="Z79" s="16">
        <f t="shared" si="39"/>
        <v>0.16149068322981369</v>
      </c>
      <c r="AE79" s="15">
        <v>1.38</v>
      </c>
      <c r="AF79" s="15">
        <f t="shared" si="41"/>
        <v>0.15</v>
      </c>
      <c r="AG79" s="15">
        <f t="shared" si="40"/>
        <v>0.10050000000000001</v>
      </c>
    </row>
    <row r="80" spans="13:33">
      <c r="M80">
        <v>1.4</v>
      </c>
      <c r="N80">
        <f t="shared" si="28"/>
        <v>0.55714285714285716</v>
      </c>
      <c r="O80">
        <f t="shared" si="29"/>
        <v>27.135130154805402</v>
      </c>
      <c r="P80">
        <f t="shared" si="30"/>
        <v>2.5</v>
      </c>
      <c r="Q80">
        <f t="shared" si="31"/>
        <v>0.22285714285714286</v>
      </c>
      <c r="R80">
        <v>1.4</v>
      </c>
      <c r="S80">
        <f t="shared" si="32"/>
        <v>0.74285714285714288</v>
      </c>
      <c r="T80">
        <f t="shared" si="33"/>
        <v>36.180173539740537</v>
      </c>
      <c r="U80" s="16">
        <f t="shared" si="34"/>
        <v>4</v>
      </c>
      <c r="V80" s="16">
        <f t="shared" si="35"/>
        <v>0.18571428571428572</v>
      </c>
      <c r="W80" s="16">
        <f t="shared" si="36"/>
        <v>0.15918367346938778</v>
      </c>
      <c r="X80">
        <f t="shared" si="37"/>
        <v>0.15918367346938778</v>
      </c>
      <c r="Y80">
        <f t="shared" si="38"/>
        <v>0.1326530612244898</v>
      </c>
      <c r="Z80" s="16">
        <f t="shared" si="39"/>
        <v>0.15918367346938778</v>
      </c>
      <c r="AE80" s="15">
        <v>1.4</v>
      </c>
      <c r="AF80" s="15">
        <f t="shared" si="41"/>
        <v>0.15</v>
      </c>
      <c r="AG80" s="15">
        <f t="shared" si="40"/>
        <v>0.10050000000000001</v>
      </c>
    </row>
    <row r="81" spans="4:33">
      <c r="M81">
        <v>1.42</v>
      </c>
      <c r="N81">
        <f t="shared" si="28"/>
        <v>0.54929577464788737</v>
      </c>
      <c r="O81">
        <f t="shared" si="29"/>
        <v>27.522774871302627</v>
      </c>
      <c r="P81">
        <f t="shared" si="30"/>
        <v>2.5</v>
      </c>
      <c r="Q81">
        <f t="shared" si="31"/>
        <v>0.21971830985915494</v>
      </c>
      <c r="R81">
        <v>1.42</v>
      </c>
      <c r="S81">
        <f t="shared" si="32"/>
        <v>0.73239436619718312</v>
      </c>
      <c r="T81">
        <f t="shared" si="33"/>
        <v>36.69703316173684</v>
      </c>
      <c r="U81" s="16">
        <f t="shared" si="34"/>
        <v>4</v>
      </c>
      <c r="V81" s="16">
        <f t="shared" si="35"/>
        <v>0.18309859154929578</v>
      </c>
      <c r="W81" s="16">
        <f t="shared" si="36"/>
        <v>0.15694164989939638</v>
      </c>
      <c r="X81">
        <f t="shared" si="37"/>
        <v>0.15694164989939638</v>
      </c>
      <c r="Y81">
        <f t="shared" si="38"/>
        <v>0.13078470824949698</v>
      </c>
      <c r="Z81" s="16">
        <f t="shared" si="39"/>
        <v>0.15694164989939638</v>
      </c>
      <c r="AE81" s="15">
        <v>1.42</v>
      </c>
      <c r="AF81" s="15">
        <f t="shared" si="41"/>
        <v>0.15</v>
      </c>
      <c r="AG81" s="15">
        <f t="shared" si="40"/>
        <v>0.10050000000000001</v>
      </c>
    </row>
    <row r="82" spans="4:33">
      <c r="M82">
        <v>1.44</v>
      </c>
      <c r="N82">
        <f t="shared" si="28"/>
        <v>0.54166666666666674</v>
      </c>
      <c r="O82">
        <f t="shared" si="29"/>
        <v>27.910419587799851</v>
      </c>
      <c r="P82">
        <f t="shared" si="30"/>
        <v>2.5</v>
      </c>
      <c r="Q82">
        <f t="shared" si="31"/>
        <v>0.2166666666666667</v>
      </c>
      <c r="R82">
        <v>1.44</v>
      </c>
      <c r="S82">
        <f t="shared" si="32"/>
        <v>0.72222222222222232</v>
      </c>
      <c r="T82">
        <f t="shared" si="33"/>
        <v>37.213892783733129</v>
      </c>
      <c r="U82" s="16">
        <f t="shared" si="34"/>
        <v>4</v>
      </c>
      <c r="V82" s="16">
        <f t="shared" si="35"/>
        <v>0.18055555555555558</v>
      </c>
      <c r="W82" s="16">
        <f t="shared" si="36"/>
        <v>0.15476190476190479</v>
      </c>
      <c r="X82">
        <f t="shared" si="37"/>
        <v>0.15476190476190479</v>
      </c>
      <c r="Y82">
        <f t="shared" si="38"/>
        <v>0.12896825396825398</v>
      </c>
      <c r="Z82" s="16">
        <f t="shared" si="39"/>
        <v>0.15476190476190479</v>
      </c>
      <c r="AE82" s="15">
        <v>1.44</v>
      </c>
      <c r="AF82" s="15">
        <f t="shared" si="41"/>
        <v>0.15</v>
      </c>
      <c r="AG82" s="15">
        <f t="shared" si="40"/>
        <v>0.10050000000000001</v>
      </c>
    </row>
    <row r="83" spans="4:33">
      <c r="M83">
        <v>1.46</v>
      </c>
      <c r="N83">
        <f t="shared" si="28"/>
        <v>0.53424657534246578</v>
      </c>
      <c r="O83">
        <f t="shared" si="29"/>
        <v>28.298064304297061</v>
      </c>
      <c r="P83">
        <f t="shared" si="30"/>
        <v>2.5</v>
      </c>
      <c r="Q83">
        <f t="shared" si="31"/>
        <v>0.21369863013698631</v>
      </c>
      <c r="R83">
        <v>1.46</v>
      </c>
      <c r="S83">
        <f t="shared" si="32"/>
        <v>0.71232876712328774</v>
      </c>
      <c r="T83">
        <f t="shared" si="33"/>
        <v>37.730752405729419</v>
      </c>
      <c r="U83" s="16">
        <f t="shared" si="34"/>
        <v>4</v>
      </c>
      <c r="V83" s="16">
        <f t="shared" si="35"/>
        <v>0.17808219178082194</v>
      </c>
      <c r="W83" s="16">
        <f t="shared" si="36"/>
        <v>0.15264187866927595</v>
      </c>
      <c r="X83">
        <f t="shared" si="37"/>
        <v>0.15264187866927595</v>
      </c>
      <c r="Y83">
        <f t="shared" si="38"/>
        <v>0.12720156555772996</v>
      </c>
      <c r="Z83" s="16">
        <f t="shared" si="39"/>
        <v>0.15264187866927595</v>
      </c>
      <c r="AE83" s="15">
        <v>1.46</v>
      </c>
      <c r="AF83" s="15">
        <f t="shared" si="41"/>
        <v>0.15</v>
      </c>
      <c r="AG83" s="15">
        <f t="shared" si="40"/>
        <v>0.10050000000000001</v>
      </c>
    </row>
    <row r="84" spans="4:33">
      <c r="M84">
        <v>1.48</v>
      </c>
      <c r="N84">
        <f t="shared" si="28"/>
        <v>0.52702702702702708</v>
      </c>
      <c r="O84">
        <f t="shared" si="29"/>
        <v>28.685709020794288</v>
      </c>
      <c r="P84">
        <f t="shared" si="30"/>
        <v>2.5</v>
      </c>
      <c r="Q84">
        <f t="shared" si="31"/>
        <v>0.21081081081081082</v>
      </c>
      <c r="R84">
        <v>1.48</v>
      </c>
      <c r="S84">
        <f t="shared" si="32"/>
        <v>0.70270270270270274</v>
      </c>
      <c r="T84">
        <f t="shared" si="33"/>
        <v>38.247612027725715</v>
      </c>
      <c r="U84" s="16">
        <f t="shared" si="34"/>
        <v>4</v>
      </c>
      <c r="V84" s="16">
        <f t="shared" si="35"/>
        <v>0.17567567567567569</v>
      </c>
      <c r="W84" s="16">
        <f t="shared" si="36"/>
        <v>0.15057915057915058</v>
      </c>
      <c r="X84">
        <f t="shared" si="37"/>
        <v>0.15057915057915058</v>
      </c>
      <c r="Y84">
        <f t="shared" si="38"/>
        <v>0.12548262548262548</v>
      </c>
      <c r="Z84" s="16">
        <f t="shared" si="39"/>
        <v>0.15057915057915058</v>
      </c>
      <c r="AE84" s="15">
        <v>1.48</v>
      </c>
      <c r="AF84" s="15">
        <f t="shared" si="41"/>
        <v>0.15</v>
      </c>
      <c r="AG84" s="15">
        <f t="shared" si="40"/>
        <v>0.10050000000000001</v>
      </c>
    </row>
    <row r="85" spans="4:33">
      <c r="M85">
        <v>1.5</v>
      </c>
      <c r="N85">
        <f t="shared" si="28"/>
        <v>0.52</v>
      </c>
      <c r="O85">
        <f t="shared" si="29"/>
        <v>29.073353737291509</v>
      </c>
      <c r="P85">
        <f t="shared" si="30"/>
        <v>2.5</v>
      </c>
      <c r="Q85">
        <f t="shared" si="31"/>
        <v>0.20800000000000002</v>
      </c>
      <c r="R85">
        <v>1.5</v>
      </c>
      <c r="S85">
        <f t="shared" si="32"/>
        <v>0.69333333333333336</v>
      </c>
      <c r="T85">
        <f t="shared" si="33"/>
        <v>38.764471649722005</v>
      </c>
      <c r="U85" s="16">
        <f t="shared" si="34"/>
        <v>4</v>
      </c>
      <c r="V85" s="16">
        <f t="shared" si="35"/>
        <v>0.17333333333333334</v>
      </c>
      <c r="W85" s="16">
        <f t="shared" si="36"/>
        <v>0.14857142857142858</v>
      </c>
      <c r="X85">
        <f t="shared" si="37"/>
        <v>0.14857142857142858</v>
      </c>
      <c r="Y85">
        <f t="shared" si="38"/>
        <v>0.12380952380952381</v>
      </c>
      <c r="Z85" s="16">
        <f t="shared" si="39"/>
        <v>0.14857142857142858</v>
      </c>
      <c r="AE85" s="15">
        <v>1.5</v>
      </c>
      <c r="AF85" s="15">
        <f t="shared" si="41"/>
        <v>0.15</v>
      </c>
      <c r="AG85" s="15">
        <f t="shared" si="40"/>
        <v>0.10050000000000001</v>
      </c>
    </row>
    <row r="86" spans="4:33">
      <c r="M86">
        <v>1.52</v>
      </c>
      <c r="N86">
        <f t="shared" si="28"/>
        <v>0.51315789473684215</v>
      </c>
      <c r="O86">
        <f t="shared" si="29"/>
        <v>29.460998453788729</v>
      </c>
      <c r="P86">
        <f t="shared" si="30"/>
        <v>2.5</v>
      </c>
      <c r="Q86">
        <f t="shared" si="31"/>
        <v>0.20526315789473687</v>
      </c>
      <c r="R86">
        <v>1.52</v>
      </c>
      <c r="S86">
        <f t="shared" si="32"/>
        <v>0.68421052631578949</v>
      </c>
      <c r="T86">
        <f t="shared" si="33"/>
        <v>39.281331271718301</v>
      </c>
      <c r="U86" s="16">
        <f t="shared" si="34"/>
        <v>4</v>
      </c>
      <c r="V86" s="16">
        <f t="shared" si="35"/>
        <v>0.17105263157894737</v>
      </c>
      <c r="W86" s="16">
        <f t="shared" si="36"/>
        <v>0.14661654135338348</v>
      </c>
      <c r="X86">
        <f t="shared" si="37"/>
        <v>0.14661654135338348</v>
      </c>
      <c r="Y86">
        <f t="shared" si="38"/>
        <v>0.12218045112781956</v>
      </c>
      <c r="Z86" s="16">
        <f t="shared" si="39"/>
        <v>0.14661654135338348</v>
      </c>
      <c r="AE86" s="15">
        <v>1.52</v>
      </c>
      <c r="AF86" s="15">
        <f t="shared" si="41"/>
        <v>0.15</v>
      </c>
      <c r="AG86" s="15">
        <f t="shared" si="40"/>
        <v>0.10050000000000001</v>
      </c>
    </row>
    <row r="87" spans="4:33">
      <c r="D87" s="298">
        <f>0.248/K11</f>
        <v>1.9095538360057549</v>
      </c>
      <c r="M87">
        <v>1.54</v>
      </c>
      <c r="N87">
        <f t="shared" si="28"/>
        <v>0.50649350649350655</v>
      </c>
      <c r="O87">
        <f t="shared" si="29"/>
        <v>29.84864317028595</v>
      </c>
      <c r="P87">
        <f t="shared" si="30"/>
        <v>2.5</v>
      </c>
      <c r="Q87">
        <f t="shared" si="31"/>
        <v>0.20259740259740261</v>
      </c>
      <c r="R87">
        <v>1.54</v>
      </c>
      <c r="S87">
        <f t="shared" si="32"/>
        <v>0.67532467532467533</v>
      </c>
      <c r="T87">
        <f t="shared" si="33"/>
        <v>39.798190893714597</v>
      </c>
      <c r="U87" s="16">
        <f t="shared" si="34"/>
        <v>4</v>
      </c>
      <c r="V87" s="16">
        <f t="shared" si="35"/>
        <v>0.16883116883116883</v>
      </c>
      <c r="W87" s="16">
        <f t="shared" si="36"/>
        <v>0.14471243042671617</v>
      </c>
      <c r="X87">
        <f t="shared" si="37"/>
        <v>0.14471243042671617</v>
      </c>
      <c r="Y87">
        <f t="shared" si="38"/>
        <v>0.12059369202226346</v>
      </c>
      <c r="Z87" s="16">
        <f t="shared" si="39"/>
        <v>0.14471243042671617</v>
      </c>
      <c r="AE87" s="15">
        <v>1.54</v>
      </c>
      <c r="AF87" s="15">
        <f t="shared" si="41"/>
        <v>0.15</v>
      </c>
      <c r="AG87" s="15">
        <f t="shared" si="40"/>
        <v>0.10050000000000001</v>
      </c>
    </row>
    <row r="88" spans="4:33">
      <c r="M88">
        <v>1.56</v>
      </c>
      <c r="N88">
        <f t="shared" si="28"/>
        <v>0.5</v>
      </c>
      <c r="O88">
        <f t="shared" si="29"/>
        <v>30.23628788678317</v>
      </c>
      <c r="P88">
        <f t="shared" si="30"/>
        <v>2.5</v>
      </c>
      <c r="Q88">
        <f t="shared" si="31"/>
        <v>0.2</v>
      </c>
      <c r="R88">
        <v>1.56</v>
      </c>
      <c r="S88">
        <f t="shared" si="32"/>
        <v>0.66666666666666663</v>
      </c>
      <c r="T88">
        <f t="shared" si="33"/>
        <v>40.315050515710894</v>
      </c>
      <c r="U88" s="16">
        <f t="shared" si="34"/>
        <v>4</v>
      </c>
      <c r="V88" s="16">
        <f t="shared" si="35"/>
        <v>0.16666666666666666</v>
      </c>
      <c r="W88" s="16">
        <f t="shared" si="36"/>
        <v>0.14285714285714288</v>
      </c>
      <c r="X88">
        <f t="shared" si="37"/>
        <v>0.14285714285714288</v>
      </c>
      <c r="Y88">
        <f t="shared" si="38"/>
        <v>0.11904761904761904</v>
      </c>
      <c r="Z88" s="16">
        <f t="shared" si="39"/>
        <v>0.14285714285714288</v>
      </c>
      <c r="AE88" s="15">
        <v>1.56</v>
      </c>
      <c r="AF88" s="15">
        <f t="shared" si="41"/>
        <v>0.15</v>
      </c>
      <c r="AG88" s="15">
        <f t="shared" si="40"/>
        <v>0.10050000000000001</v>
      </c>
    </row>
    <row r="89" spans="4:33">
      <c r="M89">
        <v>1.58</v>
      </c>
      <c r="N89">
        <f t="shared" si="28"/>
        <v>0.49367088607594939</v>
      </c>
      <c r="O89">
        <f t="shared" si="29"/>
        <v>30.623932603280394</v>
      </c>
      <c r="P89">
        <f t="shared" si="30"/>
        <v>2.5</v>
      </c>
      <c r="Q89">
        <f t="shared" si="31"/>
        <v>0.19746835443037974</v>
      </c>
      <c r="R89">
        <v>1.58</v>
      </c>
      <c r="S89">
        <f t="shared" si="32"/>
        <v>0.65822784810126578</v>
      </c>
      <c r="T89">
        <f t="shared" si="33"/>
        <v>40.831910137707183</v>
      </c>
      <c r="U89" s="16">
        <f t="shared" si="34"/>
        <v>4</v>
      </c>
      <c r="V89" s="16">
        <f t="shared" si="35"/>
        <v>0.16455696202531644</v>
      </c>
      <c r="W89" s="16">
        <f t="shared" si="36"/>
        <v>0.1410488245931284</v>
      </c>
      <c r="X89">
        <f t="shared" si="37"/>
        <v>0.1410488245931284</v>
      </c>
      <c r="Y89">
        <f t="shared" si="38"/>
        <v>0.11754068716094032</v>
      </c>
      <c r="Z89" s="16">
        <f t="shared" si="39"/>
        <v>0.1410488245931284</v>
      </c>
      <c r="AE89" s="15">
        <v>1.58</v>
      </c>
      <c r="AF89" s="15">
        <f t="shared" si="41"/>
        <v>0.15</v>
      </c>
      <c r="AG89" s="15">
        <f t="shared" si="40"/>
        <v>0.10050000000000001</v>
      </c>
    </row>
    <row r="90" spans="4:33">
      <c r="M90">
        <v>1.6</v>
      </c>
      <c r="N90">
        <f t="shared" si="28"/>
        <v>0.48749999999999999</v>
      </c>
      <c r="O90">
        <f t="shared" si="29"/>
        <v>31.011577319777615</v>
      </c>
      <c r="P90">
        <f t="shared" si="30"/>
        <v>2.5</v>
      </c>
      <c r="Q90">
        <f t="shared" si="31"/>
        <v>0.19500000000000001</v>
      </c>
      <c r="R90">
        <v>1.6</v>
      </c>
      <c r="S90">
        <f t="shared" si="32"/>
        <v>0.65</v>
      </c>
      <c r="T90">
        <f t="shared" si="33"/>
        <v>41.348769759703487</v>
      </c>
      <c r="U90" s="16">
        <f t="shared" si="34"/>
        <v>4</v>
      </c>
      <c r="V90" s="16">
        <f t="shared" si="35"/>
        <v>0.16250000000000001</v>
      </c>
      <c r="W90" s="16">
        <f t="shared" si="36"/>
        <v>0.13928571428571429</v>
      </c>
      <c r="X90">
        <f t="shared" si="37"/>
        <v>0.13928571428571429</v>
      </c>
      <c r="Y90">
        <f t="shared" si="38"/>
        <v>0.11607142857142858</v>
      </c>
      <c r="Z90" s="16">
        <f t="shared" si="39"/>
        <v>0.13928571428571429</v>
      </c>
      <c r="AE90" s="15">
        <v>1.6</v>
      </c>
      <c r="AF90" s="15">
        <f t="shared" si="41"/>
        <v>0.15</v>
      </c>
      <c r="AG90" s="15">
        <f t="shared" si="40"/>
        <v>0.10050000000000001</v>
      </c>
    </row>
    <row r="91" spans="4:33">
      <c r="M91">
        <v>1.62</v>
      </c>
      <c r="N91">
        <f t="shared" si="28"/>
        <v>0.48148148148148145</v>
      </c>
      <c r="O91">
        <f t="shared" si="29"/>
        <v>31.399222036274836</v>
      </c>
      <c r="P91">
        <f t="shared" si="30"/>
        <v>2.5</v>
      </c>
      <c r="Q91">
        <f t="shared" si="31"/>
        <v>0.19259259259259259</v>
      </c>
      <c r="R91">
        <v>1.62</v>
      </c>
      <c r="S91">
        <f t="shared" si="32"/>
        <v>0.64197530864197527</v>
      </c>
      <c r="T91">
        <f t="shared" si="33"/>
        <v>41.865629381699776</v>
      </c>
      <c r="U91" s="16">
        <f t="shared" si="34"/>
        <v>4</v>
      </c>
      <c r="V91" s="16">
        <f t="shared" si="35"/>
        <v>0.16049382716049382</v>
      </c>
      <c r="W91" s="16">
        <f t="shared" si="36"/>
        <v>0.13756613756613756</v>
      </c>
      <c r="X91">
        <f t="shared" si="37"/>
        <v>0.13756613756613756</v>
      </c>
      <c r="Y91">
        <f t="shared" si="38"/>
        <v>0.1146384479717813</v>
      </c>
      <c r="Z91" s="16">
        <f t="shared" si="39"/>
        <v>0.13756613756613756</v>
      </c>
      <c r="AE91" s="15">
        <v>1.62</v>
      </c>
      <c r="AF91" s="15">
        <f t="shared" si="41"/>
        <v>0.15</v>
      </c>
      <c r="AG91" s="15">
        <f t="shared" si="40"/>
        <v>0.10050000000000001</v>
      </c>
    </row>
    <row r="92" spans="4:33">
      <c r="M92">
        <v>1.64</v>
      </c>
      <c r="N92">
        <f t="shared" si="28"/>
        <v>0.47560975609756101</v>
      </c>
      <c r="O92">
        <f t="shared" si="29"/>
        <v>31.786866752772045</v>
      </c>
      <c r="P92">
        <f t="shared" si="30"/>
        <v>2.5</v>
      </c>
      <c r="Q92">
        <f t="shared" si="31"/>
        <v>0.19024390243902439</v>
      </c>
      <c r="R92">
        <v>1.64</v>
      </c>
      <c r="S92">
        <f t="shared" si="32"/>
        <v>0.63414634146341464</v>
      </c>
      <c r="T92">
        <f t="shared" si="33"/>
        <v>42.382489003696058</v>
      </c>
      <c r="U92" s="16">
        <f t="shared" si="34"/>
        <v>4</v>
      </c>
      <c r="V92" s="16">
        <f t="shared" si="35"/>
        <v>0.15853658536585366</v>
      </c>
      <c r="W92" s="16">
        <f t="shared" si="36"/>
        <v>0.13588850174216027</v>
      </c>
      <c r="X92">
        <f t="shared" si="37"/>
        <v>0.13588850174216027</v>
      </c>
      <c r="Y92">
        <f t="shared" si="38"/>
        <v>0.1132404181184669</v>
      </c>
      <c r="Z92" s="16">
        <f t="shared" si="39"/>
        <v>0.13588850174216027</v>
      </c>
      <c r="AE92" s="15">
        <v>1.64</v>
      </c>
      <c r="AF92" s="15">
        <f t="shared" si="41"/>
        <v>0.15</v>
      </c>
      <c r="AG92" s="15">
        <f t="shared" si="40"/>
        <v>0.10050000000000001</v>
      </c>
    </row>
    <row r="93" spans="4:33">
      <c r="M93">
        <v>1.66</v>
      </c>
      <c r="N93">
        <f t="shared" si="28"/>
        <v>0.46987951807228917</v>
      </c>
      <c r="O93">
        <f t="shared" si="29"/>
        <v>32.174511469269262</v>
      </c>
      <c r="P93">
        <f t="shared" si="30"/>
        <v>2.5</v>
      </c>
      <c r="Q93">
        <f t="shared" si="31"/>
        <v>0.18795180722891566</v>
      </c>
      <c r="R93">
        <v>1.66</v>
      </c>
      <c r="S93">
        <f t="shared" si="32"/>
        <v>0.62650602409638556</v>
      </c>
      <c r="T93">
        <f t="shared" si="33"/>
        <v>42.899348625692355</v>
      </c>
      <c r="U93" s="16">
        <f t="shared" si="34"/>
        <v>4</v>
      </c>
      <c r="V93" s="16">
        <f t="shared" si="35"/>
        <v>0.15662650602409639</v>
      </c>
      <c r="W93" s="16">
        <f t="shared" si="36"/>
        <v>0.13425129087779691</v>
      </c>
      <c r="X93">
        <f t="shared" si="37"/>
        <v>0.13425129087779691</v>
      </c>
      <c r="Y93">
        <f t="shared" si="38"/>
        <v>0.11187607573149742</v>
      </c>
      <c r="Z93" s="16">
        <f t="shared" si="39"/>
        <v>0.13425129087779691</v>
      </c>
      <c r="AE93" s="15">
        <v>1.66</v>
      </c>
      <c r="AF93" s="15">
        <f t="shared" si="41"/>
        <v>0.14939759036144579</v>
      </c>
      <c r="AG93" s="15">
        <f t="shared" si="40"/>
        <v>0.10009638554216868</v>
      </c>
    </row>
    <row r="94" spans="4:33">
      <c r="M94">
        <v>1.68</v>
      </c>
      <c r="N94">
        <f t="shared" si="28"/>
        <v>0.4642857142857143</v>
      </c>
      <c r="O94">
        <f t="shared" si="29"/>
        <v>32.562156185766483</v>
      </c>
      <c r="P94">
        <f t="shared" si="30"/>
        <v>2.5</v>
      </c>
      <c r="Q94">
        <f t="shared" si="31"/>
        <v>0.18571428571428572</v>
      </c>
      <c r="R94">
        <v>1.68</v>
      </c>
      <c r="S94">
        <f t="shared" si="32"/>
        <v>0.61904761904761907</v>
      </c>
      <c r="T94">
        <f t="shared" si="33"/>
        <v>43.416208247688651</v>
      </c>
      <c r="U94" s="16">
        <f t="shared" si="34"/>
        <v>4</v>
      </c>
      <c r="V94" s="16">
        <f t="shared" si="35"/>
        <v>0.15476190476190477</v>
      </c>
      <c r="W94" s="16">
        <f t="shared" si="36"/>
        <v>0.1326530612244898</v>
      </c>
      <c r="X94">
        <f t="shared" si="37"/>
        <v>0.1326530612244898</v>
      </c>
      <c r="Y94">
        <f t="shared" si="38"/>
        <v>0.11054421768707484</v>
      </c>
      <c r="Z94" s="16">
        <f t="shared" si="39"/>
        <v>0.1326530612244898</v>
      </c>
      <c r="AE94" s="15">
        <v>1.68</v>
      </c>
      <c r="AF94" s="15">
        <f t="shared" si="41"/>
        <v>0.14761904761904762</v>
      </c>
      <c r="AG94" s="15">
        <f t="shared" si="40"/>
        <v>9.8904761904761912E-2</v>
      </c>
    </row>
    <row r="95" spans="4:33">
      <c r="M95">
        <v>1.7</v>
      </c>
      <c r="N95">
        <f t="shared" si="28"/>
        <v>0.45882352941176474</v>
      </c>
      <c r="O95">
        <f t="shared" si="29"/>
        <v>32.949800902263711</v>
      </c>
      <c r="P95">
        <f t="shared" si="30"/>
        <v>2.5</v>
      </c>
      <c r="Q95">
        <f t="shared" si="31"/>
        <v>0.18352941176470589</v>
      </c>
      <c r="R95">
        <v>1.7</v>
      </c>
      <c r="S95">
        <f t="shared" si="32"/>
        <v>0.61176470588235299</v>
      </c>
      <c r="T95">
        <f t="shared" si="33"/>
        <v>43.933067869684947</v>
      </c>
      <c r="U95" s="16">
        <f t="shared" si="34"/>
        <v>4</v>
      </c>
      <c r="V95" s="16">
        <f t="shared" si="35"/>
        <v>0.15294117647058825</v>
      </c>
      <c r="W95" s="16">
        <f t="shared" si="36"/>
        <v>0.13109243697478992</v>
      </c>
      <c r="X95">
        <f t="shared" si="37"/>
        <v>0.13109243697478992</v>
      </c>
      <c r="Y95">
        <f t="shared" si="38"/>
        <v>0.10924369747899161</v>
      </c>
      <c r="Z95" s="16">
        <f t="shared" si="39"/>
        <v>0.13109243697478992</v>
      </c>
      <c r="AE95" s="15">
        <v>1.7</v>
      </c>
      <c r="AF95" s="15">
        <f t="shared" si="41"/>
        <v>0.14588235294117646</v>
      </c>
      <c r="AG95" s="15">
        <f t="shared" si="40"/>
        <v>9.7741176470588234E-2</v>
      </c>
    </row>
    <row r="96" spans="4:33">
      <c r="M96">
        <v>1.72</v>
      </c>
      <c r="N96">
        <f t="shared" si="28"/>
        <v>0.45348837209302328</v>
      </c>
      <c r="O96">
        <f t="shared" si="29"/>
        <v>33.337445618760931</v>
      </c>
      <c r="P96">
        <f t="shared" si="30"/>
        <v>2.5</v>
      </c>
      <c r="Q96">
        <f t="shared" si="31"/>
        <v>0.18139534883720931</v>
      </c>
      <c r="R96">
        <v>1.72</v>
      </c>
      <c r="S96">
        <f t="shared" si="32"/>
        <v>0.60465116279069775</v>
      </c>
      <c r="T96">
        <f t="shared" si="33"/>
        <v>44.449927491681244</v>
      </c>
      <c r="U96" s="16">
        <f t="shared" si="34"/>
        <v>4</v>
      </c>
      <c r="V96" s="16">
        <f t="shared" si="35"/>
        <v>0.15116279069767444</v>
      </c>
      <c r="W96" s="16">
        <f t="shared" si="36"/>
        <v>0.12956810631229237</v>
      </c>
      <c r="X96">
        <f t="shared" si="37"/>
        <v>0.12956810631229237</v>
      </c>
      <c r="Y96">
        <f t="shared" si="38"/>
        <v>0.10797342192691031</v>
      </c>
      <c r="Z96" s="16">
        <f t="shared" si="39"/>
        <v>0.12956810631229237</v>
      </c>
      <c r="AE96" s="15">
        <v>1.72</v>
      </c>
      <c r="AF96" s="15">
        <f t="shared" si="41"/>
        <v>0.14418604651162792</v>
      </c>
      <c r="AG96" s="15">
        <f t="shared" si="40"/>
        <v>9.6604651162790711E-2</v>
      </c>
    </row>
    <row r="97" spans="13:33">
      <c r="M97">
        <v>1.74</v>
      </c>
      <c r="N97">
        <f t="shared" si="28"/>
        <v>0.44827586206896552</v>
      </c>
      <c r="O97">
        <f t="shared" si="29"/>
        <v>33.725090335258152</v>
      </c>
      <c r="P97">
        <f t="shared" si="30"/>
        <v>2.5</v>
      </c>
      <c r="Q97">
        <f t="shared" si="31"/>
        <v>0.1793103448275862</v>
      </c>
      <c r="R97">
        <v>1.74</v>
      </c>
      <c r="S97">
        <f t="shared" si="32"/>
        <v>0.5977011494252874</v>
      </c>
      <c r="T97">
        <f t="shared" si="33"/>
        <v>44.96678711367754</v>
      </c>
      <c r="U97" s="16">
        <f t="shared" si="34"/>
        <v>4</v>
      </c>
      <c r="V97" s="16">
        <f t="shared" si="35"/>
        <v>0.14942528735632185</v>
      </c>
      <c r="W97" s="16">
        <f t="shared" si="36"/>
        <v>0.12807881773399016</v>
      </c>
      <c r="X97">
        <f t="shared" si="37"/>
        <v>0.12807881773399016</v>
      </c>
      <c r="Y97">
        <f t="shared" si="38"/>
        <v>0.10673234811165846</v>
      </c>
      <c r="Z97" s="16">
        <f t="shared" si="39"/>
        <v>0.12807881773399016</v>
      </c>
      <c r="AE97" s="15">
        <v>1.74</v>
      </c>
      <c r="AF97" s="15">
        <f t="shared" si="41"/>
        <v>0.14252873563218391</v>
      </c>
      <c r="AG97" s="15">
        <f t="shared" si="40"/>
        <v>9.5494252873563223E-2</v>
      </c>
    </row>
    <row r="98" spans="13:33">
      <c r="M98">
        <v>1.76</v>
      </c>
      <c r="N98">
        <f t="shared" si="28"/>
        <v>0.44318181818181818</v>
      </c>
      <c r="O98">
        <f t="shared" si="29"/>
        <v>34.112735051755365</v>
      </c>
      <c r="P98">
        <f t="shared" si="30"/>
        <v>2.5</v>
      </c>
      <c r="Q98">
        <f t="shared" si="31"/>
        <v>0.17727272727272728</v>
      </c>
      <c r="R98">
        <v>1.76</v>
      </c>
      <c r="S98">
        <f t="shared" si="32"/>
        <v>0.59090909090909094</v>
      </c>
      <c r="T98">
        <f t="shared" si="33"/>
        <v>45.48364673567383</v>
      </c>
      <c r="U98" s="16">
        <f t="shared" si="34"/>
        <v>4</v>
      </c>
      <c r="V98" s="16">
        <f t="shared" si="35"/>
        <v>0.14772727272727273</v>
      </c>
      <c r="W98" s="16">
        <f t="shared" si="36"/>
        <v>0.12662337662337664</v>
      </c>
      <c r="X98">
        <f t="shared" si="37"/>
        <v>0.12662337662337664</v>
      </c>
      <c r="Y98">
        <f t="shared" si="38"/>
        <v>0.10551948051948053</v>
      </c>
      <c r="Z98" s="16">
        <f t="shared" si="39"/>
        <v>0.12662337662337664</v>
      </c>
      <c r="AE98" s="15">
        <v>1.76</v>
      </c>
      <c r="AF98" s="15">
        <f t="shared" si="41"/>
        <v>0.1409090909090909</v>
      </c>
      <c r="AG98" s="15">
        <f t="shared" si="40"/>
        <v>9.4409090909090901E-2</v>
      </c>
    </row>
    <row r="99" spans="13:33">
      <c r="M99">
        <v>1.78</v>
      </c>
      <c r="N99">
        <f t="shared" si="28"/>
        <v>0.43820224719101125</v>
      </c>
      <c r="O99">
        <f t="shared" si="29"/>
        <v>34.500379768252593</v>
      </c>
      <c r="P99">
        <f t="shared" si="30"/>
        <v>2.5</v>
      </c>
      <c r="Q99">
        <f t="shared" si="31"/>
        <v>0.1752808988764045</v>
      </c>
      <c r="R99">
        <v>1.78</v>
      </c>
      <c r="S99">
        <f t="shared" si="32"/>
        <v>0.5842696629213483</v>
      </c>
      <c r="T99">
        <f t="shared" si="33"/>
        <v>46.000506357670112</v>
      </c>
      <c r="U99" s="16">
        <f t="shared" si="34"/>
        <v>4</v>
      </c>
      <c r="V99" s="16">
        <f t="shared" si="35"/>
        <v>0.14606741573033707</v>
      </c>
      <c r="W99" s="16">
        <f t="shared" si="36"/>
        <v>0.12520064205457465</v>
      </c>
      <c r="X99">
        <f t="shared" si="37"/>
        <v>0.12520064205457465</v>
      </c>
      <c r="Y99">
        <f t="shared" si="38"/>
        <v>0.1043338683788122</v>
      </c>
      <c r="Z99" s="16">
        <f t="shared" si="39"/>
        <v>0.12520064205457465</v>
      </c>
      <c r="AE99" s="15">
        <v>1.78</v>
      </c>
      <c r="AF99" s="15">
        <f t="shared" si="41"/>
        <v>0.1393258426966292</v>
      </c>
      <c r="AG99" s="15">
        <f t="shared" si="40"/>
        <v>9.3348314606741561E-2</v>
      </c>
    </row>
    <row r="100" spans="13:33">
      <c r="M100">
        <v>1.8</v>
      </c>
      <c r="N100">
        <f t="shared" si="28"/>
        <v>0.43333333333333335</v>
      </c>
      <c r="O100">
        <f t="shared" si="29"/>
        <v>34.888024484749813</v>
      </c>
      <c r="P100">
        <f t="shared" si="30"/>
        <v>2.5</v>
      </c>
      <c r="Q100">
        <f t="shared" si="31"/>
        <v>0.17333333333333334</v>
      </c>
      <c r="R100">
        <v>1.8</v>
      </c>
      <c r="S100">
        <f t="shared" si="32"/>
        <v>0.57777777777777783</v>
      </c>
      <c r="T100">
        <f t="shared" si="33"/>
        <v>46.517365979666423</v>
      </c>
      <c r="U100" s="16">
        <f t="shared" si="34"/>
        <v>4</v>
      </c>
      <c r="V100" s="16">
        <f t="shared" si="35"/>
        <v>0.14444444444444446</v>
      </c>
      <c r="W100" s="16">
        <f t="shared" si="36"/>
        <v>0.12380952380952381</v>
      </c>
      <c r="X100">
        <f t="shared" si="37"/>
        <v>0.12380952380952381</v>
      </c>
      <c r="Y100">
        <f t="shared" si="38"/>
        <v>0.10317460317460318</v>
      </c>
      <c r="Z100" s="16">
        <f t="shared" si="39"/>
        <v>0.12380952380952381</v>
      </c>
      <c r="AE100" s="15">
        <v>1.8</v>
      </c>
      <c r="AF100" s="15">
        <f t="shared" si="41"/>
        <v>0.13777777777777778</v>
      </c>
      <c r="AG100" s="15">
        <f t="shared" si="40"/>
        <v>9.2311111111111122E-2</v>
      </c>
    </row>
    <row r="101" spans="13:33">
      <c r="M101">
        <v>1.82</v>
      </c>
      <c r="N101">
        <f t="shared" si="28"/>
        <v>0.42857142857142855</v>
      </c>
      <c r="O101">
        <f t="shared" si="29"/>
        <v>35.275669201247034</v>
      </c>
      <c r="P101">
        <f t="shared" si="30"/>
        <v>2.5</v>
      </c>
      <c r="Q101">
        <f t="shared" si="31"/>
        <v>0.17142857142857143</v>
      </c>
      <c r="R101">
        <v>1.82</v>
      </c>
      <c r="S101">
        <f t="shared" si="32"/>
        <v>0.5714285714285714</v>
      </c>
      <c r="T101">
        <f t="shared" si="33"/>
        <v>47.034225601662712</v>
      </c>
      <c r="U101" s="16">
        <f t="shared" si="34"/>
        <v>4</v>
      </c>
      <c r="V101" s="16">
        <f t="shared" si="35"/>
        <v>0.14285714285714285</v>
      </c>
      <c r="W101" s="16">
        <f t="shared" si="36"/>
        <v>0.12244897959183673</v>
      </c>
      <c r="X101">
        <f t="shared" si="37"/>
        <v>0.12244897959183673</v>
      </c>
      <c r="Y101">
        <f t="shared" si="38"/>
        <v>0.10204081632653061</v>
      </c>
      <c r="Z101" s="16">
        <f t="shared" si="39"/>
        <v>0.12244897959183673</v>
      </c>
      <c r="AE101" s="15">
        <v>1.82</v>
      </c>
      <c r="AF101" s="15">
        <f t="shared" si="41"/>
        <v>0.13626373626373625</v>
      </c>
      <c r="AG101" s="15">
        <f t="shared" si="40"/>
        <v>9.129670329670328E-2</v>
      </c>
    </row>
    <row r="102" spans="13:33">
      <c r="M102">
        <v>1.84</v>
      </c>
      <c r="N102">
        <f t="shared" si="28"/>
        <v>0.42391304347826086</v>
      </c>
      <c r="O102">
        <f t="shared" si="29"/>
        <v>35.663313917744254</v>
      </c>
      <c r="P102">
        <f t="shared" si="30"/>
        <v>2.5</v>
      </c>
      <c r="Q102">
        <f t="shared" si="31"/>
        <v>0.16956521739130434</v>
      </c>
      <c r="R102">
        <v>1.84</v>
      </c>
      <c r="S102">
        <f t="shared" si="32"/>
        <v>0.56521739130434778</v>
      </c>
      <c r="T102">
        <f t="shared" si="33"/>
        <v>47.551085223659001</v>
      </c>
      <c r="U102" s="16">
        <f t="shared" si="34"/>
        <v>4</v>
      </c>
      <c r="V102" s="16">
        <f t="shared" si="35"/>
        <v>0.14130434782608695</v>
      </c>
      <c r="W102" s="16">
        <f t="shared" si="36"/>
        <v>0.12111801242236024</v>
      </c>
      <c r="X102">
        <f t="shared" si="37"/>
        <v>0.12111801242236024</v>
      </c>
      <c r="Y102">
        <f t="shared" si="38"/>
        <v>0.10093167701863354</v>
      </c>
      <c r="Z102" s="16">
        <f t="shared" si="39"/>
        <v>0.12111801242236024</v>
      </c>
      <c r="AE102" s="15">
        <v>1.84</v>
      </c>
      <c r="AF102" s="15">
        <f t="shared" si="41"/>
        <v>0.13478260869565217</v>
      </c>
      <c r="AG102" s="15">
        <f t="shared" si="40"/>
        <v>9.030434782608697E-2</v>
      </c>
    </row>
    <row r="103" spans="13:33">
      <c r="M103">
        <v>1.86</v>
      </c>
      <c r="N103">
        <f t="shared" si="28"/>
        <v>0.41935483870967744</v>
      </c>
      <c r="O103">
        <f t="shared" si="29"/>
        <v>36.050958634241475</v>
      </c>
      <c r="P103">
        <f t="shared" si="30"/>
        <v>2.5</v>
      </c>
      <c r="Q103">
        <f t="shared" si="31"/>
        <v>0.16774193548387098</v>
      </c>
      <c r="R103">
        <v>1.86</v>
      </c>
      <c r="S103">
        <f t="shared" si="32"/>
        <v>0.55913978494623651</v>
      </c>
      <c r="T103">
        <f t="shared" si="33"/>
        <v>48.067944845655298</v>
      </c>
      <c r="U103" s="16">
        <f t="shared" si="34"/>
        <v>4</v>
      </c>
      <c r="V103" s="16">
        <f t="shared" si="35"/>
        <v>0.13978494623655913</v>
      </c>
      <c r="W103" s="16">
        <f t="shared" si="36"/>
        <v>0.11981566820276499</v>
      </c>
      <c r="X103">
        <f t="shared" si="37"/>
        <v>0.11981566820276499</v>
      </c>
      <c r="Y103">
        <f t="shared" si="38"/>
        <v>9.9846390168970803E-2</v>
      </c>
      <c r="Z103" s="16">
        <f t="shared" si="39"/>
        <v>0.11981566820276499</v>
      </c>
      <c r="AE103" s="15">
        <v>1.86</v>
      </c>
      <c r="AF103" s="15">
        <f t="shared" si="41"/>
        <v>0.13333333333333333</v>
      </c>
      <c r="AG103" s="15">
        <f t="shared" si="40"/>
        <v>8.9333333333333334E-2</v>
      </c>
    </row>
    <row r="104" spans="13:33">
      <c r="M104">
        <v>1.88</v>
      </c>
      <c r="N104">
        <f t="shared" si="28"/>
        <v>0.41489361702127664</v>
      </c>
      <c r="O104">
        <f t="shared" si="29"/>
        <v>36.438603350738688</v>
      </c>
      <c r="P104">
        <f t="shared" si="30"/>
        <v>2.5</v>
      </c>
      <c r="Q104">
        <f t="shared" si="31"/>
        <v>0.16595744680851066</v>
      </c>
      <c r="R104">
        <v>1.88</v>
      </c>
      <c r="S104">
        <f t="shared" si="32"/>
        <v>0.55319148936170215</v>
      </c>
      <c r="T104">
        <f t="shared" si="33"/>
        <v>48.58480446765158</v>
      </c>
      <c r="U104" s="16">
        <f t="shared" si="34"/>
        <v>4</v>
      </c>
      <c r="V104" s="16">
        <f t="shared" si="35"/>
        <v>0.13829787234042554</v>
      </c>
      <c r="W104" s="16">
        <f t="shared" si="36"/>
        <v>0.11854103343465047</v>
      </c>
      <c r="X104">
        <f t="shared" si="37"/>
        <v>0.11854103343465047</v>
      </c>
      <c r="Y104">
        <f t="shared" si="38"/>
        <v>9.878419452887538E-2</v>
      </c>
      <c r="Z104" s="16">
        <f t="shared" si="39"/>
        <v>0.11854103343465047</v>
      </c>
      <c r="AE104" s="15">
        <v>1.88</v>
      </c>
      <c r="AF104" s="15">
        <f t="shared" si="41"/>
        <v>0.13191489361702127</v>
      </c>
      <c r="AG104" s="15">
        <f t="shared" si="40"/>
        <v>8.8382978723404254E-2</v>
      </c>
    </row>
    <row r="105" spans="13:33">
      <c r="M105">
        <v>1.9</v>
      </c>
      <c r="N105">
        <f t="shared" si="28"/>
        <v>0.41052631578947374</v>
      </c>
      <c r="O105">
        <f t="shared" si="29"/>
        <v>36.826248067235916</v>
      </c>
      <c r="P105">
        <f t="shared" si="30"/>
        <v>2.5</v>
      </c>
      <c r="Q105">
        <f t="shared" si="31"/>
        <v>0.1642105263157895</v>
      </c>
      <c r="R105">
        <v>1.9</v>
      </c>
      <c r="S105">
        <f t="shared" si="32"/>
        <v>0.54736842105263162</v>
      </c>
      <c r="T105">
        <f t="shared" si="33"/>
        <v>49.101664089647883</v>
      </c>
      <c r="U105" s="16">
        <f t="shared" si="34"/>
        <v>4</v>
      </c>
      <c r="V105" s="16">
        <f t="shared" si="35"/>
        <v>0.1368421052631579</v>
      </c>
      <c r="W105" s="16">
        <f t="shared" si="36"/>
        <v>0.11729323308270678</v>
      </c>
      <c r="X105">
        <f t="shared" si="37"/>
        <v>0.11729323308270678</v>
      </c>
      <c r="Y105">
        <f t="shared" si="38"/>
        <v>9.7744360902255648E-2</v>
      </c>
      <c r="Z105" s="16">
        <f t="shared" si="39"/>
        <v>0.11729323308270678</v>
      </c>
      <c r="AE105" s="15">
        <v>1.9</v>
      </c>
      <c r="AF105" s="15">
        <f t="shared" si="41"/>
        <v>0.13052631578947368</v>
      </c>
      <c r="AG105" s="15">
        <f t="shared" si="40"/>
        <v>8.7452631578947365E-2</v>
      </c>
    </row>
    <row r="106" spans="13:33">
      <c r="M106">
        <v>1.92</v>
      </c>
      <c r="N106">
        <f t="shared" ref="N106:N137" si="42">IF(M106&lt;=0.2*$N$7,$N$3*(0.4+3*M106/$N$7),IF(M106&lt;=$N$7,$N$3,IF(M106&lt;=2.5*$N$7,$N$3*$N$7/M106,0.4*$N$3)))</f>
        <v>0.40625000000000006</v>
      </c>
      <c r="O106">
        <f t="shared" ref="O106:O137" si="43">M106^2/(4*PI()^2)*(N106*981)</f>
        <v>37.213892783733129</v>
      </c>
      <c r="P106">
        <f t="shared" ref="P106:P137" si="44">IF(M106&gt;$N$7,$P$1,IF(M106&gt;0.6*$N$7,SQRT(2*$P$1-1)+($P$1-SQRT(2*$P$1-1))*(M106-0.6*$N$7)/0.4/$N$7,IF(M106&gt;0.2*$N$7,SQRT(2*$P$1-1),SQRT(2*$P$1-1)+(SQRT(2*$P$1-1)-1)*(M106-0.2*$N$7)/0.2/$N$7)))</f>
        <v>2.5</v>
      </c>
      <c r="Q106">
        <f t="shared" ref="Q106:Q137" si="45">IF(N106/P106&lt;=0.3,N106/P106,IF(N106/P106&lt;0.8,0.52*N106/P106+0.144,0.7*N106/P106))</f>
        <v>0.16250000000000003</v>
      </c>
      <c r="R106">
        <v>1.92</v>
      </c>
      <c r="S106">
        <f t="shared" ref="S106:S137" si="46">IF(R106&lt;=0.2*$S$7,$S$3*(0.4+3*R106/$S$7),IF(R106&lt;=$S$7,$S$3,IF(R106&lt;=2.5*$S$7,$S$3*$S$7/R106,0.4*$S$3)))</f>
        <v>0.54166666666666674</v>
      </c>
      <c r="T106">
        <f t="shared" ref="T106:T137" si="47">R106^2/(4*PI()^2)*(S106*981)</f>
        <v>49.61852371164418</v>
      </c>
      <c r="U106" s="16">
        <f t="shared" ref="U106:U137" si="48">IF(R106&gt;$S$7,$N$1,IF(R106&gt;0.6*$S$7,SQRT(2*$N$1-1)+($N$1-SQRT(2*$N$1-1))*(R106-0.6*$S$7)/0.4/$S$7,IF(R106&gt;0.2*$S$7,SQRT(2*$N$1-1),SQRT(2*$N$1-1)+(SQRT(2*$N$1-1)-1)*(R106-0.2*$S$7)/0.2/$S$7)))</f>
        <v>4</v>
      </c>
      <c r="V106" s="16">
        <f t="shared" ref="V106:V137" si="49">IF(S106/U106&lt;=0.3,S106/U106,IF(S106/U106&lt;0.8,0.52*S106/U106+0.144,0.7*S106/U106))</f>
        <v>0.13541666666666669</v>
      </c>
      <c r="W106" s="16">
        <f t="shared" ref="W106:W137" si="50">$R$1/1.4/$T$1*Q106</f>
        <v>0.1160714285714286</v>
      </c>
      <c r="X106">
        <f t="shared" ref="X106:X137" si="51">$R$1*P106/3.5/$T$1*Q106</f>
        <v>0.1160714285714286</v>
      </c>
      <c r="Y106">
        <f t="shared" ref="Y106:Y137" si="52">$R$1/1.4/$T$1*V106</f>
        <v>9.6726190476190493E-2</v>
      </c>
      <c r="Z106" s="16">
        <f t="shared" ref="Z106:Z137" si="53">MAX(W106:Y106)</f>
        <v>0.1160714285714286</v>
      </c>
      <c r="AE106" s="15">
        <v>1.92</v>
      </c>
      <c r="AF106" s="15">
        <f t="shared" si="41"/>
        <v>0.12916666666666668</v>
      </c>
      <c r="AG106" s="15">
        <f t="shared" ref="AG106:AG137" si="54">$AF$4*$AF$5*AF106*$AF$6</f>
        <v>8.6541666666666683E-2</v>
      </c>
    </row>
    <row r="107" spans="13:33">
      <c r="M107">
        <v>1.94</v>
      </c>
      <c r="N107">
        <f t="shared" si="42"/>
        <v>0.40206185567010311</v>
      </c>
      <c r="O107">
        <f t="shared" si="43"/>
        <v>37.60153750023035</v>
      </c>
      <c r="P107">
        <f t="shared" si="44"/>
        <v>2.5</v>
      </c>
      <c r="Q107">
        <f t="shared" si="45"/>
        <v>0.16082474226804125</v>
      </c>
      <c r="R107">
        <v>1.94</v>
      </c>
      <c r="S107">
        <f t="shared" si="46"/>
        <v>0.53608247422680411</v>
      </c>
      <c r="T107">
        <f t="shared" si="47"/>
        <v>50.135383333640462</v>
      </c>
      <c r="U107" s="16">
        <f t="shared" si="48"/>
        <v>4</v>
      </c>
      <c r="V107" s="16">
        <f t="shared" si="49"/>
        <v>0.13402061855670103</v>
      </c>
      <c r="W107" s="16">
        <f t="shared" si="50"/>
        <v>0.11487481590574375</v>
      </c>
      <c r="X107">
        <f t="shared" si="51"/>
        <v>0.11487481590574375</v>
      </c>
      <c r="Y107">
        <f t="shared" si="52"/>
        <v>9.5729013254786444E-2</v>
      </c>
      <c r="Z107" s="16">
        <f t="shared" si="53"/>
        <v>0.11487481590574375</v>
      </c>
      <c r="AE107" s="15">
        <v>1.94</v>
      </c>
      <c r="AF107" s="15">
        <f t="shared" ref="AF107:AF138" si="55">IF(0.248/AE107&lt;=0.0625,0.0625,IF(0.248/AE107&gt;=0.15,0.15,0.248/AE107))</f>
        <v>0.12783505154639174</v>
      </c>
      <c r="AG107" s="15">
        <f t="shared" si="54"/>
        <v>8.5649484536082482E-2</v>
      </c>
    </row>
    <row r="108" spans="13:33">
      <c r="M108">
        <v>1.96</v>
      </c>
      <c r="N108">
        <f t="shared" si="42"/>
        <v>0.39795918367346939</v>
      </c>
      <c r="O108">
        <f t="shared" si="43"/>
        <v>37.989182216727571</v>
      </c>
      <c r="P108">
        <f t="shared" si="44"/>
        <v>2.5</v>
      </c>
      <c r="Q108">
        <f t="shared" si="45"/>
        <v>0.15918367346938775</v>
      </c>
      <c r="R108">
        <v>1.96</v>
      </c>
      <c r="S108">
        <f t="shared" si="46"/>
        <v>0.53061224489795922</v>
      </c>
      <c r="T108">
        <f t="shared" si="47"/>
        <v>50.652242955636758</v>
      </c>
      <c r="U108" s="16">
        <f t="shared" si="48"/>
        <v>4</v>
      </c>
      <c r="V108" s="16">
        <f t="shared" si="49"/>
        <v>0.1326530612244898</v>
      </c>
      <c r="W108" s="16">
        <f t="shared" si="50"/>
        <v>0.11370262390670553</v>
      </c>
      <c r="X108">
        <f t="shared" si="51"/>
        <v>0.11370262390670553</v>
      </c>
      <c r="Y108">
        <f t="shared" si="52"/>
        <v>9.4752186588921289E-2</v>
      </c>
      <c r="Z108" s="16">
        <f t="shared" si="53"/>
        <v>0.11370262390670553</v>
      </c>
      <c r="AE108" s="15">
        <v>1.96</v>
      </c>
      <c r="AF108" s="15">
        <f t="shared" si="55"/>
        <v>0.12653061224489795</v>
      </c>
      <c r="AG108" s="15">
        <f t="shared" si="54"/>
        <v>8.4775510204081625E-2</v>
      </c>
    </row>
    <row r="109" spans="13:33">
      <c r="M109">
        <v>1.98</v>
      </c>
      <c r="N109">
        <f t="shared" si="42"/>
        <v>0.39393939393939398</v>
      </c>
      <c r="O109">
        <f t="shared" si="43"/>
        <v>38.376826933224791</v>
      </c>
      <c r="P109">
        <f t="shared" si="44"/>
        <v>2.5</v>
      </c>
      <c r="Q109">
        <f t="shared" si="45"/>
        <v>0.15757575757575759</v>
      </c>
      <c r="R109">
        <v>1.98</v>
      </c>
      <c r="S109">
        <f t="shared" si="46"/>
        <v>0.5252525252525253</v>
      </c>
      <c r="T109">
        <f t="shared" si="47"/>
        <v>51.169102577633062</v>
      </c>
      <c r="U109" s="16">
        <f t="shared" si="48"/>
        <v>4</v>
      </c>
      <c r="V109" s="16">
        <f t="shared" si="49"/>
        <v>0.13131313131313133</v>
      </c>
      <c r="W109" s="16">
        <f t="shared" si="50"/>
        <v>0.11255411255411257</v>
      </c>
      <c r="X109">
        <f t="shared" si="51"/>
        <v>0.11255411255411257</v>
      </c>
      <c r="Y109">
        <f t="shared" si="52"/>
        <v>9.3795093795093806E-2</v>
      </c>
      <c r="Z109" s="16">
        <f t="shared" si="53"/>
        <v>0.11255411255411257</v>
      </c>
      <c r="AE109" s="15">
        <v>1.98</v>
      </c>
      <c r="AF109" s="15">
        <f t="shared" si="55"/>
        <v>0.12525252525252525</v>
      </c>
      <c r="AG109" s="15">
        <f t="shared" si="54"/>
        <v>8.3919191919191921E-2</v>
      </c>
    </row>
    <row r="110" spans="13:33">
      <c r="M110">
        <v>2</v>
      </c>
      <c r="N110">
        <f t="shared" si="42"/>
        <v>0.39</v>
      </c>
      <c r="O110">
        <f t="shared" si="43"/>
        <v>38.764471649722012</v>
      </c>
      <c r="P110">
        <f t="shared" si="44"/>
        <v>2.5</v>
      </c>
      <c r="Q110">
        <f t="shared" si="45"/>
        <v>0.156</v>
      </c>
      <c r="R110">
        <v>2</v>
      </c>
      <c r="S110">
        <f t="shared" si="46"/>
        <v>0.52</v>
      </c>
      <c r="T110">
        <f t="shared" si="47"/>
        <v>51.685962199629344</v>
      </c>
      <c r="U110" s="16">
        <f t="shared" si="48"/>
        <v>4</v>
      </c>
      <c r="V110" s="16">
        <f t="shared" si="49"/>
        <v>0.13</v>
      </c>
      <c r="W110" s="16">
        <f t="shared" si="50"/>
        <v>0.11142857142857143</v>
      </c>
      <c r="X110">
        <f t="shared" si="51"/>
        <v>0.11142857142857143</v>
      </c>
      <c r="Y110">
        <f t="shared" si="52"/>
        <v>9.285714285714286E-2</v>
      </c>
      <c r="Z110" s="16">
        <f t="shared" si="53"/>
        <v>0.11142857142857143</v>
      </c>
      <c r="AE110" s="15">
        <v>2</v>
      </c>
      <c r="AF110" s="15">
        <f t="shared" si="55"/>
        <v>0.124</v>
      </c>
      <c r="AG110" s="15">
        <f t="shared" si="54"/>
        <v>8.3080000000000015E-2</v>
      </c>
    </row>
    <row r="111" spans="13:33">
      <c r="M111">
        <v>2.02</v>
      </c>
      <c r="N111">
        <f t="shared" si="42"/>
        <v>0.38613861386138615</v>
      </c>
      <c r="O111">
        <f t="shared" si="43"/>
        <v>39.152116366219232</v>
      </c>
      <c r="P111">
        <f t="shared" si="44"/>
        <v>2.5</v>
      </c>
      <c r="Q111">
        <f t="shared" si="45"/>
        <v>0.15445544554455445</v>
      </c>
      <c r="R111">
        <v>2.02</v>
      </c>
      <c r="S111">
        <f t="shared" si="46"/>
        <v>0.51485148514851486</v>
      </c>
      <c r="T111">
        <f t="shared" si="47"/>
        <v>52.202821821625641</v>
      </c>
      <c r="U111" s="16">
        <f t="shared" si="48"/>
        <v>4</v>
      </c>
      <c r="V111" s="16">
        <f t="shared" si="49"/>
        <v>0.12871287128712872</v>
      </c>
      <c r="W111" s="16">
        <f t="shared" si="50"/>
        <v>0.11032531824611033</v>
      </c>
      <c r="X111">
        <f t="shared" si="51"/>
        <v>0.11032531824611033</v>
      </c>
      <c r="Y111">
        <f t="shared" si="52"/>
        <v>9.1937765205091948E-2</v>
      </c>
      <c r="Z111" s="16">
        <f t="shared" si="53"/>
        <v>0.11032531824611033</v>
      </c>
      <c r="AE111" s="15">
        <v>2.02</v>
      </c>
      <c r="AF111" s="15">
        <f t="shared" si="55"/>
        <v>0.12277227722772277</v>
      </c>
      <c r="AG111" s="15">
        <f t="shared" si="54"/>
        <v>8.2257425742574261E-2</v>
      </c>
    </row>
    <row r="112" spans="13:33">
      <c r="M112">
        <v>2.04</v>
      </c>
      <c r="N112">
        <f t="shared" si="42"/>
        <v>0.38235294117647062</v>
      </c>
      <c r="O112">
        <f t="shared" si="43"/>
        <v>39.539761082716453</v>
      </c>
      <c r="P112">
        <f t="shared" si="44"/>
        <v>2.5</v>
      </c>
      <c r="Q112">
        <f t="shared" si="45"/>
        <v>0.15294117647058825</v>
      </c>
      <c r="R112">
        <v>2.04</v>
      </c>
      <c r="S112">
        <f t="shared" si="46"/>
        <v>0.50980392156862742</v>
      </c>
      <c r="T112">
        <f t="shared" si="47"/>
        <v>52.71968144362193</v>
      </c>
      <c r="U112" s="16">
        <f t="shared" si="48"/>
        <v>4</v>
      </c>
      <c r="V112" s="16">
        <f t="shared" si="49"/>
        <v>0.12745098039215685</v>
      </c>
      <c r="W112" s="16">
        <f t="shared" si="50"/>
        <v>0.10924369747899161</v>
      </c>
      <c r="X112">
        <f t="shared" si="51"/>
        <v>0.10924369747899161</v>
      </c>
      <c r="Y112">
        <f t="shared" si="52"/>
        <v>9.1036414565826326E-2</v>
      </c>
      <c r="Z112" s="16">
        <f t="shared" si="53"/>
        <v>0.10924369747899161</v>
      </c>
      <c r="AE112" s="15">
        <v>2.04</v>
      </c>
      <c r="AF112" s="15">
        <f t="shared" si="55"/>
        <v>0.12156862745098039</v>
      </c>
      <c r="AG112" s="15">
        <f t="shared" si="54"/>
        <v>8.1450980392156869E-2</v>
      </c>
    </row>
    <row r="113" spans="13:33">
      <c r="M113">
        <v>2.06</v>
      </c>
      <c r="N113">
        <f t="shared" si="42"/>
        <v>0.37864077669902912</v>
      </c>
      <c r="O113">
        <f t="shared" si="43"/>
        <v>39.927405799213673</v>
      </c>
      <c r="P113">
        <f t="shared" si="44"/>
        <v>2.5</v>
      </c>
      <c r="Q113">
        <f t="shared" si="45"/>
        <v>0.15145631067961166</v>
      </c>
      <c r="R113">
        <v>2.06</v>
      </c>
      <c r="S113">
        <f t="shared" si="46"/>
        <v>0.50485436893203883</v>
      </c>
      <c r="T113">
        <f t="shared" si="47"/>
        <v>53.236541065618226</v>
      </c>
      <c r="U113" s="16">
        <f t="shared" si="48"/>
        <v>4</v>
      </c>
      <c r="V113" s="16">
        <f t="shared" si="49"/>
        <v>0.12621359223300971</v>
      </c>
      <c r="W113" s="16">
        <f t="shared" si="50"/>
        <v>0.10818307905686547</v>
      </c>
      <c r="X113">
        <f t="shared" si="51"/>
        <v>0.10818307905686547</v>
      </c>
      <c r="Y113">
        <f t="shared" si="52"/>
        <v>9.0152565880721222E-2</v>
      </c>
      <c r="Z113" s="16">
        <f t="shared" si="53"/>
        <v>0.10818307905686547</v>
      </c>
      <c r="AE113" s="15">
        <v>2.06</v>
      </c>
      <c r="AF113" s="15">
        <f t="shared" si="55"/>
        <v>0.12038834951456311</v>
      </c>
      <c r="AG113" s="15">
        <f t="shared" si="54"/>
        <v>8.0660194174757283E-2</v>
      </c>
    </row>
    <row r="114" spans="13:33">
      <c r="M114">
        <v>2.08</v>
      </c>
      <c r="N114">
        <f t="shared" si="42"/>
        <v>0.375</v>
      </c>
      <c r="O114">
        <f t="shared" si="43"/>
        <v>40.315050515710894</v>
      </c>
      <c r="P114">
        <f t="shared" si="44"/>
        <v>2.5</v>
      </c>
      <c r="Q114">
        <f t="shared" si="45"/>
        <v>0.15</v>
      </c>
      <c r="R114">
        <v>2.08</v>
      </c>
      <c r="S114">
        <f t="shared" si="46"/>
        <v>0.5</v>
      </c>
      <c r="T114">
        <f t="shared" si="47"/>
        <v>53.75340068761453</v>
      </c>
      <c r="U114" s="16">
        <f t="shared" si="48"/>
        <v>4</v>
      </c>
      <c r="V114" s="16">
        <f t="shared" si="49"/>
        <v>0.125</v>
      </c>
      <c r="W114" s="16">
        <f t="shared" si="50"/>
        <v>0.10714285714285714</v>
      </c>
      <c r="X114">
        <f t="shared" si="51"/>
        <v>0.10714285714285714</v>
      </c>
      <c r="Y114">
        <f t="shared" si="52"/>
        <v>8.9285714285714288E-2</v>
      </c>
      <c r="Z114" s="16">
        <f t="shared" si="53"/>
        <v>0.10714285714285714</v>
      </c>
      <c r="AE114" s="15">
        <v>2.08</v>
      </c>
      <c r="AF114" s="15">
        <f t="shared" si="55"/>
        <v>0.11923076923076922</v>
      </c>
      <c r="AG114" s="15">
        <f t="shared" si="54"/>
        <v>7.9884615384615387E-2</v>
      </c>
    </row>
    <row r="115" spans="13:33">
      <c r="M115">
        <v>2.1</v>
      </c>
      <c r="N115">
        <f t="shared" si="42"/>
        <v>0.37142857142857144</v>
      </c>
      <c r="O115">
        <f t="shared" si="43"/>
        <v>40.702695232208107</v>
      </c>
      <c r="P115">
        <f t="shared" si="44"/>
        <v>2.5</v>
      </c>
      <c r="Q115">
        <f t="shared" si="45"/>
        <v>0.14857142857142858</v>
      </c>
      <c r="R115">
        <v>2.1</v>
      </c>
      <c r="S115">
        <f t="shared" si="46"/>
        <v>0.49523809523809526</v>
      </c>
      <c r="T115">
        <f t="shared" si="47"/>
        <v>54.270260309610812</v>
      </c>
      <c r="U115" s="16">
        <f t="shared" si="48"/>
        <v>4</v>
      </c>
      <c r="V115" s="16">
        <f t="shared" si="49"/>
        <v>0.12380952380952381</v>
      </c>
      <c r="W115" s="16">
        <f t="shared" si="50"/>
        <v>0.10612244897959185</v>
      </c>
      <c r="X115">
        <f t="shared" si="51"/>
        <v>0.10612244897959185</v>
      </c>
      <c r="Y115">
        <f t="shared" si="52"/>
        <v>8.8435374149659865E-2</v>
      </c>
      <c r="Z115" s="16">
        <f t="shared" si="53"/>
        <v>0.10612244897959185</v>
      </c>
      <c r="AE115" s="15">
        <v>2.1</v>
      </c>
      <c r="AF115" s="15">
        <f t="shared" si="55"/>
        <v>0.11809523809523809</v>
      </c>
      <c r="AG115" s="15">
        <f t="shared" si="54"/>
        <v>7.9123809523809513E-2</v>
      </c>
    </row>
    <row r="116" spans="13:33">
      <c r="M116">
        <v>2.12</v>
      </c>
      <c r="N116">
        <f t="shared" si="42"/>
        <v>0.36792452830188677</v>
      </c>
      <c r="O116">
        <f t="shared" si="43"/>
        <v>41.090339948705335</v>
      </c>
      <c r="P116">
        <f t="shared" si="44"/>
        <v>2.5</v>
      </c>
      <c r="Q116">
        <f t="shared" si="45"/>
        <v>0.14716981132075471</v>
      </c>
      <c r="R116">
        <v>2.12</v>
      </c>
      <c r="S116">
        <f t="shared" si="46"/>
        <v>0.49056603773584906</v>
      </c>
      <c r="T116">
        <f t="shared" si="47"/>
        <v>54.787119931607123</v>
      </c>
      <c r="U116" s="16">
        <f t="shared" si="48"/>
        <v>4</v>
      </c>
      <c r="V116" s="16">
        <f t="shared" si="49"/>
        <v>0.12264150943396226</v>
      </c>
      <c r="W116" s="16">
        <f t="shared" si="50"/>
        <v>0.10512129380053908</v>
      </c>
      <c r="X116">
        <f t="shared" si="51"/>
        <v>0.10512129380053908</v>
      </c>
      <c r="Y116">
        <f t="shared" si="52"/>
        <v>8.7601078167115903E-2</v>
      </c>
      <c r="Z116" s="16">
        <f t="shared" si="53"/>
        <v>0.10512129380053908</v>
      </c>
      <c r="AE116" s="15">
        <v>2.12</v>
      </c>
      <c r="AF116" s="15">
        <f t="shared" si="55"/>
        <v>0.11698113207547169</v>
      </c>
      <c r="AG116" s="15">
        <f t="shared" si="54"/>
        <v>7.8377358490566026E-2</v>
      </c>
    </row>
    <row r="117" spans="13:33">
      <c r="M117">
        <v>2.14</v>
      </c>
      <c r="N117">
        <f t="shared" si="42"/>
        <v>0.3644859813084112</v>
      </c>
      <c r="O117">
        <f t="shared" si="43"/>
        <v>41.477984665202555</v>
      </c>
      <c r="P117">
        <f t="shared" si="44"/>
        <v>2.5</v>
      </c>
      <c r="Q117">
        <f t="shared" si="45"/>
        <v>0.14579439252336449</v>
      </c>
      <c r="R117">
        <v>2.14</v>
      </c>
      <c r="S117">
        <f t="shared" si="46"/>
        <v>0.48598130841121495</v>
      </c>
      <c r="T117">
        <f t="shared" si="47"/>
        <v>55.303979553603405</v>
      </c>
      <c r="U117" s="16">
        <f t="shared" si="48"/>
        <v>4</v>
      </c>
      <c r="V117" s="16">
        <f t="shared" si="49"/>
        <v>0.12149532710280374</v>
      </c>
      <c r="W117" s="16">
        <f t="shared" si="50"/>
        <v>0.1041388518024032</v>
      </c>
      <c r="X117">
        <f t="shared" si="51"/>
        <v>0.1041388518024032</v>
      </c>
      <c r="Y117">
        <f t="shared" si="52"/>
        <v>8.678237650200267E-2</v>
      </c>
      <c r="Z117" s="16">
        <f t="shared" si="53"/>
        <v>0.1041388518024032</v>
      </c>
      <c r="AE117" s="15">
        <v>2.14</v>
      </c>
      <c r="AF117" s="15">
        <f t="shared" si="55"/>
        <v>0.11588785046728971</v>
      </c>
      <c r="AG117" s="15">
        <f t="shared" si="54"/>
        <v>7.7644859813084111E-2</v>
      </c>
    </row>
    <row r="118" spans="13:33">
      <c r="M118">
        <v>2.16</v>
      </c>
      <c r="N118">
        <f t="shared" si="42"/>
        <v>0.3611111111111111</v>
      </c>
      <c r="O118">
        <f t="shared" si="43"/>
        <v>41.865629381699776</v>
      </c>
      <c r="P118">
        <f t="shared" si="44"/>
        <v>2.5</v>
      </c>
      <c r="Q118">
        <f t="shared" si="45"/>
        <v>0.14444444444444443</v>
      </c>
      <c r="R118">
        <v>2.16</v>
      </c>
      <c r="S118">
        <f t="shared" si="46"/>
        <v>0.48148148148148145</v>
      </c>
      <c r="T118">
        <f t="shared" si="47"/>
        <v>55.820839175599694</v>
      </c>
      <c r="U118" s="16">
        <f t="shared" si="48"/>
        <v>4</v>
      </c>
      <c r="V118" s="16">
        <f t="shared" si="49"/>
        <v>0.12037037037037036</v>
      </c>
      <c r="W118" s="16">
        <f t="shared" si="50"/>
        <v>0.10317460317460317</v>
      </c>
      <c r="X118">
        <f t="shared" si="51"/>
        <v>0.10317460317460317</v>
      </c>
      <c r="Y118">
        <f t="shared" si="52"/>
        <v>8.5978835978835974E-2</v>
      </c>
      <c r="Z118" s="16">
        <f t="shared" si="53"/>
        <v>0.10317460317460317</v>
      </c>
      <c r="AE118" s="15">
        <v>2.16</v>
      </c>
      <c r="AF118" s="15">
        <f t="shared" si="55"/>
        <v>0.1148148148148148</v>
      </c>
      <c r="AG118" s="15">
        <f t="shared" si="54"/>
        <v>7.6925925925925925E-2</v>
      </c>
    </row>
    <row r="119" spans="13:33">
      <c r="M119">
        <v>2.1800000000000002</v>
      </c>
      <c r="N119">
        <f t="shared" si="42"/>
        <v>0.35779816513761464</v>
      </c>
      <c r="O119">
        <f t="shared" si="43"/>
        <v>42.253274098196989</v>
      </c>
      <c r="P119">
        <f t="shared" si="44"/>
        <v>2.5</v>
      </c>
      <c r="Q119">
        <f t="shared" si="45"/>
        <v>0.14311926605504585</v>
      </c>
      <c r="R119">
        <v>2.1800000000000002</v>
      </c>
      <c r="S119">
        <f t="shared" si="46"/>
        <v>0.47706422018348621</v>
      </c>
      <c r="T119">
        <f t="shared" si="47"/>
        <v>56.337698797595991</v>
      </c>
      <c r="U119" s="16">
        <f t="shared" si="48"/>
        <v>4</v>
      </c>
      <c r="V119" s="16">
        <f t="shared" si="49"/>
        <v>0.11926605504587155</v>
      </c>
      <c r="W119" s="16">
        <f t="shared" si="50"/>
        <v>0.10222804718217561</v>
      </c>
      <c r="X119">
        <f t="shared" si="51"/>
        <v>0.10222804718217561</v>
      </c>
      <c r="Y119">
        <f t="shared" si="52"/>
        <v>8.5190039318479682E-2</v>
      </c>
      <c r="Z119" s="16">
        <f t="shared" si="53"/>
        <v>0.10222804718217561</v>
      </c>
      <c r="AE119" s="15">
        <v>2.1800000000000002</v>
      </c>
      <c r="AF119" s="15">
        <f t="shared" si="55"/>
        <v>0.11376146788990825</v>
      </c>
      <c r="AG119" s="15">
        <f t="shared" si="54"/>
        <v>7.6220183486238532E-2</v>
      </c>
    </row>
    <row r="120" spans="13:33">
      <c r="M120">
        <v>2.2000000000000002</v>
      </c>
      <c r="N120">
        <f t="shared" si="42"/>
        <v>0.35454545454545455</v>
      </c>
      <c r="O120">
        <f t="shared" si="43"/>
        <v>42.640918814694217</v>
      </c>
      <c r="P120">
        <f t="shared" si="44"/>
        <v>2.5</v>
      </c>
      <c r="Q120">
        <f t="shared" si="45"/>
        <v>0.14181818181818182</v>
      </c>
      <c r="R120">
        <v>2.2000000000000002</v>
      </c>
      <c r="S120">
        <f t="shared" si="46"/>
        <v>0.47272727272727272</v>
      </c>
      <c r="T120">
        <f t="shared" si="47"/>
        <v>56.854558419592294</v>
      </c>
      <c r="U120" s="16">
        <f t="shared" si="48"/>
        <v>4</v>
      </c>
      <c r="V120" s="16">
        <f t="shared" si="49"/>
        <v>0.11818181818181818</v>
      </c>
      <c r="W120" s="16">
        <f t="shared" si="50"/>
        <v>0.1012987012987013</v>
      </c>
      <c r="X120">
        <f t="shared" si="51"/>
        <v>0.1012987012987013</v>
      </c>
      <c r="Y120">
        <f t="shared" si="52"/>
        <v>8.4415584415584416E-2</v>
      </c>
      <c r="Z120" s="16">
        <f t="shared" si="53"/>
        <v>0.1012987012987013</v>
      </c>
      <c r="AE120" s="15">
        <v>2.2000000000000002</v>
      </c>
      <c r="AF120" s="15">
        <f t="shared" si="55"/>
        <v>0.11272727272727272</v>
      </c>
      <c r="AG120" s="15">
        <f t="shared" si="54"/>
        <v>7.5527272727272721E-2</v>
      </c>
    </row>
    <row r="121" spans="13:33">
      <c r="M121">
        <v>2.2200000000000002</v>
      </c>
      <c r="N121">
        <f t="shared" si="42"/>
        <v>0.35135135135135132</v>
      </c>
      <c r="O121">
        <f t="shared" si="43"/>
        <v>43.028563531191431</v>
      </c>
      <c r="P121">
        <f t="shared" si="44"/>
        <v>2.5</v>
      </c>
      <c r="Q121">
        <f t="shared" si="45"/>
        <v>0.14054054054054052</v>
      </c>
      <c r="R121">
        <v>2.2200000000000002</v>
      </c>
      <c r="S121">
        <f t="shared" si="46"/>
        <v>0.46846846846846846</v>
      </c>
      <c r="T121">
        <f t="shared" si="47"/>
        <v>57.371418041588583</v>
      </c>
      <c r="U121" s="16">
        <f t="shared" si="48"/>
        <v>4</v>
      </c>
      <c r="V121" s="16">
        <f t="shared" si="49"/>
        <v>0.11711711711711711</v>
      </c>
      <c r="W121" s="16">
        <f t="shared" si="50"/>
        <v>0.10038610038610038</v>
      </c>
      <c r="X121">
        <f t="shared" si="51"/>
        <v>0.10038610038610038</v>
      </c>
      <c r="Y121">
        <f t="shared" si="52"/>
        <v>8.3655083655083659E-2</v>
      </c>
      <c r="Z121" s="16">
        <f t="shared" si="53"/>
        <v>0.10038610038610038</v>
      </c>
      <c r="AE121" s="15">
        <v>2.2200000000000002</v>
      </c>
      <c r="AF121" s="15">
        <f t="shared" si="55"/>
        <v>0.11171171171171169</v>
      </c>
      <c r="AG121" s="15">
        <f t="shared" si="54"/>
        <v>7.4846846846846837E-2</v>
      </c>
    </row>
    <row r="122" spans="13:33">
      <c r="M122">
        <v>2.2400000000000002</v>
      </c>
      <c r="N122">
        <f t="shared" si="42"/>
        <v>0.3482142857142857</v>
      </c>
      <c r="O122">
        <f t="shared" si="43"/>
        <v>43.416208247688658</v>
      </c>
      <c r="P122">
        <f t="shared" si="44"/>
        <v>2.5</v>
      </c>
      <c r="Q122">
        <f t="shared" si="45"/>
        <v>0.13928571428571429</v>
      </c>
      <c r="R122">
        <v>2.2400000000000002</v>
      </c>
      <c r="S122">
        <f t="shared" si="46"/>
        <v>0.46428571428571425</v>
      </c>
      <c r="T122">
        <f t="shared" si="47"/>
        <v>57.888277663584873</v>
      </c>
      <c r="U122" s="16">
        <f t="shared" si="48"/>
        <v>4</v>
      </c>
      <c r="V122" s="16">
        <f t="shared" si="49"/>
        <v>0.11607142857142856</v>
      </c>
      <c r="W122" s="16">
        <f t="shared" si="50"/>
        <v>9.9489795918367346E-2</v>
      </c>
      <c r="X122">
        <f t="shared" si="51"/>
        <v>9.9489795918367346E-2</v>
      </c>
      <c r="Y122">
        <f t="shared" si="52"/>
        <v>8.2908163265306117E-2</v>
      </c>
      <c r="Z122" s="16">
        <f t="shared" si="53"/>
        <v>9.9489795918367346E-2</v>
      </c>
      <c r="AE122" s="15">
        <v>2.2400000000000002</v>
      </c>
      <c r="AF122" s="15">
        <f t="shared" si="55"/>
        <v>0.11071428571428571</v>
      </c>
      <c r="AG122" s="15">
        <f t="shared" si="54"/>
        <v>7.4178571428571427E-2</v>
      </c>
    </row>
    <row r="123" spans="13:33">
      <c r="M123">
        <v>2.2599999999999998</v>
      </c>
      <c r="N123">
        <f t="shared" si="42"/>
        <v>0.3451327433628319</v>
      </c>
      <c r="O123">
        <f t="shared" si="43"/>
        <v>43.803852964185864</v>
      </c>
      <c r="P123">
        <f t="shared" si="44"/>
        <v>2.5</v>
      </c>
      <c r="Q123">
        <f t="shared" si="45"/>
        <v>0.13805309734513277</v>
      </c>
      <c r="R123">
        <v>2.2599999999999998</v>
      </c>
      <c r="S123">
        <f t="shared" si="46"/>
        <v>0.46017699115044253</v>
      </c>
      <c r="T123">
        <f t="shared" si="47"/>
        <v>58.405137285581155</v>
      </c>
      <c r="U123" s="16">
        <f t="shared" si="48"/>
        <v>4</v>
      </c>
      <c r="V123" s="16">
        <f t="shared" si="49"/>
        <v>0.11504424778761063</v>
      </c>
      <c r="W123" s="16">
        <f t="shared" si="50"/>
        <v>9.8609355246523409E-2</v>
      </c>
      <c r="X123">
        <f t="shared" si="51"/>
        <v>9.8609355246523409E-2</v>
      </c>
      <c r="Y123">
        <f t="shared" si="52"/>
        <v>8.2174462705436171E-2</v>
      </c>
      <c r="Z123" s="16">
        <f t="shared" si="53"/>
        <v>9.8609355246523409E-2</v>
      </c>
      <c r="AE123" s="15">
        <v>2.2599999999999998</v>
      </c>
      <c r="AF123" s="15">
        <f t="shared" si="55"/>
        <v>0.1097345132743363</v>
      </c>
      <c r="AG123" s="15">
        <f t="shared" si="54"/>
        <v>7.352212389380533E-2</v>
      </c>
    </row>
    <row r="124" spans="13:33">
      <c r="M124">
        <v>2.2799999999999998</v>
      </c>
      <c r="N124">
        <f t="shared" si="42"/>
        <v>0.3421052631578948</v>
      </c>
      <c r="O124">
        <f t="shared" si="43"/>
        <v>44.191497680683092</v>
      </c>
      <c r="P124">
        <f t="shared" si="44"/>
        <v>2.5</v>
      </c>
      <c r="Q124">
        <f t="shared" si="45"/>
        <v>0.13684210526315793</v>
      </c>
      <c r="R124">
        <v>2.2799999999999998</v>
      </c>
      <c r="S124">
        <f t="shared" si="46"/>
        <v>0.45614035087719301</v>
      </c>
      <c r="T124">
        <f t="shared" si="47"/>
        <v>58.921996907577451</v>
      </c>
      <c r="U124" s="16">
        <f t="shared" si="48"/>
        <v>4</v>
      </c>
      <c r="V124" s="16">
        <f t="shared" si="49"/>
        <v>0.11403508771929825</v>
      </c>
      <c r="W124" s="16">
        <f t="shared" si="50"/>
        <v>9.7744360902255661E-2</v>
      </c>
      <c r="X124">
        <f t="shared" si="51"/>
        <v>9.7744360902255661E-2</v>
      </c>
      <c r="Y124">
        <f t="shared" si="52"/>
        <v>8.1453634085213042E-2</v>
      </c>
      <c r="Z124" s="16">
        <f t="shared" si="53"/>
        <v>9.7744360902255661E-2</v>
      </c>
      <c r="AE124" s="15">
        <v>2.2799999999999998</v>
      </c>
      <c r="AF124" s="15">
        <f t="shared" si="55"/>
        <v>0.10877192982456141</v>
      </c>
      <c r="AG124" s="15">
        <f t="shared" si="54"/>
        <v>7.2877192982456152E-2</v>
      </c>
    </row>
    <row r="125" spans="13:33">
      <c r="M125">
        <v>2.2999999999999998</v>
      </c>
      <c r="N125">
        <f t="shared" si="42"/>
        <v>0.33913043478260874</v>
      </c>
      <c r="O125">
        <f t="shared" si="43"/>
        <v>44.579142397180306</v>
      </c>
      <c r="P125">
        <f t="shared" si="44"/>
        <v>2.5</v>
      </c>
      <c r="Q125">
        <f t="shared" si="45"/>
        <v>0.13565217391304349</v>
      </c>
      <c r="R125">
        <v>2.2999999999999998</v>
      </c>
      <c r="S125">
        <f t="shared" si="46"/>
        <v>0.45217391304347831</v>
      </c>
      <c r="T125">
        <f t="shared" si="47"/>
        <v>59.438856529573748</v>
      </c>
      <c r="U125" s="16">
        <f t="shared" si="48"/>
        <v>4</v>
      </c>
      <c r="V125" s="16">
        <f t="shared" si="49"/>
        <v>0.11304347826086958</v>
      </c>
      <c r="W125" s="16">
        <f t="shared" si="50"/>
        <v>9.6894409937888212E-2</v>
      </c>
      <c r="X125">
        <f t="shared" si="51"/>
        <v>9.6894409937888212E-2</v>
      </c>
      <c r="Y125">
        <f t="shared" si="52"/>
        <v>8.0745341614906846E-2</v>
      </c>
      <c r="Z125" s="16">
        <f t="shared" si="53"/>
        <v>9.6894409937888212E-2</v>
      </c>
      <c r="AE125" s="15">
        <v>2.2999999999999998</v>
      </c>
      <c r="AF125" s="15">
        <f t="shared" si="55"/>
        <v>0.10782608695652175</v>
      </c>
      <c r="AG125" s="15">
        <f t="shared" si="54"/>
        <v>7.2243478260869576E-2</v>
      </c>
    </row>
    <row r="126" spans="13:33">
      <c r="M126">
        <v>2.3199999999999998</v>
      </c>
      <c r="N126">
        <f t="shared" si="42"/>
        <v>0.3362068965517242</v>
      </c>
      <c r="O126">
        <f t="shared" si="43"/>
        <v>44.96678711367754</v>
      </c>
      <c r="P126">
        <f t="shared" si="44"/>
        <v>2.5</v>
      </c>
      <c r="Q126">
        <f t="shared" si="45"/>
        <v>0.13448275862068967</v>
      </c>
      <c r="R126">
        <v>2.3199999999999998</v>
      </c>
      <c r="S126">
        <f t="shared" si="46"/>
        <v>0.44827586206896558</v>
      </c>
      <c r="T126">
        <f t="shared" si="47"/>
        <v>59.955716151570051</v>
      </c>
      <c r="U126" s="16">
        <f t="shared" si="48"/>
        <v>4</v>
      </c>
      <c r="V126" s="16">
        <f t="shared" si="49"/>
        <v>0.1120689655172414</v>
      </c>
      <c r="W126" s="16">
        <f t="shared" si="50"/>
        <v>9.6059113300492632E-2</v>
      </c>
      <c r="X126">
        <f t="shared" si="51"/>
        <v>9.6059113300492632E-2</v>
      </c>
      <c r="Y126">
        <f t="shared" si="52"/>
        <v>8.0049261083743856E-2</v>
      </c>
      <c r="Z126" s="16">
        <f t="shared" si="53"/>
        <v>9.6059113300492632E-2</v>
      </c>
      <c r="AE126" s="15">
        <v>2.3199999999999998</v>
      </c>
      <c r="AF126" s="15">
        <f t="shared" si="55"/>
        <v>0.10689655172413794</v>
      </c>
      <c r="AG126" s="15">
        <f t="shared" si="54"/>
        <v>7.1620689655172418E-2</v>
      </c>
    </row>
    <row r="127" spans="13:33">
      <c r="M127">
        <v>2.34</v>
      </c>
      <c r="N127">
        <f t="shared" si="42"/>
        <v>0.33333333333333337</v>
      </c>
      <c r="O127">
        <f t="shared" si="43"/>
        <v>45.354431830174747</v>
      </c>
      <c r="P127">
        <f t="shared" si="44"/>
        <v>2.5</v>
      </c>
      <c r="Q127">
        <f t="shared" si="45"/>
        <v>0.13333333333333336</v>
      </c>
      <c r="R127">
        <v>2.34</v>
      </c>
      <c r="S127">
        <f t="shared" si="46"/>
        <v>0.44444444444444448</v>
      </c>
      <c r="T127">
        <f t="shared" si="47"/>
        <v>60.472575773566327</v>
      </c>
      <c r="U127" s="16">
        <f t="shared" si="48"/>
        <v>4</v>
      </c>
      <c r="V127" s="16">
        <f t="shared" si="49"/>
        <v>0.11111111111111112</v>
      </c>
      <c r="W127" s="16">
        <f t="shared" si="50"/>
        <v>9.5238095238095261E-2</v>
      </c>
      <c r="X127">
        <f t="shared" si="51"/>
        <v>9.5238095238095261E-2</v>
      </c>
      <c r="Y127">
        <f t="shared" si="52"/>
        <v>7.9365079365079375E-2</v>
      </c>
      <c r="Z127" s="16">
        <f t="shared" si="53"/>
        <v>9.5238095238095261E-2</v>
      </c>
      <c r="AE127" s="15">
        <v>2.34</v>
      </c>
      <c r="AF127" s="15">
        <f t="shared" si="55"/>
        <v>0.10598290598290599</v>
      </c>
      <c r="AG127" s="15">
        <f t="shared" si="54"/>
        <v>7.1008547008547016E-2</v>
      </c>
    </row>
    <row r="128" spans="13:33">
      <c r="M128">
        <v>2.36</v>
      </c>
      <c r="N128">
        <f t="shared" si="42"/>
        <v>0.33050847457627119</v>
      </c>
      <c r="O128">
        <f t="shared" si="43"/>
        <v>45.74207654667196</v>
      </c>
      <c r="P128">
        <f t="shared" si="44"/>
        <v>2.5</v>
      </c>
      <c r="Q128">
        <f t="shared" si="45"/>
        <v>0.13220338983050847</v>
      </c>
      <c r="R128">
        <v>2.36</v>
      </c>
      <c r="S128">
        <f t="shared" si="46"/>
        <v>0.44067796610169496</v>
      </c>
      <c r="T128">
        <f t="shared" si="47"/>
        <v>60.98943539556263</v>
      </c>
      <c r="U128" s="16">
        <f t="shared" si="48"/>
        <v>4</v>
      </c>
      <c r="V128" s="16">
        <f t="shared" si="49"/>
        <v>0.11016949152542374</v>
      </c>
      <c r="W128" s="16">
        <f t="shared" si="50"/>
        <v>9.4430992736077482E-2</v>
      </c>
      <c r="X128">
        <f t="shared" si="51"/>
        <v>9.4430992736077482E-2</v>
      </c>
      <c r="Y128">
        <f t="shared" si="52"/>
        <v>7.8692493946731251E-2</v>
      </c>
      <c r="Z128" s="16">
        <f t="shared" si="53"/>
        <v>9.4430992736077482E-2</v>
      </c>
      <c r="AE128" s="15">
        <v>2.36</v>
      </c>
      <c r="AF128" s="15">
        <f t="shared" si="55"/>
        <v>0.10508474576271187</v>
      </c>
      <c r="AG128" s="15">
        <f t="shared" si="54"/>
        <v>7.0406779661016952E-2</v>
      </c>
    </row>
    <row r="129" spans="13:33">
      <c r="M129">
        <v>2.38</v>
      </c>
      <c r="N129">
        <f t="shared" si="42"/>
        <v>0.32773109243697479</v>
      </c>
      <c r="O129">
        <f t="shared" si="43"/>
        <v>46.129721263169188</v>
      </c>
      <c r="P129">
        <f t="shared" si="44"/>
        <v>2.5</v>
      </c>
      <c r="Q129">
        <f t="shared" si="45"/>
        <v>0.13109243697478992</v>
      </c>
      <c r="R129">
        <v>2.38</v>
      </c>
      <c r="S129">
        <f t="shared" si="46"/>
        <v>0.43697478991596644</v>
      </c>
      <c r="T129">
        <f t="shared" si="47"/>
        <v>61.506295017558926</v>
      </c>
      <c r="U129" s="16">
        <f t="shared" si="48"/>
        <v>4</v>
      </c>
      <c r="V129" s="16">
        <f t="shared" si="49"/>
        <v>0.10924369747899161</v>
      </c>
      <c r="W129" s="16">
        <f t="shared" si="50"/>
        <v>9.3637454981992801E-2</v>
      </c>
      <c r="X129">
        <f t="shared" si="51"/>
        <v>9.3637454981992801E-2</v>
      </c>
      <c r="Y129">
        <f t="shared" si="52"/>
        <v>7.8031212484994006E-2</v>
      </c>
      <c r="Z129" s="16">
        <f t="shared" si="53"/>
        <v>9.3637454981992801E-2</v>
      </c>
      <c r="AE129" s="15">
        <v>2.38</v>
      </c>
      <c r="AF129" s="15">
        <f t="shared" si="55"/>
        <v>0.10420168067226891</v>
      </c>
      <c r="AG129" s="15">
        <f t="shared" si="54"/>
        <v>6.9815126050420173E-2</v>
      </c>
    </row>
    <row r="130" spans="13:33">
      <c r="M130">
        <v>2.4</v>
      </c>
      <c r="N130">
        <f t="shared" si="42"/>
        <v>0.32500000000000001</v>
      </c>
      <c r="O130">
        <f t="shared" si="43"/>
        <v>46.517365979666408</v>
      </c>
      <c r="P130">
        <f t="shared" si="44"/>
        <v>2.5</v>
      </c>
      <c r="Q130">
        <f t="shared" si="45"/>
        <v>0.13</v>
      </c>
      <c r="R130">
        <v>2.4</v>
      </c>
      <c r="S130">
        <f t="shared" si="46"/>
        <v>0.43333333333333335</v>
      </c>
      <c r="T130">
        <f t="shared" si="47"/>
        <v>62.023154639555216</v>
      </c>
      <c r="U130" s="16">
        <f t="shared" si="48"/>
        <v>4</v>
      </c>
      <c r="V130" s="16">
        <f t="shared" si="49"/>
        <v>0.10833333333333334</v>
      </c>
      <c r="W130" s="16">
        <f t="shared" si="50"/>
        <v>9.285714285714286E-2</v>
      </c>
      <c r="X130">
        <f t="shared" si="51"/>
        <v>9.285714285714286E-2</v>
      </c>
      <c r="Y130">
        <f t="shared" si="52"/>
        <v>7.7380952380952384E-2</v>
      </c>
      <c r="Z130" s="16">
        <f t="shared" si="53"/>
        <v>9.285714285714286E-2</v>
      </c>
      <c r="AE130" s="15">
        <v>2.4</v>
      </c>
      <c r="AF130" s="15">
        <f t="shared" si="55"/>
        <v>0.10333333333333333</v>
      </c>
      <c r="AG130" s="15">
        <f t="shared" si="54"/>
        <v>6.9233333333333341E-2</v>
      </c>
    </row>
    <row r="131" spans="13:33">
      <c r="M131">
        <v>2.42</v>
      </c>
      <c r="N131">
        <f t="shared" si="42"/>
        <v>0.3223140495867769</v>
      </c>
      <c r="O131">
        <f t="shared" si="43"/>
        <v>46.905010696163643</v>
      </c>
      <c r="P131">
        <f t="shared" si="44"/>
        <v>2.5</v>
      </c>
      <c r="Q131">
        <f t="shared" si="45"/>
        <v>0.12892561983471076</v>
      </c>
      <c r="R131">
        <v>2.42</v>
      </c>
      <c r="S131">
        <f t="shared" si="46"/>
        <v>0.42975206611570249</v>
      </c>
      <c r="T131">
        <f t="shared" si="47"/>
        <v>62.540014261551512</v>
      </c>
      <c r="U131" s="16">
        <f t="shared" si="48"/>
        <v>4</v>
      </c>
      <c r="V131" s="16">
        <f t="shared" si="49"/>
        <v>0.10743801652892562</v>
      </c>
      <c r="W131" s="16">
        <f t="shared" si="50"/>
        <v>9.2089728453364827E-2</v>
      </c>
      <c r="X131">
        <f t="shared" si="51"/>
        <v>9.2089728453364827E-2</v>
      </c>
      <c r="Y131">
        <f t="shared" si="52"/>
        <v>7.6741440377804018E-2</v>
      </c>
      <c r="Z131" s="16">
        <f t="shared" si="53"/>
        <v>9.2089728453364827E-2</v>
      </c>
      <c r="AE131" s="15">
        <v>2.42</v>
      </c>
      <c r="AF131" s="15">
        <f t="shared" si="55"/>
        <v>0.10247933884297521</v>
      </c>
      <c r="AG131" s="15">
        <f t="shared" si="54"/>
        <v>6.866115702479339E-2</v>
      </c>
    </row>
    <row r="132" spans="13:33">
      <c r="M132">
        <v>2.44</v>
      </c>
      <c r="N132">
        <f t="shared" si="42"/>
        <v>0.31967213114754101</v>
      </c>
      <c r="O132">
        <f t="shared" si="43"/>
        <v>47.292655412660856</v>
      </c>
      <c r="P132">
        <f t="shared" si="44"/>
        <v>2.5</v>
      </c>
      <c r="Q132">
        <f t="shared" si="45"/>
        <v>0.12786885245901641</v>
      </c>
      <c r="R132">
        <v>2.44</v>
      </c>
      <c r="S132">
        <f t="shared" si="46"/>
        <v>0.42622950819672134</v>
      </c>
      <c r="T132">
        <f t="shared" si="47"/>
        <v>63.056873883547809</v>
      </c>
      <c r="U132" s="16">
        <f t="shared" si="48"/>
        <v>4</v>
      </c>
      <c r="V132" s="16">
        <f t="shared" si="49"/>
        <v>0.10655737704918034</v>
      </c>
      <c r="W132" s="16">
        <f t="shared" si="50"/>
        <v>9.1334894613583156E-2</v>
      </c>
      <c r="X132">
        <f t="shared" si="51"/>
        <v>9.1334894613583156E-2</v>
      </c>
      <c r="Y132">
        <f t="shared" si="52"/>
        <v>7.611241217798595E-2</v>
      </c>
      <c r="Z132" s="16">
        <f t="shared" si="53"/>
        <v>9.1334894613583156E-2</v>
      </c>
      <c r="AE132" s="15">
        <v>2.44</v>
      </c>
      <c r="AF132" s="15">
        <f t="shared" si="55"/>
        <v>0.10163934426229508</v>
      </c>
      <c r="AG132" s="15">
        <f t="shared" si="54"/>
        <v>6.8098360655737711E-2</v>
      </c>
    </row>
    <row r="133" spans="13:33">
      <c r="M133">
        <v>2.46</v>
      </c>
      <c r="N133">
        <f t="shared" si="42"/>
        <v>0.31707317073170732</v>
      </c>
      <c r="O133">
        <f t="shared" si="43"/>
        <v>47.68030012915807</v>
      </c>
      <c r="P133">
        <f t="shared" si="44"/>
        <v>2.5</v>
      </c>
      <c r="Q133">
        <f t="shared" si="45"/>
        <v>0.12682926829268293</v>
      </c>
      <c r="R133">
        <v>2.46</v>
      </c>
      <c r="S133">
        <f t="shared" si="46"/>
        <v>0.42276422764227645</v>
      </c>
      <c r="T133">
        <f t="shared" si="47"/>
        <v>63.573733505544091</v>
      </c>
      <c r="U133" s="16">
        <f t="shared" si="48"/>
        <v>4</v>
      </c>
      <c r="V133" s="16">
        <f t="shared" si="49"/>
        <v>0.10569105691056911</v>
      </c>
      <c r="W133" s="16">
        <f t="shared" si="50"/>
        <v>9.0592334494773524E-2</v>
      </c>
      <c r="X133">
        <f t="shared" si="51"/>
        <v>9.0592334494773524E-2</v>
      </c>
      <c r="Y133">
        <f t="shared" si="52"/>
        <v>7.5493612078977937E-2</v>
      </c>
      <c r="Z133" s="16">
        <f t="shared" si="53"/>
        <v>9.0592334494773524E-2</v>
      </c>
      <c r="AE133" s="15">
        <v>2.46</v>
      </c>
      <c r="AF133" s="15">
        <f t="shared" si="55"/>
        <v>0.1008130081300813</v>
      </c>
      <c r="AG133" s="15">
        <f t="shared" si="54"/>
        <v>6.7544715447154485E-2</v>
      </c>
    </row>
    <row r="134" spans="13:33">
      <c r="M134">
        <v>2.48</v>
      </c>
      <c r="N134">
        <f t="shared" si="42"/>
        <v>0.31451612903225806</v>
      </c>
      <c r="O134">
        <f t="shared" si="43"/>
        <v>48.067944845655305</v>
      </c>
      <c r="P134">
        <f t="shared" si="44"/>
        <v>2.5</v>
      </c>
      <c r="Q134">
        <f t="shared" si="45"/>
        <v>0.12580645161290321</v>
      </c>
      <c r="R134">
        <v>2.48</v>
      </c>
      <c r="S134">
        <f t="shared" si="46"/>
        <v>0.41935483870967744</v>
      </c>
      <c r="T134">
        <f t="shared" si="47"/>
        <v>64.090593127540401</v>
      </c>
      <c r="U134" s="16">
        <f t="shared" si="48"/>
        <v>4</v>
      </c>
      <c r="V134" s="16">
        <f t="shared" si="49"/>
        <v>0.10483870967741936</v>
      </c>
      <c r="W134" s="16">
        <f t="shared" si="50"/>
        <v>8.9861751152073732E-2</v>
      </c>
      <c r="X134">
        <f t="shared" si="51"/>
        <v>8.9861751152073732E-2</v>
      </c>
      <c r="Y134">
        <f t="shared" si="52"/>
        <v>7.4884792626728119E-2</v>
      </c>
      <c r="Z134" s="16">
        <f t="shared" si="53"/>
        <v>8.9861751152073732E-2</v>
      </c>
      <c r="AE134" s="15">
        <v>2.48</v>
      </c>
      <c r="AF134" s="15">
        <f t="shared" si="55"/>
        <v>0.1</v>
      </c>
      <c r="AG134" s="15">
        <f t="shared" si="54"/>
        <v>6.7000000000000004E-2</v>
      </c>
    </row>
    <row r="135" spans="13:33">
      <c r="M135">
        <v>2.5</v>
      </c>
      <c r="N135">
        <f t="shared" si="42"/>
        <v>0.312</v>
      </c>
      <c r="O135">
        <f t="shared" si="43"/>
        <v>48.455589562152511</v>
      </c>
      <c r="P135">
        <f t="shared" si="44"/>
        <v>2.5</v>
      </c>
      <c r="Q135">
        <f t="shared" si="45"/>
        <v>0.12479999999999999</v>
      </c>
      <c r="R135">
        <v>2.5</v>
      </c>
      <c r="S135">
        <f t="shared" si="46"/>
        <v>0.41600000000000004</v>
      </c>
      <c r="T135">
        <f t="shared" si="47"/>
        <v>64.607452749536691</v>
      </c>
      <c r="U135" s="16">
        <f t="shared" si="48"/>
        <v>4</v>
      </c>
      <c r="V135" s="16">
        <f t="shared" si="49"/>
        <v>0.10400000000000001</v>
      </c>
      <c r="W135" s="16">
        <f t="shared" si="50"/>
        <v>8.9142857142857135E-2</v>
      </c>
      <c r="X135">
        <f t="shared" si="51"/>
        <v>8.9142857142857135E-2</v>
      </c>
      <c r="Y135">
        <f t="shared" si="52"/>
        <v>7.4285714285714288E-2</v>
      </c>
      <c r="Z135" s="16">
        <f t="shared" si="53"/>
        <v>8.9142857142857135E-2</v>
      </c>
      <c r="AE135" s="15">
        <v>2.5</v>
      </c>
      <c r="AF135" s="15">
        <f t="shared" si="55"/>
        <v>9.9199999999999997E-2</v>
      </c>
      <c r="AG135" s="15">
        <f t="shared" si="54"/>
        <v>6.6463999999999995E-2</v>
      </c>
    </row>
    <row r="136" spans="13:33">
      <c r="M136">
        <v>2.52</v>
      </c>
      <c r="N136">
        <f t="shared" si="42"/>
        <v>0.30952380952380953</v>
      </c>
      <c r="O136">
        <f t="shared" si="43"/>
        <v>48.843234278649746</v>
      </c>
      <c r="P136">
        <f t="shared" si="44"/>
        <v>2.5</v>
      </c>
      <c r="Q136">
        <f t="shared" si="45"/>
        <v>0.12380952380952381</v>
      </c>
      <c r="R136">
        <v>2.52</v>
      </c>
      <c r="S136">
        <f t="shared" si="46"/>
        <v>0.41269841269841273</v>
      </c>
      <c r="T136">
        <f t="shared" si="47"/>
        <v>65.124312371532994</v>
      </c>
      <c r="U136" s="16">
        <f t="shared" si="48"/>
        <v>4</v>
      </c>
      <c r="V136" s="16">
        <f t="shared" si="49"/>
        <v>0.10317460317460318</v>
      </c>
      <c r="W136" s="16">
        <f t="shared" si="50"/>
        <v>8.8435374149659865E-2</v>
      </c>
      <c r="X136">
        <f t="shared" si="51"/>
        <v>8.8435374149659865E-2</v>
      </c>
      <c r="Y136">
        <f t="shared" si="52"/>
        <v>7.3696145124716561E-2</v>
      </c>
      <c r="Z136" s="16">
        <f t="shared" si="53"/>
        <v>8.8435374149659865E-2</v>
      </c>
      <c r="AE136" s="15">
        <v>2.52</v>
      </c>
      <c r="AF136" s="15">
        <f t="shared" si="55"/>
        <v>9.841269841269841E-2</v>
      </c>
      <c r="AG136" s="15">
        <f t="shared" si="54"/>
        <v>6.5936507936507932E-2</v>
      </c>
    </row>
    <row r="137" spans="13:33">
      <c r="M137">
        <v>2.54</v>
      </c>
      <c r="N137">
        <f t="shared" si="42"/>
        <v>0.30708661417322836</v>
      </c>
      <c r="O137">
        <f t="shared" si="43"/>
        <v>49.230878995146959</v>
      </c>
      <c r="P137">
        <f t="shared" si="44"/>
        <v>2.5</v>
      </c>
      <c r="Q137">
        <f t="shared" si="45"/>
        <v>0.12283464566929134</v>
      </c>
      <c r="R137">
        <v>2.54</v>
      </c>
      <c r="S137">
        <f t="shared" si="46"/>
        <v>0.40944881889763779</v>
      </c>
      <c r="T137">
        <f t="shared" si="47"/>
        <v>65.641171993529284</v>
      </c>
      <c r="U137" s="16">
        <f t="shared" si="48"/>
        <v>4</v>
      </c>
      <c r="V137" s="16">
        <f t="shared" si="49"/>
        <v>0.10236220472440945</v>
      </c>
      <c r="W137" s="16">
        <f t="shared" si="50"/>
        <v>8.7739032620922391E-2</v>
      </c>
      <c r="X137">
        <f t="shared" si="51"/>
        <v>8.7739032620922391E-2</v>
      </c>
      <c r="Y137">
        <f t="shared" si="52"/>
        <v>7.3115860517435322E-2</v>
      </c>
      <c r="Z137" s="16">
        <f t="shared" si="53"/>
        <v>8.7739032620922391E-2</v>
      </c>
      <c r="AE137" s="15">
        <v>2.54</v>
      </c>
      <c r="AF137" s="15">
        <f t="shared" si="55"/>
        <v>9.763779527559055E-2</v>
      </c>
      <c r="AG137" s="15">
        <f t="shared" si="54"/>
        <v>6.5417322834645672E-2</v>
      </c>
    </row>
    <row r="138" spans="13:33">
      <c r="M138">
        <v>2.56</v>
      </c>
      <c r="N138">
        <f t="shared" ref="N138:N169" si="56">IF(M138&lt;=0.2*$N$7,$N$3*(0.4+3*M138/$N$7),IF(M138&lt;=$N$7,$N$3,IF(M138&lt;=2.5*$N$7,$N$3*$N$7/M138,0.4*$N$3)))</f>
        <v>0.3046875</v>
      </c>
      <c r="O138">
        <f t="shared" ref="O138:O169" si="57">M138^2/(4*PI()^2)*(N138*981)</f>
        <v>49.618523711644173</v>
      </c>
      <c r="P138">
        <f t="shared" ref="P138:P169" si="58">IF(M138&gt;$N$7,$P$1,IF(M138&gt;0.6*$N$7,SQRT(2*$P$1-1)+($P$1-SQRT(2*$P$1-1))*(M138-0.6*$N$7)/0.4/$N$7,IF(M138&gt;0.2*$N$7,SQRT(2*$P$1-1),SQRT(2*$P$1-1)+(SQRT(2*$P$1-1)-1)*(M138-0.2*$N$7)/0.2/$N$7)))</f>
        <v>2.5</v>
      </c>
      <c r="Q138">
        <f t="shared" ref="Q138:Q169" si="59">IF(N138/P138&lt;=0.3,N138/P138,IF(N138/P138&lt;0.8,0.52*N138/P138+0.144,0.7*N138/P138))</f>
        <v>0.121875</v>
      </c>
      <c r="R138">
        <v>2.56</v>
      </c>
      <c r="S138">
        <f t="shared" ref="S138:S169" si="60">IF(R138&lt;=0.2*$S$7,$S$3*(0.4+3*R138/$S$7),IF(R138&lt;=$S$7,$S$3,IF(R138&lt;=2.5*$S$7,$S$3*$S$7/R138,0.4*$S$3)))</f>
        <v>0.40625</v>
      </c>
      <c r="T138">
        <f t="shared" ref="T138:T169" si="61">R138^2/(4*PI()^2)*(S138*981)</f>
        <v>66.158031615525559</v>
      </c>
      <c r="U138" s="16">
        <f t="shared" ref="U138:U169" si="62">IF(R138&gt;$S$7,$N$1,IF(R138&gt;0.6*$S$7,SQRT(2*$N$1-1)+($N$1-SQRT(2*$N$1-1))*(R138-0.6*$S$7)/0.4/$S$7,IF(R138&gt;0.2*$S$7,SQRT(2*$N$1-1),SQRT(2*$N$1-1)+(SQRT(2*$N$1-1)-1)*(R138-0.2*$S$7)/0.2/$S$7)))</f>
        <v>4</v>
      </c>
      <c r="V138" s="16">
        <f t="shared" ref="V138:V169" si="63">IF(S138/U138&lt;=0.3,S138/U138,IF(S138/U138&lt;0.8,0.52*S138/U138+0.144,0.7*S138/U138))</f>
        <v>0.1015625</v>
      </c>
      <c r="W138" s="16">
        <f t="shared" ref="W138:W169" si="64">$R$1/1.4/$T$1*Q138</f>
        <v>8.7053571428571425E-2</v>
      </c>
      <c r="X138">
        <f t="shared" ref="X138:X169" si="65">$R$1*P138/3.5/$T$1*Q138</f>
        <v>8.7053571428571425E-2</v>
      </c>
      <c r="Y138">
        <f t="shared" ref="Y138:Y169" si="66">$R$1/1.4/$T$1*V138</f>
        <v>7.2544642857142863E-2</v>
      </c>
      <c r="Z138" s="16">
        <f t="shared" ref="Z138:Z169" si="67">MAX(W138:Y138)</f>
        <v>8.7053571428571425E-2</v>
      </c>
      <c r="AE138" s="15">
        <v>2.56</v>
      </c>
      <c r="AF138" s="15">
        <f t="shared" si="55"/>
        <v>9.6875000000000003E-2</v>
      </c>
      <c r="AG138" s="15">
        <f t="shared" ref="AG138:AG169" si="68">$AF$4*$AF$5*AF138*$AF$6</f>
        <v>6.4906250000000013E-2</v>
      </c>
    </row>
    <row r="139" spans="13:33">
      <c r="M139">
        <v>2.58</v>
      </c>
      <c r="N139">
        <f t="shared" si="56"/>
        <v>0.30232558139534882</v>
      </c>
      <c r="O139">
        <f t="shared" si="57"/>
        <v>50.006168428141393</v>
      </c>
      <c r="P139">
        <f t="shared" si="58"/>
        <v>2.5</v>
      </c>
      <c r="Q139">
        <f t="shared" si="59"/>
        <v>0.12093023255813953</v>
      </c>
      <c r="R139">
        <v>2.58</v>
      </c>
      <c r="S139">
        <f t="shared" si="60"/>
        <v>0.40310077519379844</v>
      </c>
      <c r="T139">
        <f t="shared" si="61"/>
        <v>66.674891237521862</v>
      </c>
      <c r="U139" s="16">
        <f t="shared" si="62"/>
        <v>4</v>
      </c>
      <c r="V139" s="16">
        <f t="shared" si="63"/>
        <v>0.10077519379844961</v>
      </c>
      <c r="W139" s="16">
        <f t="shared" si="64"/>
        <v>8.6378737541528236E-2</v>
      </c>
      <c r="X139">
        <f t="shared" si="65"/>
        <v>8.6378737541528236E-2</v>
      </c>
      <c r="Y139">
        <f t="shared" si="66"/>
        <v>7.1982281284606861E-2</v>
      </c>
      <c r="Z139" s="16">
        <f t="shared" si="67"/>
        <v>8.6378737541528236E-2</v>
      </c>
      <c r="AE139" s="15">
        <v>2.58</v>
      </c>
      <c r="AF139" s="15">
        <f t="shared" ref="AF139:AF170" si="69">IF(0.248/AE139&lt;=0.0625,0.0625,IF(0.248/AE139&gt;=0.15,0.15,0.248/AE139))</f>
        <v>9.6124031007751937E-2</v>
      </c>
      <c r="AG139" s="15">
        <f t="shared" si="68"/>
        <v>6.4403100775193803E-2</v>
      </c>
    </row>
    <row r="140" spans="13:33">
      <c r="M140">
        <v>2.6</v>
      </c>
      <c r="N140">
        <f t="shared" si="56"/>
        <v>0.3</v>
      </c>
      <c r="O140">
        <f t="shared" si="57"/>
        <v>50.393813144638621</v>
      </c>
      <c r="P140">
        <f t="shared" si="58"/>
        <v>2.5</v>
      </c>
      <c r="Q140">
        <f t="shared" si="59"/>
        <v>0.12</v>
      </c>
      <c r="R140">
        <v>2.6</v>
      </c>
      <c r="S140">
        <f t="shared" si="60"/>
        <v>0.4</v>
      </c>
      <c r="T140">
        <f t="shared" si="61"/>
        <v>67.191750859518166</v>
      </c>
      <c r="U140" s="16">
        <f t="shared" si="62"/>
        <v>4</v>
      </c>
      <c r="V140" s="16">
        <f t="shared" si="63"/>
        <v>0.1</v>
      </c>
      <c r="W140" s="16">
        <f t="shared" si="64"/>
        <v>8.5714285714285715E-2</v>
      </c>
      <c r="X140">
        <f t="shared" si="65"/>
        <v>8.5714285714285715E-2</v>
      </c>
      <c r="Y140">
        <f t="shared" si="66"/>
        <v>7.1428571428571438E-2</v>
      </c>
      <c r="Z140" s="16">
        <f t="shared" si="67"/>
        <v>8.5714285714285715E-2</v>
      </c>
      <c r="AE140" s="15">
        <v>2.6</v>
      </c>
      <c r="AF140" s="15">
        <f t="shared" si="69"/>
        <v>9.5384615384615387E-2</v>
      </c>
      <c r="AG140" s="15">
        <f t="shared" si="68"/>
        <v>6.3907692307692304E-2</v>
      </c>
    </row>
    <row r="141" spans="13:33">
      <c r="M141">
        <v>2.62</v>
      </c>
      <c r="N141">
        <f t="shared" si="56"/>
        <v>0.29770992366412213</v>
      </c>
      <c r="O141">
        <f t="shared" si="57"/>
        <v>50.781457861135841</v>
      </c>
      <c r="P141">
        <f t="shared" si="58"/>
        <v>2.5</v>
      </c>
      <c r="Q141">
        <f t="shared" si="59"/>
        <v>0.11908396946564885</v>
      </c>
      <c r="R141">
        <v>2.62</v>
      </c>
      <c r="S141">
        <f t="shared" si="60"/>
        <v>0.39694656488549618</v>
      </c>
      <c r="T141">
        <f t="shared" si="61"/>
        <v>67.708610481514455</v>
      </c>
      <c r="U141" s="16">
        <f t="shared" si="62"/>
        <v>4</v>
      </c>
      <c r="V141" s="16">
        <f t="shared" si="63"/>
        <v>9.9236641221374045E-2</v>
      </c>
      <c r="W141" s="16">
        <f t="shared" si="64"/>
        <v>8.5059978189749183E-2</v>
      </c>
      <c r="X141">
        <f t="shared" si="65"/>
        <v>8.5059978189749183E-2</v>
      </c>
      <c r="Y141">
        <f t="shared" si="66"/>
        <v>7.0883315158124321E-2</v>
      </c>
      <c r="Z141" s="16">
        <f t="shared" si="67"/>
        <v>8.5059978189749183E-2</v>
      </c>
      <c r="AE141" s="15">
        <v>2.62</v>
      </c>
      <c r="AF141" s="15">
        <f t="shared" si="69"/>
        <v>9.465648854961832E-2</v>
      </c>
      <c r="AG141" s="15">
        <f t="shared" si="68"/>
        <v>6.341984732824428E-2</v>
      </c>
    </row>
    <row r="142" spans="13:33">
      <c r="M142">
        <v>2.64</v>
      </c>
      <c r="N142">
        <f t="shared" si="56"/>
        <v>0.29545454545454547</v>
      </c>
      <c r="O142">
        <f t="shared" si="57"/>
        <v>51.169102577633062</v>
      </c>
      <c r="P142">
        <f t="shared" si="58"/>
        <v>2.5</v>
      </c>
      <c r="Q142">
        <f t="shared" si="59"/>
        <v>0.11818181818181819</v>
      </c>
      <c r="R142">
        <v>2.64</v>
      </c>
      <c r="S142">
        <f t="shared" si="60"/>
        <v>0.39393939393939392</v>
      </c>
      <c r="T142">
        <f t="shared" si="61"/>
        <v>68.22547010351073</v>
      </c>
      <c r="U142" s="16">
        <f t="shared" si="62"/>
        <v>4</v>
      </c>
      <c r="V142" s="16">
        <f t="shared" si="63"/>
        <v>9.8484848484848481E-2</v>
      </c>
      <c r="W142" s="16">
        <f t="shared" si="64"/>
        <v>8.441558441558443E-2</v>
      </c>
      <c r="X142">
        <f t="shared" si="65"/>
        <v>8.441558441558443E-2</v>
      </c>
      <c r="Y142">
        <f t="shared" si="66"/>
        <v>7.0346320346320351E-2</v>
      </c>
      <c r="Z142" s="16">
        <f t="shared" si="67"/>
        <v>8.441558441558443E-2</v>
      </c>
      <c r="AE142" s="15">
        <v>2.64</v>
      </c>
      <c r="AF142" s="15">
        <f t="shared" si="69"/>
        <v>9.3939393939393934E-2</v>
      </c>
      <c r="AG142" s="15">
        <f t="shared" si="68"/>
        <v>6.2939393939393948E-2</v>
      </c>
    </row>
    <row r="143" spans="13:33">
      <c r="M143">
        <v>2.66</v>
      </c>
      <c r="N143">
        <f t="shared" si="56"/>
        <v>0.2932330827067669</v>
      </c>
      <c r="O143">
        <f t="shared" si="57"/>
        <v>51.556747294130275</v>
      </c>
      <c r="P143">
        <f t="shared" si="58"/>
        <v>2.5</v>
      </c>
      <c r="Q143">
        <f t="shared" si="59"/>
        <v>0.11729323308270675</v>
      </c>
      <c r="R143">
        <v>2.66</v>
      </c>
      <c r="S143">
        <f t="shared" si="60"/>
        <v>0.39097744360902253</v>
      </c>
      <c r="T143">
        <f t="shared" si="61"/>
        <v>68.742329725507034</v>
      </c>
      <c r="U143" s="16">
        <f t="shared" si="62"/>
        <v>4</v>
      </c>
      <c r="V143" s="16">
        <f t="shared" si="63"/>
        <v>9.7744360902255634E-2</v>
      </c>
      <c r="W143" s="16">
        <f t="shared" si="64"/>
        <v>8.3780880773361974E-2</v>
      </c>
      <c r="X143">
        <f t="shared" si="65"/>
        <v>8.3780880773361974E-2</v>
      </c>
      <c r="Y143">
        <f t="shared" si="66"/>
        <v>6.9817400644468314E-2</v>
      </c>
      <c r="Z143" s="16">
        <f t="shared" si="67"/>
        <v>8.3780880773361974E-2</v>
      </c>
      <c r="AE143" s="15">
        <v>2.66</v>
      </c>
      <c r="AF143" s="15">
        <f t="shared" si="69"/>
        <v>9.3233082706766918E-2</v>
      </c>
      <c r="AG143" s="15">
        <f t="shared" si="68"/>
        <v>6.2466165413533836E-2</v>
      </c>
    </row>
    <row r="144" spans="13:33">
      <c r="M144">
        <v>2.68</v>
      </c>
      <c r="N144">
        <f t="shared" si="56"/>
        <v>0.29104477611940299</v>
      </c>
      <c r="O144">
        <f t="shared" si="57"/>
        <v>51.94439201062751</v>
      </c>
      <c r="P144">
        <f t="shared" si="58"/>
        <v>2.5</v>
      </c>
      <c r="Q144">
        <f t="shared" si="59"/>
        <v>0.1164179104477612</v>
      </c>
      <c r="R144">
        <v>2.68</v>
      </c>
      <c r="S144">
        <f t="shared" si="60"/>
        <v>0.38805970149253732</v>
      </c>
      <c r="T144">
        <f t="shared" si="61"/>
        <v>69.259189347503337</v>
      </c>
      <c r="U144" s="16">
        <f t="shared" si="62"/>
        <v>4</v>
      </c>
      <c r="V144" s="16">
        <f t="shared" si="63"/>
        <v>9.7014925373134331E-2</v>
      </c>
      <c r="W144" s="16">
        <f t="shared" si="64"/>
        <v>8.3155650319829438E-2</v>
      </c>
      <c r="X144">
        <f t="shared" si="65"/>
        <v>8.3155650319829438E-2</v>
      </c>
      <c r="Y144">
        <f t="shared" si="66"/>
        <v>6.9296375266524518E-2</v>
      </c>
      <c r="Z144" s="16">
        <f t="shared" si="67"/>
        <v>8.3155650319829438E-2</v>
      </c>
      <c r="AE144" s="15">
        <v>2.68</v>
      </c>
      <c r="AF144" s="15">
        <f t="shared" si="69"/>
        <v>9.2537313432835819E-2</v>
      </c>
      <c r="AG144" s="15">
        <f t="shared" si="68"/>
        <v>6.2000000000000006E-2</v>
      </c>
    </row>
    <row r="145" spans="13:33">
      <c r="M145">
        <v>2.7</v>
      </c>
      <c r="N145">
        <f t="shared" si="56"/>
        <v>0.28888888888888886</v>
      </c>
      <c r="O145">
        <f t="shared" si="57"/>
        <v>52.332036727124716</v>
      </c>
      <c r="P145">
        <f t="shared" si="58"/>
        <v>2.5</v>
      </c>
      <c r="Q145">
        <f t="shared" si="59"/>
        <v>0.11555555555555555</v>
      </c>
      <c r="R145">
        <v>2.7</v>
      </c>
      <c r="S145">
        <f t="shared" si="60"/>
        <v>0.38518518518518519</v>
      </c>
      <c r="T145">
        <f t="shared" si="61"/>
        <v>69.776048969499627</v>
      </c>
      <c r="U145" s="16">
        <f t="shared" si="62"/>
        <v>4</v>
      </c>
      <c r="V145" s="16">
        <f t="shared" si="63"/>
        <v>9.6296296296296297E-2</v>
      </c>
      <c r="W145" s="16">
        <f t="shared" si="64"/>
        <v>8.2539682539682538E-2</v>
      </c>
      <c r="X145">
        <f t="shared" si="65"/>
        <v>8.2539682539682538E-2</v>
      </c>
      <c r="Y145">
        <f t="shared" si="66"/>
        <v>6.8783068783068779E-2</v>
      </c>
      <c r="Z145" s="16">
        <f t="shared" si="67"/>
        <v>8.2539682539682538E-2</v>
      </c>
      <c r="AE145" s="15">
        <v>2.7</v>
      </c>
      <c r="AF145" s="15">
        <f t="shared" si="69"/>
        <v>9.1851851851851851E-2</v>
      </c>
      <c r="AG145" s="15">
        <f t="shared" si="68"/>
        <v>6.154074074074075E-2</v>
      </c>
    </row>
    <row r="146" spans="13:33">
      <c r="M146">
        <v>2.72</v>
      </c>
      <c r="N146">
        <f t="shared" si="56"/>
        <v>0.28676470588235292</v>
      </c>
      <c r="O146">
        <f t="shared" si="57"/>
        <v>52.719681443621944</v>
      </c>
      <c r="P146">
        <f t="shared" si="58"/>
        <v>2.5</v>
      </c>
      <c r="Q146">
        <f t="shared" si="59"/>
        <v>0.11470588235294117</v>
      </c>
      <c r="R146">
        <v>2.72</v>
      </c>
      <c r="S146">
        <f t="shared" si="60"/>
        <v>0.38235294117647056</v>
      </c>
      <c r="T146">
        <f t="shared" si="61"/>
        <v>70.292908591495916</v>
      </c>
      <c r="U146" s="16">
        <f t="shared" si="62"/>
        <v>4</v>
      </c>
      <c r="V146" s="16">
        <f t="shared" si="63"/>
        <v>9.5588235294117641E-2</v>
      </c>
      <c r="W146" s="16">
        <f t="shared" si="64"/>
        <v>8.1932773109243698E-2</v>
      </c>
      <c r="X146">
        <f t="shared" si="65"/>
        <v>8.1932773109243698E-2</v>
      </c>
      <c r="Y146">
        <f t="shared" si="66"/>
        <v>6.8277310924369741E-2</v>
      </c>
      <c r="Z146" s="16">
        <f t="shared" si="67"/>
        <v>8.1932773109243698E-2</v>
      </c>
      <c r="AE146" s="15">
        <v>2.72</v>
      </c>
      <c r="AF146" s="15">
        <f t="shared" si="69"/>
        <v>9.1176470588235289E-2</v>
      </c>
      <c r="AG146" s="15">
        <f t="shared" si="68"/>
        <v>6.1088235294117645E-2</v>
      </c>
    </row>
    <row r="147" spans="13:33">
      <c r="M147">
        <v>2.74</v>
      </c>
      <c r="N147">
        <f t="shared" si="56"/>
        <v>0.28467153284671531</v>
      </c>
      <c r="O147">
        <f t="shared" si="57"/>
        <v>53.107326160119165</v>
      </c>
      <c r="P147">
        <f t="shared" si="58"/>
        <v>2.5</v>
      </c>
      <c r="Q147">
        <f t="shared" si="59"/>
        <v>0.11386861313868613</v>
      </c>
      <c r="R147">
        <v>2.74</v>
      </c>
      <c r="S147">
        <f t="shared" si="60"/>
        <v>0.37956204379562042</v>
      </c>
      <c r="T147">
        <f t="shared" si="61"/>
        <v>70.80976821349222</v>
      </c>
      <c r="U147" s="16">
        <f t="shared" si="62"/>
        <v>4</v>
      </c>
      <c r="V147" s="16">
        <f t="shared" si="63"/>
        <v>9.4890510948905105E-2</v>
      </c>
      <c r="W147" s="16">
        <f t="shared" si="64"/>
        <v>8.1334723670490092E-2</v>
      </c>
      <c r="X147">
        <f t="shared" si="65"/>
        <v>8.1334723670490092E-2</v>
      </c>
      <c r="Y147">
        <f t="shared" si="66"/>
        <v>6.7778936392075079E-2</v>
      </c>
      <c r="Z147" s="16">
        <f t="shared" si="67"/>
        <v>8.1334723670490092E-2</v>
      </c>
      <c r="AE147" s="15">
        <v>2.74</v>
      </c>
      <c r="AF147" s="15">
        <f t="shared" si="69"/>
        <v>9.0510948905109481E-2</v>
      </c>
      <c r="AG147" s="15">
        <f t="shared" si="68"/>
        <v>6.0642335766423361E-2</v>
      </c>
    </row>
    <row r="148" spans="13:33">
      <c r="M148">
        <v>2.76</v>
      </c>
      <c r="N148">
        <f t="shared" si="56"/>
        <v>0.28260869565217395</v>
      </c>
      <c r="O148">
        <f t="shared" si="57"/>
        <v>53.494970876616364</v>
      </c>
      <c r="P148">
        <f t="shared" si="58"/>
        <v>2.5</v>
      </c>
      <c r="Q148">
        <f t="shared" si="59"/>
        <v>0.11304347826086958</v>
      </c>
      <c r="R148">
        <v>2.76</v>
      </c>
      <c r="S148">
        <f t="shared" si="60"/>
        <v>0.37681159420289861</v>
      </c>
      <c r="T148">
        <f t="shared" si="61"/>
        <v>71.326627835488495</v>
      </c>
      <c r="U148" s="16">
        <f t="shared" si="62"/>
        <v>4</v>
      </c>
      <c r="V148" s="16">
        <f t="shared" si="63"/>
        <v>9.4202898550724654E-2</v>
      </c>
      <c r="W148" s="16">
        <f t="shared" si="64"/>
        <v>8.0745341614906846E-2</v>
      </c>
      <c r="X148">
        <f t="shared" si="65"/>
        <v>8.0745341614906846E-2</v>
      </c>
      <c r="Y148">
        <f t="shared" si="66"/>
        <v>6.7287784679089038E-2</v>
      </c>
      <c r="Z148" s="16">
        <f t="shared" si="67"/>
        <v>8.0745341614906846E-2</v>
      </c>
      <c r="AE148" s="15">
        <v>2.76</v>
      </c>
      <c r="AF148" s="15">
        <f t="shared" si="69"/>
        <v>8.9855072463768129E-2</v>
      </c>
      <c r="AG148" s="15">
        <f t="shared" si="68"/>
        <v>6.0202898550724651E-2</v>
      </c>
    </row>
    <row r="149" spans="13:33">
      <c r="M149">
        <v>2.78</v>
      </c>
      <c r="N149">
        <f t="shared" si="56"/>
        <v>0.28057553956834536</v>
      </c>
      <c r="O149">
        <f t="shared" si="57"/>
        <v>53.882615593113592</v>
      </c>
      <c r="P149">
        <f t="shared" si="58"/>
        <v>2.5</v>
      </c>
      <c r="Q149">
        <f t="shared" si="59"/>
        <v>0.11223021582733814</v>
      </c>
      <c r="R149">
        <v>2.78</v>
      </c>
      <c r="S149">
        <f t="shared" si="60"/>
        <v>0.37410071942446049</v>
      </c>
      <c r="T149">
        <f t="shared" si="61"/>
        <v>71.843487457484798</v>
      </c>
      <c r="U149" s="16">
        <f t="shared" si="62"/>
        <v>4</v>
      </c>
      <c r="V149" s="16">
        <f t="shared" si="63"/>
        <v>9.3525179856115123E-2</v>
      </c>
      <c r="W149" s="16">
        <f t="shared" si="64"/>
        <v>8.0164439876670102E-2</v>
      </c>
      <c r="X149">
        <f t="shared" si="65"/>
        <v>8.0164439876670102E-2</v>
      </c>
      <c r="Y149">
        <f t="shared" si="66"/>
        <v>6.6803699897225094E-2</v>
      </c>
      <c r="Z149" s="16">
        <f t="shared" si="67"/>
        <v>8.0164439876670102E-2</v>
      </c>
      <c r="AE149" s="15">
        <v>2.78</v>
      </c>
      <c r="AF149" s="15">
        <f t="shared" si="69"/>
        <v>8.9208633093525183E-2</v>
      </c>
      <c r="AG149" s="15">
        <f t="shared" si="68"/>
        <v>5.9769784172661877E-2</v>
      </c>
    </row>
    <row r="150" spans="13:33">
      <c r="M150">
        <v>2.8</v>
      </c>
      <c r="N150">
        <f t="shared" si="56"/>
        <v>0.27857142857142858</v>
      </c>
      <c r="O150">
        <f t="shared" si="57"/>
        <v>54.270260309610805</v>
      </c>
      <c r="P150">
        <f t="shared" si="58"/>
        <v>2.5</v>
      </c>
      <c r="Q150">
        <f t="shared" si="59"/>
        <v>0.11142857142857143</v>
      </c>
      <c r="R150">
        <v>2.8</v>
      </c>
      <c r="S150">
        <f t="shared" si="60"/>
        <v>0.37142857142857144</v>
      </c>
      <c r="T150">
        <f t="shared" si="61"/>
        <v>72.360347079481073</v>
      </c>
      <c r="U150" s="16">
        <f t="shared" si="62"/>
        <v>4</v>
      </c>
      <c r="V150" s="16">
        <f t="shared" si="63"/>
        <v>9.285714285714286E-2</v>
      </c>
      <c r="W150" s="16">
        <f t="shared" si="64"/>
        <v>7.9591836734693888E-2</v>
      </c>
      <c r="X150">
        <f t="shared" si="65"/>
        <v>7.9591836734693888E-2</v>
      </c>
      <c r="Y150">
        <f t="shared" si="66"/>
        <v>6.6326530612244902E-2</v>
      </c>
      <c r="Z150" s="16">
        <f t="shared" si="67"/>
        <v>7.9591836734693888E-2</v>
      </c>
      <c r="AE150" s="15">
        <v>2.8</v>
      </c>
      <c r="AF150" s="15">
        <f t="shared" si="69"/>
        <v>8.8571428571428579E-2</v>
      </c>
      <c r="AG150" s="15">
        <f t="shared" si="68"/>
        <v>5.9342857142857149E-2</v>
      </c>
    </row>
    <row r="151" spans="13:33">
      <c r="M151">
        <v>2.82</v>
      </c>
      <c r="N151">
        <f t="shared" si="56"/>
        <v>0.27659574468085107</v>
      </c>
      <c r="O151">
        <f t="shared" si="57"/>
        <v>54.657905026108025</v>
      </c>
      <c r="P151">
        <f t="shared" si="58"/>
        <v>2.5</v>
      </c>
      <c r="Q151">
        <f t="shared" si="59"/>
        <v>0.11063829787234043</v>
      </c>
      <c r="R151">
        <v>2.82</v>
      </c>
      <c r="S151">
        <f t="shared" si="60"/>
        <v>0.36879432624113478</v>
      </c>
      <c r="T151">
        <f t="shared" si="61"/>
        <v>72.877206701477377</v>
      </c>
      <c r="U151" s="16">
        <f t="shared" si="62"/>
        <v>4</v>
      </c>
      <c r="V151" s="16">
        <f t="shared" si="63"/>
        <v>9.2198581560283696E-2</v>
      </c>
      <c r="W151" s="16">
        <f t="shared" si="64"/>
        <v>7.9027355623100315E-2</v>
      </c>
      <c r="X151">
        <f t="shared" si="65"/>
        <v>7.9027355623100315E-2</v>
      </c>
      <c r="Y151">
        <f t="shared" si="66"/>
        <v>6.5856129685916934E-2</v>
      </c>
      <c r="Z151" s="16">
        <f t="shared" si="67"/>
        <v>7.9027355623100315E-2</v>
      </c>
      <c r="AE151" s="15">
        <v>2.82</v>
      </c>
      <c r="AF151" s="15">
        <f t="shared" si="69"/>
        <v>8.794326241134752E-2</v>
      </c>
      <c r="AG151" s="15">
        <f t="shared" si="68"/>
        <v>5.8921985815602838E-2</v>
      </c>
    </row>
    <row r="152" spans="13:33">
      <c r="M152">
        <v>2.84</v>
      </c>
      <c r="N152">
        <f t="shared" si="56"/>
        <v>0.27464788732394368</v>
      </c>
      <c r="O152">
        <f t="shared" si="57"/>
        <v>55.045549742605253</v>
      </c>
      <c r="P152">
        <f t="shared" si="58"/>
        <v>2.5</v>
      </c>
      <c r="Q152">
        <f t="shared" si="59"/>
        <v>0.10985915492957747</v>
      </c>
      <c r="R152">
        <v>2.84</v>
      </c>
      <c r="S152">
        <f t="shared" si="60"/>
        <v>0.36619718309859156</v>
      </c>
      <c r="T152">
        <f t="shared" si="61"/>
        <v>73.39406632347368</v>
      </c>
      <c r="U152" s="16">
        <f t="shared" si="62"/>
        <v>4</v>
      </c>
      <c r="V152" s="16">
        <f t="shared" si="63"/>
        <v>9.154929577464789E-2</v>
      </c>
      <c r="W152" s="16">
        <f t="shared" si="64"/>
        <v>7.847082494969819E-2</v>
      </c>
      <c r="X152">
        <f t="shared" si="65"/>
        <v>7.847082494969819E-2</v>
      </c>
      <c r="Y152">
        <f t="shared" si="66"/>
        <v>6.5392354124748489E-2</v>
      </c>
      <c r="Z152" s="16">
        <f t="shared" si="67"/>
        <v>7.847082494969819E-2</v>
      </c>
      <c r="AE152" s="15">
        <v>2.84</v>
      </c>
      <c r="AF152" s="15">
        <f t="shared" si="69"/>
        <v>8.732394366197184E-2</v>
      </c>
      <c r="AG152" s="15">
        <f t="shared" si="68"/>
        <v>5.8507042253521137E-2</v>
      </c>
    </row>
    <row r="153" spans="13:33">
      <c r="M153">
        <v>2.86</v>
      </c>
      <c r="N153">
        <f t="shared" si="56"/>
        <v>0.27272727272727276</v>
      </c>
      <c r="O153">
        <f t="shared" si="57"/>
        <v>55.433194459102467</v>
      </c>
      <c r="P153">
        <f t="shared" si="58"/>
        <v>2.5</v>
      </c>
      <c r="Q153">
        <f t="shared" si="59"/>
        <v>0.1090909090909091</v>
      </c>
      <c r="R153">
        <v>2.86</v>
      </c>
      <c r="S153">
        <f t="shared" si="60"/>
        <v>0.36363636363636365</v>
      </c>
      <c r="T153">
        <f t="shared" si="61"/>
        <v>73.910925945469955</v>
      </c>
      <c r="U153" s="16">
        <f t="shared" si="62"/>
        <v>4</v>
      </c>
      <c r="V153" s="16">
        <f t="shared" si="63"/>
        <v>9.0909090909090912E-2</v>
      </c>
      <c r="W153" s="16">
        <f t="shared" si="64"/>
        <v>7.7922077922077934E-2</v>
      </c>
      <c r="X153">
        <f t="shared" si="65"/>
        <v>7.7922077922077934E-2</v>
      </c>
      <c r="Y153">
        <f t="shared" si="66"/>
        <v>6.4935064935064943E-2</v>
      </c>
      <c r="Z153" s="16">
        <f t="shared" si="67"/>
        <v>7.7922077922077934E-2</v>
      </c>
      <c r="AE153" s="15">
        <v>2.86</v>
      </c>
      <c r="AF153" s="15">
        <f t="shared" si="69"/>
        <v>8.6713286713286722E-2</v>
      </c>
      <c r="AG153" s="15">
        <f t="shared" si="68"/>
        <v>5.809790209790211E-2</v>
      </c>
    </row>
    <row r="154" spans="13:33">
      <c r="M154">
        <v>2.88</v>
      </c>
      <c r="N154">
        <f t="shared" si="56"/>
        <v>0.27083333333333337</v>
      </c>
      <c r="O154">
        <f t="shared" si="57"/>
        <v>55.820839175599701</v>
      </c>
      <c r="P154">
        <f t="shared" si="58"/>
        <v>2.5</v>
      </c>
      <c r="Q154">
        <f t="shared" si="59"/>
        <v>0.10833333333333335</v>
      </c>
      <c r="R154">
        <v>2.88</v>
      </c>
      <c r="S154">
        <f t="shared" si="60"/>
        <v>0.36111111111111116</v>
      </c>
      <c r="T154">
        <f t="shared" si="61"/>
        <v>74.427785567466259</v>
      </c>
      <c r="U154" s="16">
        <f t="shared" si="62"/>
        <v>4</v>
      </c>
      <c r="V154" s="16">
        <f t="shared" si="63"/>
        <v>9.027777777777779E-2</v>
      </c>
      <c r="W154" s="16">
        <f t="shared" si="64"/>
        <v>7.7380952380952397E-2</v>
      </c>
      <c r="X154">
        <f t="shared" si="65"/>
        <v>7.7380952380952397E-2</v>
      </c>
      <c r="Y154">
        <f t="shared" si="66"/>
        <v>6.4484126984126991E-2</v>
      </c>
      <c r="Z154" s="16">
        <f t="shared" si="67"/>
        <v>7.7380952380952397E-2</v>
      </c>
      <c r="AE154" s="15">
        <v>2.88</v>
      </c>
      <c r="AF154" s="15">
        <f t="shared" si="69"/>
        <v>8.611111111111111E-2</v>
      </c>
      <c r="AG154" s="15">
        <f t="shared" si="68"/>
        <v>5.7694444444444451E-2</v>
      </c>
    </row>
    <row r="155" spans="13:33">
      <c r="M155">
        <v>2.9</v>
      </c>
      <c r="N155">
        <f t="shared" si="56"/>
        <v>0.26896551724137935</v>
      </c>
      <c r="O155">
        <f t="shared" si="57"/>
        <v>56.208483892096922</v>
      </c>
      <c r="P155">
        <f t="shared" si="58"/>
        <v>2.5</v>
      </c>
      <c r="Q155">
        <f t="shared" si="59"/>
        <v>0.10758620689655174</v>
      </c>
      <c r="R155">
        <v>2.9</v>
      </c>
      <c r="S155">
        <f t="shared" si="60"/>
        <v>0.35862068965517246</v>
      </c>
      <c r="T155">
        <f t="shared" si="61"/>
        <v>74.944645189462577</v>
      </c>
      <c r="U155" s="16">
        <f t="shared" si="62"/>
        <v>4</v>
      </c>
      <c r="V155" s="16">
        <f t="shared" si="63"/>
        <v>8.9655172413793116E-2</v>
      </c>
      <c r="W155" s="16">
        <f t="shared" si="64"/>
        <v>7.6847290640394098E-2</v>
      </c>
      <c r="X155">
        <f t="shared" si="65"/>
        <v>7.6847290640394098E-2</v>
      </c>
      <c r="Y155">
        <f t="shared" si="66"/>
        <v>6.4039408866995079E-2</v>
      </c>
      <c r="Z155" s="16">
        <f t="shared" si="67"/>
        <v>7.6847290640394098E-2</v>
      </c>
      <c r="AE155" s="15">
        <v>2.9</v>
      </c>
      <c r="AF155" s="15">
        <f t="shared" si="69"/>
        <v>8.5517241379310341E-2</v>
      </c>
      <c r="AG155" s="15">
        <f t="shared" si="68"/>
        <v>5.7296551724137931E-2</v>
      </c>
    </row>
    <row r="156" spans="13:33">
      <c r="M156">
        <v>2.92</v>
      </c>
      <c r="N156">
        <f t="shared" si="56"/>
        <v>0.26712328767123289</v>
      </c>
      <c r="O156">
        <f t="shared" si="57"/>
        <v>56.596128608594121</v>
      </c>
      <c r="P156">
        <f t="shared" si="58"/>
        <v>2.5</v>
      </c>
      <c r="Q156">
        <f t="shared" si="59"/>
        <v>0.10684931506849316</v>
      </c>
      <c r="R156">
        <v>2.92</v>
      </c>
      <c r="S156">
        <f t="shared" si="60"/>
        <v>0.35616438356164387</v>
      </c>
      <c r="T156">
        <f t="shared" si="61"/>
        <v>75.461504811458838</v>
      </c>
      <c r="U156" s="16">
        <f t="shared" si="62"/>
        <v>4</v>
      </c>
      <c r="V156" s="16">
        <f t="shared" si="63"/>
        <v>8.9041095890410968E-2</v>
      </c>
      <c r="W156" s="16">
        <f t="shared" si="64"/>
        <v>7.6320939334637974E-2</v>
      </c>
      <c r="X156">
        <f t="shared" si="65"/>
        <v>7.6320939334637974E-2</v>
      </c>
      <c r="Y156">
        <f t="shared" si="66"/>
        <v>6.3600782778864981E-2</v>
      </c>
      <c r="Z156" s="16">
        <f t="shared" si="67"/>
        <v>7.6320939334637974E-2</v>
      </c>
      <c r="AE156" s="15">
        <v>2.92</v>
      </c>
      <c r="AF156" s="15">
        <f t="shared" si="69"/>
        <v>8.4931506849315067E-2</v>
      </c>
      <c r="AG156" s="15">
        <f t="shared" si="68"/>
        <v>5.6904109589041095E-2</v>
      </c>
    </row>
    <row r="157" spans="13:33">
      <c r="M157">
        <v>2.94</v>
      </c>
      <c r="N157">
        <f t="shared" si="56"/>
        <v>0.26530612244897961</v>
      </c>
      <c r="O157">
        <f t="shared" si="57"/>
        <v>56.983773325091349</v>
      </c>
      <c r="P157">
        <f t="shared" si="58"/>
        <v>2.5</v>
      </c>
      <c r="Q157">
        <f t="shared" si="59"/>
        <v>0.10612244897959185</v>
      </c>
      <c r="R157">
        <v>2.94</v>
      </c>
      <c r="S157">
        <f t="shared" si="60"/>
        <v>0.35374149659863946</v>
      </c>
      <c r="T157">
        <f t="shared" si="61"/>
        <v>75.978364433455127</v>
      </c>
      <c r="U157" s="16">
        <f t="shared" si="62"/>
        <v>4</v>
      </c>
      <c r="V157" s="16">
        <f t="shared" si="63"/>
        <v>8.8435374149659865E-2</v>
      </c>
      <c r="W157" s="16">
        <f t="shared" si="64"/>
        <v>7.5801749271137031E-2</v>
      </c>
      <c r="X157">
        <f t="shared" si="65"/>
        <v>7.5801749271137031E-2</v>
      </c>
      <c r="Y157">
        <f t="shared" si="66"/>
        <v>6.3168124392614197E-2</v>
      </c>
      <c r="Z157" s="16">
        <f t="shared" si="67"/>
        <v>7.5801749271137031E-2</v>
      </c>
      <c r="AE157" s="15">
        <v>2.94</v>
      </c>
      <c r="AF157" s="15">
        <f t="shared" si="69"/>
        <v>8.4353741496598647E-2</v>
      </c>
      <c r="AG157" s="15">
        <f t="shared" si="68"/>
        <v>5.6517006802721093E-2</v>
      </c>
    </row>
    <row r="158" spans="13:33">
      <c r="M158">
        <v>2.96</v>
      </c>
      <c r="N158">
        <f t="shared" si="56"/>
        <v>0.26351351351351354</v>
      </c>
      <c r="O158">
        <f t="shared" si="57"/>
        <v>57.371418041588576</v>
      </c>
      <c r="P158">
        <f t="shared" si="58"/>
        <v>2.5</v>
      </c>
      <c r="Q158">
        <f t="shared" si="59"/>
        <v>0.10540540540540541</v>
      </c>
      <c r="R158">
        <v>2.96</v>
      </c>
      <c r="S158">
        <f t="shared" si="60"/>
        <v>0.35135135135135137</v>
      </c>
      <c r="T158">
        <f t="shared" si="61"/>
        <v>76.49522405545143</v>
      </c>
      <c r="U158" s="16">
        <f t="shared" si="62"/>
        <v>4</v>
      </c>
      <c r="V158" s="16">
        <f t="shared" si="63"/>
        <v>8.7837837837837843E-2</v>
      </c>
      <c r="W158" s="16">
        <f t="shared" si="64"/>
        <v>7.5289575289575292E-2</v>
      </c>
      <c r="X158">
        <f t="shared" si="65"/>
        <v>7.5289575289575292E-2</v>
      </c>
      <c r="Y158">
        <f t="shared" si="66"/>
        <v>6.2741312741312741E-2</v>
      </c>
      <c r="Z158" s="16">
        <f t="shared" si="67"/>
        <v>7.5289575289575292E-2</v>
      </c>
      <c r="AE158" s="15">
        <v>2.96</v>
      </c>
      <c r="AF158" s="15">
        <f t="shared" si="69"/>
        <v>8.3783783783783788E-2</v>
      </c>
      <c r="AG158" s="15">
        <f t="shared" si="68"/>
        <v>5.6135135135135142E-2</v>
      </c>
    </row>
    <row r="159" spans="13:33">
      <c r="M159">
        <v>2.98</v>
      </c>
      <c r="N159">
        <f t="shared" si="56"/>
        <v>0.26174496644295303</v>
      </c>
      <c r="O159">
        <f t="shared" si="57"/>
        <v>57.75906275808579</v>
      </c>
      <c r="P159">
        <f t="shared" si="58"/>
        <v>2.5</v>
      </c>
      <c r="Q159">
        <f t="shared" si="59"/>
        <v>0.10469798657718121</v>
      </c>
      <c r="R159">
        <v>2.98</v>
      </c>
      <c r="S159">
        <f t="shared" si="60"/>
        <v>0.34899328859060402</v>
      </c>
      <c r="T159">
        <f t="shared" si="61"/>
        <v>77.01208367744772</v>
      </c>
      <c r="U159" s="16">
        <f t="shared" si="62"/>
        <v>4</v>
      </c>
      <c r="V159" s="16">
        <f t="shared" si="63"/>
        <v>8.7248322147651006E-2</v>
      </c>
      <c r="W159" s="16">
        <f t="shared" si="64"/>
        <v>7.4784276126558011E-2</v>
      </c>
      <c r="X159">
        <f t="shared" si="65"/>
        <v>7.4784276126558011E-2</v>
      </c>
      <c r="Y159">
        <f t="shared" si="66"/>
        <v>6.2320230105465002E-2</v>
      </c>
      <c r="Z159" s="16">
        <f t="shared" si="67"/>
        <v>7.4784276126558011E-2</v>
      </c>
      <c r="AE159" s="15">
        <v>2.98</v>
      </c>
      <c r="AF159" s="15">
        <f t="shared" si="69"/>
        <v>8.3221476510067116E-2</v>
      </c>
      <c r="AG159" s="15">
        <f t="shared" si="68"/>
        <v>5.5758389261744971E-2</v>
      </c>
    </row>
    <row r="160" spans="13:33">
      <c r="M160">
        <v>3</v>
      </c>
      <c r="N160">
        <f t="shared" si="56"/>
        <v>0.26</v>
      </c>
      <c r="O160">
        <f t="shared" si="57"/>
        <v>58.146707474583017</v>
      </c>
      <c r="P160">
        <f t="shared" si="58"/>
        <v>2.5</v>
      </c>
      <c r="Q160">
        <f t="shared" si="59"/>
        <v>0.10400000000000001</v>
      </c>
      <c r="R160">
        <v>3</v>
      </c>
      <c r="S160">
        <f t="shared" si="60"/>
        <v>0.34666666666666668</v>
      </c>
      <c r="T160">
        <f t="shared" si="61"/>
        <v>77.528943299444009</v>
      </c>
      <c r="U160" s="16">
        <f t="shared" si="62"/>
        <v>4</v>
      </c>
      <c r="V160" s="16">
        <f t="shared" si="63"/>
        <v>8.666666666666667E-2</v>
      </c>
      <c r="W160" s="16">
        <f t="shared" si="64"/>
        <v>7.4285714285714288E-2</v>
      </c>
      <c r="X160">
        <f t="shared" si="65"/>
        <v>7.4285714285714288E-2</v>
      </c>
      <c r="Y160">
        <f t="shared" si="66"/>
        <v>6.1904761904761907E-2</v>
      </c>
      <c r="Z160" s="16">
        <f t="shared" si="67"/>
        <v>7.4285714285714288E-2</v>
      </c>
      <c r="AE160" s="15">
        <v>3</v>
      </c>
      <c r="AF160" s="15">
        <f t="shared" si="69"/>
        <v>8.2666666666666666E-2</v>
      </c>
      <c r="AG160" s="15">
        <f t="shared" si="68"/>
        <v>5.5386666666666667E-2</v>
      </c>
    </row>
    <row r="161" spans="13:33">
      <c r="M161">
        <v>3.02</v>
      </c>
      <c r="N161">
        <f t="shared" si="56"/>
        <v>0.25827814569536423</v>
      </c>
      <c r="O161">
        <f t="shared" si="57"/>
        <v>58.534352191080231</v>
      </c>
      <c r="P161">
        <f t="shared" si="58"/>
        <v>2.5</v>
      </c>
      <c r="Q161">
        <f t="shared" si="59"/>
        <v>0.10331125827814569</v>
      </c>
      <c r="R161">
        <v>3.02</v>
      </c>
      <c r="S161">
        <f t="shared" si="60"/>
        <v>0.3443708609271523</v>
      </c>
      <c r="T161">
        <f t="shared" si="61"/>
        <v>78.045802921440313</v>
      </c>
      <c r="U161" s="16">
        <f t="shared" si="62"/>
        <v>4</v>
      </c>
      <c r="V161" s="16">
        <f t="shared" si="63"/>
        <v>8.6092715231788075E-2</v>
      </c>
      <c r="W161" s="16">
        <f t="shared" si="64"/>
        <v>7.3793755912961209E-2</v>
      </c>
      <c r="X161">
        <f t="shared" si="65"/>
        <v>7.3793755912961209E-2</v>
      </c>
      <c r="Y161">
        <f t="shared" si="66"/>
        <v>6.1494796594134343E-2</v>
      </c>
      <c r="Z161" s="16">
        <f t="shared" si="67"/>
        <v>7.3793755912961209E-2</v>
      </c>
      <c r="AE161" s="15">
        <v>3.02</v>
      </c>
      <c r="AF161" s="15">
        <f t="shared" si="69"/>
        <v>8.211920529801324E-2</v>
      </c>
      <c r="AG161" s="15">
        <f t="shared" si="68"/>
        <v>5.5019867549668873E-2</v>
      </c>
    </row>
    <row r="162" spans="13:33">
      <c r="M162">
        <v>3.04</v>
      </c>
      <c r="N162">
        <f t="shared" si="56"/>
        <v>0.25657894736842107</v>
      </c>
      <c r="O162">
        <f t="shared" si="57"/>
        <v>58.921996907577459</v>
      </c>
      <c r="P162">
        <f t="shared" si="58"/>
        <v>2.5</v>
      </c>
      <c r="Q162">
        <f t="shared" si="59"/>
        <v>0.10263157894736843</v>
      </c>
      <c r="R162">
        <v>3.04</v>
      </c>
      <c r="S162">
        <f t="shared" si="60"/>
        <v>0.34210526315789475</v>
      </c>
      <c r="T162">
        <f t="shared" si="61"/>
        <v>78.562662543436602</v>
      </c>
      <c r="U162" s="16">
        <f t="shared" si="62"/>
        <v>4</v>
      </c>
      <c r="V162" s="16">
        <f t="shared" si="63"/>
        <v>8.5526315789473686E-2</v>
      </c>
      <c r="W162" s="16">
        <f t="shared" si="64"/>
        <v>7.3308270676691739E-2</v>
      </c>
      <c r="X162">
        <f t="shared" si="65"/>
        <v>7.3308270676691739E-2</v>
      </c>
      <c r="Y162">
        <f t="shared" si="66"/>
        <v>6.1090225563909778E-2</v>
      </c>
      <c r="Z162" s="16">
        <f t="shared" si="67"/>
        <v>7.3308270676691739E-2</v>
      </c>
      <c r="AE162" s="15">
        <v>3.04</v>
      </c>
      <c r="AF162" s="15">
        <f t="shared" si="69"/>
        <v>8.1578947368421056E-2</v>
      </c>
      <c r="AG162" s="15">
        <f t="shared" si="68"/>
        <v>5.4657894736842114E-2</v>
      </c>
    </row>
    <row r="163" spans="13:33">
      <c r="M163">
        <v>3.06</v>
      </c>
      <c r="N163">
        <f t="shared" si="56"/>
        <v>0.25490196078431371</v>
      </c>
      <c r="O163">
        <f t="shared" si="57"/>
        <v>59.309641624074665</v>
      </c>
      <c r="P163">
        <f t="shared" si="58"/>
        <v>2.5</v>
      </c>
      <c r="Q163">
        <f t="shared" si="59"/>
        <v>0.10196078431372549</v>
      </c>
      <c r="R163">
        <v>3.06</v>
      </c>
      <c r="S163">
        <f t="shared" si="60"/>
        <v>0.33986928104575165</v>
      </c>
      <c r="T163">
        <f t="shared" si="61"/>
        <v>79.079522165432905</v>
      </c>
      <c r="U163" s="16">
        <f t="shared" si="62"/>
        <v>4</v>
      </c>
      <c r="V163" s="16">
        <f t="shared" si="63"/>
        <v>8.4967320261437912E-2</v>
      </c>
      <c r="W163" s="16">
        <f t="shared" si="64"/>
        <v>7.2829131652661069E-2</v>
      </c>
      <c r="X163">
        <f t="shared" si="65"/>
        <v>7.2829131652661069E-2</v>
      </c>
      <c r="Y163">
        <f t="shared" si="66"/>
        <v>6.0690943043884227E-2</v>
      </c>
      <c r="Z163" s="16">
        <f t="shared" si="67"/>
        <v>7.2829131652661069E-2</v>
      </c>
      <c r="AE163" s="15">
        <v>3.06</v>
      </c>
      <c r="AF163" s="15">
        <f t="shared" si="69"/>
        <v>8.1045751633986932E-2</v>
      </c>
      <c r="AG163" s="15">
        <f t="shared" si="68"/>
        <v>5.430065359477125E-2</v>
      </c>
    </row>
    <row r="164" spans="13:33">
      <c r="M164">
        <v>3.08</v>
      </c>
      <c r="N164">
        <f t="shared" si="56"/>
        <v>0.25324675324675328</v>
      </c>
      <c r="O164">
        <f t="shared" si="57"/>
        <v>59.6972863405719</v>
      </c>
      <c r="P164">
        <f t="shared" si="58"/>
        <v>2.5</v>
      </c>
      <c r="Q164">
        <f t="shared" si="59"/>
        <v>0.1012987012987013</v>
      </c>
      <c r="R164">
        <v>3.08</v>
      </c>
      <c r="S164">
        <f t="shared" si="60"/>
        <v>0.33766233766233766</v>
      </c>
      <c r="T164">
        <f t="shared" si="61"/>
        <v>79.596381787429195</v>
      </c>
      <c r="U164" s="16">
        <f t="shared" si="62"/>
        <v>4</v>
      </c>
      <c r="V164" s="16">
        <f t="shared" si="63"/>
        <v>8.4415584415584416E-2</v>
      </c>
      <c r="W164" s="16">
        <f t="shared" si="64"/>
        <v>7.2356215213358083E-2</v>
      </c>
      <c r="X164">
        <f t="shared" si="65"/>
        <v>7.2356215213358083E-2</v>
      </c>
      <c r="Y164">
        <f t="shared" si="66"/>
        <v>6.0296846011131729E-2</v>
      </c>
      <c r="Z164" s="16">
        <f t="shared" si="67"/>
        <v>7.2356215213358083E-2</v>
      </c>
      <c r="AE164" s="15">
        <v>3.08</v>
      </c>
      <c r="AF164" s="15">
        <f t="shared" si="69"/>
        <v>8.0519480519480519E-2</v>
      </c>
      <c r="AG164" s="15">
        <f t="shared" si="68"/>
        <v>5.3948051948051953E-2</v>
      </c>
    </row>
    <row r="165" spans="13:33">
      <c r="M165">
        <v>3.1</v>
      </c>
      <c r="N165">
        <f t="shared" si="56"/>
        <v>0.25161290322580643</v>
      </c>
      <c r="O165">
        <f t="shared" si="57"/>
        <v>60.08493105706912</v>
      </c>
      <c r="P165">
        <f t="shared" si="58"/>
        <v>2.5</v>
      </c>
      <c r="Q165">
        <f t="shared" si="59"/>
        <v>0.10064516129032257</v>
      </c>
      <c r="R165">
        <v>3.1</v>
      </c>
      <c r="S165">
        <f t="shared" si="60"/>
        <v>0.33548387096774196</v>
      </c>
      <c r="T165">
        <f t="shared" si="61"/>
        <v>80.113241409425498</v>
      </c>
      <c r="U165" s="16">
        <f t="shared" si="62"/>
        <v>4</v>
      </c>
      <c r="V165" s="16">
        <f t="shared" si="63"/>
        <v>8.387096774193549E-2</v>
      </c>
      <c r="W165" s="16">
        <f t="shared" si="64"/>
        <v>7.1889400921658977E-2</v>
      </c>
      <c r="X165">
        <f t="shared" si="65"/>
        <v>7.1889400921658977E-2</v>
      </c>
      <c r="Y165">
        <f t="shared" si="66"/>
        <v>5.9907834101382493E-2</v>
      </c>
      <c r="Z165" s="16">
        <f t="shared" si="67"/>
        <v>7.1889400921658977E-2</v>
      </c>
      <c r="AE165" s="15">
        <v>3.1</v>
      </c>
      <c r="AF165" s="15">
        <f t="shared" si="69"/>
        <v>0.08</v>
      </c>
      <c r="AG165" s="15">
        <f t="shared" si="68"/>
        <v>5.3600000000000002E-2</v>
      </c>
    </row>
    <row r="166" spans="13:33">
      <c r="M166">
        <v>3.12</v>
      </c>
      <c r="N166">
        <f t="shared" si="56"/>
        <v>0.25</v>
      </c>
      <c r="O166">
        <f t="shared" si="57"/>
        <v>60.472575773566341</v>
      </c>
      <c r="P166">
        <f t="shared" si="58"/>
        <v>2.5</v>
      </c>
      <c r="Q166">
        <f t="shared" si="59"/>
        <v>0.1</v>
      </c>
      <c r="R166">
        <v>3.12</v>
      </c>
      <c r="S166">
        <f t="shared" si="60"/>
        <v>0.33333333333333331</v>
      </c>
      <c r="T166">
        <f t="shared" si="61"/>
        <v>80.630101031421788</v>
      </c>
      <c r="U166" s="16">
        <f t="shared" si="62"/>
        <v>4</v>
      </c>
      <c r="V166" s="16">
        <f t="shared" si="63"/>
        <v>8.3333333333333329E-2</v>
      </c>
      <c r="W166" s="16">
        <f t="shared" si="64"/>
        <v>7.1428571428571438E-2</v>
      </c>
      <c r="X166">
        <f t="shared" si="65"/>
        <v>7.1428571428571438E-2</v>
      </c>
      <c r="Y166">
        <f t="shared" si="66"/>
        <v>5.9523809523809521E-2</v>
      </c>
      <c r="Z166" s="16">
        <f t="shared" si="67"/>
        <v>7.1428571428571438E-2</v>
      </c>
      <c r="AE166" s="15">
        <v>3.12</v>
      </c>
      <c r="AF166" s="15">
        <f t="shared" si="69"/>
        <v>7.9487179487179482E-2</v>
      </c>
      <c r="AG166" s="15">
        <f t="shared" si="68"/>
        <v>5.3256410256410258E-2</v>
      </c>
    </row>
    <row r="167" spans="13:33">
      <c r="M167">
        <v>3.14</v>
      </c>
      <c r="N167">
        <f t="shared" si="56"/>
        <v>0.24840764331210191</v>
      </c>
      <c r="O167">
        <f t="shared" si="57"/>
        <v>60.860220490063554</v>
      </c>
      <c r="P167">
        <f t="shared" si="58"/>
        <v>2.5</v>
      </c>
      <c r="Q167">
        <f t="shared" si="59"/>
        <v>9.936305732484077E-2</v>
      </c>
      <c r="R167">
        <v>3.14</v>
      </c>
      <c r="S167">
        <f t="shared" si="60"/>
        <v>0.33121019108280253</v>
      </c>
      <c r="T167">
        <f t="shared" si="61"/>
        <v>81.146960653418077</v>
      </c>
      <c r="U167" s="16">
        <f t="shared" si="62"/>
        <v>4</v>
      </c>
      <c r="V167" s="16">
        <f t="shared" si="63"/>
        <v>8.2802547770700632E-2</v>
      </c>
      <c r="W167" s="16">
        <f t="shared" si="64"/>
        <v>7.0973612374886266E-2</v>
      </c>
      <c r="X167">
        <f t="shared" si="65"/>
        <v>7.0973612374886266E-2</v>
      </c>
      <c r="Y167">
        <f t="shared" si="66"/>
        <v>5.9144676979071879E-2</v>
      </c>
      <c r="Z167" s="16">
        <f t="shared" si="67"/>
        <v>7.0973612374886266E-2</v>
      </c>
      <c r="AE167" s="15">
        <v>3.14</v>
      </c>
      <c r="AF167" s="15">
        <f t="shared" si="69"/>
        <v>7.8980891719745219E-2</v>
      </c>
      <c r="AG167" s="15">
        <f t="shared" si="68"/>
        <v>5.2917197452229295E-2</v>
      </c>
    </row>
    <row r="168" spans="13:33">
      <c r="M168">
        <v>3.16</v>
      </c>
      <c r="N168">
        <f t="shared" si="56"/>
        <v>0.24683544303797469</v>
      </c>
      <c r="O168">
        <f t="shared" si="57"/>
        <v>61.247865206560789</v>
      </c>
      <c r="P168">
        <f t="shared" si="58"/>
        <v>2.5</v>
      </c>
      <c r="Q168">
        <f t="shared" si="59"/>
        <v>9.8734177215189872E-2</v>
      </c>
      <c r="R168">
        <v>3.16</v>
      </c>
      <c r="S168">
        <f t="shared" si="60"/>
        <v>0.32911392405063289</v>
      </c>
      <c r="T168">
        <f t="shared" si="61"/>
        <v>81.663820275414366</v>
      </c>
      <c r="U168" s="16">
        <f t="shared" si="62"/>
        <v>4</v>
      </c>
      <c r="V168" s="16">
        <f t="shared" si="63"/>
        <v>8.2278481012658222E-2</v>
      </c>
      <c r="W168" s="16">
        <f t="shared" si="64"/>
        <v>7.0524412296564198E-2</v>
      </c>
      <c r="X168">
        <f t="shared" si="65"/>
        <v>7.0524412296564198E-2</v>
      </c>
      <c r="Y168">
        <f t="shared" si="66"/>
        <v>5.8770343580470161E-2</v>
      </c>
      <c r="Z168" s="16">
        <f t="shared" si="67"/>
        <v>7.0524412296564198E-2</v>
      </c>
      <c r="AE168" s="15">
        <v>3.16</v>
      </c>
      <c r="AF168" s="15">
        <f t="shared" si="69"/>
        <v>7.848101265822785E-2</v>
      </c>
      <c r="AG168" s="15">
        <f t="shared" si="68"/>
        <v>5.2582278481012663E-2</v>
      </c>
    </row>
    <row r="169" spans="13:33">
      <c r="M169">
        <v>3.18</v>
      </c>
      <c r="N169">
        <f t="shared" si="56"/>
        <v>0.24528301886792453</v>
      </c>
      <c r="O169">
        <f t="shared" si="57"/>
        <v>61.635509923058009</v>
      </c>
      <c r="P169">
        <f t="shared" si="58"/>
        <v>2.5</v>
      </c>
      <c r="Q169">
        <f t="shared" si="59"/>
        <v>9.8113207547169817E-2</v>
      </c>
      <c r="R169">
        <v>3.18</v>
      </c>
      <c r="S169">
        <f t="shared" si="60"/>
        <v>0.32704402515723269</v>
      </c>
      <c r="T169">
        <f t="shared" si="61"/>
        <v>82.180679897410684</v>
      </c>
      <c r="U169" s="16">
        <f t="shared" si="62"/>
        <v>4</v>
      </c>
      <c r="V169" s="16">
        <f t="shared" si="63"/>
        <v>8.1761006289308172E-2</v>
      </c>
      <c r="W169" s="16">
        <f t="shared" si="64"/>
        <v>7.0080862533692723E-2</v>
      </c>
      <c r="X169">
        <f t="shared" si="65"/>
        <v>7.0080862533692723E-2</v>
      </c>
      <c r="Y169">
        <f t="shared" si="66"/>
        <v>5.8400718778077267E-2</v>
      </c>
      <c r="Z169" s="16">
        <f t="shared" si="67"/>
        <v>7.0080862533692723E-2</v>
      </c>
      <c r="AE169" s="15">
        <v>3.18</v>
      </c>
      <c r="AF169" s="15">
        <f t="shared" si="69"/>
        <v>7.7987421383647795E-2</v>
      </c>
      <c r="AG169" s="15">
        <f t="shared" si="68"/>
        <v>5.2251572327044027E-2</v>
      </c>
    </row>
    <row r="170" spans="13:33">
      <c r="M170">
        <v>3.2</v>
      </c>
      <c r="N170">
        <f t="shared" ref="N170:N187" si="70">IF(M170&lt;=0.2*$N$7,$N$3*(0.4+3*M170/$N$7),IF(M170&lt;=$N$7,$N$3,IF(M170&lt;=2.5*$N$7,$N$3*$N$7/M170,0.4*$N$3)))</f>
        <v>0.24374999999999999</v>
      </c>
      <c r="O170">
        <f t="shared" ref="O170:O187" si="71">M170^2/(4*PI()^2)*(N170*981)</f>
        <v>62.02315463955523</v>
      </c>
      <c r="P170">
        <f t="shared" ref="P170:P187" si="72">IF(M170&gt;$N$7,$P$1,IF(M170&gt;0.6*$N$7,SQRT(2*$P$1-1)+($P$1-SQRT(2*$P$1-1))*(M170-0.6*$N$7)/0.4/$N$7,IF(M170&gt;0.2*$N$7,SQRT(2*$P$1-1),SQRT(2*$P$1-1)+(SQRT(2*$P$1-1)-1)*(M170-0.2*$N$7)/0.2/$N$7)))</f>
        <v>2.5</v>
      </c>
      <c r="Q170">
        <f t="shared" ref="Q170:Q187" si="73">IF(N170/P170&lt;=0.3,N170/P170,IF(N170/P170&lt;0.8,0.52*N170/P170+0.144,0.7*N170/P170))</f>
        <v>9.7500000000000003E-2</v>
      </c>
      <c r="R170">
        <v>3.2</v>
      </c>
      <c r="S170">
        <f t="shared" ref="S170:S187" si="74">IF(R170&lt;=0.2*$S$7,$S$3*(0.4+3*R170/$S$7),IF(R170&lt;=$S$7,$S$3,IF(R170&lt;=2.5*$S$7,$S$3*$S$7/R170,0.4*$S$3)))</f>
        <v>0.32500000000000001</v>
      </c>
      <c r="T170">
        <f t="shared" ref="T170:T187" si="75">R170^2/(4*PI()^2)*(S170*981)</f>
        <v>82.697539519406973</v>
      </c>
      <c r="U170" s="16">
        <f t="shared" ref="U170:U187" si="76">IF(R170&gt;$S$7,$N$1,IF(R170&gt;0.6*$S$7,SQRT(2*$N$1-1)+($N$1-SQRT(2*$N$1-1))*(R170-0.6*$S$7)/0.4/$S$7,IF(R170&gt;0.2*$S$7,SQRT(2*$N$1-1),SQRT(2*$N$1-1)+(SQRT(2*$N$1-1)-1)*(R170-0.2*$S$7)/0.2/$S$7)))</f>
        <v>4</v>
      </c>
      <c r="V170" s="16">
        <f t="shared" ref="V170:V187" si="77">IF(S170/U170&lt;=0.3,S170/U170,IF(S170/U170&lt;0.8,0.52*S170/U170+0.144,0.7*S170/U170))</f>
        <v>8.1250000000000003E-2</v>
      </c>
      <c r="W170" s="16">
        <f t="shared" ref="W170:W187" si="78">$R$1/1.4/$T$1*Q170</f>
        <v>6.9642857142857145E-2</v>
      </c>
      <c r="X170">
        <f t="shared" ref="X170:X187" si="79">$R$1*P170/3.5/$T$1*Q170</f>
        <v>6.9642857142857145E-2</v>
      </c>
      <c r="Y170">
        <f t="shared" ref="Y170:Y187" si="80">$R$1/1.4/$T$1*V170</f>
        <v>5.8035714285714288E-2</v>
      </c>
      <c r="Z170" s="16">
        <f t="shared" ref="Z170:Z187" si="81">MAX(W170:Y170)</f>
        <v>6.9642857142857145E-2</v>
      </c>
      <c r="AE170" s="15">
        <v>3.2</v>
      </c>
      <c r="AF170" s="15">
        <f t="shared" si="69"/>
        <v>7.7499999999999999E-2</v>
      </c>
      <c r="AG170" s="15">
        <f t="shared" ref="AG170:AG187" si="82">$AF$4*$AF$5*AF170*$AF$6</f>
        <v>5.1924999999999999E-2</v>
      </c>
    </row>
    <row r="171" spans="13:33">
      <c r="M171">
        <v>3.22</v>
      </c>
      <c r="N171">
        <f t="shared" si="70"/>
        <v>0.24223602484472048</v>
      </c>
      <c r="O171">
        <f t="shared" si="71"/>
        <v>62.410799356052429</v>
      </c>
      <c r="P171">
        <f t="shared" si="72"/>
        <v>2.5</v>
      </c>
      <c r="Q171">
        <f t="shared" si="73"/>
        <v>9.6894409937888198E-2</v>
      </c>
      <c r="R171">
        <v>3.22</v>
      </c>
      <c r="S171">
        <f t="shared" si="74"/>
        <v>0.32298136645962733</v>
      </c>
      <c r="T171">
        <f t="shared" si="75"/>
        <v>83.214399141403248</v>
      </c>
      <c r="U171" s="16">
        <f t="shared" si="76"/>
        <v>4</v>
      </c>
      <c r="V171" s="16">
        <f t="shared" si="77"/>
        <v>8.0745341614906832E-2</v>
      </c>
      <c r="W171" s="16">
        <f t="shared" si="78"/>
        <v>6.9210292812777283E-2</v>
      </c>
      <c r="X171">
        <f t="shared" si="79"/>
        <v>6.9210292812777283E-2</v>
      </c>
      <c r="Y171">
        <f t="shared" si="80"/>
        <v>5.767524401064774E-2</v>
      </c>
      <c r="Z171" s="16">
        <f t="shared" si="81"/>
        <v>6.9210292812777283E-2</v>
      </c>
      <c r="AE171" s="15">
        <v>3.22</v>
      </c>
      <c r="AF171" s="15">
        <f t="shared" ref="AF171:AF187" si="83">IF(0.248/AE171&lt;=0.0625,0.0625,IF(0.248/AE171&gt;=0.15,0.15,0.248/AE171))</f>
        <v>7.7018633540372666E-2</v>
      </c>
      <c r="AG171" s="15">
        <f t="shared" si="82"/>
        <v>5.1602484472049695E-2</v>
      </c>
    </row>
    <row r="172" spans="13:33">
      <c r="M172">
        <v>3.24</v>
      </c>
      <c r="N172">
        <f t="shared" si="70"/>
        <v>0.24074074074074073</v>
      </c>
      <c r="O172">
        <f t="shared" si="71"/>
        <v>62.798444072549671</v>
      </c>
      <c r="P172">
        <f t="shared" si="72"/>
        <v>2.5</v>
      </c>
      <c r="Q172">
        <f t="shared" si="73"/>
        <v>9.6296296296296297E-2</v>
      </c>
      <c r="R172">
        <v>3.24</v>
      </c>
      <c r="S172">
        <f t="shared" si="74"/>
        <v>0.32098765432098764</v>
      </c>
      <c r="T172">
        <f t="shared" si="75"/>
        <v>83.731258763399552</v>
      </c>
      <c r="U172" s="16">
        <f t="shared" si="76"/>
        <v>4</v>
      </c>
      <c r="V172" s="16">
        <f t="shared" si="77"/>
        <v>8.0246913580246909E-2</v>
      </c>
      <c r="W172" s="16">
        <f t="shared" si="78"/>
        <v>6.8783068783068779E-2</v>
      </c>
      <c r="X172">
        <f t="shared" si="79"/>
        <v>6.8783068783068779E-2</v>
      </c>
      <c r="Y172">
        <f t="shared" si="80"/>
        <v>5.7319223985890649E-2</v>
      </c>
      <c r="Z172" s="16">
        <f t="shared" si="81"/>
        <v>6.8783068783068779E-2</v>
      </c>
      <c r="AE172" s="15">
        <v>3.24</v>
      </c>
      <c r="AF172" s="15">
        <f t="shared" si="83"/>
        <v>7.65432098765432E-2</v>
      </c>
      <c r="AG172" s="15">
        <f t="shared" si="82"/>
        <v>5.1283950617283948E-2</v>
      </c>
    </row>
    <row r="173" spans="13:33">
      <c r="M173">
        <v>3.26</v>
      </c>
      <c r="N173">
        <f t="shared" si="70"/>
        <v>0.24</v>
      </c>
      <c r="O173">
        <f t="shared" si="71"/>
        <v>63.380507523782406</v>
      </c>
      <c r="P173">
        <f t="shared" si="72"/>
        <v>2.5</v>
      </c>
      <c r="Q173">
        <f t="shared" si="73"/>
        <v>9.6000000000000002E-2</v>
      </c>
      <c r="R173">
        <v>3.26</v>
      </c>
      <c r="S173">
        <f t="shared" si="74"/>
        <v>0.32000000000000006</v>
      </c>
      <c r="T173">
        <f t="shared" si="75"/>
        <v>84.507343365043226</v>
      </c>
      <c r="U173" s="16">
        <f t="shared" si="76"/>
        <v>4</v>
      </c>
      <c r="V173" s="16">
        <f t="shared" si="77"/>
        <v>8.0000000000000016E-2</v>
      </c>
      <c r="W173" s="16">
        <f t="shared" si="78"/>
        <v>6.8571428571428575E-2</v>
      </c>
      <c r="X173">
        <f t="shared" si="79"/>
        <v>6.8571428571428575E-2</v>
      </c>
      <c r="Y173">
        <f t="shared" si="80"/>
        <v>5.7142857142857155E-2</v>
      </c>
      <c r="Z173" s="16">
        <f t="shared" si="81"/>
        <v>6.8571428571428575E-2</v>
      </c>
      <c r="AE173" s="15">
        <v>3.26</v>
      </c>
      <c r="AF173" s="15">
        <f t="shared" si="83"/>
        <v>7.6073619631901845E-2</v>
      </c>
      <c r="AG173" s="15">
        <f t="shared" si="82"/>
        <v>5.096932515337424E-2</v>
      </c>
    </row>
    <row r="174" spans="13:33">
      <c r="M174">
        <v>3.28</v>
      </c>
      <c r="N174">
        <f t="shared" si="70"/>
        <v>0.24</v>
      </c>
      <c r="O174">
        <f t="shared" si="71"/>
        <v>64.160567968672183</v>
      </c>
      <c r="P174">
        <f t="shared" si="72"/>
        <v>2.5</v>
      </c>
      <c r="Q174">
        <f t="shared" si="73"/>
        <v>9.6000000000000002E-2</v>
      </c>
      <c r="R174">
        <v>3.28</v>
      </c>
      <c r="S174">
        <f t="shared" si="74"/>
        <v>0.32000000000000006</v>
      </c>
      <c r="T174">
        <f t="shared" si="75"/>
        <v>85.547423958229601</v>
      </c>
      <c r="U174" s="16">
        <f t="shared" si="76"/>
        <v>4</v>
      </c>
      <c r="V174" s="16">
        <f t="shared" si="77"/>
        <v>8.0000000000000016E-2</v>
      </c>
      <c r="W174" s="16">
        <f t="shared" si="78"/>
        <v>6.8571428571428575E-2</v>
      </c>
      <c r="X174">
        <f t="shared" si="79"/>
        <v>6.8571428571428575E-2</v>
      </c>
      <c r="Y174">
        <f t="shared" si="80"/>
        <v>5.7142857142857155E-2</v>
      </c>
      <c r="Z174" s="16">
        <f t="shared" si="81"/>
        <v>6.8571428571428575E-2</v>
      </c>
      <c r="AE174" s="15">
        <v>3.28</v>
      </c>
      <c r="AF174" s="15">
        <f t="shared" si="83"/>
        <v>7.5609756097560973E-2</v>
      </c>
      <c r="AG174" s="15">
        <f t="shared" si="82"/>
        <v>5.0658536585365857E-2</v>
      </c>
    </row>
    <row r="175" spans="13:33">
      <c r="M175">
        <v>3.3</v>
      </c>
      <c r="N175">
        <f t="shared" si="70"/>
        <v>0.24</v>
      </c>
      <c r="O175">
        <f t="shared" si="71"/>
        <v>64.945399425457325</v>
      </c>
      <c r="P175">
        <f t="shared" si="72"/>
        <v>2.5</v>
      </c>
      <c r="Q175">
        <f t="shared" si="73"/>
        <v>9.6000000000000002E-2</v>
      </c>
      <c r="R175">
        <v>3.3</v>
      </c>
      <c r="S175">
        <f t="shared" si="74"/>
        <v>0.32000000000000006</v>
      </c>
      <c r="T175">
        <f t="shared" si="75"/>
        <v>86.593865900609799</v>
      </c>
      <c r="U175" s="16">
        <f t="shared" si="76"/>
        <v>4</v>
      </c>
      <c r="V175" s="16">
        <f t="shared" si="77"/>
        <v>8.0000000000000016E-2</v>
      </c>
      <c r="W175" s="16">
        <f t="shared" si="78"/>
        <v>6.8571428571428575E-2</v>
      </c>
      <c r="X175">
        <f t="shared" si="79"/>
        <v>6.8571428571428575E-2</v>
      </c>
      <c r="Y175">
        <f t="shared" si="80"/>
        <v>5.7142857142857155E-2</v>
      </c>
      <c r="Z175" s="16">
        <f t="shared" si="81"/>
        <v>6.8571428571428575E-2</v>
      </c>
      <c r="AE175" s="15">
        <v>3.3</v>
      </c>
      <c r="AF175" s="15">
        <f t="shared" si="83"/>
        <v>7.515151515151515E-2</v>
      </c>
      <c r="AG175" s="15">
        <f t="shared" si="82"/>
        <v>5.0351515151515147E-2</v>
      </c>
    </row>
    <row r="176" spans="13:33">
      <c r="M176">
        <v>3.32</v>
      </c>
      <c r="N176">
        <f t="shared" si="70"/>
        <v>0.24</v>
      </c>
      <c r="O176">
        <f t="shared" si="71"/>
        <v>65.735001894137824</v>
      </c>
      <c r="P176">
        <f t="shared" si="72"/>
        <v>2.5</v>
      </c>
      <c r="Q176">
        <f t="shared" si="73"/>
        <v>9.6000000000000002E-2</v>
      </c>
      <c r="R176">
        <v>3.32</v>
      </c>
      <c r="S176">
        <f t="shared" si="74"/>
        <v>0.32000000000000006</v>
      </c>
      <c r="T176">
        <f t="shared" si="75"/>
        <v>87.646669192183779</v>
      </c>
      <c r="U176" s="16">
        <f t="shared" si="76"/>
        <v>4</v>
      </c>
      <c r="V176" s="16">
        <f t="shared" si="77"/>
        <v>8.0000000000000016E-2</v>
      </c>
      <c r="W176" s="16">
        <f t="shared" si="78"/>
        <v>6.8571428571428575E-2</v>
      </c>
      <c r="X176">
        <f t="shared" si="79"/>
        <v>6.8571428571428575E-2</v>
      </c>
      <c r="Y176">
        <f t="shared" si="80"/>
        <v>5.7142857142857155E-2</v>
      </c>
      <c r="Z176" s="16">
        <f t="shared" si="81"/>
        <v>6.8571428571428575E-2</v>
      </c>
      <c r="AE176" s="15">
        <v>3.32</v>
      </c>
      <c r="AF176" s="15">
        <f t="shared" si="83"/>
        <v>7.4698795180722893E-2</v>
      </c>
      <c r="AG176" s="15">
        <f t="shared" si="82"/>
        <v>5.0048192771084341E-2</v>
      </c>
    </row>
    <row r="177" spans="13:33">
      <c r="M177">
        <v>3.34</v>
      </c>
      <c r="N177">
        <f t="shared" si="70"/>
        <v>0.24</v>
      </c>
      <c r="O177">
        <f t="shared" si="71"/>
        <v>66.529375374713666</v>
      </c>
      <c r="P177">
        <f t="shared" si="72"/>
        <v>2.5</v>
      </c>
      <c r="Q177">
        <f t="shared" si="73"/>
        <v>9.6000000000000002E-2</v>
      </c>
      <c r="R177">
        <v>3.34</v>
      </c>
      <c r="S177">
        <f t="shared" si="74"/>
        <v>0.32000000000000006</v>
      </c>
      <c r="T177">
        <f t="shared" si="75"/>
        <v>88.705833832951583</v>
      </c>
      <c r="U177" s="16">
        <f t="shared" si="76"/>
        <v>4</v>
      </c>
      <c r="V177" s="16">
        <f t="shared" si="77"/>
        <v>8.0000000000000016E-2</v>
      </c>
      <c r="W177" s="16">
        <f t="shared" si="78"/>
        <v>6.8571428571428575E-2</v>
      </c>
      <c r="X177">
        <f t="shared" si="79"/>
        <v>6.8571428571428575E-2</v>
      </c>
      <c r="Y177">
        <f t="shared" si="80"/>
        <v>5.7142857142857155E-2</v>
      </c>
      <c r="Z177" s="16">
        <f t="shared" si="81"/>
        <v>6.8571428571428575E-2</v>
      </c>
      <c r="AE177" s="15">
        <v>3.34</v>
      </c>
      <c r="AF177" s="15">
        <f t="shared" si="83"/>
        <v>7.4251497005988029E-2</v>
      </c>
      <c r="AG177" s="15">
        <f t="shared" si="82"/>
        <v>4.9748502994011984E-2</v>
      </c>
    </row>
    <row r="178" spans="13:33">
      <c r="M178">
        <v>3.36</v>
      </c>
      <c r="N178">
        <f t="shared" si="70"/>
        <v>0.24</v>
      </c>
      <c r="O178">
        <f t="shared" si="71"/>
        <v>67.328519867184852</v>
      </c>
      <c r="P178">
        <f t="shared" si="72"/>
        <v>2.5</v>
      </c>
      <c r="Q178">
        <f t="shared" si="73"/>
        <v>9.6000000000000002E-2</v>
      </c>
      <c r="R178">
        <v>3.36</v>
      </c>
      <c r="S178">
        <f t="shared" si="74"/>
        <v>0.32000000000000006</v>
      </c>
      <c r="T178">
        <f t="shared" si="75"/>
        <v>89.771359822913155</v>
      </c>
      <c r="U178" s="16">
        <f t="shared" si="76"/>
        <v>4</v>
      </c>
      <c r="V178" s="16">
        <f t="shared" si="77"/>
        <v>8.0000000000000016E-2</v>
      </c>
      <c r="W178" s="16">
        <f t="shared" si="78"/>
        <v>6.8571428571428575E-2</v>
      </c>
      <c r="X178">
        <f t="shared" si="79"/>
        <v>6.8571428571428575E-2</v>
      </c>
      <c r="Y178">
        <f t="shared" si="80"/>
        <v>5.7142857142857155E-2</v>
      </c>
      <c r="Z178" s="16">
        <f t="shared" si="81"/>
        <v>6.8571428571428575E-2</v>
      </c>
      <c r="AE178" s="15">
        <v>3.36</v>
      </c>
      <c r="AF178" s="15">
        <f t="shared" si="83"/>
        <v>7.3809523809523811E-2</v>
      </c>
      <c r="AG178" s="15">
        <f t="shared" si="82"/>
        <v>4.9452380952380956E-2</v>
      </c>
    </row>
    <row r="179" spans="13:33">
      <c r="M179">
        <v>3.38</v>
      </c>
      <c r="N179">
        <f t="shared" si="70"/>
        <v>0.24</v>
      </c>
      <c r="O179">
        <f t="shared" si="71"/>
        <v>68.132435371551395</v>
      </c>
      <c r="P179">
        <f t="shared" si="72"/>
        <v>2.5</v>
      </c>
      <c r="Q179">
        <f t="shared" si="73"/>
        <v>9.6000000000000002E-2</v>
      </c>
      <c r="R179">
        <v>3.38</v>
      </c>
      <c r="S179">
        <f t="shared" si="74"/>
        <v>0.32000000000000006</v>
      </c>
      <c r="T179">
        <f t="shared" si="75"/>
        <v>90.84324716206855</v>
      </c>
      <c r="U179" s="16">
        <f t="shared" si="76"/>
        <v>4</v>
      </c>
      <c r="V179" s="16">
        <f t="shared" si="77"/>
        <v>8.0000000000000016E-2</v>
      </c>
      <c r="W179" s="16">
        <f t="shared" si="78"/>
        <v>6.8571428571428575E-2</v>
      </c>
      <c r="X179">
        <f t="shared" si="79"/>
        <v>6.8571428571428575E-2</v>
      </c>
      <c r="Y179">
        <f t="shared" si="80"/>
        <v>5.7142857142857155E-2</v>
      </c>
      <c r="Z179" s="16">
        <f t="shared" si="81"/>
        <v>6.8571428571428575E-2</v>
      </c>
      <c r="AE179" s="15">
        <v>3.38</v>
      </c>
      <c r="AF179" s="15">
        <f t="shared" si="83"/>
        <v>7.3372781065088766E-2</v>
      </c>
      <c r="AG179" s="15">
        <f t="shared" si="82"/>
        <v>4.9159763313609474E-2</v>
      </c>
    </row>
    <row r="180" spans="13:33">
      <c r="M180">
        <v>3.4</v>
      </c>
      <c r="N180">
        <f t="shared" si="70"/>
        <v>0.24</v>
      </c>
      <c r="O180">
        <f t="shared" si="71"/>
        <v>68.941121887813296</v>
      </c>
      <c r="P180">
        <f t="shared" si="72"/>
        <v>2.5</v>
      </c>
      <c r="Q180">
        <f t="shared" si="73"/>
        <v>9.6000000000000002E-2</v>
      </c>
      <c r="R180">
        <v>3.4</v>
      </c>
      <c r="S180">
        <f t="shared" si="74"/>
        <v>0.32000000000000006</v>
      </c>
      <c r="T180">
        <f t="shared" si="75"/>
        <v>91.921495850417742</v>
      </c>
      <c r="U180" s="16">
        <f t="shared" si="76"/>
        <v>4</v>
      </c>
      <c r="V180" s="16">
        <f t="shared" si="77"/>
        <v>8.0000000000000016E-2</v>
      </c>
      <c r="W180" s="16">
        <f t="shared" si="78"/>
        <v>6.8571428571428575E-2</v>
      </c>
      <c r="X180">
        <f t="shared" si="79"/>
        <v>6.8571428571428575E-2</v>
      </c>
      <c r="Y180">
        <f t="shared" si="80"/>
        <v>5.7142857142857155E-2</v>
      </c>
      <c r="Z180" s="16">
        <f t="shared" si="81"/>
        <v>6.8571428571428575E-2</v>
      </c>
      <c r="AE180" s="15">
        <v>3.4</v>
      </c>
      <c r="AF180" s="15">
        <f t="shared" si="83"/>
        <v>7.2941176470588232E-2</v>
      </c>
      <c r="AG180" s="15">
        <f t="shared" si="82"/>
        <v>4.8870588235294117E-2</v>
      </c>
    </row>
    <row r="181" spans="13:33">
      <c r="M181">
        <v>3.42</v>
      </c>
      <c r="N181">
        <f t="shared" si="70"/>
        <v>0.24</v>
      </c>
      <c r="O181">
        <f t="shared" si="71"/>
        <v>69.754579415970539</v>
      </c>
      <c r="P181">
        <f t="shared" si="72"/>
        <v>2.5</v>
      </c>
      <c r="Q181">
        <f t="shared" si="73"/>
        <v>9.6000000000000002E-2</v>
      </c>
      <c r="R181">
        <v>3.42</v>
      </c>
      <c r="S181">
        <f t="shared" si="74"/>
        <v>0.32000000000000006</v>
      </c>
      <c r="T181">
        <f t="shared" si="75"/>
        <v>93.006105887960743</v>
      </c>
      <c r="U181" s="16">
        <f t="shared" si="76"/>
        <v>4</v>
      </c>
      <c r="V181" s="16">
        <f t="shared" si="77"/>
        <v>8.0000000000000016E-2</v>
      </c>
      <c r="W181" s="16">
        <f t="shared" si="78"/>
        <v>6.8571428571428575E-2</v>
      </c>
      <c r="X181">
        <f t="shared" si="79"/>
        <v>6.8571428571428575E-2</v>
      </c>
      <c r="Y181">
        <f t="shared" si="80"/>
        <v>5.7142857142857155E-2</v>
      </c>
      <c r="Z181" s="16">
        <f t="shared" si="81"/>
        <v>6.8571428571428575E-2</v>
      </c>
      <c r="AE181" s="15">
        <v>3.42</v>
      </c>
      <c r="AF181" s="15">
        <f t="shared" si="83"/>
        <v>7.2514619883040934E-2</v>
      </c>
      <c r="AG181" s="15">
        <f t="shared" si="82"/>
        <v>4.8584795321637425E-2</v>
      </c>
    </row>
    <row r="182" spans="13:33">
      <c r="M182">
        <v>3.44</v>
      </c>
      <c r="N182">
        <f t="shared" si="70"/>
        <v>0.24</v>
      </c>
      <c r="O182">
        <f t="shared" si="71"/>
        <v>70.572807956023127</v>
      </c>
      <c r="P182">
        <f t="shared" si="72"/>
        <v>2.5</v>
      </c>
      <c r="Q182">
        <f t="shared" si="73"/>
        <v>9.6000000000000002E-2</v>
      </c>
      <c r="R182">
        <v>3.44</v>
      </c>
      <c r="S182">
        <f t="shared" si="74"/>
        <v>0.32000000000000006</v>
      </c>
      <c r="T182">
        <f t="shared" si="75"/>
        <v>94.09707727469754</v>
      </c>
      <c r="U182" s="16">
        <f t="shared" si="76"/>
        <v>4</v>
      </c>
      <c r="V182" s="16">
        <f t="shared" si="77"/>
        <v>8.0000000000000016E-2</v>
      </c>
      <c r="W182" s="16">
        <f t="shared" si="78"/>
        <v>6.8571428571428575E-2</v>
      </c>
      <c r="X182">
        <f t="shared" si="79"/>
        <v>6.8571428571428575E-2</v>
      </c>
      <c r="Y182">
        <f t="shared" si="80"/>
        <v>5.7142857142857155E-2</v>
      </c>
      <c r="Z182" s="16">
        <f t="shared" si="81"/>
        <v>6.8571428571428575E-2</v>
      </c>
      <c r="AE182" s="15">
        <v>3.44</v>
      </c>
      <c r="AF182" s="15">
        <f t="shared" si="83"/>
        <v>7.2093023255813959E-2</v>
      </c>
      <c r="AG182" s="15">
        <f t="shared" si="82"/>
        <v>4.8302325581395356E-2</v>
      </c>
    </row>
    <row r="183" spans="13:33">
      <c r="M183">
        <v>3.46</v>
      </c>
      <c r="N183">
        <f t="shared" si="70"/>
        <v>0.24</v>
      </c>
      <c r="O183">
        <f t="shared" si="71"/>
        <v>71.395807507971071</v>
      </c>
      <c r="P183">
        <f t="shared" si="72"/>
        <v>2.5</v>
      </c>
      <c r="Q183">
        <f t="shared" si="73"/>
        <v>9.6000000000000002E-2</v>
      </c>
      <c r="R183">
        <v>3.46</v>
      </c>
      <c r="S183">
        <f t="shared" si="74"/>
        <v>0.32000000000000006</v>
      </c>
      <c r="T183">
        <f t="shared" si="75"/>
        <v>95.194410010628118</v>
      </c>
      <c r="U183" s="16">
        <f t="shared" si="76"/>
        <v>4</v>
      </c>
      <c r="V183" s="16">
        <f t="shared" si="77"/>
        <v>8.0000000000000016E-2</v>
      </c>
      <c r="W183" s="16">
        <f t="shared" si="78"/>
        <v>6.8571428571428575E-2</v>
      </c>
      <c r="X183">
        <f t="shared" si="79"/>
        <v>6.8571428571428575E-2</v>
      </c>
      <c r="Y183">
        <f t="shared" si="80"/>
        <v>5.7142857142857155E-2</v>
      </c>
      <c r="Z183" s="16">
        <f t="shared" si="81"/>
        <v>6.8571428571428575E-2</v>
      </c>
      <c r="AE183" s="15">
        <v>3.46</v>
      </c>
      <c r="AF183" s="15">
        <f t="shared" si="83"/>
        <v>7.1676300578034688E-2</v>
      </c>
      <c r="AG183" s="15">
        <f t="shared" si="82"/>
        <v>4.8023121387283242E-2</v>
      </c>
    </row>
    <row r="184" spans="13:33">
      <c r="M184">
        <v>3.48</v>
      </c>
      <c r="N184">
        <f t="shared" si="70"/>
        <v>0.24</v>
      </c>
      <c r="O184">
        <f t="shared" si="71"/>
        <v>72.223578071814387</v>
      </c>
      <c r="P184">
        <f t="shared" si="72"/>
        <v>2.5</v>
      </c>
      <c r="Q184">
        <f t="shared" si="73"/>
        <v>9.6000000000000002E-2</v>
      </c>
      <c r="R184">
        <v>3.48</v>
      </c>
      <c r="S184">
        <f t="shared" si="74"/>
        <v>0.32000000000000006</v>
      </c>
      <c r="T184">
        <f t="shared" si="75"/>
        <v>96.298104095752535</v>
      </c>
      <c r="U184" s="16">
        <f t="shared" si="76"/>
        <v>4</v>
      </c>
      <c r="V184" s="16">
        <f t="shared" si="77"/>
        <v>8.0000000000000016E-2</v>
      </c>
      <c r="W184" s="16">
        <f t="shared" si="78"/>
        <v>6.8571428571428575E-2</v>
      </c>
      <c r="X184">
        <f t="shared" si="79"/>
        <v>6.8571428571428575E-2</v>
      </c>
      <c r="Y184">
        <f t="shared" si="80"/>
        <v>5.7142857142857155E-2</v>
      </c>
      <c r="Z184" s="16">
        <f t="shared" si="81"/>
        <v>6.8571428571428575E-2</v>
      </c>
      <c r="AE184" s="15">
        <v>3.48</v>
      </c>
      <c r="AF184" s="15">
        <f t="shared" si="83"/>
        <v>7.1264367816091953E-2</v>
      </c>
      <c r="AG184" s="15">
        <f t="shared" si="82"/>
        <v>4.7747126436781612E-2</v>
      </c>
    </row>
    <row r="185" spans="13:33">
      <c r="M185">
        <v>3.5</v>
      </c>
      <c r="N185">
        <f t="shared" si="70"/>
        <v>0.24</v>
      </c>
      <c r="O185">
        <f t="shared" si="71"/>
        <v>73.056119647553018</v>
      </c>
      <c r="P185">
        <f t="shared" si="72"/>
        <v>2.5</v>
      </c>
      <c r="Q185">
        <f t="shared" si="73"/>
        <v>9.6000000000000002E-2</v>
      </c>
      <c r="R185">
        <v>3.5</v>
      </c>
      <c r="S185">
        <f t="shared" si="74"/>
        <v>0.32000000000000006</v>
      </c>
      <c r="T185">
        <f t="shared" si="75"/>
        <v>97.408159530070719</v>
      </c>
      <c r="U185" s="16">
        <f t="shared" si="76"/>
        <v>4</v>
      </c>
      <c r="V185" s="16">
        <f t="shared" si="77"/>
        <v>8.0000000000000016E-2</v>
      </c>
      <c r="W185" s="16">
        <f t="shared" si="78"/>
        <v>6.8571428571428575E-2</v>
      </c>
      <c r="X185">
        <f t="shared" si="79"/>
        <v>6.8571428571428575E-2</v>
      </c>
      <c r="Y185">
        <f t="shared" si="80"/>
        <v>5.7142857142857155E-2</v>
      </c>
      <c r="Z185" s="16">
        <f t="shared" si="81"/>
        <v>6.8571428571428575E-2</v>
      </c>
      <c r="AE185" s="15">
        <v>3.5</v>
      </c>
      <c r="AF185" s="15">
        <f t="shared" si="83"/>
        <v>7.0857142857142855E-2</v>
      </c>
      <c r="AG185" s="15">
        <f t="shared" si="82"/>
        <v>4.7474285714285719E-2</v>
      </c>
    </row>
    <row r="186" spans="13:33">
      <c r="M186">
        <v>3.52</v>
      </c>
      <c r="N186">
        <f t="shared" si="70"/>
        <v>0.24</v>
      </c>
      <c r="O186">
        <f t="shared" si="71"/>
        <v>73.893432235187021</v>
      </c>
      <c r="P186">
        <f t="shared" si="72"/>
        <v>2.5</v>
      </c>
      <c r="Q186">
        <f t="shared" si="73"/>
        <v>9.6000000000000002E-2</v>
      </c>
      <c r="R186">
        <v>3.52</v>
      </c>
      <c r="S186">
        <f t="shared" si="74"/>
        <v>0.32000000000000006</v>
      </c>
      <c r="T186">
        <f t="shared" si="75"/>
        <v>98.524576313582713</v>
      </c>
      <c r="U186" s="16">
        <f t="shared" si="76"/>
        <v>4</v>
      </c>
      <c r="V186" s="16">
        <f t="shared" si="77"/>
        <v>8.0000000000000016E-2</v>
      </c>
      <c r="W186" s="16">
        <f t="shared" si="78"/>
        <v>6.8571428571428575E-2</v>
      </c>
      <c r="X186">
        <f t="shared" si="79"/>
        <v>6.8571428571428575E-2</v>
      </c>
      <c r="Y186">
        <f t="shared" si="80"/>
        <v>5.7142857142857155E-2</v>
      </c>
      <c r="Z186" s="16">
        <f t="shared" si="81"/>
        <v>6.8571428571428575E-2</v>
      </c>
      <c r="AE186" s="15">
        <v>3.52</v>
      </c>
      <c r="AF186" s="15">
        <f t="shared" si="83"/>
        <v>7.045454545454545E-2</v>
      </c>
      <c r="AG186" s="15">
        <f t="shared" si="82"/>
        <v>4.720454545454545E-2</v>
      </c>
    </row>
    <row r="187" spans="13:33">
      <c r="M187">
        <v>4</v>
      </c>
      <c r="N187">
        <f t="shared" si="70"/>
        <v>0.24</v>
      </c>
      <c r="O187">
        <f t="shared" si="71"/>
        <v>95.420237907008016</v>
      </c>
      <c r="P187">
        <f t="shared" si="72"/>
        <v>2.5</v>
      </c>
      <c r="Q187">
        <f t="shared" si="73"/>
        <v>9.6000000000000002E-2</v>
      </c>
      <c r="R187">
        <v>4</v>
      </c>
      <c r="S187">
        <f t="shared" si="74"/>
        <v>0.32000000000000006</v>
      </c>
      <c r="T187">
        <f t="shared" si="75"/>
        <v>127.22698387601072</v>
      </c>
      <c r="U187" s="16">
        <f t="shared" si="76"/>
        <v>4</v>
      </c>
      <c r="V187" s="16">
        <f t="shared" si="77"/>
        <v>8.0000000000000016E-2</v>
      </c>
      <c r="W187" s="16">
        <f t="shared" si="78"/>
        <v>6.8571428571428575E-2</v>
      </c>
      <c r="X187">
        <f t="shared" si="79"/>
        <v>6.8571428571428575E-2</v>
      </c>
      <c r="Y187">
        <f t="shared" si="80"/>
        <v>5.7142857142857155E-2</v>
      </c>
      <c r="Z187" s="16">
        <f t="shared" si="81"/>
        <v>6.8571428571428575E-2</v>
      </c>
      <c r="AE187" s="15">
        <v>4</v>
      </c>
      <c r="AF187" s="15">
        <f t="shared" si="83"/>
        <v>6.25E-2</v>
      </c>
      <c r="AG187" s="15">
        <f t="shared" si="82"/>
        <v>4.1875000000000002E-2</v>
      </c>
    </row>
  </sheetData>
  <mergeCells count="5">
    <mergeCell ref="B27:C27"/>
    <mergeCell ref="B15:C15"/>
    <mergeCell ref="B21:C21"/>
    <mergeCell ref="B23:C23"/>
    <mergeCell ref="B25:C25"/>
  </mergeCells>
  <phoneticPr fontId="7" type="noConversion"/>
  <dataValidations disablePrompts="1" count="10">
    <dataValidation type="list" allowBlank="1" showInputMessage="1" showErrorMessage="1" sqref="IO91 SK91 ACG91 AMC91 AVY91 BFU91 BPQ91 BZM91 CJI91 CTE91 DDA91 DMW91 DWS91 EGO91 EQK91 FAG91 FKC91 FTY91 GDU91 GNQ91 GXM91 HHI91 HRE91 IBA91 IKW91 IUS91 JEO91 JOK91 JYG91 KIC91 KRY91 LBU91 LLQ91 LVM91 MFI91 MPE91 MZA91 NIW91 NSS91 OCO91 OMK91 OWG91 PGC91 PPY91 PZU91 QJQ91 QTM91 RDI91 RNE91 RXA91 SGW91 SQS91 TAO91 TKK91 TUG91 UEC91 UNY91 UXU91 VHQ91 VRM91 WBI91 WLE91 WVA91 IO65627 SK65627 ACG65627 AMC65627 AVY65627 BFU65627 BPQ65627 BZM65627 CJI65627 CTE65627 DDA65627 DMW65627 DWS65627 EGO65627 EQK65627 FAG65627 FKC65627 FTY65627 GDU65627 GNQ65627 GXM65627 HHI65627 HRE65627 IBA65627 IKW65627 IUS65627 JEO65627 JOK65627 JYG65627 KIC65627 KRY65627 LBU65627 LLQ65627 LVM65627 MFI65627 MPE65627 MZA65627 NIW65627 NSS65627 OCO65627 OMK65627 OWG65627 PGC65627 PPY65627 PZU65627 QJQ65627 QTM65627 RDI65627 RNE65627 RXA65627 SGW65627 SQS65627 TAO65627 TKK65627 TUG65627 UEC65627 UNY65627 UXU65627 VHQ65627 VRM65627 WBI65627 WLE65627 WVA65627 IO131163 SK131163 ACG131163 AMC131163 AVY131163 BFU131163 BPQ131163 BZM131163 CJI131163 CTE131163 DDA131163 DMW131163 DWS131163 EGO131163 EQK131163 FAG131163 FKC131163 FTY131163 GDU131163 GNQ131163 GXM131163 HHI131163 HRE131163 IBA131163 IKW131163 IUS131163 JEO131163 JOK131163 JYG131163 KIC131163 KRY131163 LBU131163 LLQ131163 LVM131163 MFI131163 MPE131163 MZA131163 NIW131163 NSS131163 OCO131163 OMK131163 OWG131163 PGC131163 PPY131163 PZU131163 QJQ131163 QTM131163 RDI131163 RNE131163 RXA131163 SGW131163 SQS131163 TAO131163 TKK131163 TUG131163 UEC131163 UNY131163 UXU131163 VHQ131163 VRM131163 WBI131163 WLE131163 WVA131163 IO196699 SK196699 ACG196699 AMC196699 AVY196699 BFU196699 BPQ196699 BZM196699 CJI196699 CTE196699 DDA196699 DMW196699 DWS196699 EGO196699 EQK196699 FAG196699 FKC196699 FTY196699 GDU196699 GNQ196699 GXM196699 HHI196699 HRE196699 IBA196699 IKW196699 IUS196699 JEO196699 JOK196699 JYG196699 KIC196699 KRY196699 LBU196699 LLQ196699 LVM196699 MFI196699 MPE196699 MZA196699 NIW196699 NSS196699 OCO196699 OMK196699 OWG196699 PGC196699 PPY196699 PZU196699 QJQ196699 QTM196699 RDI196699 RNE196699 RXA196699 SGW196699 SQS196699 TAO196699 TKK196699 TUG196699 UEC196699 UNY196699 UXU196699 VHQ196699 VRM196699 WBI196699 WLE196699 WVA196699 IO262235 SK262235 ACG262235 AMC262235 AVY262235 BFU262235 BPQ262235 BZM262235 CJI262235 CTE262235 DDA262235 DMW262235 DWS262235 EGO262235 EQK262235 FAG262235 FKC262235 FTY262235 GDU262235 GNQ262235 GXM262235 HHI262235 HRE262235 IBA262235 IKW262235 IUS262235 JEO262235 JOK262235 JYG262235 KIC262235 KRY262235 LBU262235 LLQ262235 LVM262235 MFI262235 MPE262235 MZA262235 NIW262235 NSS262235 OCO262235 OMK262235 OWG262235 PGC262235 PPY262235 PZU262235 QJQ262235 QTM262235 RDI262235 RNE262235 RXA262235 SGW262235 SQS262235 TAO262235 TKK262235 TUG262235 UEC262235 UNY262235 UXU262235 VHQ262235 VRM262235 WBI262235 WLE262235 WVA262235 IO327771 SK327771 ACG327771 AMC327771 AVY327771 BFU327771 BPQ327771 BZM327771 CJI327771 CTE327771 DDA327771 DMW327771 DWS327771 EGO327771 EQK327771 FAG327771 FKC327771 FTY327771 GDU327771 GNQ327771 GXM327771 HHI327771 HRE327771 IBA327771 IKW327771 IUS327771 JEO327771 JOK327771 JYG327771 KIC327771 KRY327771 LBU327771 LLQ327771 LVM327771 MFI327771 MPE327771 MZA327771 NIW327771 NSS327771 OCO327771 OMK327771 OWG327771 PGC327771 PPY327771 PZU327771 QJQ327771 QTM327771 RDI327771 RNE327771 RXA327771 SGW327771 SQS327771 TAO327771 TKK327771 TUG327771 UEC327771 UNY327771 UXU327771 VHQ327771 VRM327771 WBI327771 WLE327771 WVA327771 IO393307 SK393307 ACG393307 AMC393307 AVY393307 BFU393307 BPQ393307 BZM393307 CJI393307 CTE393307 DDA393307 DMW393307 DWS393307 EGO393307 EQK393307 FAG393307 FKC393307 FTY393307 GDU393307 GNQ393307 GXM393307 HHI393307 HRE393307 IBA393307 IKW393307 IUS393307 JEO393307 JOK393307 JYG393307 KIC393307 KRY393307 LBU393307 LLQ393307 LVM393307 MFI393307 MPE393307 MZA393307 NIW393307 NSS393307 OCO393307 OMK393307 OWG393307 PGC393307 PPY393307 PZU393307 QJQ393307 QTM393307 RDI393307 RNE393307 RXA393307 SGW393307 SQS393307 TAO393307 TKK393307 TUG393307 UEC393307 UNY393307 UXU393307 VHQ393307 VRM393307 WBI393307 WLE393307 WVA393307 IO458843 SK458843 ACG458843 AMC458843 AVY458843 BFU458843 BPQ458843 BZM458843 CJI458843 CTE458843 DDA458843 DMW458843 DWS458843 EGO458843 EQK458843 FAG458843 FKC458843 FTY458843 GDU458843 GNQ458843 GXM458843 HHI458843 HRE458843 IBA458843 IKW458843 IUS458843 JEO458843 JOK458843 JYG458843 KIC458843 KRY458843 LBU458843 LLQ458843 LVM458843 MFI458843 MPE458843 MZA458843 NIW458843 NSS458843 OCO458843 OMK458843 OWG458843 PGC458843 PPY458843 PZU458843 QJQ458843 QTM458843 RDI458843 RNE458843 RXA458843 SGW458843 SQS458843 TAO458843 TKK458843 TUG458843 UEC458843 UNY458843 UXU458843 VHQ458843 VRM458843 WBI458843 WLE458843 WVA458843 IO524379 SK524379 ACG524379 AMC524379 AVY524379 BFU524379 BPQ524379 BZM524379 CJI524379 CTE524379 DDA524379 DMW524379 DWS524379 EGO524379 EQK524379 FAG524379 FKC524379 FTY524379 GDU524379 GNQ524379 GXM524379 HHI524379 HRE524379 IBA524379 IKW524379 IUS524379 JEO524379 JOK524379 JYG524379 KIC524379 KRY524379 LBU524379 LLQ524379 LVM524379 MFI524379 MPE524379 MZA524379 NIW524379 NSS524379 OCO524379 OMK524379 OWG524379 PGC524379 PPY524379 PZU524379 QJQ524379 QTM524379 RDI524379 RNE524379 RXA524379 SGW524379 SQS524379 TAO524379 TKK524379 TUG524379 UEC524379 UNY524379 UXU524379 VHQ524379 VRM524379 WBI524379 WLE524379 WVA524379 IO589915 SK589915 ACG589915 AMC589915 AVY589915 BFU589915 BPQ589915 BZM589915 CJI589915 CTE589915 DDA589915 DMW589915 DWS589915 EGO589915 EQK589915 FAG589915 FKC589915 FTY589915 GDU589915 GNQ589915 GXM589915 HHI589915 HRE589915 IBA589915 IKW589915 IUS589915 JEO589915 JOK589915 JYG589915 KIC589915 KRY589915 LBU589915 LLQ589915 LVM589915 MFI589915 MPE589915 MZA589915 NIW589915 NSS589915 OCO589915 OMK589915 OWG589915 PGC589915 PPY589915 PZU589915 QJQ589915 QTM589915 RDI589915 RNE589915 RXA589915 SGW589915 SQS589915 TAO589915 TKK589915 TUG589915 UEC589915 UNY589915 UXU589915 VHQ589915 VRM589915 WBI589915 WLE589915 WVA589915 IO655451 SK655451 ACG655451 AMC655451 AVY655451 BFU655451 BPQ655451 BZM655451 CJI655451 CTE655451 DDA655451 DMW655451 DWS655451 EGO655451 EQK655451 FAG655451 FKC655451 FTY655451 GDU655451 GNQ655451 GXM655451 HHI655451 HRE655451 IBA655451 IKW655451 IUS655451 JEO655451 JOK655451 JYG655451 KIC655451 KRY655451 LBU655451 LLQ655451 LVM655451 MFI655451 MPE655451 MZA655451 NIW655451 NSS655451 OCO655451 OMK655451 OWG655451 PGC655451 PPY655451 PZU655451 QJQ655451 QTM655451 RDI655451 RNE655451 RXA655451 SGW655451 SQS655451 TAO655451 TKK655451 TUG655451 UEC655451 UNY655451 UXU655451 VHQ655451 VRM655451 WBI655451 WLE655451 WVA655451 IO720987 SK720987 ACG720987 AMC720987 AVY720987 BFU720987 BPQ720987 BZM720987 CJI720987 CTE720987 DDA720987 DMW720987 DWS720987 EGO720987 EQK720987 FAG720987 FKC720987 FTY720987 GDU720987 GNQ720987 GXM720987 HHI720987 HRE720987 IBA720987 IKW720987 IUS720987 JEO720987 JOK720987 JYG720987 KIC720987 KRY720987 LBU720987 LLQ720987 LVM720987 MFI720987 MPE720987 MZA720987 NIW720987 NSS720987 OCO720987 OMK720987 OWG720987 PGC720987 PPY720987 PZU720987 QJQ720987 QTM720987 RDI720987 RNE720987 RXA720987 SGW720987 SQS720987 TAO720987 TKK720987 TUG720987 UEC720987 UNY720987 UXU720987 VHQ720987 VRM720987 WBI720987 WLE720987 WVA720987 IO786523 SK786523 ACG786523 AMC786523 AVY786523 BFU786523 BPQ786523 BZM786523 CJI786523 CTE786523 DDA786523 DMW786523 DWS786523 EGO786523 EQK786523 FAG786523 FKC786523 FTY786523 GDU786523 GNQ786523 GXM786523 HHI786523 HRE786523 IBA786523 IKW786523 IUS786523 JEO786523 JOK786523 JYG786523 KIC786523 KRY786523 LBU786523 LLQ786523 LVM786523 MFI786523 MPE786523 MZA786523 NIW786523 NSS786523 OCO786523 OMK786523 OWG786523 PGC786523 PPY786523 PZU786523 QJQ786523 QTM786523 RDI786523 RNE786523 RXA786523 SGW786523 SQS786523 TAO786523 TKK786523 TUG786523 UEC786523 UNY786523 UXU786523 VHQ786523 VRM786523 WBI786523 WLE786523 WVA786523 IO852059 SK852059 ACG852059 AMC852059 AVY852059 BFU852059 BPQ852059 BZM852059 CJI852059 CTE852059 DDA852059 DMW852059 DWS852059 EGO852059 EQK852059 FAG852059 FKC852059 FTY852059 GDU852059 GNQ852059 GXM852059 HHI852059 HRE852059 IBA852059 IKW852059 IUS852059 JEO852059 JOK852059 JYG852059 KIC852059 KRY852059 LBU852059 LLQ852059 LVM852059 MFI852059 MPE852059 MZA852059 NIW852059 NSS852059 OCO852059 OMK852059 OWG852059 PGC852059 PPY852059 PZU852059 QJQ852059 QTM852059 RDI852059 RNE852059 RXA852059 SGW852059 SQS852059 TAO852059 TKK852059 TUG852059 UEC852059 UNY852059 UXU852059 VHQ852059 VRM852059 WBI852059 WLE852059 WVA852059 IO917595 SK917595 ACG917595 AMC917595 AVY917595 BFU917595 BPQ917595 BZM917595 CJI917595 CTE917595 DDA917595 DMW917595 DWS917595 EGO917595 EQK917595 FAG917595 FKC917595 FTY917595 GDU917595 GNQ917595 GXM917595 HHI917595 HRE917595 IBA917595 IKW917595 IUS917595 JEO917595 JOK917595 JYG917595 KIC917595 KRY917595 LBU917595 LLQ917595 LVM917595 MFI917595 MPE917595 MZA917595 NIW917595 NSS917595 OCO917595 OMK917595 OWG917595 PGC917595 PPY917595 PZU917595 QJQ917595 QTM917595 RDI917595 RNE917595 RXA917595 SGW917595 SQS917595 TAO917595 TKK917595 TUG917595 UEC917595 UNY917595 UXU917595 VHQ917595 VRM917595 WBI917595 WLE917595 WVA917595 IO983131 SK983131 ACG983131 AMC983131 AVY983131 BFU983131 BPQ983131 BZM983131 CJI983131 CTE983131 DDA983131 DMW983131 DWS983131 EGO983131 EQK983131 FAG983131 FKC983131 FTY983131 GDU983131 GNQ983131 GXM983131 HHI983131 HRE983131 IBA983131 IKW983131 IUS983131 JEO983131 JOK983131 JYG983131 KIC983131 KRY983131 LBU983131 LLQ983131 LVM983131 MFI983131 MPE983131 MZA983131 NIW983131 NSS983131 OCO983131 OMK983131 OWG983131 PGC983131 PPY983131 PZU983131 QJQ983131 QTM983131 RDI983131 RNE983131 RXA983131 SGW983131 SQS983131 TAO983131 TKK983131 TUG983131 UEC983131 UNY983131 UXU983131 VHQ983131 VRM983131 WBI983131 WLE983131 WVA983131 C983129 C917593 C852057 C786521 C720985 C655449 C589913 C524377 C458841 C393305 C327769 C262233 C196697 C131161 C65625 K14:AG14" xr:uid="{00000000-0002-0000-0100-000000000000}">
      <formula1>"0.67, 0.80, 1.00, 1.33"</formula1>
    </dataValidation>
    <dataValidation type="list" allowBlank="1" showInputMessage="1" showErrorMessage="1" sqref="IO7 SK7 ACG7 AMC7 AVY7 BFU7 BPQ7 BZM7 CJI7 CTE7 DDA7 DMW7 DWS7 EGO7 EQK7 FAG7 FKC7 FTY7 GDU7 GNQ7 GXM7 HHI7 HRE7 IBA7 IKW7 IUS7 JEO7 JOK7 JYG7 KIC7 KRY7 LBU7 LLQ7 LVM7 MFI7 MPE7 MZA7 NIW7 NSS7 OCO7 OMK7 OWG7 PGC7 PPY7 PZU7 QJQ7 QTM7 RDI7 RNE7 RXA7 SGW7 SQS7 TAO7 TKK7 TUG7 UEC7 UNY7 UXU7 VHQ7 VRM7 WBI7 WLE7 WVA7 IO65540 SK65540 ACG65540 AMC65540 AVY65540 BFU65540 BPQ65540 BZM65540 CJI65540 CTE65540 DDA65540 DMW65540 DWS65540 EGO65540 EQK65540 FAG65540 FKC65540 FTY65540 GDU65540 GNQ65540 GXM65540 HHI65540 HRE65540 IBA65540 IKW65540 IUS65540 JEO65540 JOK65540 JYG65540 KIC65540 KRY65540 LBU65540 LLQ65540 LVM65540 MFI65540 MPE65540 MZA65540 NIW65540 NSS65540 OCO65540 OMK65540 OWG65540 PGC65540 PPY65540 PZU65540 QJQ65540 QTM65540 RDI65540 RNE65540 RXA65540 SGW65540 SQS65540 TAO65540 TKK65540 TUG65540 UEC65540 UNY65540 UXU65540 VHQ65540 VRM65540 WBI65540 WLE65540 WVA65540 IO131076 SK131076 ACG131076 AMC131076 AVY131076 BFU131076 BPQ131076 BZM131076 CJI131076 CTE131076 DDA131076 DMW131076 DWS131076 EGO131076 EQK131076 FAG131076 FKC131076 FTY131076 GDU131076 GNQ131076 GXM131076 HHI131076 HRE131076 IBA131076 IKW131076 IUS131076 JEO131076 JOK131076 JYG131076 KIC131076 KRY131076 LBU131076 LLQ131076 LVM131076 MFI131076 MPE131076 MZA131076 NIW131076 NSS131076 OCO131076 OMK131076 OWG131076 PGC131076 PPY131076 PZU131076 QJQ131076 QTM131076 RDI131076 RNE131076 RXA131076 SGW131076 SQS131076 TAO131076 TKK131076 TUG131076 UEC131076 UNY131076 UXU131076 VHQ131076 VRM131076 WBI131076 WLE131076 WVA131076 IO196612 SK196612 ACG196612 AMC196612 AVY196612 BFU196612 BPQ196612 BZM196612 CJI196612 CTE196612 DDA196612 DMW196612 DWS196612 EGO196612 EQK196612 FAG196612 FKC196612 FTY196612 GDU196612 GNQ196612 GXM196612 HHI196612 HRE196612 IBA196612 IKW196612 IUS196612 JEO196612 JOK196612 JYG196612 KIC196612 KRY196612 LBU196612 LLQ196612 LVM196612 MFI196612 MPE196612 MZA196612 NIW196612 NSS196612 OCO196612 OMK196612 OWG196612 PGC196612 PPY196612 PZU196612 QJQ196612 QTM196612 RDI196612 RNE196612 RXA196612 SGW196612 SQS196612 TAO196612 TKK196612 TUG196612 UEC196612 UNY196612 UXU196612 VHQ196612 VRM196612 WBI196612 WLE196612 WVA196612 IO262148 SK262148 ACG262148 AMC262148 AVY262148 BFU262148 BPQ262148 BZM262148 CJI262148 CTE262148 DDA262148 DMW262148 DWS262148 EGO262148 EQK262148 FAG262148 FKC262148 FTY262148 GDU262148 GNQ262148 GXM262148 HHI262148 HRE262148 IBA262148 IKW262148 IUS262148 JEO262148 JOK262148 JYG262148 KIC262148 KRY262148 LBU262148 LLQ262148 LVM262148 MFI262148 MPE262148 MZA262148 NIW262148 NSS262148 OCO262148 OMK262148 OWG262148 PGC262148 PPY262148 PZU262148 QJQ262148 QTM262148 RDI262148 RNE262148 RXA262148 SGW262148 SQS262148 TAO262148 TKK262148 TUG262148 UEC262148 UNY262148 UXU262148 VHQ262148 VRM262148 WBI262148 WLE262148 WVA262148 IO327684 SK327684 ACG327684 AMC327684 AVY327684 BFU327684 BPQ327684 BZM327684 CJI327684 CTE327684 DDA327684 DMW327684 DWS327684 EGO327684 EQK327684 FAG327684 FKC327684 FTY327684 GDU327684 GNQ327684 GXM327684 HHI327684 HRE327684 IBA327684 IKW327684 IUS327684 JEO327684 JOK327684 JYG327684 KIC327684 KRY327684 LBU327684 LLQ327684 LVM327684 MFI327684 MPE327684 MZA327684 NIW327684 NSS327684 OCO327684 OMK327684 OWG327684 PGC327684 PPY327684 PZU327684 QJQ327684 QTM327684 RDI327684 RNE327684 RXA327684 SGW327684 SQS327684 TAO327684 TKK327684 TUG327684 UEC327684 UNY327684 UXU327684 VHQ327684 VRM327684 WBI327684 WLE327684 WVA327684 IO393220 SK393220 ACG393220 AMC393220 AVY393220 BFU393220 BPQ393220 BZM393220 CJI393220 CTE393220 DDA393220 DMW393220 DWS393220 EGO393220 EQK393220 FAG393220 FKC393220 FTY393220 GDU393220 GNQ393220 GXM393220 HHI393220 HRE393220 IBA393220 IKW393220 IUS393220 JEO393220 JOK393220 JYG393220 KIC393220 KRY393220 LBU393220 LLQ393220 LVM393220 MFI393220 MPE393220 MZA393220 NIW393220 NSS393220 OCO393220 OMK393220 OWG393220 PGC393220 PPY393220 PZU393220 QJQ393220 QTM393220 RDI393220 RNE393220 RXA393220 SGW393220 SQS393220 TAO393220 TKK393220 TUG393220 UEC393220 UNY393220 UXU393220 VHQ393220 VRM393220 WBI393220 WLE393220 WVA393220 IO458756 SK458756 ACG458756 AMC458756 AVY458756 BFU458756 BPQ458756 BZM458756 CJI458756 CTE458756 DDA458756 DMW458756 DWS458756 EGO458756 EQK458756 FAG458756 FKC458756 FTY458756 GDU458756 GNQ458756 GXM458756 HHI458756 HRE458756 IBA458756 IKW458756 IUS458756 JEO458756 JOK458756 JYG458756 KIC458756 KRY458756 LBU458756 LLQ458756 LVM458756 MFI458756 MPE458756 MZA458756 NIW458756 NSS458756 OCO458756 OMK458756 OWG458756 PGC458756 PPY458756 PZU458756 QJQ458756 QTM458756 RDI458756 RNE458756 RXA458756 SGW458756 SQS458756 TAO458756 TKK458756 TUG458756 UEC458756 UNY458756 UXU458756 VHQ458756 VRM458756 WBI458756 WLE458756 WVA458756 IO524292 SK524292 ACG524292 AMC524292 AVY524292 BFU524292 BPQ524292 BZM524292 CJI524292 CTE524292 DDA524292 DMW524292 DWS524292 EGO524292 EQK524292 FAG524292 FKC524292 FTY524292 GDU524292 GNQ524292 GXM524292 HHI524292 HRE524292 IBA524292 IKW524292 IUS524292 JEO524292 JOK524292 JYG524292 KIC524292 KRY524292 LBU524292 LLQ524292 LVM524292 MFI524292 MPE524292 MZA524292 NIW524292 NSS524292 OCO524292 OMK524292 OWG524292 PGC524292 PPY524292 PZU524292 QJQ524292 QTM524292 RDI524292 RNE524292 RXA524292 SGW524292 SQS524292 TAO524292 TKK524292 TUG524292 UEC524292 UNY524292 UXU524292 VHQ524292 VRM524292 WBI524292 WLE524292 WVA524292 IO589828 SK589828 ACG589828 AMC589828 AVY589828 BFU589828 BPQ589828 BZM589828 CJI589828 CTE589828 DDA589828 DMW589828 DWS589828 EGO589828 EQK589828 FAG589828 FKC589828 FTY589828 GDU589828 GNQ589828 GXM589828 HHI589828 HRE589828 IBA589828 IKW589828 IUS589828 JEO589828 JOK589828 JYG589828 KIC589828 KRY589828 LBU589828 LLQ589828 LVM589828 MFI589828 MPE589828 MZA589828 NIW589828 NSS589828 OCO589828 OMK589828 OWG589828 PGC589828 PPY589828 PZU589828 QJQ589828 QTM589828 RDI589828 RNE589828 RXA589828 SGW589828 SQS589828 TAO589828 TKK589828 TUG589828 UEC589828 UNY589828 UXU589828 VHQ589828 VRM589828 WBI589828 WLE589828 WVA589828 IO655364 SK655364 ACG655364 AMC655364 AVY655364 BFU655364 BPQ655364 BZM655364 CJI655364 CTE655364 DDA655364 DMW655364 DWS655364 EGO655364 EQK655364 FAG655364 FKC655364 FTY655364 GDU655364 GNQ655364 GXM655364 HHI655364 HRE655364 IBA655364 IKW655364 IUS655364 JEO655364 JOK655364 JYG655364 KIC655364 KRY655364 LBU655364 LLQ655364 LVM655364 MFI655364 MPE655364 MZA655364 NIW655364 NSS655364 OCO655364 OMK655364 OWG655364 PGC655364 PPY655364 PZU655364 QJQ655364 QTM655364 RDI655364 RNE655364 RXA655364 SGW655364 SQS655364 TAO655364 TKK655364 TUG655364 UEC655364 UNY655364 UXU655364 VHQ655364 VRM655364 WBI655364 WLE655364 WVA655364 IO720900 SK720900 ACG720900 AMC720900 AVY720900 BFU720900 BPQ720900 BZM720900 CJI720900 CTE720900 DDA720900 DMW720900 DWS720900 EGO720900 EQK720900 FAG720900 FKC720900 FTY720900 GDU720900 GNQ720900 GXM720900 HHI720900 HRE720900 IBA720900 IKW720900 IUS720900 JEO720900 JOK720900 JYG720900 KIC720900 KRY720900 LBU720900 LLQ720900 LVM720900 MFI720900 MPE720900 MZA720900 NIW720900 NSS720900 OCO720900 OMK720900 OWG720900 PGC720900 PPY720900 PZU720900 QJQ720900 QTM720900 RDI720900 RNE720900 RXA720900 SGW720900 SQS720900 TAO720900 TKK720900 TUG720900 UEC720900 UNY720900 UXU720900 VHQ720900 VRM720900 WBI720900 WLE720900 WVA720900 IO786436 SK786436 ACG786436 AMC786436 AVY786436 BFU786436 BPQ786436 BZM786436 CJI786436 CTE786436 DDA786436 DMW786436 DWS786436 EGO786436 EQK786436 FAG786436 FKC786436 FTY786436 GDU786436 GNQ786436 GXM786436 HHI786436 HRE786436 IBA786436 IKW786436 IUS786436 JEO786436 JOK786436 JYG786436 KIC786436 KRY786436 LBU786436 LLQ786436 LVM786436 MFI786436 MPE786436 MZA786436 NIW786436 NSS786436 OCO786436 OMK786436 OWG786436 PGC786436 PPY786436 PZU786436 QJQ786436 QTM786436 RDI786436 RNE786436 RXA786436 SGW786436 SQS786436 TAO786436 TKK786436 TUG786436 UEC786436 UNY786436 UXU786436 VHQ786436 VRM786436 WBI786436 WLE786436 WVA786436 IO851972 SK851972 ACG851972 AMC851972 AVY851972 BFU851972 BPQ851972 BZM851972 CJI851972 CTE851972 DDA851972 DMW851972 DWS851972 EGO851972 EQK851972 FAG851972 FKC851972 FTY851972 GDU851972 GNQ851972 GXM851972 HHI851972 HRE851972 IBA851972 IKW851972 IUS851972 JEO851972 JOK851972 JYG851972 KIC851972 KRY851972 LBU851972 LLQ851972 LVM851972 MFI851972 MPE851972 MZA851972 NIW851972 NSS851972 OCO851972 OMK851972 OWG851972 PGC851972 PPY851972 PZU851972 QJQ851972 QTM851972 RDI851972 RNE851972 RXA851972 SGW851972 SQS851972 TAO851972 TKK851972 TUG851972 UEC851972 UNY851972 UXU851972 VHQ851972 VRM851972 WBI851972 WLE851972 WVA851972 IO917508 SK917508 ACG917508 AMC917508 AVY917508 BFU917508 BPQ917508 BZM917508 CJI917508 CTE917508 DDA917508 DMW917508 DWS917508 EGO917508 EQK917508 FAG917508 FKC917508 FTY917508 GDU917508 GNQ917508 GXM917508 HHI917508 HRE917508 IBA917508 IKW917508 IUS917508 JEO917508 JOK917508 JYG917508 KIC917508 KRY917508 LBU917508 LLQ917508 LVM917508 MFI917508 MPE917508 MZA917508 NIW917508 NSS917508 OCO917508 OMK917508 OWG917508 PGC917508 PPY917508 PZU917508 QJQ917508 QTM917508 RDI917508 RNE917508 RXA917508 SGW917508 SQS917508 TAO917508 TKK917508 TUG917508 UEC917508 UNY917508 UXU917508 VHQ917508 VRM917508 WBI917508 WLE917508 WVA917508 IO983044 SK983044 ACG983044 AMC983044 AVY983044 BFU983044 BPQ983044 BZM983044 CJI983044 CTE983044 DDA983044 DMW983044 DWS983044 EGO983044 EQK983044 FAG983044 FKC983044 FTY983044 GDU983044 GNQ983044 GXM983044 HHI983044 HRE983044 IBA983044 IKW983044 IUS983044 JEO983044 JOK983044 JYG983044 KIC983044 KRY983044 LBU983044 LLQ983044 LVM983044 MFI983044 MPE983044 MZA983044 NIW983044 NSS983044 OCO983044 OMK983044 OWG983044 PGC983044 PPY983044 PZU983044 QJQ983044 QTM983044 RDI983044 RNE983044 RXA983044 SGW983044 SQS983044 TAO983044 TKK983044 TUG983044 UEC983044 UNY983044 UXU983044 VHQ983044 VRM983044 WBI983044 WLE983044 WVA983044 C983042 C917506 C851970 C786434 C720898 C655362 C589826 C524290 C458754 C393218 C327682 C262146 C196610 C131074 C65538" xr:uid="{00000000-0002-0000-0100-000001000000}">
      <formula1>"台北一區, 台北二區, 台北三區"</formula1>
    </dataValidation>
    <dataValidation type="list" allowBlank="1" showInputMessage="1" showErrorMessage="1" sqref="IO6 C65537 C131073 C196609 C262145 C327681 C393217 C458753 C524289 C589825 C655361 C720897 C786433 C851969 C917505 C983041 WVA983043 WLE983043 WBI983043 VRM983043 VHQ983043 UXU983043 UNY983043 UEC983043 TUG983043 TKK983043 TAO983043 SQS983043 SGW983043 RXA983043 RNE983043 RDI983043 QTM983043 QJQ983043 PZU983043 PPY983043 PGC983043 OWG983043 OMK983043 OCO983043 NSS983043 NIW983043 MZA983043 MPE983043 MFI983043 LVM983043 LLQ983043 LBU983043 KRY983043 KIC983043 JYG983043 JOK983043 JEO983043 IUS983043 IKW983043 IBA983043 HRE983043 HHI983043 GXM983043 GNQ983043 GDU983043 FTY983043 FKC983043 FAG983043 EQK983043 EGO983043 DWS983043 DMW983043 DDA983043 CTE983043 CJI983043 BZM983043 BPQ983043 BFU983043 AVY983043 AMC983043 ACG983043 SK983043 IO983043 WVA917507 WLE917507 WBI917507 VRM917507 VHQ917507 UXU917507 UNY917507 UEC917507 TUG917507 TKK917507 TAO917507 SQS917507 SGW917507 RXA917507 RNE917507 RDI917507 QTM917507 QJQ917507 PZU917507 PPY917507 PGC917507 OWG917507 OMK917507 OCO917507 NSS917507 NIW917507 MZA917507 MPE917507 MFI917507 LVM917507 LLQ917507 LBU917507 KRY917507 KIC917507 JYG917507 JOK917507 JEO917507 IUS917507 IKW917507 IBA917507 HRE917507 HHI917507 GXM917507 GNQ917507 GDU917507 FTY917507 FKC917507 FAG917507 EQK917507 EGO917507 DWS917507 DMW917507 DDA917507 CTE917507 CJI917507 BZM917507 BPQ917507 BFU917507 AVY917507 AMC917507 ACG917507 SK917507 IO917507 WVA851971 WLE851971 WBI851971 VRM851971 VHQ851971 UXU851971 UNY851971 UEC851971 TUG851971 TKK851971 TAO851971 SQS851971 SGW851971 RXA851971 RNE851971 RDI851971 QTM851971 QJQ851971 PZU851971 PPY851971 PGC851971 OWG851971 OMK851971 OCO851971 NSS851971 NIW851971 MZA851971 MPE851971 MFI851971 LVM851971 LLQ851971 LBU851971 KRY851971 KIC851971 JYG851971 JOK851971 JEO851971 IUS851971 IKW851971 IBA851971 HRE851971 HHI851971 GXM851971 GNQ851971 GDU851971 FTY851971 FKC851971 FAG851971 EQK851971 EGO851971 DWS851971 DMW851971 DDA851971 CTE851971 CJI851971 BZM851971 BPQ851971 BFU851971 AVY851971 AMC851971 ACG851971 SK851971 IO851971 WVA786435 WLE786435 WBI786435 VRM786435 VHQ786435 UXU786435 UNY786435 UEC786435 TUG786435 TKK786435 TAO786435 SQS786435 SGW786435 RXA786435 RNE786435 RDI786435 QTM786435 QJQ786435 PZU786435 PPY786435 PGC786435 OWG786435 OMK786435 OCO786435 NSS786435 NIW786435 MZA786435 MPE786435 MFI786435 LVM786435 LLQ786435 LBU786435 KRY786435 KIC786435 JYG786435 JOK786435 JEO786435 IUS786435 IKW786435 IBA786435 HRE786435 HHI786435 GXM786435 GNQ786435 GDU786435 FTY786435 FKC786435 FAG786435 EQK786435 EGO786435 DWS786435 DMW786435 DDA786435 CTE786435 CJI786435 BZM786435 BPQ786435 BFU786435 AVY786435 AMC786435 ACG786435 SK786435 IO786435 WVA720899 WLE720899 WBI720899 VRM720899 VHQ720899 UXU720899 UNY720899 UEC720899 TUG720899 TKK720899 TAO720899 SQS720899 SGW720899 RXA720899 RNE720899 RDI720899 QTM720899 QJQ720899 PZU720899 PPY720899 PGC720899 OWG720899 OMK720899 OCO720899 NSS720899 NIW720899 MZA720899 MPE720899 MFI720899 LVM720899 LLQ720899 LBU720899 KRY720899 KIC720899 JYG720899 JOK720899 JEO720899 IUS720899 IKW720899 IBA720899 HRE720899 HHI720899 GXM720899 GNQ720899 GDU720899 FTY720899 FKC720899 FAG720899 EQK720899 EGO720899 DWS720899 DMW720899 DDA720899 CTE720899 CJI720899 BZM720899 BPQ720899 BFU720899 AVY720899 AMC720899 ACG720899 SK720899 IO720899 WVA655363 WLE655363 WBI655363 VRM655363 VHQ655363 UXU655363 UNY655363 UEC655363 TUG655363 TKK655363 TAO655363 SQS655363 SGW655363 RXA655363 RNE655363 RDI655363 QTM655363 QJQ655363 PZU655363 PPY655363 PGC655363 OWG655363 OMK655363 OCO655363 NSS655363 NIW655363 MZA655363 MPE655363 MFI655363 LVM655363 LLQ655363 LBU655363 KRY655363 KIC655363 JYG655363 JOK655363 JEO655363 IUS655363 IKW655363 IBA655363 HRE655363 HHI655363 GXM655363 GNQ655363 GDU655363 FTY655363 FKC655363 FAG655363 EQK655363 EGO655363 DWS655363 DMW655363 DDA655363 CTE655363 CJI655363 BZM655363 BPQ655363 BFU655363 AVY655363 AMC655363 ACG655363 SK655363 IO655363 WVA589827 WLE589827 WBI589827 VRM589827 VHQ589827 UXU589827 UNY589827 UEC589827 TUG589827 TKK589827 TAO589827 SQS589827 SGW589827 RXA589827 RNE589827 RDI589827 QTM589827 QJQ589827 PZU589827 PPY589827 PGC589827 OWG589827 OMK589827 OCO589827 NSS589827 NIW589827 MZA589827 MPE589827 MFI589827 LVM589827 LLQ589827 LBU589827 KRY589827 KIC589827 JYG589827 JOK589827 JEO589827 IUS589827 IKW589827 IBA589827 HRE589827 HHI589827 GXM589827 GNQ589827 GDU589827 FTY589827 FKC589827 FAG589827 EQK589827 EGO589827 DWS589827 DMW589827 DDA589827 CTE589827 CJI589827 BZM589827 BPQ589827 BFU589827 AVY589827 AMC589827 ACG589827 SK589827 IO589827 WVA524291 WLE524291 WBI524291 VRM524291 VHQ524291 UXU524291 UNY524291 UEC524291 TUG524291 TKK524291 TAO524291 SQS524291 SGW524291 RXA524291 RNE524291 RDI524291 QTM524291 QJQ524291 PZU524291 PPY524291 PGC524291 OWG524291 OMK524291 OCO524291 NSS524291 NIW524291 MZA524291 MPE524291 MFI524291 LVM524291 LLQ524291 LBU524291 KRY524291 KIC524291 JYG524291 JOK524291 JEO524291 IUS524291 IKW524291 IBA524291 HRE524291 HHI524291 GXM524291 GNQ524291 GDU524291 FTY524291 FKC524291 FAG524291 EQK524291 EGO524291 DWS524291 DMW524291 DDA524291 CTE524291 CJI524291 BZM524291 BPQ524291 BFU524291 AVY524291 AMC524291 ACG524291 SK524291 IO524291 WVA458755 WLE458755 WBI458755 VRM458755 VHQ458755 UXU458755 UNY458755 UEC458755 TUG458755 TKK458755 TAO458755 SQS458755 SGW458755 RXA458755 RNE458755 RDI458755 QTM458755 QJQ458755 PZU458755 PPY458755 PGC458755 OWG458755 OMK458755 OCO458755 NSS458755 NIW458755 MZA458755 MPE458755 MFI458755 LVM458755 LLQ458755 LBU458755 KRY458755 KIC458755 JYG458755 JOK458755 JEO458755 IUS458755 IKW458755 IBA458755 HRE458755 HHI458755 GXM458755 GNQ458755 GDU458755 FTY458755 FKC458755 FAG458755 EQK458755 EGO458755 DWS458755 DMW458755 DDA458755 CTE458755 CJI458755 BZM458755 BPQ458755 BFU458755 AVY458755 AMC458755 ACG458755 SK458755 IO458755 WVA393219 WLE393219 WBI393219 VRM393219 VHQ393219 UXU393219 UNY393219 UEC393219 TUG393219 TKK393219 TAO393219 SQS393219 SGW393219 RXA393219 RNE393219 RDI393219 QTM393219 QJQ393219 PZU393219 PPY393219 PGC393219 OWG393219 OMK393219 OCO393219 NSS393219 NIW393219 MZA393219 MPE393219 MFI393219 LVM393219 LLQ393219 LBU393219 KRY393219 KIC393219 JYG393219 JOK393219 JEO393219 IUS393219 IKW393219 IBA393219 HRE393219 HHI393219 GXM393219 GNQ393219 GDU393219 FTY393219 FKC393219 FAG393219 EQK393219 EGO393219 DWS393219 DMW393219 DDA393219 CTE393219 CJI393219 BZM393219 BPQ393219 BFU393219 AVY393219 AMC393219 ACG393219 SK393219 IO393219 WVA327683 WLE327683 WBI327683 VRM327683 VHQ327683 UXU327683 UNY327683 UEC327683 TUG327683 TKK327683 TAO327683 SQS327683 SGW327683 RXA327683 RNE327683 RDI327683 QTM327683 QJQ327683 PZU327683 PPY327683 PGC327683 OWG327683 OMK327683 OCO327683 NSS327683 NIW327683 MZA327683 MPE327683 MFI327683 LVM327683 LLQ327683 LBU327683 KRY327683 KIC327683 JYG327683 JOK327683 JEO327683 IUS327683 IKW327683 IBA327683 HRE327683 HHI327683 GXM327683 GNQ327683 GDU327683 FTY327683 FKC327683 FAG327683 EQK327683 EGO327683 DWS327683 DMW327683 DDA327683 CTE327683 CJI327683 BZM327683 BPQ327683 BFU327683 AVY327683 AMC327683 ACG327683 SK327683 IO327683 WVA262147 WLE262147 WBI262147 VRM262147 VHQ262147 UXU262147 UNY262147 UEC262147 TUG262147 TKK262147 TAO262147 SQS262147 SGW262147 RXA262147 RNE262147 RDI262147 QTM262147 QJQ262147 PZU262147 PPY262147 PGC262147 OWG262147 OMK262147 OCO262147 NSS262147 NIW262147 MZA262147 MPE262147 MFI262147 LVM262147 LLQ262147 LBU262147 KRY262147 KIC262147 JYG262147 JOK262147 JEO262147 IUS262147 IKW262147 IBA262147 HRE262147 HHI262147 GXM262147 GNQ262147 GDU262147 FTY262147 FKC262147 FAG262147 EQK262147 EGO262147 DWS262147 DMW262147 DDA262147 CTE262147 CJI262147 BZM262147 BPQ262147 BFU262147 AVY262147 AMC262147 ACG262147 SK262147 IO262147 WVA196611 WLE196611 WBI196611 VRM196611 VHQ196611 UXU196611 UNY196611 UEC196611 TUG196611 TKK196611 TAO196611 SQS196611 SGW196611 RXA196611 RNE196611 RDI196611 QTM196611 QJQ196611 PZU196611 PPY196611 PGC196611 OWG196611 OMK196611 OCO196611 NSS196611 NIW196611 MZA196611 MPE196611 MFI196611 LVM196611 LLQ196611 LBU196611 KRY196611 KIC196611 JYG196611 JOK196611 JEO196611 IUS196611 IKW196611 IBA196611 HRE196611 HHI196611 GXM196611 GNQ196611 GDU196611 FTY196611 FKC196611 FAG196611 EQK196611 EGO196611 DWS196611 DMW196611 DDA196611 CTE196611 CJI196611 BZM196611 BPQ196611 BFU196611 AVY196611 AMC196611 ACG196611 SK196611 IO196611 WVA131075 WLE131075 WBI131075 VRM131075 VHQ131075 UXU131075 UNY131075 UEC131075 TUG131075 TKK131075 TAO131075 SQS131075 SGW131075 RXA131075 RNE131075 RDI131075 QTM131075 QJQ131075 PZU131075 PPY131075 PGC131075 OWG131075 OMK131075 OCO131075 NSS131075 NIW131075 MZA131075 MPE131075 MFI131075 LVM131075 LLQ131075 LBU131075 KRY131075 KIC131075 JYG131075 JOK131075 JEO131075 IUS131075 IKW131075 IBA131075 HRE131075 HHI131075 GXM131075 GNQ131075 GDU131075 FTY131075 FKC131075 FAG131075 EQK131075 EGO131075 DWS131075 DMW131075 DDA131075 CTE131075 CJI131075 BZM131075 BPQ131075 BFU131075 AVY131075 AMC131075 ACG131075 SK131075 IO131075 WVA65539 WLE65539 WBI65539 VRM65539 VHQ65539 UXU65539 UNY65539 UEC65539 TUG65539 TKK65539 TAO65539 SQS65539 SGW65539 RXA65539 RNE65539 RDI65539 QTM65539 QJQ65539 PZU65539 PPY65539 PGC65539 OWG65539 OMK65539 OCO65539 NSS65539 NIW65539 MZA65539 MPE65539 MFI65539 LVM65539 LLQ65539 LBU65539 KRY65539 KIC65539 JYG65539 JOK65539 JEO65539 IUS65539 IKW65539 IBA65539 HRE65539 HHI65539 GXM65539 GNQ65539 GDU65539 FTY65539 FKC65539 FAG65539 EQK65539 EGO65539 DWS65539 DMW65539 DDA65539 CTE65539 CJI65539 BZM65539 BPQ65539 BFU65539 AVY65539 AMC65539 ACG65539 SK65539 IO65539 WVA6 WLE6 WBI6 VRM6 VHQ6 UXU6 UNY6 UEC6 TUG6 TKK6 TAO6 SQS6 SGW6 RXA6 RNE6 RDI6 QTM6 QJQ6 PZU6 PPY6 PGC6 OWG6 OMK6 OCO6 NSS6 NIW6 MZA6 MPE6 MFI6 LVM6 LLQ6 LBU6 KRY6 KIC6 JYG6 JOK6 JEO6 IUS6 IKW6 IBA6 HRE6 HHI6 GXM6 GNQ6 GDU6 FTY6 FKC6 FAG6 EQK6 EGO6 DWS6 DMW6 DDA6 CTE6 CJI6 BZM6 BPQ6 BFU6 AVY6 AMC6 ACG6 SK6" xr:uid="{00000000-0002-0000-0100-000002000000}">
      <formula1>INDIRECT($C$4)</formula1>
    </dataValidation>
    <dataValidation type="list" allowBlank="1" showInputMessage="1" showErrorMessage="1" sqref="WVA983042 C65536 C131072 C196608 C262144 C327680 C393216 C458752 C524288 C589824 C655360 C720896 C786432 C851968 C917504 C983040 WLE983042 WBI983042 VRM983042 VHQ983042 UXU983042 UNY983042 UEC983042 TUG983042 TKK983042 TAO983042 SQS983042 SGW983042 RXA983042 RNE983042 RDI983042 QTM983042 QJQ983042 PZU983042 PPY983042 PGC983042 OWG983042 OMK983042 OCO983042 NSS983042 NIW983042 MZA983042 MPE983042 MFI983042 LVM983042 LLQ983042 LBU983042 KRY983042 KIC983042 JYG983042 JOK983042 JEO983042 IUS983042 IKW983042 IBA983042 HRE983042 HHI983042 GXM983042 GNQ983042 GDU983042 FTY983042 FKC983042 FAG983042 EQK983042 EGO983042 DWS983042 DMW983042 DDA983042 CTE983042 CJI983042 BZM983042 BPQ983042 BFU983042 AVY983042 AMC983042 ACG983042 SK983042 IO983042 WVA917506 WLE917506 WBI917506 VRM917506 VHQ917506 UXU917506 UNY917506 UEC917506 TUG917506 TKK917506 TAO917506 SQS917506 SGW917506 RXA917506 RNE917506 RDI917506 QTM917506 QJQ917506 PZU917506 PPY917506 PGC917506 OWG917506 OMK917506 OCO917506 NSS917506 NIW917506 MZA917506 MPE917506 MFI917506 LVM917506 LLQ917506 LBU917506 KRY917506 KIC917506 JYG917506 JOK917506 JEO917506 IUS917506 IKW917506 IBA917506 HRE917506 HHI917506 GXM917506 GNQ917506 GDU917506 FTY917506 FKC917506 FAG917506 EQK917506 EGO917506 DWS917506 DMW917506 DDA917506 CTE917506 CJI917506 BZM917506 BPQ917506 BFU917506 AVY917506 AMC917506 ACG917506 SK917506 IO917506 WVA851970 WLE851970 WBI851970 VRM851970 VHQ851970 UXU851970 UNY851970 UEC851970 TUG851970 TKK851970 TAO851970 SQS851970 SGW851970 RXA851970 RNE851970 RDI851970 QTM851970 QJQ851970 PZU851970 PPY851970 PGC851970 OWG851970 OMK851970 OCO851970 NSS851970 NIW851970 MZA851970 MPE851970 MFI851970 LVM851970 LLQ851970 LBU851970 KRY851970 KIC851970 JYG851970 JOK851970 JEO851970 IUS851970 IKW851970 IBA851970 HRE851970 HHI851970 GXM851970 GNQ851970 GDU851970 FTY851970 FKC851970 FAG851970 EQK851970 EGO851970 DWS851970 DMW851970 DDA851970 CTE851970 CJI851970 BZM851970 BPQ851970 BFU851970 AVY851970 AMC851970 ACG851970 SK851970 IO851970 WVA786434 WLE786434 WBI786434 VRM786434 VHQ786434 UXU786434 UNY786434 UEC786434 TUG786434 TKK786434 TAO786434 SQS786434 SGW786434 RXA786434 RNE786434 RDI786434 QTM786434 QJQ786434 PZU786434 PPY786434 PGC786434 OWG786434 OMK786434 OCO786434 NSS786434 NIW786434 MZA786434 MPE786434 MFI786434 LVM786434 LLQ786434 LBU786434 KRY786434 KIC786434 JYG786434 JOK786434 JEO786434 IUS786434 IKW786434 IBA786434 HRE786434 HHI786434 GXM786434 GNQ786434 GDU786434 FTY786434 FKC786434 FAG786434 EQK786434 EGO786434 DWS786434 DMW786434 DDA786434 CTE786434 CJI786434 BZM786434 BPQ786434 BFU786434 AVY786434 AMC786434 ACG786434 SK786434 IO786434 WVA720898 WLE720898 WBI720898 VRM720898 VHQ720898 UXU720898 UNY720898 UEC720898 TUG720898 TKK720898 TAO720898 SQS720898 SGW720898 RXA720898 RNE720898 RDI720898 QTM720898 QJQ720898 PZU720898 PPY720898 PGC720898 OWG720898 OMK720898 OCO720898 NSS720898 NIW720898 MZA720898 MPE720898 MFI720898 LVM720898 LLQ720898 LBU720898 KRY720898 KIC720898 JYG720898 JOK720898 JEO720898 IUS720898 IKW720898 IBA720898 HRE720898 HHI720898 GXM720898 GNQ720898 GDU720898 FTY720898 FKC720898 FAG720898 EQK720898 EGO720898 DWS720898 DMW720898 DDA720898 CTE720898 CJI720898 BZM720898 BPQ720898 BFU720898 AVY720898 AMC720898 ACG720898 SK720898 IO720898 WVA655362 WLE655362 WBI655362 VRM655362 VHQ655362 UXU655362 UNY655362 UEC655362 TUG655362 TKK655362 TAO655362 SQS655362 SGW655362 RXA655362 RNE655362 RDI655362 QTM655362 QJQ655362 PZU655362 PPY655362 PGC655362 OWG655362 OMK655362 OCO655362 NSS655362 NIW655362 MZA655362 MPE655362 MFI655362 LVM655362 LLQ655362 LBU655362 KRY655362 KIC655362 JYG655362 JOK655362 JEO655362 IUS655362 IKW655362 IBA655362 HRE655362 HHI655362 GXM655362 GNQ655362 GDU655362 FTY655362 FKC655362 FAG655362 EQK655362 EGO655362 DWS655362 DMW655362 DDA655362 CTE655362 CJI655362 BZM655362 BPQ655362 BFU655362 AVY655362 AMC655362 ACG655362 SK655362 IO655362 WVA589826 WLE589826 WBI589826 VRM589826 VHQ589826 UXU589826 UNY589826 UEC589826 TUG589826 TKK589826 TAO589826 SQS589826 SGW589826 RXA589826 RNE589826 RDI589826 QTM589826 QJQ589826 PZU589826 PPY589826 PGC589826 OWG589826 OMK589826 OCO589826 NSS589826 NIW589826 MZA589826 MPE589826 MFI589826 LVM589826 LLQ589826 LBU589826 KRY589826 KIC589826 JYG589826 JOK589826 JEO589826 IUS589826 IKW589826 IBA589826 HRE589826 HHI589826 GXM589826 GNQ589826 GDU589826 FTY589826 FKC589826 FAG589826 EQK589826 EGO589826 DWS589826 DMW589826 DDA589826 CTE589826 CJI589826 BZM589826 BPQ589826 BFU589826 AVY589826 AMC589826 ACG589826 SK589826 IO589826 WVA524290 WLE524290 WBI524290 VRM524290 VHQ524290 UXU524290 UNY524290 UEC524290 TUG524290 TKK524290 TAO524290 SQS524290 SGW524290 RXA524290 RNE524290 RDI524290 QTM524290 QJQ524290 PZU524290 PPY524290 PGC524290 OWG524290 OMK524290 OCO524290 NSS524290 NIW524290 MZA524290 MPE524290 MFI524290 LVM524290 LLQ524290 LBU524290 KRY524290 KIC524290 JYG524290 JOK524290 JEO524290 IUS524290 IKW524290 IBA524290 HRE524290 HHI524290 GXM524290 GNQ524290 GDU524290 FTY524290 FKC524290 FAG524290 EQK524290 EGO524290 DWS524290 DMW524290 DDA524290 CTE524290 CJI524290 BZM524290 BPQ524290 BFU524290 AVY524290 AMC524290 ACG524290 SK524290 IO524290 WVA458754 WLE458754 WBI458754 VRM458754 VHQ458754 UXU458754 UNY458754 UEC458754 TUG458754 TKK458754 TAO458754 SQS458754 SGW458754 RXA458754 RNE458754 RDI458754 QTM458754 QJQ458754 PZU458754 PPY458754 PGC458754 OWG458754 OMK458754 OCO458754 NSS458754 NIW458754 MZA458754 MPE458754 MFI458754 LVM458754 LLQ458754 LBU458754 KRY458754 KIC458754 JYG458754 JOK458754 JEO458754 IUS458754 IKW458754 IBA458754 HRE458754 HHI458754 GXM458754 GNQ458754 GDU458754 FTY458754 FKC458754 FAG458754 EQK458754 EGO458754 DWS458754 DMW458754 DDA458754 CTE458754 CJI458754 BZM458754 BPQ458754 BFU458754 AVY458754 AMC458754 ACG458754 SK458754 IO458754 WVA393218 WLE393218 WBI393218 VRM393218 VHQ393218 UXU393218 UNY393218 UEC393218 TUG393218 TKK393218 TAO393218 SQS393218 SGW393218 RXA393218 RNE393218 RDI393218 QTM393218 QJQ393218 PZU393218 PPY393218 PGC393218 OWG393218 OMK393218 OCO393218 NSS393218 NIW393218 MZA393218 MPE393218 MFI393218 LVM393218 LLQ393218 LBU393218 KRY393218 KIC393218 JYG393218 JOK393218 JEO393218 IUS393218 IKW393218 IBA393218 HRE393218 HHI393218 GXM393218 GNQ393218 GDU393218 FTY393218 FKC393218 FAG393218 EQK393218 EGO393218 DWS393218 DMW393218 DDA393218 CTE393218 CJI393218 BZM393218 BPQ393218 BFU393218 AVY393218 AMC393218 ACG393218 SK393218 IO393218 WVA327682 WLE327682 WBI327682 VRM327682 VHQ327682 UXU327682 UNY327682 UEC327682 TUG327682 TKK327682 TAO327682 SQS327682 SGW327682 RXA327682 RNE327682 RDI327682 QTM327682 QJQ327682 PZU327682 PPY327682 PGC327682 OWG327682 OMK327682 OCO327682 NSS327682 NIW327682 MZA327682 MPE327682 MFI327682 LVM327682 LLQ327682 LBU327682 KRY327682 KIC327682 JYG327682 JOK327682 JEO327682 IUS327682 IKW327682 IBA327682 HRE327682 HHI327682 GXM327682 GNQ327682 GDU327682 FTY327682 FKC327682 FAG327682 EQK327682 EGO327682 DWS327682 DMW327682 DDA327682 CTE327682 CJI327682 BZM327682 BPQ327682 BFU327682 AVY327682 AMC327682 ACG327682 SK327682 IO327682 WVA262146 WLE262146 WBI262146 VRM262146 VHQ262146 UXU262146 UNY262146 UEC262146 TUG262146 TKK262146 TAO262146 SQS262146 SGW262146 RXA262146 RNE262146 RDI262146 QTM262146 QJQ262146 PZU262146 PPY262146 PGC262146 OWG262146 OMK262146 OCO262146 NSS262146 NIW262146 MZA262146 MPE262146 MFI262146 LVM262146 LLQ262146 LBU262146 KRY262146 KIC262146 JYG262146 JOK262146 JEO262146 IUS262146 IKW262146 IBA262146 HRE262146 HHI262146 GXM262146 GNQ262146 GDU262146 FTY262146 FKC262146 FAG262146 EQK262146 EGO262146 DWS262146 DMW262146 DDA262146 CTE262146 CJI262146 BZM262146 BPQ262146 BFU262146 AVY262146 AMC262146 ACG262146 SK262146 IO262146 WVA196610 WLE196610 WBI196610 VRM196610 VHQ196610 UXU196610 UNY196610 UEC196610 TUG196610 TKK196610 TAO196610 SQS196610 SGW196610 RXA196610 RNE196610 RDI196610 QTM196610 QJQ196610 PZU196610 PPY196610 PGC196610 OWG196610 OMK196610 OCO196610 NSS196610 NIW196610 MZA196610 MPE196610 MFI196610 LVM196610 LLQ196610 LBU196610 KRY196610 KIC196610 JYG196610 JOK196610 JEO196610 IUS196610 IKW196610 IBA196610 HRE196610 HHI196610 GXM196610 GNQ196610 GDU196610 FTY196610 FKC196610 FAG196610 EQK196610 EGO196610 DWS196610 DMW196610 DDA196610 CTE196610 CJI196610 BZM196610 BPQ196610 BFU196610 AVY196610 AMC196610 ACG196610 SK196610 IO196610 WVA131074 WLE131074 WBI131074 VRM131074 VHQ131074 UXU131074 UNY131074 UEC131074 TUG131074 TKK131074 TAO131074 SQS131074 SGW131074 RXA131074 RNE131074 RDI131074 QTM131074 QJQ131074 PZU131074 PPY131074 PGC131074 OWG131074 OMK131074 OCO131074 NSS131074 NIW131074 MZA131074 MPE131074 MFI131074 LVM131074 LLQ131074 LBU131074 KRY131074 KIC131074 JYG131074 JOK131074 JEO131074 IUS131074 IKW131074 IBA131074 HRE131074 HHI131074 GXM131074 GNQ131074 GDU131074 FTY131074 FKC131074 FAG131074 EQK131074 EGO131074 DWS131074 DMW131074 DDA131074 CTE131074 CJI131074 BZM131074 BPQ131074 BFU131074 AVY131074 AMC131074 ACG131074 SK131074 IO131074 WVA65538 WLE65538 WBI65538 VRM65538 VHQ65538 UXU65538 UNY65538 UEC65538 TUG65538 TKK65538 TAO65538 SQS65538 SGW65538 RXA65538 RNE65538 RDI65538 QTM65538 QJQ65538 PZU65538 PPY65538 PGC65538 OWG65538 OMK65538 OCO65538 NSS65538 NIW65538 MZA65538 MPE65538 MFI65538 LVM65538 LLQ65538 LBU65538 KRY65538 KIC65538 JYG65538 JOK65538 JEO65538 IUS65538 IKW65538 IBA65538 HRE65538 HHI65538 GXM65538 GNQ65538 GDU65538 FTY65538 FKC65538 FAG65538 EQK65538 EGO65538 DWS65538 DMW65538 DDA65538 CTE65538 CJI65538 BZM65538 BPQ65538 BFU65538 AVY65538 AMC65538 ACG65538 SK65538 IO65538 WVA5 WLE5 WBI5 VRM5 VHQ5 UXU5 UNY5 UEC5 TUG5 TKK5 TAO5 SQS5 SGW5 RXA5 RNE5 RDI5 QTM5 QJQ5 PZU5 PPY5 PGC5 OWG5 OMK5 OCO5 NSS5 NIW5 MZA5 MPE5 MFI5 LVM5 LLQ5 LBU5 KRY5 KIC5 JYG5 JOK5 JEO5 IUS5 IKW5 IBA5 HRE5 HHI5 GXM5 GNQ5 GDU5 FTY5 FKC5 FAG5 EQK5 EGO5 DWS5 DMW5 DDA5 CTE5 CJI5 BZM5 BPQ5 BFU5 AVY5 AMC5 ACG5 SK5 IO5" xr:uid="{00000000-0002-0000-0100-000003000000}">
      <formula1>INDIRECT($C$3)</formula1>
    </dataValidation>
    <dataValidation type="list" allowBlank="1" showInputMessage="1" showErrorMessage="1" sqref="WVA983041 IO4 SK4 ACG4 AMC4 AVY4 BFU4 BPQ4 BZM4 CJI4 CTE4 DDA4 DMW4 DWS4 EGO4 EQK4 FAG4 FKC4 FTY4 GDU4 GNQ4 GXM4 HHI4 HRE4 IBA4 IKW4 IUS4 JEO4 JOK4 JYG4 KIC4 KRY4 LBU4 LLQ4 LVM4 MFI4 MPE4 MZA4 NIW4 NSS4 OCO4 OMK4 OWG4 PGC4 PPY4 PZU4 QJQ4 QTM4 RDI4 RNE4 RXA4 SGW4 SQS4 TAO4 TKK4 TUG4 UEC4 UNY4 UXU4 VHQ4 VRM4 WBI4 WLE4 WVA4 IO65537 SK65537 ACG65537 AMC65537 AVY65537 BFU65537 BPQ65537 BZM65537 CJI65537 CTE65537 DDA65537 DMW65537 DWS65537 EGO65537 EQK65537 FAG65537 FKC65537 FTY65537 GDU65537 GNQ65537 GXM65537 HHI65537 HRE65537 IBA65537 IKW65537 IUS65537 JEO65537 JOK65537 JYG65537 KIC65537 KRY65537 LBU65537 LLQ65537 LVM65537 MFI65537 MPE65537 MZA65537 NIW65537 NSS65537 OCO65537 OMK65537 OWG65537 PGC65537 PPY65537 PZU65537 QJQ65537 QTM65537 RDI65537 RNE65537 RXA65537 SGW65537 SQS65537 TAO65537 TKK65537 TUG65537 UEC65537 UNY65537 UXU65537 VHQ65537 VRM65537 WBI65537 WLE65537 WVA65537 IO131073 SK131073 ACG131073 AMC131073 AVY131073 BFU131073 BPQ131073 BZM131073 CJI131073 CTE131073 DDA131073 DMW131073 DWS131073 EGO131073 EQK131073 FAG131073 FKC131073 FTY131073 GDU131073 GNQ131073 GXM131073 HHI131073 HRE131073 IBA131073 IKW131073 IUS131073 JEO131073 JOK131073 JYG131073 KIC131073 KRY131073 LBU131073 LLQ131073 LVM131073 MFI131073 MPE131073 MZA131073 NIW131073 NSS131073 OCO131073 OMK131073 OWG131073 PGC131073 PPY131073 PZU131073 QJQ131073 QTM131073 RDI131073 RNE131073 RXA131073 SGW131073 SQS131073 TAO131073 TKK131073 TUG131073 UEC131073 UNY131073 UXU131073 VHQ131073 VRM131073 WBI131073 WLE131073 WVA131073 IO196609 SK196609 ACG196609 AMC196609 AVY196609 BFU196609 BPQ196609 BZM196609 CJI196609 CTE196609 DDA196609 DMW196609 DWS196609 EGO196609 EQK196609 FAG196609 FKC196609 FTY196609 GDU196609 GNQ196609 GXM196609 HHI196609 HRE196609 IBA196609 IKW196609 IUS196609 JEO196609 JOK196609 JYG196609 KIC196609 KRY196609 LBU196609 LLQ196609 LVM196609 MFI196609 MPE196609 MZA196609 NIW196609 NSS196609 OCO196609 OMK196609 OWG196609 PGC196609 PPY196609 PZU196609 QJQ196609 QTM196609 RDI196609 RNE196609 RXA196609 SGW196609 SQS196609 TAO196609 TKK196609 TUG196609 UEC196609 UNY196609 UXU196609 VHQ196609 VRM196609 WBI196609 WLE196609 WVA196609 IO262145 SK262145 ACG262145 AMC262145 AVY262145 BFU262145 BPQ262145 BZM262145 CJI262145 CTE262145 DDA262145 DMW262145 DWS262145 EGO262145 EQK262145 FAG262145 FKC262145 FTY262145 GDU262145 GNQ262145 GXM262145 HHI262145 HRE262145 IBA262145 IKW262145 IUS262145 JEO262145 JOK262145 JYG262145 KIC262145 KRY262145 LBU262145 LLQ262145 LVM262145 MFI262145 MPE262145 MZA262145 NIW262145 NSS262145 OCO262145 OMK262145 OWG262145 PGC262145 PPY262145 PZU262145 QJQ262145 QTM262145 RDI262145 RNE262145 RXA262145 SGW262145 SQS262145 TAO262145 TKK262145 TUG262145 UEC262145 UNY262145 UXU262145 VHQ262145 VRM262145 WBI262145 WLE262145 WVA262145 IO327681 SK327681 ACG327681 AMC327681 AVY327681 BFU327681 BPQ327681 BZM327681 CJI327681 CTE327681 DDA327681 DMW327681 DWS327681 EGO327681 EQK327681 FAG327681 FKC327681 FTY327681 GDU327681 GNQ327681 GXM327681 HHI327681 HRE327681 IBA327681 IKW327681 IUS327681 JEO327681 JOK327681 JYG327681 KIC327681 KRY327681 LBU327681 LLQ327681 LVM327681 MFI327681 MPE327681 MZA327681 NIW327681 NSS327681 OCO327681 OMK327681 OWG327681 PGC327681 PPY327681 PZU327681 QJQ327681 QTM327681 RDI327681 RNE327681 RXA327681 SGW327681 SQS327681 TAO327681 TKK327681 TUG327681 UEC327681 UNY327681 UXU327681 VHQ327681 VRM327681 WBI327681 WLE327681 WVA327681 IO393217 SK393217 ACG393217 AMC393217 AVY393217 BFU393217 BPQ393217 BZM393217 CJI393217 CTE393217 DDA393217 DMW393217 DWS393217 EGO393217 EQK393217 FAG393217 FKC393217 FTY393217 GDU393217 GNQ393217 GXM393217 HHI393217 HRE393217 IBA393217 IKW393217 IUS393217 JEO393217 JOK393217 JYG393217 KIC393217 KRY393217 LBU393217 LLQ393217 LVM393217 MFI393217 MPE393217 MZA393217 NIW393217 NSS393217 OCO393217 OMK393217 OWG393217 PGC393217 PPY393217 PZU393217 QJQ393217 QTM393217 RDI393217 RNE393217 RXA393217 SGW393217 SQS393217 TAO393217 TKK393217 TUG393217 UEC393217 UNY393217 UXU393217 VHQ393217 VRM393217 WBI393217 WLE393217 WVA393217 IO458753 SK458753 ACG458753 AMC458753 AVY458753 BFU458753 BPQ458753 BZM458753 CJI458753 CTE458753 DDA458753 DMW458753 DWS458753 EGO458753 EQK458753 FAG458753 FKC458753 FTY458753 GDU458753 GNQ458753 GXM458753 HHI458753 HRE458753 IBA458753 IKW458753 IUS458753 JEO458753 JOK458753 JYG458753 KIC458753 KRY458753 LBU458753 LLQ458753 LVM458753 MFI458753 MPE458753 MZA458753 NIW458753 NSS458753 OCO458753 OMK458753 OWG458753 PGC458753 PPY458753 PZU458753 QJQ458753 QTM458753 RDI458753 RNE458753 RXA458753 SGW458753 SQS458753 TAO458753 TKK458753 TUG458753 UEC458753 UNY458753 UXU458753 VHQ458753 VRM458753 WBI458753 WLE458753 WVA458753 IO524289 SK524289 ACG524289 AMC524289 AVY524289 BFU524289 BPQ524289 BZM524289 CJI524289 CTE524289 DDA524289 DMW524289 DWS524289 EGO524289 EQK524289 FAG524289 FKC524289 FTY524289 GDU524289 GNQ524289 GXM524289 HHI524289 HRE524289 IBA524289 IKW524289 IUS524289 JEO524289 JOK524289 JYG524289 KIC524289 KRY524289 LBU524289 LLQ524289 LVM524289 MFI524289 MPE524289 MZA524289 NIW524289 NSS524289 OCO524289 OMK524289 OWG524289 PGC524289 PPY524289 PZU524289 QJQ524289 QTM524289 RDI524289 RNE524289 RXA524289 SGW524289 SQS524289 TAO524289 TKK524289 TUG524289 UEC524289 UNY524289 UXU524289 VHQ524289 VRM524289 WBI524289 WLE524289 WVA524289 IO589825 SK589825 ACG589825 AMC589825 AVY589825 BFU589825 BPQ589825 BZM589825 CJI589825 CTE589825 DDA589825 DMW589825 DWS589825 EGO589825 EQK589825 FAG589825 FKC589825 FTY589825 GDU589825 GNQ589825 GXM589825 HHI589825 HRE589825 IBA589825 IKW589825 IUS589825 JEO589825 JOK589825 JYG589825 KIC589825 KRY589825 LBU589825 LLQ589825 LVM589825 MFI589825 MPE589825 MZA589825 NIW589825 NSS589825 OCO589825 OMK589825 OWG589825 PGC589825 PPY589825 PZU589825 QJQ589825 QTM589825 RDI589825 RNE589825 RXA589825 SGW589825 SQS589825 TAO589825 TKK589825 TUG589825 UEC589825 UNY589825 UXU589825 VHQ589825 VRM589825 WBI589825 WLE589825 WVA589825 IO655361 SK655361 ACG655361 AMC655361 AVY655361 BFU655361 BPQ655361 BZM655361 CJI655361 CTE655361 DDA655361 DMW655361 DWS655361 EGO655361 EQK655361 FAG655361 FKC655361 FTY655361 GDU655361 GNQ655361 GXM655361 HHI655361 HRE655361 IBA655361 IKW655361 IUS655361 JEO655361 JOK655361 JYG655361 KIC655361 KRY655361 LBU655361 LLQ655361 LVM655361 MFI655361 MPE655361 MZA655361 NIW655361 NSS655361 OCO655361 OMK655361 OWG655361 PGC655361 PPY655361 PZU655361 QJQ655361 QTM655361 RDI655361 RNE655361 RXA655361 SGW655361 SQS655361 TAO655361 TKK655361 TUG655361 UEC655361 UNY655361 UXU655361 VHQ655361 VRM655361 WBI655361 WLE655361 WVA655361 IO720897 SK720897 ACG720897 AMC720897 AVY720897 BFU720897 BPQ720897 BZM720897 CJI720897 CTE720897 DDA720897 DMW720897 DWS720897 EGO720897 EQK720897 FAG720897 FKC720897 FTY720897 GDU720897 GNQ720897 GXM720897 HHI720897 HRE720897 IBA720897 IKW720897 IUS720897 JEO720897 JOK720897 JYG720897 KIC720897 KRY720897 LBU720897 LLQ720897 LVM720897 MFI720897 MPE720897 MZA720897 NIW720897 NSS720897 OCO720897 OMK720897 OWG720897 PGC720897 PPY720897 PZU720897 QJQ720897 QTM720897 RDI720897 RNE720897 RXA720897 SGW720897 SQS720897 TAO720897 TKK720897 TUG720897 UEC720897 UNY720897 UXU720897 VHQ720897 VRM720897 WBI720897 WLE720897 WVA720897 IO786433 SK786433 ACG786433 AMC786433 AVY786433 BFU786433 BPQ786433 BZM786433 CJI786433 CTE786433 DDA786433 DMW786433 DWS786433 EGO786433 EQK786433 FAG786433 FKC786433 FTY786433 GDU786433 GNQ786433 GXM786433 HHI786433 HRE786433 IBA786433 IKW786433 IUS786433 JEO786433 JOK786433 JYG786433 KIC786433 KRY786433 LBU786433 LLQ786433 LVM786433 MFI786433 MPE786433 MZA786433 NIW786433 NSS786433 OCO786433 OMK786433 OWG786433 PGC786433 PPY786433 PZU786433 QJQ786433 QTM786433 RDI786433 RNE786433 RXA786433 SGW786433 SQS786433 TAO786433 TKK786433 TUG786433 UEC786433 UNY786433 UXU786433 VHQ786433 VRM786433 WBI786433 WLE786433 WVA786433 IO851969 SK851969 ACG851969 AMC851969 AVY851969 BFU851969 BPQ851969 BZM851969 CJI851969 CTE851969 DDA851969 DMW851969 DWS851969 EGO851969 EQK851969 FAG851969 FKC851969 FTY851969 GDU851969 GNQ851969 GXM851969 HHI851969 HRE851969 IBA851969 IKW851969 IUS851969 JEO851969 JOK851969 JYG851969 KIC851969 KRY851969 LBU851969 LLQ851969 LVM851969 MFI851969 MPE851969 MZA851969 NIW851969 NSS851969 OCO851969 OMK851969 OWG851969 PGC851969 PPY851969 PZU851969 QJQ851969 QTM851969 RDI851969 RNE851969 RXA851969 SGW851969 SQS851969 TAO851969 TKK851969 TUG851969 UEC851969 UNY851969 UXU851969 VHQ851969 VRM851969 WBI851969 WLE851969 WVA851969 IO917505 SK917505 ACG917505 AMC917505 AVY917505 BFU917505 BPQ917505 BZM917505 CJI917505 CTE917505 DDA917505 DMW917505 DWS917505 EGO917505 EQK917505 FAG917505 FKC917505 FTY917505 GDU917505 GNQ917505 GXM917505 HHI917505 HRE917505 IBA917505 IKW917505 IUS917505 JEO917505 JOK917505 JYG917505 KIC917505 KRY917505 LBU917505 LLQ917505 LVM917505 MFI917505 MPE917505 MZA917505 NIW917505 NSS917505 OCO917505 OMK917505 OWG917505 PGC917505 PPY917505 PZU917505 QJQ917505 QTM917505 RDI917505 RNE917505 RXA917505 SGW917505 SQS917505 TAO917505 TKK917505 TUG917505 UEC917505 UNY917505 UXU917505 VHQ917505 VRM917505 WBI917505 WLE917505 WVA917505 IO983041 SK983041 ACG983041 AMC983041 AVY983041 BFU983041 BPQ983041 BZM983041 CJI983041 CTE983041 DDA983041 DMW983041 DWS983041 EGO983041 EQK983041 FAG983041 FKC983041 FTY983041 GDU983041 GNQ983041 GXM983041 HHI983041 HRE983041 IBA983041 IKW983041 IUS983041 JEO983041 JOK983041 JYG983041 KIC983041 KRY983041 LBU983041 LLQ983041 LVM983041 MFI983041 MPE983041 MZA983041 NIW983041 NSS983041 OCO983041 OMK983041 OWG983041 PGC983041 PPY983041 PZU983041 QJQ983041 QTM983041 RDI983041 RNE983041 RXA983041 SGW983041 SQS983041 TAO983041 TKK983041 TUG983041 UEC983041 UNY983041 UXU983041 VHQ983041 VRM983041 WBI983041 WLE983041 C983039 C917503 C851967 C786431 C720895 C655359 C589823 C524287 C458751 C393215 C327679 C262143 C196607 C131071 C65535" xr:uid="{00000000-0002-0000-0100-000004000000}">
      <formula1>行政區</formula1>
    </dataValidation>
    <dataValidation type="list" allowBlank="1" showInputMessage="1" showErrorMessage="1" sqref="IO11 SK11 ACG11 AMC11 AVY11 BFU11 BPQ11 BZM11 CJI11 CTE11 DDA11 DMW11 DWS11 EGO11 EQK11 FAG11 FKC11 FTY11 GDU11 GNQ11 GXM11 HHI11 HRE11 IBA11 IKW11 IUS11 JEO11 JOK11 JYG11 KIC11 KRY11 LBU11 LLQ11 LVM11 MFI11 MPE11 MZA11 NIW11 NSS11 OCO11 OMK11 OWG11 PGC11 PPY11 PZU11 QJQ11 QTM11 RDI11 RNE11 RXA11 SGW11 SQS11 TAO11 TKK11 TUG11 UEC11 UNY11 UXU11 VHQ11 VRM11 WBI11 WLE11 WVA11 IO65547 SK65547 ACG65547 AMC65547 AVY65547 BFU65547 BPQ65547 BZM65547 CJI65547 CTE65547 DDA65547 DMW65547 DWS65547 EGO65547 EQK65547 FAG65547 FKC65547 FTY65547 GDU65547 GNQ65547 GXM65547 HHI65547 HRE65547 IBA65547 IKW65547 IUS65547 JEO65547 JOK65547 JYG65547 KIC65547 KRY65547 LBU65547 LLQ65547 LVM65547 MFI65547 MPE65547 MZA65547 NIW65547 NSS65547 OCO65547 OMK65547 OWG65547 PGC65547 PPY65547 PZU65547 QJQ65547 QTM65547 RDI65547 RNE65547 RXA65547 SGW65547 SQS65547 TAO65547 TKK65547 TUG65547 UEC65547 UNY65547 UXU65547 VHQ65547 VRM65547 WBI65547 WLE65547 WVA65547 IO131083 SK131083 ACG131083 AMC131083 AVY131083 BFU131083 BPQ131083 BZM131083 CJI131083 CTE131083 DDA131083 DMW131083 DWS131083 EGO131083 EQK131083 FAG131083 FKC131083 FTY131083 GDU131083 GNQ131083 GXM131083 HHI131083 HRE131083 IBA131083 IKW131083 IUS131083 JEO131083 JOK131083 JYG131083 KIC131083 KRY131083 LBU131083 LLQ131083 LVM131083 MFI131083 MPE131083 MZA131083 NIW131083 NSS131083 OCO131083 OMK131083 OWG131083 PGC131083 PPY131083 PZU131083 QJQ131083 QTM131083 RDI131083 RNE131083 RXA131083 SGW131083 SQS131083 TAO131083 TKK131083 TUG131083 UEC131083 UNY131083 UXU131083 VHQ131083 VRM131083 WBI131083 WLE131083 WVA131083 IO196619 SK196619 ACG196619 AMC196619 AVY196619 BFU196619 BPQ196619 BZM196619 CJI196619 CTE196619 DDA196619 DMW196619 DWS196619 EGO196619 EQK196619 FAG196619 FKC196619 FTY196619 GDU196619 GNQ196619 GXM196619 HHI196619 HRE196619 IBA196619 IKW196619 IUS196619 JEO196619 JOK196619 JYG196619 KIC196619 KRY196619 LBU196619 LLQ196619 LVM196619 MFI196619 MPE196619 MZA196619 NIW196619 NSS196619 OCO196619 OMK196619 OWG196619 PGC196619 PPY196619 PZU196619 QJQ196619 QTM196619 RDI196619 RNE196619 RXA196619 SGW196619 SQS196619 TAO196619 TKK196619 TUG196619 UEC196619 UNY196619 UXU196619 VHQ196619 VRM196619 WBI196619 WLE196619 WVA196619 IO262155 SK262155 ACG262155 AMC262155 AVY262155 BFU262155 BPQ262155 BZM262155 CJI262155 CTE262155 DDA262155 DMW262155 DWS262155 EGO262155 EQK262155 FAG262155 FKC262155 FTY262155 GDU262155 GNQ262155 GXM262155 HHI262155 HRE262155 IBA262155 IKW262155 IUS262155 JEO262155 JOK262155 JYG262155 KIC262155 KRY262155 LBU262155 LLQ262155 LVM262155 MFI262155 MPE262155 MZA262155 NIW262155 NSS262155 OCO262155 OMK262155 OWG262155 PGC262155 PPY262155 PZU262155 QJQ262155 QTM262155 RDI262155 RNE262155 RXA262155 SGW262155 SQS262155 TAO262155 TKK262155 TUG262155 UEC262155 UNY262155 UXU262155 VHQ262155 VRM262155 WBI262155 WLE262155 WVA262155 IO327691 SK327691 ACG327691 AMC327691 AVY327691 BFU327691 BPQ327691 BZM327691 CJI327691 CTE327691 DDA327691 DMW327691 DWS327691 EGO327691 EQK327691 FAG327691 FKC327691 FTY327691 GDU327691 GNQ327691 GXM327691 HHI327691 HRE327691 IBA327691 IKW327691 IUS327691 JEO327691 JOK327691 JYG327691 KIC327691 KRY327691 LBU327691 LLQ327691 LVM327691 MFI327691 MPE327691 MZA327691 NIW327691 NSS327691 OCO327691 OMK327691 OWG327691 PGC327691 PPY327691 PZU327691 QJQ327691 QTM327691 RDI327691 RNE327691 RXA327691 SGW327691 SQS327691 TAO327691 TKK327691 TUG327691 UEC327691 UNY327691 UXU327691 VHQ327691 VRM327691 WBI327691 WLE327691 WVA327691 IO393227 SK393227 ACG393227 AMC393227 AVY393227 BFU393227 BPQ393227 BZM393227 CJI393227 CTE393227 DDA393227 DMW393227 DWS393227 EGO393227 EQK393227 FAG393227 FKC393227 FTY393227 GDU393227 GNQ393227 GXM393227 HHI393227 HRE393227 IBA393227 IKW393227 IUS393227 JEO393227 JOK393227 JYG393227 KIC393227 KRY393227 LBU393227 LLQ393227 LVM393227 MFI393227 MPE393227 MZA393227 NIW393227 NSS393227 OCO393227 OMK393227 OWG393227 PGC393227 PPY393227 PZU393227 QJQ393227 QTM393227 RDI393227 RNE393227 RXA393227 SGW393227 SQS393227 TAO393227 TKK393227 TUG393227 UEC393227 UNY393227 UXU393227 VHQ393227 VRM393227 WBI393227 WLE393227 WVA393227 IO458763 SK458763 ACG458763 AMC458763 AVY458763 BFU458763 BPQ458763 BZM458763 CJI458763 CTE458763 DDA458763 DMW458763 DWS458763 EGO458763 EQK458763 FAG458763 FKC458763 FTY458763 GDU458763 GNQ458763 GXM458763 HHI458763 HRE458763 IBA458763 IKW458763 IUS458763 JEO458763 JOK458763 JYG458763 KIC458763 KRY458763 LBU458763 LLQ458763 LVM458763 MFI458763 MPE458763 MZA458763 NIW458763 NSS458763 OCO458763 OMK458763 OWG458763 PGC458763 PPY458763 PZU458763 QJQ458763 QTM458763 RDI458763 RNE458763 RXA458763 SGW458763 SQS458763 TAO458763 TKK458763 TUG458763 UEC458763 UNY458763 UXU458763 VHQ458763 VRM458763 WBI458763 WLE458763 WVA458763 IO524299 SK524299 ACG524299 AMC524299 AVY524299 BFU524299 BPQ524299 BZM524299 CJI524299 CTE524299 DDA524299 DMW524299 DWS524299 EGO524299 EQK524299 FAG524299 FKC524299 FTY524299 GDU524299 GNQ524299 GXM524299 HHI524299 HRE524299 IBA524299 IKW524299 IUS524299 JEO524299 JOK524299 JYG524299 KIC524299 KRY524299 LBU524299 LLQ524299 LVM524299 MFI524299 MPE524299 MZA524299 NIW524299 NSS524299 OCO524299 OMK524299 OWG524299 PGC524299 PPY524299 PZU524299 QJQ524299 QTM524299 RDI524299 RNE524299 RXA524299 SGW524299 SQS524299 TAO524299 TKK524299 TUG524299 UEC524299 UNY524299 UXU524299 VHQ524299 VRM524299 WBI524299 WLE524299 WVA524299 IO589835 SK589835 ACG589835 AMC589835 AVY589835 BFU589835 BPQ589835 BZM589835 CJI589835 CTE589835 DDA589835 DMW589835 DWS589835 EGO589835 EQK589835 FAG589835 FKC589835 FTY589835 GDU589835 GNQ589835 GXM589835 HHI589835 HRE589835 IBA589835 IKW589835 IUS589835 JEO589835 JOK589835 JYG589835 KIC589835 KRY589835 LBU589835 LLQ589835 LVM589835 MFI589835 MPE589835 MZA589835 NIW589835 NSS589835 OCO589835 OMK589835 OWG589835 PGC589835 PPY589835 PZU589835 QJQ589835 QTM589835 RDI589835 RNE589835 RXA589835 SGW589835 SQS589835 TAO589835 TKK589835 TUG589835 UEC589835 UNY589835 UXU589835 VHQ589835 VRM589835 WBI589835 WLE589835 WVA589835 IO655371 SK655371 ACG655371 AMC655371 AVY655371 BFU655371 BPQ655371 BZM655371 CJI655371 CTE655371 DDA655371 DMW655371 DWS655371 EGO655371 EQK655371 FAG655371 FKC655371 FTY655371 GDU655371 GNQ655371 GXM655371 HHI655371 HRE655371 IBA655371 IKW655371 IUS655371 JEO655371 JOK655371 JYG655371 KIC655371 KRY655371 LBU655371 LLQ655371 LVM655371 MFI655371 MPE655371 MZA655371 NIW655371 NSS655371 OCO655371 OMK655371 OWG655371 PGC655371 PPY655371 PZU655371 QJQ655371 QTM655371 RDI655371 RNE655371 RXA655371 SGW655371 SQS655371 TAO655371 TKK655371 TUG655371 UEC655371 UNY655371 UXU655371 VHQ655371 VRM655371 WBI655371 WLE655371 WVA655371 IO720907 SK720907 ACG720907 AMC720907 AVY720907 BFU720907 BPQ720907 BZM720907 CJI720907 CTE720907 DDA720907 DMW720907 DWS720907 EGO720907 EQK720907 FAG720907 FKC720907 FTY720907 GDU720907 GNQ720907 GXM720907 HHI720907 HRE720907 IBA720907 IKW720907 IUS720907 JEO720907 JOK720907 JYG720907 KIC720907 KRY720907 LBU720907 LLQ720907 LVM720907 MFI720907 MPE720907 MZA720907 NIW720907 NSS720907 OCO720907 OMK720907 OWG720907 PGC720907 PPY720907 PZU720907 QJQ720907 QTM720907 RDI720907 RNE720907 RXA720907 SGW720907 SQS720907 TAO720907 TKK720907 TUG720907 UEC720907 UNY720907 UXU720907 VHQ720907 VRM720907 WBI720907 WLE720907 WVA720907 IO786443 SK786443 ACG786443 AMC786443 AVY786443 BFU786443 BPQ786443 BZM786443 CJI786443 CTE786443 DDA786443 DMW786443 DWS786443 EGO786443 EQK786443 FAG786443 FKC786443 FTY786443 GDU786443 GNQ786443 GXM786443 HHI786443 HRE786443 IBA786443 IKW786443 IUS786443 JEO786443 JOK786443 JYG786443 KIC786443 KRY786443 LBU786443 LLQ786443 LVM786443 MFI786443 MPE786443 MZA786443 NIW786443 NSS786443 OCO786443 OMK786443 OWG786443 PGC786443 PPY786443 PZU786443 QJQ786443 QTM786443 RDI786443 RNE786443 RXA786443 SGW786443 SQS786443 TAO786443 TKK786443 TUG786443 UEC786443 UNY786443 UXU786443 VHQ786443 VRM786443 WBI786443 WLE786443 WVA786443 IO851979 SK851979 ACG851979 AMC851979 AVY851979 BFU851979 BPQ851979 BZM851979 CJI851979 CTE851979 DDA851979 DMW851979 DWS851979 EGO851979 EQK851979 FAG851979 FKC851979 FTY851979 GDU851979 GNQ851979 GXM851979 HHI851979 HRE851979 IBA851979 IKW851979 IUS851979 JEO851979 JOK851979 JYG851979 KIC851979 KRY851979 LBU851979 LLQ851979 LVM851979 MFI851979 MPE851979 MZA851979 NIW851979 NSS851979 OCO851979 OMK851979 OWG851979 PGC851979 PPY851979 PZU851979 QJQ851979 QTM851979 RDI851979 RNE851979 RXA851979 SGW851979 SQS851979 TAO851979 TKK851979 TUG851979 UEC851979 UNY851979 UXU851979 VHQ851979 VRM851979 WBI851979 WLE851979 WVA851979 IO917515 SK917515 ACG917515 AMC917515 AVY917515 BFU917515 BPQ917515 BZM917515 CJI917515 CTE917515 DDA917515 DMW917515 DWS917515 EGO917515 EQK917515 FAG917515 FKC917515 FTY917515 GDU917515 GNQ917515 GXM917515 HHI917515 HRE917515 IBA917515 IKW917515 IUS917515 JEO917515 JOK917515 JYG917515 KIC917515 KRY917515 LBU917515 LLQ917515 LVM917515 MFI917515 MPE917515 MZA917515 NIW917515 NSS917515 OCO917515 OMK917515 OWG917515 PGC917515 PPY917515 PZU917515 QJQ917515 QTM917515 RDI917515 RNE917515 RXA917515 SGW917515 SQS917515 TAO917515 TKK917515 TUG917515 UEC917515 UNY917515 UXU917515 VHQ917515 VRM917515 WBI917515 WLE917515 WVA917515 IO983051 SK983051 ACG983051 AMC983051 AVY983051 BFU983051 BPQ983051 BZM983051 CJI983051 CTE983051 DDA983051 DMW983051 DWS983051 EGO983051 EQK983051 FAG983051 FKC983051 FTY983051 GDU983051 GNQ983051 GXM983051 HHI983051 HRE983051 IBA983051 IKW983051 IUS983051 JEO983051 JOK983051 JYG983051 KIC983051 KRY983051 LBU983051 LLQ983051 LVM983051 MFI983051 MPE983051 MZA983051 NIW983051 NSS983051 OCO983051 OMK983051 OWG983051 PGC983051 PPY983051 PZU983051 QJQ983051 QTM983051 RDI983051 RNE983051 RXA983051 SGW983051 SQS983051 TAO983051 TKK983051 TUG983051 UEC983051 UNY983051 UXU983051 VHQ983051 VRM983051 WBI983051 WLE983051 WVA983051 C983049 C917513 C851977 C786441 C720905 C655369 C589833 C524297 C458761 C393225 C327689 C262153 C196617 C131081 C65545" xr:uid="{00000000-0002-0000-0100-000005000000}">
      <formula1>#REF!</formula1>
    </dataValidation>
    <dataValidation type="list" allowBlank="1" showInputMessage="1" showErrorMessage="1" sqref="C3" xr:uid="{00000000-0002-0000-0100-000006000000}">
      <formula1>臺北盆地</formula1>
    </dataValidation>
    <dataValidation type="list" allowBlank="1" showInputMessage="1" showErrorMessage="1" sqref="C4" xr:uid="{00000000-0002-0000-0100-000007000000}">
      <formula1>INDEX(INDIRECT($C$3),,1)</formula1>
    </dataValidation>
    <dataValidation type="list" allowBlank="1" showInputMessage="1" showErrorMessage="1" sqref="C5" xr:uid="{00000000-0002-0000-0100-000008000000}">
      <formula1>INDEX(INDIRECT($C$4),,1)</formula1>
    </dataValidation>
    <dataValidation type="list" allowBlank="1" showInputMessage="1" showErrorMessage="1" sqref="C9" xr:uid="{A9D282A5-9232-4A18-A495-2D5A194BB8E5}">
      <formula1>構造</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dimension ref="A1:AV2634"/>
  <sheetViews>
    <sheetView topLeftCell="A751" workbookViewId="0">
      <selection activeCell="C28" sqref="C28:D37"/>
    </sheetView>
  </sheetViews>
  <sheetFormatPr defaultRowHeight="16.5"/>
  <cols>
    <col min="1" max="1" width="17.375" style="3" bestFit="1" customWidth="1"/>
    <col min="2" max="2" width="9" style="12"/>
    <col min="3" max="3" width="9.625" style="3" bestFit="1" customWidth="1"/>
    <col min="4" max="4" width="7" style="3" bestFit="1" customWidth="1"/>
    <col min="5" max="5" width="10.125" style="5" bestFit="1" customWidth="1"/>
    <col min="6" max="6" width="12.375" style="3" bestFit="1" customWidth="1"/>
    <col min="7" max="7" width="9.875" style="3" customWidth="1"/>
    <col min="8" max="8" width="9.5" style="7" bestFit="1" customWidth="1"/>
    <col min="9" max="11" width="9.625" style="3" customWidth="1"/>
    <col min="12" max="12" width="10.5" bestFit="1" customWidth="1"/>
    <col min="285" max="285" width="8.75" customWidth="1"/>
    <col min="541" max="541" width="8.75" customWidth="1"/>
    <col min="797" max="797" width="8.75" customWidth="1"/>
    <col min="1053" max="1053" width="8.75" customWidth="1"/>
    <col min="1309" max="1309" width="8.75" customWidth="1"/>
    <col min="1565" max="1565" width="8.75" customWidth="1"/>
    <col min="1821" max="1821" width="8.75" customWidth="1"/>
    <col min="2077" max="2077" width="8.75" customWidth="1"/>
    <col min="2333" max="2333" width="8.75" customWidth="1"/>
    <col min="2589" max="2589" width="8.75" customWidth="1"/>
    <col min="2845" max="2845" width="8.75" customWidth="1"/>
    <col min="3101" max="3101" width="8.75" customWidth="1"/>
    <col min="3357" max="3357" width="8.75" customWidth="1"/>
    <col min="3613" max="3613" width="8.75" customWidth="1"/>
    <col min="3869" max="3869" width="8.75" customWidth="1"/>
    <col min="4125" max="4125" width="8.75" customWidth="1"/>
    <col min="4381" max="4381" width="8.75" customWidth="1"/>
    <col min="4637" max="4637" width="8.75" customWidth="1"/>
    <col min="4893" max="4893" width="8.75" customWidth="1"/>
    <col min="5149" max="5149" width="8.75" customWidth="1"/>
    <col min="5405" max="5405" width="8.75" customWidth="1"/>
    <col min="5661" max="5661" width="8.75" customWidth="1"/>
    <col min="5917" max="5917" width="8.75" customWidth="1"/>
    <col min="6173" max="6173" width="8.75" customWidth="1"/>
    <col min="6429" max="6429" width="8.75" customWidth="1"/>
    <col min="6685" max="6685" width="8.75" customWidth="1"/>
    <col min="6941" max="6941" width="8.75" customWidth="1"/>
    <col min="7197" max="7197" width="8.75" customWidth="1"/>
    <col min="7453" max="7453" width="8.75" customWidth="1"/>
    <col min="7709" max="7709" width="8.75" customWidth="1"/>
    <col min="7965" max="7965" width="8.75" customWidth="1"/>
    <col min="8221" max="8221" width="8.75" customWidth="1"/>
    <col min="8477" max="8477" width="8.75" customWidth="1"/>
    <col min="8733" max="8733" width="8.75" customWidth="1"/>
    <col min="8989" max="8989" width="8.75" customWidth="1"/>
    <col min="9245" max="9245" width="8.75" customWidth="1"/>
    <col min="9501" max="9501" width="8.75" customWidth="1"/>
    <col min="9757" max="9757" width="8.75" customWidth="1"/>
    <col min="10013" max="10013" width="8.75" customWidth="1"/>
    <col min="10269" max="10269" width="8.75" customWidth="1"/>
    <col min="10525" max="10525" width="8.75" customWidth="1"/>
    <col min="10781" max="10781" width="8.75" customWidth="1"/>
    <col min="11037" max="11037" width="8.75" customWidth="1"/>
    <col min="11293" max="11293" width="8.75" customWidth="1"/>
    <col min="11549" max="11549" width="8.75" customWidth="1"/>
    <col min="11805" max="11805" width="8.75" customWidth="1"/>
    <col min="12061" max="12061" width="8.75" customWidth="1"/>
    <col min="12317" max="12317" width="8.75" customWidth="1"/>
    <col min="12573" max="12573" width="8.75" customWidth="1"/>
    <col min="12829" max="12829" width="8.75" customWidth="1"/>
    <col min="13085" max="13085" width="8.75" customWidth="1"/>
    <col min="13341" max="13341" width="8.75" customWidth="1"/>
    <col min="13597" max="13597" width="8.75" customWidth="1"/>
    <col min="13853" max="13853" width="8.75" customWidth="1"/>
    <col min="14109" max="14109" width="8.75" customWidth="1"/>
    <col min="14365" max="14365" width="8.75" customWidth="1"/>
    <col min="14621" max="14621" width="8.75" customWidth="1"/>
    <col min="14877" max="14877" width="8.75" customWidth="1"/>
    <col min="15133" max="15133" width="8.75" customWidth="1"/>
    <col min="15389" max="15389" width="8.75" customWidth="1"/>
    <col min="15645" max="15645" width="8.75" customWidth="1"/>
    <col min="15901" max="15901" width="8.75" customWidth="1"/>
    <col min="16157" max="16157" width="8.75" customWidth="1"/>
  </cols>
  <sheetData>
    <row r="1" spans="1:48" ht="19.5">
      <c r="A1" s="10" t="s">
        <v>600</v>
      </c>
      <c r="B1" s="22" t="s">
        <v>728</v>
      </c>
      <c r="C1" s="5" t="s">
        <v>23</v>
      </c>
      <c r="D1" s="4" t="s">
        <v>22</v>
      </c>
      <c r="E1" s="22" t="s">
        <v>20</v>
      </c>
      <c r="F1" s="22" t="s">
        <v>21</v>
      </c>
      <c r="G1" s="23" t="s">
        <v>604</v>
      </c>
      <c r="H1" s="7" t="s">
        <v>603</v>
      </c>
      <c r="I1" s="7" t="s">
        <v>603</v>
      </c>
      <c r="J1" s="7" t="s">
        <v>601</v>
      </c>
      <c r="K1" s="7" t="s">
        <v>602</v>
      </c>
      <c r="L1" s="11" t="s">
        <v>377</v>
      </c>
    </row>
    <row r="2" spans="1:48">
      <c r="A2" s="20" t="s">
        <v>640</v>
      </c>
      <c r="B2" s="24" t="s">
        <v>599</v>
      </c>
      <c r="C2" s="371">
        <v>100</v>
      </c>
      <c r="D2" s="372">
        <v>42.5</v>
      </c>
      <c r="E2" s="19" t="s">
        <v>872</v>
      </c>
      <c r="F2" s="19" t="s">
        <v>599</v>
      </c>
      <c r="G2" s="17" t="s">
        <v>436</v>
      </c>
      <c r="H2" s="17" t="s">
        <v>491</v>
      </c>
      <c r="I2" s="7" t="s">
        <v>491</v>
      </c>
      <c r="J2" s="1">
        <v>0.6</v>
      </c>
      <c r="K2" s="1">
        <v>0.8</v>
      </c>
      <c r="L2" s="1">
        <v>1.6</v>
      </c>
    </row>
    <row r="3" spans="1:48">
      <c r="A3" s="20" t="s">
        <v>1748</v>
      </c>
      <c r="B3" s="24" t="s">
        <v>639</v>
      </c>
      <c r="C3" s="371">
        <v>103</v>
      </c>
      <c r="D3" s="372">
        <v>42.5</v>
      </c>
      <c r="E3" s="19" t="s">
        <v>872</v>
      </c>
      <c r="F3" s="19" t="s">
        <v>599</v>
      </c>
      <c r="G3" s="17" t="s">
        <v>434</v>
      </c>
      <c r="H3" s="17" t="s">
        <v>491</v>
      </c>
      <c r="I3" s="7" t="s">
        <v>492</v>
      </c>
      <c r="J3" s="1">
        <v>0.6</v>
      </c>
      <c r="K3" s="1">
        <v>0.8</v>
      </c>
      <c r="L3" s="1">
        <v>1.3</v>
      </c>
    </row>
    <row r="4" spans="1:48">
      <c r="B4" s="24" t="s">
        <v>560</v>
      </c>
      <c r="C4" s="371">
        <v>104</v>
      </c>
      <c r="D4" s="372">
        <v>42.5</v>
      </c>
      <c r="E4" s="19" t="s">
        <v>872</v>
      </c>
      <c r="F4" s="19" t="s">
        <v>599</v>
      </c>
      <c r="G4" s="17" t="s">
        <v>432</v>
      </c>
      <c r="H4" s="17" t="s">
        <v>491</v>
      </c>
      <c r="I4" s="7" t="s">
        <v>490</v>
      </c>
      <c r="J4" s="1">
        <v>0.6</v>
      </c>
      <c r="K4" s="1">
        <v>0.8</v>
      </c>
      <c r="L4" s="1">
        <v>1.05</v>
      </c>
    </row>
    <row r="5" spans="1:48">
      <c r="B5" s="24" t="s">
        <v>730</v>
      </c>
      <c r="C5" s="371">
        <v>105</v>
      </c>
      <c r="D5" s="372">
        <v>42.5</v>
      </c>
      <c r="E5" s="19" t="s">
        <v>872</v>
      </c>
      <c r="F5" s="19" t="s">
        <v>599</v>
      </c>
      <c r="G5" s="14" t="s">
        <v>439</v>
      </c>
      <c r="H5" s="14" t="s">
        <v>492</v>
      </c>
      <c r="I5" s="5"/>
      <c r="J5" s="5"/>
      <c r="K5" s="5"/>
      <c r="L5" s="7"/>
    </row>
    <row r="6" spans="1:48">
      <c r="B6" s="24" t="s">
        <v>428</v>
      </c>
      <c r="C6" s="371">
        <v>106</v>
      </c>
      <c r="D6" s="372">
        <v>42.5</v>
      </c>
      <c r="E6" s="19" t="s">
        <v>872</v>
      </c>
      <c r="F6" s="19" t="s">
        <v>599</v>
      </c>
      <c r="G6" s="14" t="s">
        <v>441</v>
      </c>
      <c r="H6" s="14" t="s">
        <v>492</v>
      </c>
      <c r="I6" s="5"/>
      <c r="J6" s="5"/>
      <c r="K6" s="5"/>
      <c r="L6" s="7"/>
    </row>
    <row r="7" spans="1:48">
      <c r="B7" s="24" t="s">
        <v>731</v>
      </c>
      <c r="C7" s="371">
        <v>108</v>
      </c>
      <c r="D7" s="372">
        <v>42.5</v>
      </c>
      <c r="E7" s="19" t="s">
        <v>872</v>
      </c>
      <c r="F7" s="19" t="s">
        <v>599</v>
      </c>
      <c r="G7" s="14" t="s">
        <v>444</v>
      </c>
      <c r="H7" s="14" t="s">
        <v>492</v>
      </c>
      <c r="I7" s="5"/>
      <c r="J7" s="5"/>
      <c r="K7" s="5"/>
      <c r="L7" s="7"/>
    </row>
    <row r="8" spans="1:48">
      <c r="B8" s="24" t="s">
        <v>732</v>
      </c>
      <c r="C8" s="371">
        <v>110</v>
      </c>
      <c r="D8" s="372">
        <v>42.5</v>
      </c>
      <c r="E8" s="19" t="s">
        <v>872</v>
      </c>
      <c r="F8" s="19" t="s">
        <v>599</v>
      </c>
      <c r="G8" s="14" t="s">
        <v>446</v>
      </c>
      <c r="H8" s="14" t="s">
        <v>492</v>
      </c>
      <c r="I8" s="5"/>
      <c r="J8" s="5"/>
      <c r="K8" s="5"/>
      <c r="L8" s="7"/>
    </row>
    <row r="9" spans="1:48">
      <c r="B9" s="24" t="s">
        <v>733</v>
      </c>
      <c r="C9" s="371">
        <v>111</v>
      </c>
      <c r="D9" s="372">
        <v>42.5</v>
      </c>
      <c r="E9" s="19" t="s">
        <v>872</v>
      </c>
      <c r="F9" s="19" t="s">
        <v>599</v>
      </c>
      <c r="G9" s="14" t="s">
        <v>448</v>
      </c>
      <c r="H9" s="14" t="s">
        <v>492</v>
      </c>
      <c r="I9" s="5"/>
      <c r="J9" s="5"/>
      <c r="K9" s="5"/>
      <c r="L9" s="7"/>
    </row>
    <row r="10" spans="1:48">
      <c r="B10" s="24" t="s">
        <v>734</v>
      </c>
      <c r="C10" s="371">
        <v>112</v>
      </c>
      <c r="D10" s="372">
        <v>42.5</v>
      </c>
      <c r="E10" s="19" t="s">
        <v>872</v>
      </c>
      <c r="F10" s="19" t="s">
        <v>599</v>
      </c>
      <c r="G10" s="14" t="s">
        <v>451</v>
      </c>
      <c r="H10" s="14" t="s">
        <v>492</v>
      </c>
      <c r="I10" s="5"/>
      <c r="J10" s="5"/>
      <c r="K10" s="5"/>
      <c r="L10" s="7"/>
      <c r="AQ10" s="16"/>
      <c r="AR10" s="16"/>
      <c r="AS10" s="16"/>
      <c r="AV10" s="16"/>
    </row>
    <row r="11" spans="1:48">
      <c r="B11" s="24" t="s">
        <v>429</v>
      </c>
      <c r="C11" s="371">
        <v>114</v>
      </c>
      <c r="D11" s="372">
        <v>42.5</v>
      </c>
      <c r="E11" s="19" t="s">
        <v>872</v>
      </c>
      <c r="F11" s="19" t="s">
        <v>599</v>
      </c>
      <c r="G11" s="14" t="s">
        <v>453</v>
      </c>
      <c r="H11" s="14" t="s">
        <v>492</v>
      </c>
      <c r="I11" s="5"/>
      <c r="J11" s="5"/>
      <c r="K11" s="5"/>
      <c r="L11" s="7"/>
      <c r="AQ11" s="16"/>
      <c r="AR11" s="16"/>
      <c r="AS11" s="16"/>
      <c r="AV11" s="16"/>
    </row>
    <row r="12" spans="1:48">
      <c r="B12" s="24" t="s">
        <v>430</v>
      </c>
      <c r="C12" s="371">
        <v>115</v>
      </c>
      <c r="D12" s="372">
        <v>42.5</v>
      </c>
      <c r="E12" s="19" t="s">
        <v>872</v>
      </c>
      <c r="F12" s="19" t="s">
        <v>599</v>
      </c>
      <c r="G12" s="14" t="s">
        <v>456</v>
      </c>
      <c r="H12" s="14" t="s">
        <v>492</v>
      </c>
      <c r="I12" s="5"/>
      <c r="J12" s="5"/>
      <c r="K12" s="5"/>
      <c r="L12" s="7"/>
      <c r="AQ12" s="16"/>
      <c r="AR12" s="16"/>
      <c r="AS12" s="16"/>
      <c r="AV12" s="16"/>
    </row>
    <row r="13" spans="1:48">
      <c r="B13" s="24" t="s">
        <v>735</v>
      </c>
      <c r="C13" s="371">
        <v>116</v>
      </c>
      <c r="D13" s="372">
        <v>42.5</v>
      </c>
      <c r="E13" s="19" t="s">
        <v>872</v>
      </c>
      <c r="F13" s="19" t="s">
        <v>599</v>
      </c>
      <c r="G13" s="14" t="s">
        <v>458</v>
      </c>
      <c r="H13" s="14" t="s">
        <v>492</v>
      </c>
      <c r="I13" s="5"/>
      <c r="J13" s="5"/>
      <c r="K13" s="5"/>
      <c r="L13" s="7"/>
      <c r="AQ13" s="16"/>
      <c r="AR13" s="16"/>
      <c r="AS13" s="16"/>
      <c r="AV13" s="16"/>
    </row>
    <row r="14" spans="1:48" ht="18.75">
      <c r="A14" s="22" t="s">
        <v>729</v>
      </c>
      <c r="B14" s="24" t="s">
        <v>33</v>
      </c>
      <c r="C14" s="373">
        <v>241</v>
      </c>
      <c r="D14" s="374">
        <v>37.5</v>
      </c>
      <c r="E14" s="19" t="s">
        <v>872</v>
      </c>
      <c r="F14" s="19" t="s">
        <v>599</v>
      </c>
      <c r="G14" s="14" t="s">
        <v>460</v>
      </c>
      <c r="H14" s="14" t="s">
        <v>492</v>
      </c>
      <c r="I14" s="5"/>
      <c r="J14" s="5"/>
      <c r="K14" s="5"/>
      <c r="L14" s="8"/>
      <c r="AQ14" s="16"/>
      <c r="AR14" s="16"/>
      <c r="AS14" s="16"/>
      <c r="AV14" s="16"/>
    </row>
    <row r="15" spans="1:48" ht="18.75">
      <c r="B15" s="24" t="s">
        <v>36</v>
      </c>
      <c r="C15" s="373">
        <v>247</v>
      </c>
      <c r="D15" s="374">
        <v>37.5</v>
      </c>
      <c r="E15" s="19" t="s">
        <v>872</v>
      </c>
      <c r="F15" s="19" t="s">
        <v>599</v>
      </c>
      <c r="G15" s="14" t="s">
        <v>463</v>
      </c>
      <c r="H15" s="14" t="s">
        <v>492</v>
      </c>
      <c r="I15" s="5"/>
      <c r="J15" s="5"/>
      <c r="K15" s="5"/>
      <c r="L15" s="8"/>
      <c r="AQ15" s="16"/>
      <c r="AR15" s="16"/>
      <c r="AS15" s="16"/>
      <c r="AV15" s="16"/>
    </row>
    <row r="16" spans="1:48" ht="18.75">
      <c r="B16" s="24" t="s">
        <v>37</v>
      </c>
      <c r="C16" s="373">
        <v>248</v>
      </c>
      <c r="D16" s="374">
        <v>37.5</v>
      </c>
      <c r="E16" s="19" t="s">
        <v>872</v>
      </c>
      <c r="F16" s="19" t="s">
        <v>599</v>
      </c>
      <c r="G16" s="14" t="s">
        <v>464</v>
      </c>
      <c r="H16" s="14" t="s">
        <v>492</v>
      </c>
      <c r="I16" s="5"/>
      <c r="J16" s="5"/>
      <c r="K16" s="5"/>
      <c r="L16" s="8"/>
      <c r="AQ16" s="16"/>
      <c r="AR16" s="16"/>
      <c r="AS16" s="16"/>
      <c r="AV16" s="16"/>
    </row>
    <row r="17" spans="2:48" ht="18.75">
      <c r="B17" s="24" t="s">
        <v>35</v>
      </c>
      <c r="C17" s="373">
        <v>243</v>
      </c>
      <c r="D17" s="374">
        <v>37.5</v>
      </c>
      <c r="E17" s="19" t="s">
        <v>872</v>
      </c>
      <c r="F17" s="19" t="s">
        <v>599</v>
      </c>
      <c r="G17" s="14" t="s">
        <v>466</v>
      </c>
      <c r="H17" s="14" t="s">
        <v>492</v>
      </c>
      <c r="I17" s="5"/>
      <c r="J17" s="5"/>
      <c r="K17" s="5"/>
      <c r="L17" s="8"/>
      <c r="AQ17" s="16"/>
      <c r="AR17" s="16"/>
      <c r="AS17" s="16"/>
      <c r="AV17" s="16"/>
    </row>
    <row r="18" spans="2:48" ht="18.75">
      <c r="B18" s="24" t="s">
        <v>29</v>
      </c>
      <c r="C18" s="373">
        <v>234</v>
      </c>
      <c r="D18" s="374">
        <v>37.5</v>
      </c>
      <c r="E18" s="19" t="s">
        <v>872</v>
      </c>
      <c r="F18" s="19" t="s">
        <v>599</v>
      </c>
      <c r="G18" s="14" t="s">
        <v>468</v>
      </c>
      <c r="H18" s="14" t="s">
        <v>492</v>
      </c>
      <c r="I18" s="5"/>
      <c r="J18" s="5"/>
      <c r="K18" s="5"/>
      <c r="L18" s="8"/>
      <c r="AQ18" s="16"/>
      <c r="AR18" s="16"/>
      <c r="AS18" s="16"/>
      <c r="AV18" s="16"/>
    </row>
    <row r="19" spans="2:48" ht="18.75">
      <c r="B19" s="24" t="s">
        <v>31</v>
      </c>
      <c r="C19" s="373">
        <v>236</v>
      </c>
      <c r="D19" s="374">
        <v>37.5</v>
      </c>
      <c r="E19" s="19" t="s">
        <v>872</v>
      </c>
      <c r="F19" s="19" t="s">
        <v>599</v>
      </c>
      <c r="G19" s="14" t="s">
        <v>469</v>
      </c>
      <c r="H19" s="14" t="s">
        <v>492</v>
      </c>
      <c r="I19" s="5"/>
      <c r="J19" s="5"/>
      <c r="K19" s="5"/>
      <c r="L19" s="8"/>
      <c r="AQ19" s="16"/>
      <c r="AR19" s="16"/>
      <c r="AS19" s="16"/>
      <c r="AV19" s="16"/>
    </row>
    <row r="20" spans="2:48" ht="18.75">
      <c r="B20" s="24" t="s">
        <v>34</v>
      </c>
      <c r="C20" s="373">
        <v>242</v>
      </c>
      <c r="D20" s="374">
        <v>37.5</v>
      </c>
      <c r="E20" s="19" t="s">
        <v>872</v>
      </c>
      <c r="F20" s="19" t="s">
        <v>599</v>
      </c>
      <c r="G20" s="14" t="s">
        <v>470</v>
      </c>
      <c r="H20" s="14" t="s">
        <v>492</v>
      </c>
      <c r="I20" s="5"/>
      <c r="J20" s="5"/>
      <c r="K20" s="5"/>
      <c r="L20" s="8"/>
      <c r="AQ20" s="16"/>
      <c r="AR20" s="16"/>
      <c r="AS20" s="16"/>
      <c r="AV20" s="16"/>
    </row>
    <row r="21" spans="2:48" ht="18.75">
      <c r="B21" s="24" t="s">
        <v>32</v>
      </c>
      <c r="C21" s="373">
        <v>238</v>
      </c>
      <c r="D21" s="374">
        <v>37.5</v>
      </c>
      <c r="E21" s="19" t="s">
        <v>872</v>
      </c>
      <c r="F21" s="19" t="s">
        <v>599</v>
      </c>
      <c r="G21" s="14" t="s">
        <v>471</v>
      </c>
      <c r="H21" s="14" t="s">
        <v>492</v>
      </c>
      <c r="I21" s="5"/>
      <c r="J21" s="5"/>
      <c r="K21" s="5"/>
      <c r="L21" s="8"/>
      <c r="AQ21" s="16"/>
      <c r="AR21" s="16"/>
      <c r="AS21" s="16"/>
      <c r="AV21" s="16"/>
    </row>
    <row r="22" spans="2:48" ht="18.75">
      <c r="B22" s="24" t="s">
        <v>1035</v>
      </c>
      <c r="C22" s="373">
        <v>220</v>
      </c>
      <c r="D22" s="374">
        <v>37.5</v>
      </c>
      <c r="E22" s="19" t="s">
        <v>872</v>
      </c>
      <c r="F22" s="19" t="s">
        <v>599</v>
      </c>
      <c r="G22" s="14" t="s">
        <v>472</v>
      </c>
      <c r="H22" s="14" t="s">
        <v>492</v>
      </c>
      <c r="I22" s="5"/>
      <c r="J22" s="5"/>
      <c r="K22" s="5"/>
      <c r="L22" s="9"/>
      <c r="AQ22" s="16"/>
      <c r="AR22" s="16"/>
      <c r="AS22" s="16"/>
      <c r="AV22" s="16"/>
    </row>
    <row r="23" spans="2:48" ht="18.75">
      <c r="B23" s="24" t="s">
        <v>30</v>
      </c>
      <c r="C23" s="373">
        <v>235</v>
      </c>
      <c r="D23" s="374">
        <v>37.5</v>
      </c>
      <c r="E23" s="19" t="s">
        <v>872</v>
      </c>
      <c r="F23" s="19" t="s">
        <v>599</v>
      </c>
      <c r="G23" s="14" t="s">
        <v>473</v>
      </c>
      <c r="H23" s="14" t="s">
        <v>492</v>
      </c>
      <c r="I23" s="5"/>
      <c r="J23" s="5"/>
      <c r="K23" s="5"/>
      <c r="L23" s="9"/>
      <c r="AQ23" s="16"/>
      <c r="AR23" s="16"/>
      <c r="AS23" s="16"/>
      <c r="AV23" s="16"/>
    </row>
    <row r="24" spans="2:48" ht="18.75">
      <c r="B24" s="24" t="s">
        <v>28</v>
      </c>
      <c r="C24" s="373">
        <v>231</v>
      </c>
      <c r="D24" s="374">
        <v>37.5</v>
      </c>
      <c r="E24" s="19" t="s">
        <v>872</v>
      </c>
      <c r="F24" s="19" t="s">
        <v>599</v>
      </c>
      <c r="G24" s="14" t="s">
        <v>474</v>
      </c>
      <c r="H24" s="14" t="s">
        <v>492</v>
      </c>
      <c r="I24" s="5"/>
      <c r="J24" s="5"/>
      <c r="K24" s="5"/>
      <c r="L24" s="8"/>
      <c r="AQ24" s="16"/>
      <c r="AR24" s="16"/>
      <c r="AS24" s="16"/>
      <c r="AV24" s="16"/>
    </row>
    <row r="25" spans="2:48" ht="18.75">
      <c r="B25" s="24" t="s">
        <v>1036</v>
      </c>
      <c r="C25" s="373">
        <v>251</v>
      </c>
      <c r="D25" s="374">
        <v>42.5</v>
      </c>
      <c r="E25" s="19" t="s">
        <v>872</v>
      </c>
      <c r="F25" s="19" t="s">
        <v>599</v>
      </c>
      <c r="G25" s="14" t="s">
        <v>475</v>
      </c>
      <c r="H25" s="14" t="s">
        <v>492</v>
      </c>
      <c r="I25" s="5"/>
      <c r="J25" s="5"/>
      <c r="K25" s="5"/>
      <c r="L25" s="8"/>
      <c r="AQ25" s="16"/>
      <c r="AR25" s="16"/>
      <c r="AS25" s="16"/>
      <c r="AV25" s="16"/>
    </row>
    <row r="26" spans="2:48" ht="18.75">
      <c r="B26" s="24" t="s">
        <v>1037</v>
      </c>
      <c r="C26" s="373">
        <v>249</v>
      </c>
      <c r="D26" s="374">
        <v>37.5</v>
      </c>
      <c r="E26" s="19" t="s">
        <v>872</v>
      </c>
      <c r="F26" s="19" t="s">
        <v>599</v>
      </c>
      <c r="G26" s="14" t="s">
        <v>477</v>
      </c>
      <c r="H26" s="14" t="s">
        <v>492</v>
      </c>
      <c r="I26" s="5"/>
      <c r="J26" s="5"/>
      <c r="K26" s="5"/>
      <c r="AQ26" s="16"/>
      <c r="AR26" s="16"/>
      <c r="AS26" s="16"/>
      <c r="AV26" s="16"/>
    </row>
    <row r="27" spans="2:48" ht="18.75">
      <c r="B27" s="24" t="s">
        <v>1038</v>
      </c>
      <c r="C27" s="373">
        <v>221</v>
      </c>
      <c r="D27" s="374">
        <v>42.5</v>
      </c>
      <c r="E27" s="19" t="s">
        <v>872</v>
      </c>
      <c r="F27" s="19" t="s">
        <v>599</v>
      </c>
      <c r="G27" s="14" t="s">
        <v>478</v>
      </c>
      <c r="H27" s="14" t="s">
        <v>492</v>
      </c>
      <c r="I27" s="5"/>
      <c r="J27" s="5"/>
      <c r="K27" s="5"/>
      <c r="AQ27" s="16"/>
      <c r="AR27" s="16"/>
      <c r="AS27" s="16"/>
      <c r="AV27" s="16"/>
    </row>
    <row r="28" spans="2:48">
      <c r="C28" s="5"/>
      <c r="D28" s="6"/>
      <c r="E28" s="19" t="s">
        <v>872</v>
      </c>
      <c r="F28" s="19" t="s">
        <v>599</v>
      </c>
      <c r="G28" s="14" t="s">
        <v>479</v>
      </c>
      <c r="H28" s="14" t="s">
        <v>492</v>
      </c>
      <c r="I28" s="5"/>
      <c r="J28" s="5"/>
      <c r="K28" s="5"/>
      <c r="AQ28" s="16"/>
      <c r="AR28" s="16"/>
      <c r="AS28" s="16"/>
      <c r="AV28" s="16"/>
    </row>
    <row r="29" spans="2:48">
      <c r="C29" s="5"/>
      <c r="D29" s="6"/>
      <c r="E29" s="19" t="s">
        <v>872</v>
      </c>
      <c r="F29" s="19" t="s">
        <v>599</v>
      </c>
      <c r="G29" s="14" t="s">
        <v>480</v>
      </c>
      <c r="H29" s="14" t="s">
        <v>492</v>
      </c>
      <c r="I29" s="5"/>
      <c r="J29" s="5"/>
      <c r="K29" s="5"/>
      <c r="AQ29" s="16"/>
      <c r="AR29" s="16"/>
      <c r="AS29" s="16"/>
      <c r="AV29" s="16"/>
    </row>
    <row r="30" spans="2:48">
      <c r="C30" s="5"/>
      <c r="D30" s="6"/>
      <c r="E30" s="19" t="s">
        <v>872</v>
      </c>
      <c r="F30" s="19" t="s">
        <v>599</v>
      </c>
      <c r="G30" s="14" t="s">
        <v>481</v>
      </c>
      <c r="H30" s="14" t="s">
        <v>492</v>
      </c>
      <c r="I30" s="5"/>
      <c r="J30" s="5"/>
      <c r="K30" s="5"/>
      <c r="AQ30" s="16"/>
      <c r="AR30" s="16"/>
      <c r="AS30" s="16"/>
      <c r="AV30" s="16"/>
    </row>
    <row r="31" spans="2:48">
      <c r="C31" s="5"/>
      <c r="D31" s="6"/>
      <c r="E31" s="19" t="s">
        <v>872</v>
      </c>
      <c r="F31" s="19" t="s">
        <v>599</v>
      </c>
      <c r="G31" s="14" t="s">
        <v>482</v>
      </c>
      <c r="H31" s="14" t="s">
        <v>492</v>
      </c>
      <c r="I31" s="5"/>
      <c r="J31" s="5"/>
      <c r="K31" s="5"/>
      <c r="AQ31" s="16"/>
      <c r="AR31" s="16"/>
      <c r="AS31" s="16"/>
      <c r="AV31" s="16"/>
    </row>
    <row r="32" spans="2:48">
      <c r="C32" s="5"/>
      <c r="D32" s="6"/>
      <c r="E32" s="19" t="s">
        <v>872</v>
      </c>
      <c r="F32" s="19" t="s">
        <v>599</v>
      </c>
      <c r="G32" s="14" t="s">
        <v>483</v>
      </c>
      <c r="H32" s="14" t="s">
        <v>492</v>
      </c>
      <c r="I32" s="5"/>
      <c r="J32" s="5"/>
      <c r="K32" s="5"/>
      <c r="AQ32" s="16"/>
      <c r="AR32" s="16"/>
      <c r="AS32" s="16"/>
      <c r="AV32" s="16"/>
    </row>
    <row r="33" spans="2:48">
      <c r="C33" s="5"/>
      <c r="D33" s="6"/>
      <c r="E33" s="21" t="s">
        <v>872</v>
      </c>
      <c r="F33" s="21" t="s">
        <v>24</v>
      </c>
      <c r="G33" s="14" t="s">
        <v>641</v>
      </c>
      <c r="H33" s="14" t="s">
        <v>492</v>
      </c>
      <c r="I33" s="5"/>
      <c r="J33" s="5"/>
      <c r="K33" s="5"/>
      <c r="AQ33" s="16"/>
      <c r="AR33" s="16"/>
      <c r="AS33" s="16"/>
      <c r="AV33" s="16"/>
    </row>
    <row r="34" spans="2:48">
      <c r="C34" s="5"/>
      <c r="D34" s="6"/>
      <c r="E34" s="18" t="s">
        <v>872</v>
      </c>
      <c r="F34" s="18" t="s">
        <v>598</v>
      </c>
      <c r="G34" s="17" t="s">
        <v>522</v>
      </c>
      <c r="H34" s="17" t="s">
        <v>491</v>
      </c>
      <c r="I34" s="5"/>
      <c r="J34" s="5"/>
      <c r="K34" s="5"/>
      <c r="AQ34" s="16"/>
      <c r="AR34" s="16"/>
      <c r="AS34" s="16"/>
      <c r="AV34" s="16"/>
    </row>
    <row r="35" spans="2:48">
      <c r="C35" s="5"/>
      <c r="D35" s="6"/>
      <c r="E35" s="18" t="s">
        <v>872</v>
      </c>
      <c r="F35" s="18" t="s">
        <v>598</v>
      </c>
      <c r="G35" s="17" t="s">
        <v>523</v>
      </c>
      <c r="H35" s="17" t="s">
        <v>491</v>
      </c>
      <c r="I35" s="5"/>
      <c r="J35" s="5"/>
      <c r="K35" s="5"/>
      <c r="AQ35" s="16"/>
      <c r="AR35" s="16"/>
      <c r="AS35" s="16"/>
      <c r="AV35" s="16"/>
    </row>
    <row r="36" spans="2:48">
      <c r="C36" s="5"/>
      <c r="D36" s="5"/>
      <c r="E36" s="18" t="s">
        <v>872</v>
      </c>
      <c r="F36" s="18" t="s">
        <v>598</v>
      </c>
      <c r="G36" s="17" t="s">
        <v>524</v>
      </c>
      <c r="H36" s="17" t="s">
        <v>491</v>
      </c>
      <c r="I36" s="5"/>
      <c r="J36" s="5"/>
      <c r="K36" s="5"/>
      <c r="AQ36" s="16"/>
      <c r="AR36" s="16"/>
      <c r="AS36" s="16"/>
      <c r="AV36" s="16"/>
    </row>
    <row r="37" spans="2:48">
      <c r="C37" s="5"/>
      <c r="D37" s="5"/>
      <c r="E37" s="18" t="s">
        <v>872</v>
      </c>
      <c r="F37" s="18" t="s">
        <v>598</v>
      </c>
      <c r="G37" s="17" t="s">
        <v>525</v>
      </c>
      <c r="H37" s="17" t="s">
        <v>491</v>
      </c>
      <c r="I37" s="5"/>
      <c r="J37" s="5"/>
      <c r="K37" s="5"/>
      <c r="AQ37" s="16"/>
      <c r="AR37" s="16"/>
      <c r="AS37" s="16"/>
      <c r="AV37" s="16"/>
    </row>
    <row r="38" spans="2:48">
      <c r="E38" s="18" t="s">
        <v>872</v>
      </c>
      <c r="F38" s="18" t="s">
        <v>598</v>
      </c>
      <c r="G38" s="17" t="s">
        <v>526</v>
      </c>
      <c r="H38" s="17" t="s">
        <v>491</v>
      </c>
      <c r="AQ38" s="16"/>
      <c r="AR38" s="16"/>
      <c r="AS38" s="16"/>
      <c r="AV38" s="16"/>
    </row>
    <row r="39" spans="2:48">
      <c r="E39" s="18" t="s">
        <v>872</v>
      </c>
      <c r="F39" s="18" t="s">
        <v>598</v>
      </c>
      <c r="G39" s="17" t="s">
        <v>527</v>
      </c>
      <c r="H39" s="17" t="s">
        <v>491</v>
      </c>
      <c r="AQ39" s="16"/>
      <c r="AR39" s="16"/>
      <c r="AS39" s="16"/>
      <c r="AV39" s="16"/>
    </row>
    <row r="40" spans="2:48">
      <c r="E40" s="18" t="s">
        <v>872</v>
      </c>
      <c r="F40" s="18" t="s">
        <v>598</v>
      </c>
      <c r="G40" s="17" t="s">
        <v>528</v>
      </c>
      <c r="H40" s="17" t="s">
        <v>491</v>
      </c>
      <c r="AQ40" s="16"/>
      <c r="AR40" s="16"/>
      <c r="AS40" s="16"/>
      <c r="AV40" s="16"/>
    </row>
    <row r="41" spans="2:48">
      <c r="B41"/>
      <c r="E41" s="18" t="s">
        <v>872</v>
      </c>
      <c r="F41" s="18" t="s">
        <v>598</v>
      </c>
      <c r="G41" s="17" t="s">
        <v>529</v>
      </c>
      <c r="H41" s="17" t="s">
        <v>491</v>
      </c>
      <c r="AQ41" s="16"/>
      <c r="AR41" s="16"/>
      <c r="AS41" s="16"/>
      <c r="AV41" s="16"/>
    </row>
    <row r="42" spans="2:48">
      <c r="B42"/>
      <c r="E42" s="18" t="s">
        <v>872</v>
      </c>
      <c r="F42" s="18" t="s">
        <v>598</v>
      </c>
      <c r="G42" s="17" t="s">
        <v>530</v>
      </c>
      <c r="H42" s="17" t="s">
        <v>491</v>
      </c>
      <c r="AQ42" s="16"/>
      <c r="AR42" s="16"/>
      <c r="AS42" s="16"/>
      <c r="AV42" s="16"/>
    </row>
    <row r="43" spans="2:48">
      <c r="B43"/>
      <c r="E43" s="18" t="s">
        <v>872</v>
      </c>
      <c r="F43" s="18" t="s">
        <v>598</v>
      </c>
      <c r="G43" s="17" t="s">
        <v>531</v>
      </c>
      <c r="H43" s="17" t="s">
        <v>491</v>
      </c>
      <c r="AQ43" s="16"/>
      <c r="AR43" s="16"/>
      <c r="AS43" s="16"/>
      <c r="AV43" s="16"/>
    </row>
    <row r="44" spans="2:48">
      <c r="B44"/>
      <c r="E44" s="18" t="s">
        <v>872</v>
      </c>
      <c r="F44" s="18" t="s">
        <v>598</v>
      </c>
      <c r="G44" s="17" t="s">
        <v>532</v>
      </c>
      <c r="H44" s="17" t="s">
        <v>491</v>
      </c>
      <c r="AQ44" s="16"/>
      <c r="AR44" s="16"/>
      <c r="AS44" s="16"/>
      <c r="AV44" s="16"/>
    </row>
    <row r="45" spans="2:48">
      <c r="B45"/>
      <c r="E45" s="18" t="s">
        <v>872</v>
      </c>
      <c r="F45" s="18" t="s">
        <v>598</v>
      </c>
      <c r="G45" s="17" t="s">
        <v>533</v>
      </c>
      <c r="H45" s="17" t="s">
        <v>491</v>
      </c>
      <c r="AQ45" s="16"/>
      <c r="AR45" s="16"/>
      <c r="AS45" s="16"/>
      <c r="AV45" s="16"/>
    </row>
    <row r="46" spans="2:48">
      <c r="B46"/>
      <c r="E46" s="18" t="s">
        <v>872</v>
      </c>
      <c r="F46" s="18" t="s">
        <v>598</v>
      </c>
      <c r="G46" s="17" t="s">
        <v>534</v>
      </c>
      <c r="H46" s="17" t="s">
        <v>491</v>
      </c>
      <c r="AQ46" s="16"/>
      <c r="AR46" s="16"/>
      <c r="AS46" s="16"/>
      <c r="AV46" s="16"/>
    </row>
    <row r="47" spans="2:48">
      <c r="B47"/>
      <c r="E47" s="18" t="s">
        <v>872</v>
      </c>
      <c r="F47" s="18" t="s">
        <v>598</v>
      </c>
      <c r="G47" s="17" t="s">
        <v>535</v>
      </c>
      <c r="H47" s="17" t="s">
        <v>491</v>
      </c>
      <c r="AQ47" s="16"/>
      <c r="AR47" s="16"/>
      <c r="AS47" s="16"/>
      <c r="AV47" s="16"/>
    </row>
    <row r="48" spans="2:48">
      <c r="B48"/>
      <c r="E48" s="18" t="s">
        <v>872</v>
      </c>
      <c r="F48" s="18" t="s">
        <v>598</v>
      </c>
      <c r="G48" s="17" t="s">
        <v>536</v>
      </c>
      <c r="H48" s="17" t="s">
        <v>491</v>
      </c>
      <c r="AQ48" s="16"/>
      <c r="AR48" s="16"/>
      <c r="AS48" s="16"/>
      <c r="AV48" s="16"/>
    </row>
    <row r="49" spans="2:48">
      <c r="B49"/>
      <c r="E49" s="18" t="s">
        <v>872</v>
      </c>
      <c r="F49" s="18" t="s">
        <v>598</v>
      </c>
      <c r="G49" s="17" t="s">
        <v>537</v>
      </c>
      <c r="H49" s="17" t="s">
        <v>491</v>
      </c>
      <c r="AQ49" s="16"/>
      <c r="AR49" s="16"/>
      <c r="AS49" s="16"/>
      <c r="AV49" s="16"/>
    </row>
    <row r="50" spans="2:48">
      <c r="B50"/>
      <c r="E50" s="18" t="s">
        <v>872</v>
      </c>
      <c r="F50" s="18" t="s">
        <v>598</v>
      </c>
      <c r="G50" s="17" t="s">
        <v>538</v>
      </c>
      <c r="H50" s="17" t="s">
        <v>491</v>
      </c>
      <c r="AQ50" s="16"/>
      <c r="AR50" s="16"/>
      <c r="AS50" s="16"/>
      <c r="AV50" s="16"/>
    </row>
    <row r="51" spans="2:48">
      <c r="B51"/>
      <c r="E51" s="18" t="s">
        <v>872</v>
      </c>
      <c r="F51" s="18" t="s">
        <v>598</v>
      </c>
      <c r="G51" s="17" t="s">
        <v>539</v>
      </c>
      <c r="H51" s="17" t="s">
        <v>491</v>
      </c>
      <c r="AQ51" s="16"/>
      <c r="AR51" s="16"/>
      <c r="AS51" s="16"/>
      <c r="AV51" s="16"/>
    </row>
    <row r="52" spans="2:48">
      <c r="B52"/>
      <c r="E52" s="18" t="s">
        <v>872</v>
      </c>
      <c r="F52" s="18" t="s">
        <v>598</v>
      </c>
      <c r="G52" s="17" t="s">
        <v>540</v>
      </c>
      <c r="H52" s="17" t="s">
        <v>491</v>
      </c>
      <c r="AQ52" s="16"/>
      <c r="AR52" s="16"/>
      <c r="AS52" s="16"/>
      <c r="AV52" s="16"/>
    </row>
    <row r="53" spans="2:48">
      <c r="B53"/>
      <c r="E53" s="18" t="s">
        <v>872</v>
      </c>
      <c r="F53" s="18" t="s">
        <v>598</v>
      </c>
      <c r="G53" s="17" t="s">
        <v>541</v>
      </c>
      <c r="H53" s="17" t="s">
        <v>491</v>
      </c>
      <c r="AQ53" s="16"/>
      <c r="AR53" s="16"/>
      <c r="AS53" s="16"/>
      <c r="AV53" s="16"/>
    </row>
    <row r="54" spans="2:48">
      <c r="B54"/>
      <c r="E54" s="18" t="s">
        <v>872</v>
      </c>
      <c r="F54" s="18" t="s">
        <v>598</v>
      </c>
      <c r="G54" s="17" t="s">
        <v>542</v>
      </c>
      <c r="H54" s="17" t="s">
        <v>491</v>
      </c>
      <c r="AQ54" s="16"/>
      <c r="AR54" s="16"/>
      <c r="AS54" s="16"/>
      <c r="AV54" s="16"/>
    </row>
    <row r="55" spans="2:48">
      <c r="B55"/>
      <c r="E55" s="18" t="s">
        <v>872</v>
      </c>
      <c r="F55" s="18" t="s">
        <v>598</v>
      </c>
      <c r="G55" s="17" t="s">
        <v>543</v>
      </c>
      <c r="H55" s="17" t="s">
        <v>491</v>
      </c>
      <c r="AQ55" s="16"/>
      <c r="AR55" s="16"/>
      <c r="AS55" s="16"/>
      <c r="AV55" s="16"/>
    </row>
    <row r="56" spans="2:48">
      <c r="B56"/>
      <c r="E56" s="18" t="s">
        <v>872</v>
      </c>
      <c r="F56" s="18" t="s">
        <v>598</v>
      </c>
      <c r="G56" s="17" t="s">
        <v>544</v>
      </c>
      <c r="H56" s="17" t="s">
        <v>491</v>
      </c>
      <c r="AQ56" s="16"/>
      <c r="AR56" s="16"/>
      <c r="AS56" s="16"/>
      <c r="AV56" s="16"/>
    </row>
    <row r="57" spans="2:48">
      <c r="B57"/>
      <c r="E57" s="18" t="s">
        <v>872</v>
      </c>
      <c r="F57" s="18" t="s">
        <v>598</v>
      </c>
      <c r="G57" s="17" t="s">
        <v>545</v>
      </c>
      <c r="H57" s="17" t="s">
        <v>491</v>
      </c>
      <c r="AQ57" s="16"/>
      <c r="AR57" s="16"/>
      <c r="AS57" s="16"/>
      <c r="AV57" s="16"/>
    </row>
    <row r="58" spans="2:48">
      <c r="B58"/>
      <c r="E58" s="18" t="s">
        <v>872</v>
      </c>
      <c r="F58" s="18" t="s">
        <v>598</v>
      </c>
      <c r="G58" s="17" t="s">
        <v>546</v>
      </c>
      <c r="H58" s="17" t="s">
        <v>491</v>
      </c>
      <c r="AQ58" s="16"/>
      <c r="AR58" s="16"/>
      <c r="AS58" s="16"/>
      <c r="AV58" s="16"/>
    </row>
    <row r="59" spans="2:48">
      <c r="B59"/>
      <c r="E59" s="18" t="s">
        <v>872</v>
      </c>
      <c r="F59" s="18" t="s">
        <v>598</v>
      </c>
      <c r="G59" s="17" t="s">
        <v>547</v>
      </c>
      <c r="H59" s="17" t="s">
        <v>491</v>
      </c>
      <c r="AQ59" s="16"/>
      <c r="AR59" s="16"/>
      <c r="AS59" s="16"/>
      <c r="AV59" s="16"/>
    </row>
    <row r="60" spans="2:48">
      <c r="B60"/>
      <c r="E60" s="18" t="s">
        <v>872</v>
      </c>
      <c r="F60" s="18" t="s">
        <v>598</v>
      </c>
      <c r="G60" s="17" t="s">
        <v>548</v>
      </c>
      <c r="H60" s="17" t="s">
        <v>491</v>
      </c>
      <c r="AQ60" s="16"/>
      <c r="AR60" s="16"/>
      <c r="AS60" s="16"/>
      <c r="AV60" s="16"/>
    </row>
    <row r="61" spans="2:48">
      <c r="B61"/>
      <c r="E61" s="18" t="s">
        <v>872</v>
      </c>
      <c r="F61" s="18" t="s">
        <v>598</v>
      </c>
      <c r="G61" s="17" t="s">
        <v>549</v>
      </c>
      <c r="H61" s="17" t="s">
        <v>491</v>
      </c>
      <c r="AQ61" s="16"/>
      <c r="AR61" s="16"/>
      <c r="AS61" s="16"/>
      <c r="AV61" s="16"/>
    </row>
    <row r="62" spans="2:48">
      <c r="B62"/>
      <c r="E62" s="18" t="s">
        <v>872</v>
      </c>
      <c r="F62" s="18" t="s">
        <v>598</v>
      </c>
      <c r="G62" s="17" t="s">
        <v>550</v>
      </c>
      <c r="H62" s="17" t="s">
        <v>491</v>
      </c>
      <c r="AQ62" s="16"/>
      <c r="AR62" s="16"/>
      <c r="AS62" s="16"/>
      <c r="AV62" s="16"/>
    </row>
    <row r="63" spans="2:48">
      <c r="B63"/>
      <c r="E63" s="18" t="s">
        <v>872</v>
      </c>
      <c r="F63" s="18" t="s">
        <v>598</v>
      </c>
      <c r="G63" s="17" t="s">
        <v>551</v>
      </c>
      <c r="H63" s="17" t="s">
        <v>491</v>
      </c>
      <c r="AQ63" s="16"/>
      <c r="AR63" s="16"/>
      <c r="AS63" s="16"/>
      <c r="AV63" s="16"/>
    </row>
    <row r="64" spans="2:48">
      <c r="B64"/>
      <c r="E64" s="18" t="s">
        <v>872</v>
      </c>
      <c r="F64" s="18" t="s">
        <v>598</v>
      </c>
      <c r="G64" s="17" t="s">
        <v>552</v>
      </c>
      <c r="H64" s="17" t="s">
        <v>491</v>
      </c>
      <c r="AQ64" s="16"/>
      <c r="AR64" s="16"/>
      <c r="AS64" s="16"/>
      <c r="AV64" s="16"/>
    </row>
    <row r="65" spans="2:48">
      <c r="B65"/>
      <c r="E65" s="18" t="s">
        <v>872</v>
      </c>
      <c r="F65" s="18" t="s">
        <v>598</v>
      </c>
      <c r="G65" s="17" t="s">
        <v>553</v>
      </c>
      <c r="H65" s="17" t="s">
        <v>491</v>
      </c>
      <c r="AQ65" s="16"/>
      <c r="AR65" s="16"/>
      <c r="AS65" s="16"/>
      <c r="AV65" s="16"/>
    </row>
    <row r="66" spans="2:48">
      <c r="B66"/>
      <c r="E66" s="18" t="s">
        <v>872</v>
      </c>
      <c r="F66" s="18" t="s">
        <v>598</v>
      </c>
      <c r="G66" s="17" t="s">
        <v>554</v>
      </c>
      <c r="H66" s="17" t="s">
        <v>491</v>
      </c>
      <c r="AQ66" s="16"/>
      <c r="AR66" s="16"/>
      <c r="AS66" s="16"/>
      <c r="AV66" s="16"/>
    </row>
    <row r="67" spans="2:48">
      <c r="B67"/>
      <c r="E67" s="18" t="s">
        <v>872</v>
      </c>
      <c r="F67" s="18" t="s">
        <v>598</v>
      </c>
      <c r="G67" s="17" t="s">
        <v>555</v>
      </c>
      <c r="H67" s="17" t="s">
        <v>491</v>
      </c>
      <c r="AQ67" s="16"/>
      <c r="AR67" s="16"/>
      <c r="AS67" s="16"/>
      <c r="AV67" s="16"/>
    </row>
    <row r="68" spans="2:48">
      <c r="B68"/>
      <c r="E68" s="18" t="s">
        <v>872</v>
      </c>
      <c r="F68" s="18" t="s">
        <v>598</v>
      </c>
      <c r="G68" s="17" t="s">
        <v>556</v>
      </c>
      <c r="H68" s="17" t="s">
        <v>491</v>
      </c>
      <c r="AQ68" s="16"/>
      <c r="AR68" s="16"/>
      <c r="AS68" s="16"/>
      <c r="AV68" s="16"/>
    </row>
    <row r="69" spans="2:48">
      <c r="B69"/>
      <c r="E69" s="18" t="s">
        <v>872</v>
      </c>
      <c r="F69" s="18" t="s">
        <v>598</v>
      </c>
      <c r="G69" s="17" t="s">
        <v>557</v>
      </c>
      <c r="H69" s="17" t="s">
        <v>491</v>
      </c>
      <c r="AQ69" s="16"/>
      <c r="AR69" s="16"/>
      <c r="AS69" s="16"/>
      <c r="AV69" s="16"/>
    </row>
    <row r="70" spans="2:48">
      <c r="B70"/>
      <c r="E70" s="18" t="s">
        <v>872</v>
      </c>
      <c r="F70" s="18" t="s">
        <v>598</v>
      </c>
      <c r="G70" s="17" t="s">
        <v>558</v>
      </c>
      <c r="H70" s="17" t="s">
        <v>491</v>
      </c>
      <c r="AQ70" s="16"/>
      <c r="AR70" s="16"/>
      <c r="AS70" s="16"/>
      <c r="AV70" s="16"/>
    </row>
    <row r="71" spans="2:48">
      <c r="B71"/>
      <c r="E71" s="18" t="s">
        <v>872</v>
      </c>
      <c r="F71" s="18" t="s">
        <v>598</v>
      </c>
      <c r="G71" s="17" t="s">
        <v>559</v>
      </c>
      <c r="H71" s="17" t="s">
        <v>491</v>
      </c>
      <c r="AQ71" s="16"/>
      <c r="AR71" s="16"/>
      <c r="AS71" s="16"/>
      <c r="AV71" s="16"/>
    </row>
    <row r="72" spans="2:48">
      <c r="B72"/>
      <c r="E72" s="18" t="s">
        <v>872</v>
      </c>
      <c r="F72" s="18" t="s">
        <v>598</v>
      </c>
      <c r="G72" s="14" t="s">
        <v>561</v>
      </c>
      <c r="H72" s="14" t="s">
        <v>492</v>
      </c>
      <c r="AQ72" s="16"/>
      <c r="AR72" s="16"/>
      <c r="AS72" s="16"/>
      <c r="AV72" s="16"/>
    </row>
    <row r="73" spans="2:48">
      <c r="B73"/>
      <c r="E73" s="18" t="s">
        <v>872</v>
      </c>
      <c r="F73" s="18" t="s">
        <v>598</v>
      </c>
      <c r="G73" s="14" t="s">
        <v>562</v>
      </c>
      <c r="H73" s="14" t="s">
        <v>492</v>
      </c>
      <c r="AQ73" s="16"/>
      <c r="AR73" s="16"/>
      <c r="AS73" s="16"/>
      <c r="AV73" s="16"/>
    </row>
    <row r="74" spans="2:48">
      <c r="B74"/>
      <c r="E74" s="18" t="s">
        <v>872</v>
      </c>
      <c r="F74" s="18" t="s">
        <v>598</v>
      </c>
      <c r="G74" s="14" t="s">
        <v>563</v>
      </c>
      <c r="H74" s="14" t="s">
        <v>492</v>
      </c>
      <c r="AQ74" s="16"/>
      <c r="AR74" s="16"/>
      <c r="AS74" s="16"/>
      <c r="AV74" s="16"/>
    </row>
    <row r="75" spans="2:48">
      <c r="B75"/>
      <c r="E75" s="18" t="s">
        <v>872</v>
      </c>
      <c r="F75" s="18" t="s">
        <v>598</v>
      </c>
      <c r="G75" s="14" t="s">
        <v>564</v>
      </c>
      <c r="H75" s="14" t="s">
        <v>492</v>
      </c>
      <c r="AQ75" s="16"/>
      <c r="AR75" s="16"/>
      <c r="AS75" s="16"/>
      <c r="AV75" s="16"/>
    </row>
    <row r="76" spans="2:48">
      <c r="B76"/>
      <c r="E76" s="19" t="s">
        <v>872</v>
      </c>
      <c r="F76" s="19" t="s">
        <v>656</v>
      </c>
      <c r="G76" s="17" t="s">
        <v>642</v>
      </c>
      <c r="H76" s="17" t="s">
        <v>491</v>
      </c>
      <c r="AQ76" s="16"/>
      <c r="AR76" s="16"/>
      <c r="AS76" s="16"/>
      <c r="AV76" s="16"/>
    </row>
    <row r="77" spans="2:48">
      <c r="B77"/>
      <c r="E77" s="19" t="s">
        <v>872</v>
      </c>
      <c r="F77" s="19" t="s">
        <v>656</v>
      </c>
      <c r="G77" s="17" t="s">
        <v>643</v>
      </c>
      <c r="H77" s="17" t="s">
        <v>491</v>
      </c>
      <c r="AQ77" s="16"/>
      <c r="AR77" s="16"/>
      <c r="AS77" s="16"/>
      <c r="AV77" s="16"/>
    </row>
    <row r="78" spans="2:48">
      <c r="B78"/>
      <c r="E78" s="19" t="s">
        <v>872</v>
      </c>
      <c r="F78" s="19" t="s">
        <v>656</v>
      </c>
      <c r="G78" s="17" t="s">
        <v>644</v>
      </c>
      <c r="H78" s="17" t="s">
        <v>491</v>
      </c>
      <c r="AQ78" s="16"/>
      <c r="AR78" s="16"/>
      <c r="AS78" s="16"/>
      <c r="AV78" s="16"/>
    </row>
    <row r="79" spans="2:48">
      <c r="B79"/>
      <c r="E79" s="19" t="s">
        <v>872</v>
      </c>
      <c r="F79" s="19" t="s">
        <v>656</v>
      </c>
      <c r="G79" s="17" t="s">
        <v>645</v>
      </c>
      <c r="H79" s="17" t="s">
        <v>491</v>
      </c>
      <c r="AQ79" s="16"/>
      <c r="AR79" s="16"/>
      <c r="AS79" s="16"/>
      <c r="AV79" s="16"/>
    </row>
    <row r="80" spans="2:48">
      <c r="B80"/>
      <c r="E80" s="19" t="s">
        <v>872</v>
      </c>
      <c r="F80" s="19" t="s">
        <v>656</v>
      </c>
      <c r="G80" s="17" t="s">
        <v>646</v>
      </c>
      <c r="H80" s="17" t="s">
        <v>491</v>
      </c>
      <c r="AQ80" s="16"/>
      <c r="AR80" s="16"/>
      <c r="AS80" s="16"/>
      <c r="AV80" s="16"/>
    </row>
    <row r="81" spans="2:48">
      <c r="B81"/>
      <c r="E81" s="19" t="s">
        <v>872</v>
      </c>
      <c r="F81" s="19" t="s">
        <v>656</v>
      </c>
      <c r="G81" s="17" t="s">
        <v>647</v>
      </c>
      <c r="H81" s="17" t="s">
        <v>491</v>
      </c>
      <c r="AQ81" s="16"/>
      <c r="AR81" s="16"/>
      <c r="AS81" s="16"/>
      <c r="AV81" s="16"/>
    </row>
    <row r="82" spans="2:48">
      <c r="B82"/>
      <c r="E82" s="19" t="s">
        <v>872</v>
      </c>
      <c r="F82" s="19" t="s">
        <v>656</v>
      </c>
      <c r="G82" s="17" t="s">
        <v>648</v>
      </c>
      <c r="H82" s="17" t="s">
        <v>491</v>
      </c>
      <c r="AQ82" s="16"/>
      <c r="AR82" s="16"/>
      <c r="AS82" s="16"/>
      <c r="AV82" s="16"/>
    </row>
    <row r="83" spans="2:48">
      <c r="B83"/>
      <c r="E83" s="19" t="s">
        <v>872</v>
      </c>
      <c r="F83" s="19" t="s">
        <v>656</v>
      </c>
      <c r="G83" s="17" t="s">
        <v>649</v>
      </c>
      <c r="H83" s="17" t="s">
        <v>491</v>
      </c>
      <c r="AQ83" s="16"/>
      <c r="AR83" s="16"/>
      <c r="AS83" s="16"/>
      <c r="AV83" s="16"/>
    </row>
    <row r="84" spans="2:48">
      <c r="B84"/>
      <c r="E84" s="19" t="s">
        <v>872</v>
      </c>
      <c r="F84" s="19" t="s">
        <v>656</v>
      </c>
      <c r="G84" s="17" t="s">
        <v>650</v>
      </c>
      <c r="H84" s="17" t="s">
        <v>491</v>
      </c>
      <c r="AQ84" s="16"/>
      <c r="AR84" s="16"/>
      <c r="AS84" s="16"/>
      <c r="AV84" s="16"/>
    </row>
    <row r="85" spans="2:48">
      <c r="B85"/>
      <c r="E85" s="19" t="s">
        <v>872</v>
      </c>
      <c r="F85" s="19" t="s">
        <v>656</v>
      </c>
      <c r="G85" s="17" t="s">
        <v>651</v>
      </c>
      <c r="H85" s="17" t="s">
        <v>491</v>
      </c>
      <c r="AQ85" s="16"/>
      <c r="AR85" s="16"/>
      <c r="AS85" s="16"/>
      <c r="AV85" s="16"/>
    </row>
    <row r="86" spans="2:48">
      <c r="B86"/>
      <c r="E86" s="19" t="s">
        <v>872</v>
      </c>
      <c r="F86" s="19" t="s">
        <v>656</v>
      </c>
      <c r="G86" s="17" t="s">
        <v>652</v>
      </c>
      <c r="H86" s="17" t="s">
        <v>491</v>
      </c>
      <c r="AQ86" s="16"/>
      <c r="AR86" s="16"/>
      <c r="AS86" s="16"/>
      <c r="AV86" s="16"/>
    </row>
    <row r="87" spans="2:48">
      <c r="B87"/>
      <c r="E87" s="19" t="s">
        <v>872</v>
      </c>
      <c r="F87" s="19" t="s">
        <v>656</v>
      </c>
      <c r="G87" s="17" t="s">
        <v>653</v>
      </c>
      <c r="H87" s="17" t="s">
        <v>491</v>
      </c>
      <c r="AQ87" s="16"/>
      <c r="AR87" s="16"/>
      <c r="AS87" s="16"/>
      <c r="AV87" s="16"/>
    </row>
    <row r="88" spans="2:48">
      <c r="B88"/>
      <c r="E88" s="19" t="s">
        <v>872</v>
      </c>
      <c r="F88" s="19" t="s">
        <v>656</v>
      </c>
      <c r="G88" s="17" t="s">
        <v>654</v>
      </c>
      <c r="H88" s="17" t="s">
        <v>491</v>
      </c>
      <c r="AQ88" s="16"/>
      <c r="AR88" s="16"/>
      <c r="AS88" s="16"/>
      <c r="AV88" s="16"/>
    </row>
    <row r="89" spans="2:48">
      <c r="B89"/>
      <c r="E89" s="19" t="s">
        <v>872</v>
      </c>
      <c r="F89" s="19" t="s">
        <v>656</v>
      </c>
      <c r="G89" s="17" t="s">
        <v>655</v>
      </c>
      <c r="H89" s="17" t="s">
        <v>491</v>
      </c>
      <c r="AQ89" s="16"/>
      <c r="AR89" s="16"/>
      <c r="AS89" s="16"/>
      <c r="AV89" s="16"/>
    </row>
    <row r="90" spans="2:48">
      <c r="B90"/>
      <c r="E90" s="19" t="s">
        <v>872</v>
      </c>
      <c r="F90" s="19" t="s">
        <v>656</v>
      </c>
      <c r="G90" s="14" t="s">
        <v>659</v>
      </c>
      <c r="H90" s="14" t="s">
        <v>492</v>
      </c>
      <c r="AQ90" s="16"/>
      <c r="AR90" s="16"/>
      <c r="AS90" s="16"/>
      <c r="AV90" s="16"/>
    </row>
    <row r="91" spans="2:48">
      <c r="B91"/>
      <c r="E91" s="19" t="s">
        <v>872</v>
      </c>
      <c r="F91" s="19" t="s">
        <v>656</v>
      </c>
      <c r="G91" s="14" t="s">
        <v>660</v>
      </c>
      <c r="H91" s="14" t="s">
        <v>492</v>
      </c>
      <c r="AQ91" s="16"/>
      <c r="AR91" s="16"/>
      <c r="AS91" s="16"/>
      <c r="AV91" s="16"/>
    </row>
    <row r="92" spans="2:48">
      <c r="B92"/>
      <c r="E92" s="19" t="s">
        <v>872</v>
      </c>
      <c r="F92" s="19" t="s">
        <v>656</v>
      </c>
      <c r="G92" s="14" t="s">
        <v>661</v>
      </c>
      <c r="H92" s="14" t="s">
        <v>492</v>
      </c>
      <c r="AQ92" s="16"/>
      <c r="AR92" s="16"/>
      <c r="AS92" s="16"/>
      <c r="AV92" s="16"/>
    </row>
    <row r="93" spans="2:48">
      <c r="B93"/>
      <c r="E93" s="19" t="s">
        <v>872</v>
      </c>
      <c r="F93" s="19" t="s">
        <v>656</v>
      </c>
      <c r="G93" s="14" t="s">
        <v>662</v>
      </c>
      <c r="H93" s="14" t="s">
        <v>492</v>
      </c>
      <c r="AQ93" s="16"/>
      <c r="AR93" s="16"/>
      <c r="AS93" s="16"/>
      <c r="AV93" s="16"/>
    </row>
    <row r="94" spans="2:48">
      <c r="B94"/>
      <c r="E94" s="19" t="s">
        <v>872</v>
      </c>
      <c r="F94" s="19" t="s">
        <v>656</v>
      </c>
      <c r="G94" s="14" t="s">
        <v>663</v>
      </c>
      <c r="H94" s="14" t="s">
        <v>492</v>
      </c>
      <c r="AQ94" s="16"/>
      <c r="AR94" s="16"/>
      <c r="AS94" s="16"/>
      <c r="AV94" s="16"/>
    </row>
    <row r="95" spans="2:48">
      <c r="B95"/>
      <c r="E95" s="19" t="s">
        <v>872</v>
      </c>
      <c r="F95" s="19" t="s">
        <v>656</v>
      </c>
      <c r="G95" s="14" t="s">
        <v>664</v>
      </c>
      <c r="H95" s="14" t="s">
        <v>492</v>
      </c>
      <c r="AQ95" s="16"/>
      <c r="AR95" s="16"/>
      <c r="AS95" s="16"/>
      <c r="AV95" s="16"/>
    </row>
    <row r="96" spans="2:48">
      <c r="B96"/>
      <c r="E96" s="19" t="s">
        <v>872</v>
      </c>
      <c r="F96" s="19" t="s">
        <v>656</v>
      </c>
      <c r="G96" s="14" t="s">
        <v>665</v>
      </c>
      <c r="H96" s="14" t="s">
        <v>492</v>
      </c>
      <c r="AQ96" s="16"/>
      <c r="AR96" s="16"/>
      <c r="AS96" s="16"/>
      <c r="AV96" s="16"/>
    </row>
    <row r="97" spans="2:48">
      <c r="B97"/>
      <c r="E97" s="19" t="s">
        <v>872</v>
      </c>
      <c r="F97" s="19" t="s">
        <v>656</v>
      </c>
      <c r="G97" s="14" t="s">
        <v>666</v>
      </c>
      <c r="H97" s="14" t="s">
        <v>492</v>
      </c>
      <c r="AQ97" s="16"/>
      <c r="AR97" s="16"/>
      <c r="AS97" s="16"/>
      <c r="AV97" s="16"/>
    </row>
    <row r="98" spans="2:48">
      <c r="B98"/>
      <c r="E98" s="19" t="s">
        <v>872</v>
      </c>
      <c r="F98" s="19" t="s">
        <v>656</v>
      </c>
      <c r="G98" s="14" t="s">
        <v>667</v>
      </c>
      <c r="H98" s="14" t="s">
        <v>492</v>
      </c>
      <c r="AQ98" s="16"/>
      <c r="AR98" s="16"/>
      <c r="AS98" s="16"/>
      <c r="AV98" s="16"/>
    </row>
    <row r="99" spans="2:48">
      <c r="B99"/>
      <c r="E99" s="19" t="s">
        <v>872</v>
      </c>
      <c r="F99" s="19" t="s">
        <v>656</v>
      </c>
      <c r="G99" s="14" t="s">
        <v>668</v>
      </c>
      <c r="H99" s="14" t="s">
        <v>492</v>
      </c>
      <c r="AQ99" s="16"/>
      <c r="AR99" s="16"/>
      <c r="AS99" s="16"/>
      <c r="AV99" s="16"/>
    </row>
    <row r="100" spans="2:48">
      <c r="B100"/>
      <c r="E100" s="19" t="s">
        <v>872</v>
      </c>
      <c r="F100" s="19" t="s">
        <v>656</v>
      </c>
      <c r="G100" s="14" t="s">
        <v>669</v>
      </c>
      <c r="H100" s="14" t="s">
        <v>492</v>
      </c>
      <c r="AQ100" s="16"/>
      <c r="AR100" s="16"/>
      <c r="AS100" s="16"/>
      <c r="AV100" s="16"/>
    </row>
    <row r="101" spans="2:48">
      <c r="B101"/>
      <c r="E101" s="19" t="s">
        <v>872</v>
      </c>
      <c r="F101" s="19" t="s">
        <v>656</v>
      </c>
      <c r="G101" s="14" t="s">
        <v>670</v>
      </c>
      <c r="H101" s="14" t="s">
        <v>492</v>
      </c>
      <c r="AQ101" s="16"/>
      <c r="AR101" s="16"/>
      <c r="AS101" s="16"/>
      <c r="AV101" s="16"/>
    </row>
    <row r="102" spans="2:48">
      <c r="B102"/>
      <c r="E102" s="19" t="s">
        <v>872</v>
      </c>
      <c r="F102" s="19" t="s">
        <v>656</v>
      </c>
      <c r="G102" s="14" t="s">
        <v>671</v>
      </c>
      <c r="H102" s="14" t="s">
        <v>492</v>
      </c>
      <c r="AQ102" s="16"/>
      <c r="AR102" s="16"/>
      <c r="AS102" s="16"/>
      <c r="AV102" s="16"/>
    </row>
    <row r="103" spans="2:48">
      <c r="B103"/>
      <c r="E103" s="19" t="s">
        <v>872</v>
      </c>
      <c r="F103" s="19" t="s">
        <v>656</v>
      </c>
      <c r="G103" s="14" t="s">
        <v>672</v>
      </c>
      <c r="H103" s="14" t="s">
        <v>492</v>
      </c>
      <c r="AQ103" s="16"/>
      <c r="AR103" s="16"/>
      <c r="AS103" s="16"/>
      <c r="AV103" s="16"/>
    </row>
    <row r="104" spans="2:48">
      <c r="B104"/>
      <c r="E104" s="19" t="s">
        <v>872</v>
      </c>
      <c r="F104" s="19" t="s">
        <v>656</v>
      </c>
      <c r="G104" s="14" t="s">
        <v>673</v>
      </c>
      <c r="H104" s="14" t="s">
        <v>492</v>
      </c>
      <c r="AQ104" s="16"/>
      <c r="AR104" s="16"/>
      <c r="AS104" s="16"/>
      <c r="AV104" s="16"/>
    </row>
    <row r="105" spans="2:48">
      <c r="B105"/>
      <c r="E105" s="19" t="s">
        <v>872</v>
      </c>
      <c r="F105" s="19" t="s">
        <v>656</v>
      </c>
      <c r="G105" s="14" t="s">
        <v>674</v>
      </c>
      <c r="H105" s="14" t="s">
        <v>492</v>
      </c>
      <c r="AQ105" s="16"/>
      <c r="AR105" s="16"/>
      <c r="AS105" s="16"/>
      <c r="AV105" s="16"/>
    </row>
    <row r="106" spans="2:48">
      <c r="B106"/>
      <c r="E106" s="19" t="s">
        <v>872</v>
      </c>
      <c r="F106" s="19" t="s">
        <v>656</v>
      </c>
      <c r="G106" s="14" t="s">
        <v>675</v>
      </c>
      <c r="H106" s="14" t="s">
        <v>492</v>
      </c>
      <c r="AQ106" s="16"/>
      <c r="AR106" s="16"/>
      <c r="AS106" s="16"/>
      <c r="AV106" s="16"/>
    </row>
    <row r="107" spans="2:48">
      <c r="B107"/>
      <c r="E107" s="19" t="s">
        <v>872</v>
      </c>
      <c r="F107" s="19" t="s">
        <v>656</v>
      </c>
      <c r="G107" s="14" t="s">
        <v>676</v>
      </c>
      <c r="H107" s="14" t="s">
        <v>492</v>
      </c>
      <c r="AQ107" s="16"/>
      <c r="AR107" s="16"/>
      <c r="AS107" s="16"/>
      <c r="AV107" s="16"/>
    </row>
    <row r="108" spans="2:48">
      <c r="B108"/>
      <c r="E108" s="19" t="s">
        <v>872</v>
      </c>
      <c r="F108" s="19" t="s">
        <v>656</v>
      </c>
      <c r="G108" s="13" t="s">
        <v>677</v>
      </c>
      <c r="H108" s="13" t="s">
        <v>490</v>
      </c>
      <c r="AQ108" s="16"/>
      <c r="AR108" s="16"/>
      <c r="AS108" s="16"/>
      <c r="AV108" s="16"/>
    </row>
    <row r="109" spans="2:48">
      <c r="B109"/>
      <c r="E109" s="18" t="s">
        <v>872</v>
      </c>
      <c r="F109" s="18" t="s">
        <v>658</v>
      </c>
      <c r="G109" s="17" t="s">
        <v>678</v>
      </c>
      <c r="H109" s="17" t="s">
        <v>491</v>
      </c>
      <c r="AQ109" s="16"/>
      <c r="AR109" s="16"/>
      <c r="AS109" s="16"/>
      <c r="AV109" s="16"/>
    </row>
    <row r="110" spans="2:48">
      <c r="B110"/>
      <c r="E110" s="18" t="s">
        <v>872</v>
      </c>
      <c r="F110" s="18" t="s">
        <v>658</v>
      </c>
      <c r="G110" s="17" t="s">
        <v>679</v>
      </c>
      <c r="H110" s="17" t="s">
        <v>491</v>
      </c>
      <c r="AQ110" s="16"/>
      <c r="AR110" s="16"/>
      <c r="AS110" s="16"/>
      <c r="AV110" s="16"/>
    </row>
    <row r="111" spans="2:48">
      <c r="B111"/>
      <c r="E111" s="18" t="s">
        <v>872</v>
      </c>
      <c r="F111" s="18" t="s">
        <v>658</v>
      </c>
      <c r="G111" s="17" t="s">
        <v>680</v>
      </c>
      <c r="H111" s="17" t="s">
        <v>491</v>
      </c>
      <c r="AQ111" s="16"/>
      <c r="AR111" s="16"/>
      <c r="AS111" s="16"/>
      <c r="AV111" s="16"/>
    </row>
    <row r="112" spans="2:48">
      <c r="B112"/>
      <c r="E112" s="18" t="s">
        <v>872</v>
      </c>
      <c r="F112" s="18" t="s">
        <v>658</v>
      </c>
      <c r="G112" s="17" t="s">
        <v>681</v>
      </c>
      <c r="H112" s="17" t="s">
        <v>491</v>
      </c>
      <c r="AQ112" s="16"/>
      <c r="AR112" s="16"/>
      <c r="AS112" s="16"/>
      <c r="AV112" s="16"/>
    </row>
    <row r="113" spans="2:48">
      <c r="B113"/>
      <c r="E113" s="18" t="s">
        <v>872</v>
      </c>
      <c r="F113" s="18" t="s">
        <v>658</v>
      </c>
      <c r="G113" s="17" t="s">
        <v>682</v>
      </c>
      <c r="H113" s="17" t="s">
        <v>491</v>
      </c>
      <c r="AQ113" s="16"/>
      <c r="AR113" s="16"/>
      <c r="AS113" s="16"/>
      <c r="AV113" s="16"/>
    </row>
    <row r="114" spans="2:48">
      <c r="B114"/>
      <c r="E114" s="18" t="s">
        <v>872</v>
      </c>
      <c r="F114" s="18" t="s">
        <v>658</v>
      </c>
      <c r="G114" s="17" t="s">
        <v>683</v>
      </c>
      <c r="H114" s="17" t="s">
        <v>491</v>
      </c>
      <c r="AQ114" s="16"/>
      <c r="AR114" s="16"/>
      <c r="AS114" s="16"/>
      <c r="AV114" s="16"/>
    </row>
    <row r="115" spans="2:48">
      <c r="B115"/>
      <c r="E115" s="18" t="s">
        <v>872</v>
      </c>
      <c r="F115" s="18" t="s">
        <v>658</v>
      </c>
      <c r="G115" s="17" t="s">
        <v>684</v>
      </c>
      <c r="H115" s="17" t="s">
        <v>491</v>
      </c>
      <c r="AQ115" s="16"/>
      <c r="AR115" s="16"/>
      <c r="AS115" s="16"/>
      <c r="AV115" s="16"/>
    </row>
    <row r="116" spans="2:48">
      <c r="B116"/>
      <c r="E116" s="18" t="s">
        <v>872</v>
      </c>
      <c r="F116" s="18" t="s">
        <v>658</v>
      </c>
      <c r="G116" s="17" t="s">
        <v>685</v>
      </c>
      <c r="H116" s="17" t="s">
        <v>491</v>
      </c>
      <c r="AQ116" s="16"/>
      <c r="AR116" s="16"/>
      <c r="AS116" s="16"/>
      <c r="AV116" s="16"/>
    </row>
    <row r="117" spans="2:48">
      <c r="B117"/>
      <c r="E117" s="18" t="s">
        <v>872</v>
      </c>
      <c r="F117" s="18" t="s">
        <v>658</v>
      </c>
      <c r="G117" s="17" t="s">
        <v>686</v>
      </c>
      <c r="H117" s="17" t="s">
        <v>491</v>
      </c>
      <c r="AQ117" s="16"/>
      <c r="AR117" s="16"/>
      <c r="AS117" s="16"/>
      <c r="AV117" s="16"/>
    </row>
    <row r="118" spans="2:48">
      <c r="B118"/>
      <c r="E118" s="18" t="s">
        <v>872</v>
      </c>
      <c r="F118" s="18" t="s">
        <v>658</v>
      </c>
      <c r="G118" s="17" t="s">
        <v>687</v>
      </c>
      <c r="H118" s="17" t="s">
        <v>491</v>
      </c>
      <c r="AQ118" s="16"/>
      <c r="AR118" s="16"/>
      <c r="AS118" s="16"/>
      <c r="AV118" s="16"/>
    </row>
    <row r="119" spans="2:48">
      <c r="B119"/>
      <c r="E119" s="18" t="s">
        <v>872</v>
      </c>
      <c r="F119" s="18" t="s">
        <v>658</v>
      </c>
      <c r="G119" s="17" t="s">
        <v>688</v>
      </c>
      <c r="H119" s="17" t="s">
        <v>491</v>
      </c>
      <c r="AQ119" s="16"/>
      <c r="AR119" s="16"/>
      <c r="AS119" s="16"/>
      <c r="AV119" s="16"/>
    </row>
    <row r="120" spans="2:48">
      <c r="B120"/>
      <c r="E120" s="18" t="s">
        <v>872</v>
      </c>
      <c r="F120" s="18" t="s">
        <v>658</v>
      </c>
      <c r="G120" s="17" t="s">
        <v>689</v>
      </c>
      <c r="H120" s="17" t="s">
        <v>491</v>
      </c>
      <c r="AQ120" s="16"/>
      <c r="AR120" s="16"/>
      <c r="AS120" s="16"/>
      <c r="AV120" s="16"/>
    </row>
    <row r="121" spans="2:48">
      <c r="B121"/>
      <c r="E121" s="18" t="s">
        <v>872</v>
      </c>
      <c r="F121" s="18" t="s">
        <v>658</v>
      </c>
      <c r="G121" s="17" t="s">
        <v>690</v>
      </c>
      <c r="H121" s="17" t="s">
        <v>491</v>
      </c>
      <c r="AQ121" s="16"/>
      <c r="AR121" s="16"/>
      <c r="AS121" s="16"/>
      <c r="AV121" s="16"/>
    </row>
    <row r="122" spans="2:48">
      <c r="B122"/>
      <c r="E122" s="18" t="s">
        <v>872</v>
      </c>
      <c r="F122" s="18" t="s">
        <v>658</v>
      </c>
      <c r="G122" s="17" t="s">
        <v>691</v>
      </c>
      <c r="H122" s="17" t="s">
        <v>491</v>
      </c>
      <c r="AQ122" s="16"/>
      <c r="AR122" s="16"/>
      <c r="AS122" s="16"/>
      <c r="AV122" s="16"/>
    </row>
    <row r="123" spans="2:48">
      <c r="B123"/>
      <c r="E123" s="18" t="s">
        <v>872</v>
      </c>
      <c r="F123" s="18" t="s">
        <v>658</v>
      </c>
      <c r="G123" s="14" t="s">
        <v>692</v>
      </c>
      <c r="H123" s="14" t="s">
        <v>492</v>
      </c>
      <c r="AQ123" s="16"/>
      <c r="AR123" s="16"/>
      <c r="AS123" s="16"/>
      <c r="AV123" s="16"/>
    </row>
    <row r="124" spans="2:48">
      <c r="B124"/>
      <c r="E124" s="18" t="s">
        <v>872</v>
      </c>
      <c r="F124" s="18" t="s">
        <v>658</v>
      </c>
      <c r="G124" s="14" t="s">
        <v>693</v>
      </c>
      <c r="H124" s="14" t="s">
        <v>492</v>
      </c>
      <c r="AQ124" s="16"/>
      <c r="AR124" s="16"/>
      <c r="AS124" s="16"/>
      <c r="AV124" s="16"/>
    </row>
    <row r="125" spans="2:48">
      <c r="B125"/>
      <c r="E125" s="18" t="s">
        <v>872</v>
      </c>
      <c r="F125" s="18" t="s">
        <v>658</v>
      </c>
      <c r="G125" s="14" t="s">
        <v>694</v>
      </c>
      <c r="H125" s="14" t="s">
        <v>492</v>
      </c>
      <c r="AQ125" s="16"/>
      <c r="AR125" s="16"/>
      <c r="AS125" s="16"/>
      <c r="AV125" s="16"/>
    </row>
    <row r="126" spans="2:48">
      <c r="B126"/>
      <c r="E126" s="18" t="s">
        <v>872</v>
      </c>
      <c r="F126" s="18" t="s">
        <v>658</v>
      </c>
      <c r="G126" s="14" t="s">
        <v>695</v>
      </c>
      <c r="H126" s="14" t="s">
        <v>492</v>
      </c>
      <c r="AQ126" s="16"/>
      <c r="AR126" s="16"/>
      <c r="AS126" s="16"/>
      <c r="AV126" s="16"/>
    </row>
    <row r="127" spans="2:48">
      <c r="B127"/>
      <c r="E127" s="18" t="s">
        <v>872</v>
      </c>
      <c r="F127" s="18" t="s">
        <v>658</v>
      </c>
      <c r="G127" s="14" t="s">
        <v>696</v>
      </c>
      <c r="H127" s="14" t="s">
        <v>492</v>
      </c>
      <c r="AQ127" s="16"/>
      <c r="AR127" s="16"/>
      <c r="AS127" s="16"/>
      <c r="AV127" s="16"/>
    </row>
    <row r="128" spans="2:48">
      <c r="B128"/>
      <c r="E128" s="18" t="s">
        <v>872</v>
      </c>
      <c r="F128" s="18" t="s">
        <v>658</v>
      </c>
      <c r="G128" s="14" t="s">
        <v>697</v>
      </c>
      <c r="H128" s="14" t="s">
        <v>492</v>
      </c>
      <c r="AQ128" s="16"/>
      <c r="AR128" s="16"/>
      <c r="AS128" s="16"/>
      <c r="AV128" s="16"/>
    </row>
    <row r="129" spans="2:48">
      <c r="B129"/>
      <c r="E129" s="18" t="s">
        <v>872</v>
      </c>
      <c r="F129" s="18" t="s">
        <v>658</v>
      </c>
      <c r="G129" s="14" t="s">
        <v>698</v>
      </c>
      <c r="H129" s="14" t="s">
        <v>492</v>
      </c>
      <c r="AQ129" s="16"/>
      <c r="AR129" s="16"/>
      <c r="AS129" s="16"/>
      <c r="AV129" s="16"/>
    </row>
    <row r="130" spans="2:48">
      <c r="B130"/>
      <c r="E130" s="18" t="s">
        <v>872</v>
      </c>
      <c r="F130" s="18" t="s">
        <v>658</v>
      </c>
      <c r="G130" s="14" t="s">
        <v>699</v>
      </c>
      <c r="H130" s="14" t="s">
        <v>492</v>
      </c>
      <c r="AQ130" s="16"/>
      <c r="AR130" s="16"/>
      <c r="AS130" s="16"/>
      <c r="AV130" s="16"/>
    </row>
    <row r="131" spans="2:48">
      <c r="B131"/>
      <c r="E131" s="18" t="s">
        <v>872</v>
      </c>
      <c r="F131" s="18" t="s">
        <v>658</v>
      </c>
      <c r="G131" s="14" t="s">
        <v>700</v>
      </c>
      <c r="H131" s="14" t="s">
        <v>492</v>
      </c>
      <c r="AQ131" s="16"/>
      <c r="AR131" s="16"/>
      <c r="AS131" s="16"/>
      <c r="AV131" s="16"/>
    </row>
    <row r="132" spans="2:48">
      <c r="B132"/>
      <c r="E132" s="18" t="s">
        <v>872</v>
      </c>
      <c r="F132" s="18" t="s">
        <v>658</v>
      </c>
      <c r="G132" s="14" t="s">
        <v>701</v>
      </c>
      <c r="H132" s="14" t="s">
        <v>492</v>
      </c>
      <c r="AQ132" s="16"/>
      <c r="AR132" s="16"/>
      <c r="AS132" s="16"/>
      <c r="AV132" s="16"/>
    </row>
    <row r="133" spans="2:48">
      <c r="B133"/>
      <c r="E133" s="18" t="s">
        <v>872</v>
      </c>
      <c r="F133" s="18" t="s">
        <v>658</v>
      </c>
      <c r="G133" s="14" t="s">
        <v>702</v>
      </c>
      <c r="H133" s="14" t="s">
        <v>492</v>
      </c>
      <c r="AQ133" s="16"/>
      <c r="AR133" s="16"/>
      <c r="AS133" s="16"/>
      <c r="AV133" s="16"/>
    </row>
    <row r="134" spans="2:48">
      <c r="B134"/>
      <c r="E134" s="18" t="s">
        <v>872</v>
      </c>
      <c r="F134" s="18" t="s">
        <v>658</v>
      </c>
      <c r="G134" s="14" t="s">
        <v>703</v>
      </c>
      <c r="H134" s="14" t="s">
        <v>492</v>
      </c>
      <c r="AQ134" s="16"/>
      <c r="AR134" s="16"/>
      <c r="AS134" s="16"/>
      <c r="AV134" s="16"/>
    </row>
    <row r="135" spans="2:48">
      <c r="B135"/>
      <c r="E135" s="18" t="s">
        <v>872</v>
      </c>
      <c r="F135" s="18" t="s">
        <v>658</v>
      </c>
      <c r="G135" s="14" t="s">
        <v>704</v>
      </c>
      <c r="H135" s="14" t="s">
        <v>492</v>
      </c>
      <c r="AQ135" s="16"/>
      <c r="AR135" s="16"/>
      <c r="AS135" s="16"/>
      <c r="AV135" s="16"/>
    </row>
    <row r="136" spans="2:48">
      <c r="B136"/>
      <c r="E136" s="18" t="s">
        <v>872</v>
      </c>
      <c r="F136" s="18" t="s">
        <v>658</v>
      </c>
      <c r="G136" s="14" t="s">
        <v>705</v>
      </c>
      <c r="H136" s="14" t="s">
        <v>492</v>
      </c>
      <c r="AQ136" s="16"/>
      <c r="AR136" s="16"/>
      <c r="AS136" s="16"/>
      <c r="AV136" s="16"/>
    </row>
    <row r="137" spans="2:48">
      <c r="B137"/>
      <c r="E137" s="18" t="s">
        <v>872</v>
      </c>
      <c r="F137" s="18" t="s">
        <v>658</v>
      </c>
      <c r="G137" s="14" t="s">
        <v>706</v>
      </c>
      <c r="H137" s="14" t="s">
        <v>492</v>
      </c>
      <c r="AQ137" s="16"/>
      <c r="AR137" s="16"/>
      <c r="AS137" s="16"/>
      <c r="AV137" s="16"/>
    </row>
    <row r="138" spans="2:48">
      <c r="B138"/>
      <c r="E138" s="18" t="s">
        <v>872</v>
      </c>
      <c r="F138" s="18" t="s">
        <v>658</v>
      </c>
      <c r="G138" s="14" t="s">
        <v>707</v>
      </c>
      <c r="H138" s="14" t="s">
        <v>492</v>
      </c>
      <c r="AQ138" s="16"/>
      <c r="AR138" s="16"/>
      <c r="AS138" s="16"/>
      <c r="AV138" s="16"/>
    </row>
    <row r="139" spans="2:48">
      <c r="B139"/>
      <c r="E139" s="18" t="s">
        <v>872</v>
      </c>
      <c r="F139" s="18" t="s">
        <v>658</v>
      </c>
      <c r="G139" s="14" t="s">
        <v>708</v>
      </c>
      <c r="H139" s="14" t="s">
        <v>492</v>
      </c>
      <c r="AQ139" s="16"/>
      <c r="AR139" s="16"/>
      <c r="AS139" s="16"/>
      <c r="AV139" s="16"/>
    </row>
    <row r="140" spans="2:48">
      <c r="B140"/>
      <c r="E140" s="18" t="s">
        <v>872</v>
      </c>
      <c r="F140" s="18" t="s">
        <v>658</v>
      </c>
      <c r="G140" s="14" t="s">
        <v>709</v>
      </c>
      <c r="H140" s="14" t="s">
        <v>492</v>
      </c>
      <c r="AQ140" s="16"/>
      <c r="AR140" s="16"/>
      <c r="AS140" s="16"/>
      <c r="AV140" s="16"/>
    </row>
    <row r="141" spans="2:48">
      <c r="B141"/>
      <c r="E141" s="18" t="s">
        <v>872</v>
      </c>
      <c r="F141" s="18" t="s">
        <v>658</v>
      </c>
      <c r="G141" s="14" t="s">
        <v>710</v>
      </c>
      <c r="H141" s="14" t="s">
        <v>492</v>
      </c>
      <c r="AQ141" s="16"/>
      <c r="AR141" s="16"/>
      <c r="AS141" s="16"/>
      <c r="AV141" s="16"/>
    </row>
    <row r="142" spans="2:48">
      <c r="B142"/>
      <c r="E142" s="18" t="s">
        <v>872</v>
      </c>
      <c r="F142" s="18" t="s">
        <v>658</v>
      </c>
      <c r="G142" s="14" t="s">
        <v>711</v>
      </c>
      <c r="H142" s="14" t="s">
        <v>492</v>
      </c>
      <c r="AQ142" s="16"/>
      <c r="AR142" s="16"/>
      <c r="AS142" s="16"/>
      <c r="AV142" s="16"/>
    </row>
    <row r="143" spans="2:48">
      <c r="B143"/>
      <c r="E143" s="18" t="s">
        <v>872</v>
      </c>
      <c r="F143" s="18" t="s">
        <v>658</v>
      </c>
      <c r="G143" s="14" t="s">
        <v>712</v>
      </c>
      <c r="H143" s="14" t="s">
        <v>492</v>
      </c>
      <c r="AQ143" s="16"/>
      <c r="AR143" s="16"/>
      <c r="AS143" s="16"/>
      <c r="AV143" s="16"/>
    </row>
    <row r="144" spans="2:48">
      <c r="B144"/>
      <c r="E144" s="18" t="s">
        <v>872</v>
      </c>
      <c r="F144" s="18" t="s">
        <v>658</v>
      </c>
      <c r="G144" s="14" t="s">
        <v>713</v>
      </c>
      <c r="H144" s="14" t="s">
        <v>492</v>
      </c>
      <c r="AQ144" s="16"/>
      <c r="AR144" s="16"/>
      <c r="AS144" s="16"/>
      <c r="AV144" s="16"/>
    </row>
    <row r="145" spans="2:48">
      <c r="B145"/>
      <c r="E145" s="18" t="s">
        <v>872</v>
      </c>
      <c r="F145" s="18" t="s">
        <v>658</v>
      </c>
      <c r="G145" s="14" t="s">
        <v>714</v>
      </c>
      <c r="H145" s="14" t="s">
        <v>492</v>
      </c>
      <c r="AQ145" s="16"/>
      <c r="AR145" s="16"/>
      <c r="AS145" s="16"/>
      <c r="AV145" s="16"/>
    </row>
    <row r="146" spans="2:48">
      <c r="B146"/>
      <c r="E146" s="18" t="s">
        <v>872</v>
      </c>
      <c r="F146" s="18" t="s">
        <v>658</v>
      </c>
      <c r="G146" s="14" t="s">
        <v>715</v>
      </c>
      <c r="H146" s="14" t="s">
        <v>492</v>
      </c>
      <c r="AQ146" s="16"/>
      <c r="AR146" s="16"/>
      <c r="AS146" s="16"/>
      <c r="AV146" s="16"/>
    </row>
    <row r="147" spans="2:48">
      <c r="B147"/>
      <c r="E147" s="18" t="s">
        <v>872</v>
      </c>
      <c r="F147" s="18" t="s">
        <v>658</v>
      </c>
      <c r="G147" s="14" t="s">
        <v>716</v>
      </c>
      <c r="H147" s="14" t="s">
        <v>492</v>
      </c>
      <c r="AQ147" s="16"/>
      <c r="AR147" s="16"/>
      <c r="AS147" s="16"/>
      <c r="AV147" s="16"/>
    </row>
    <row r="148" spans="2:48">
      <c r="B148"/>
      <c r="E148" s="18" t="s">
        <v>872</v>
      </c>
      <c r="F148" s="18" t="s">
        <v>658</v>
      </c>
      <c r="G148" s="14" t="s">
        <v>717</v>
      </c>
      <c r="H148" s="14" t="s">
        <v>492</v>
      </c>
      <c r="AQ148" s="16"/>
      <c r="AR148" s="16"/>
      <c r="AS148" s="16"/>
      <c r="AV148" s="16"/>
    </row>
    <row r="149" spans="2:48">
      <c r="B149"/>
      <c r="E149" s="18" t="s">
        <v>872</v>
      </c>
      <c r="F149" s="18" t="s">
        <v>658</v>
      </c>
      <c r="G149" s="14" t="s">
        <v>718</v>
      </c>
      <c r="H149" s="14" t="s">
        <v>492</v>
      </c>
      <c r="AQ149" s="16"/>
      <c r="AR149" s="16"/>
      <c r="AS149" s="16"/>
      <c r="AV149" s="16"/>
    </row>
    <row r="150" spans="2:48">
      <c r="B150"/>
      <c r="E150" s="18" t="s">
        <v>872</v>
      </c>
      <c r="F150" s="18" t="s">
        <v>658</v>
      </c>
      <c r="G150" s="14" t="s">
        <v>719</v>
      </c>
      <c r="H150" s="14" t="s">
        <v>492</v>
      </c>
      <c r="AQ150" s="16"/>
      <c r="AR150" s="16"/>
      <c r="AS150" s="16"/>
      <c r="AV150" s="16"/>
    </row>
    <row r="151" spans="2:48">
      <c r="B151"/>
      <c r="E151" s="18" t="s">
        <v>872</v>
      </c>
      <c r="F151" s="18" t="s">
        <v>658</v>
      </c>
      <c r="G151" s="14" t="s">
        <v>720</v>
      </c>
      <c r="H151" s="14" t="s">
        <v>492</v>
      </c>
      <c r="AQ151" s="16"/>
      <c r="AR151" s="16"/>
      <c r="AS151" s="16"/>
      <c r="AV151" s="16"/>
    </row>
    <row r="152" spans="2:48">
      <c r="B152"/>
      <c r="E152" s="18" t="s">
        <v>872</v>
      </c>
      <c r="F152" s="18" t="s">
        <v>658</v>
      </c>
      <c r="G152" s="14" t="s">
        <v>721</v>
      </c>
      <c r="H152" s="14" t="s">
        <v>492</v>
      </c>
      <c r="AQ152" s="16"/>
      <c r="AR152" s="16"/>
      <c r="AS152" s="16"/>
      <c r="AV152" s="16"/>
    </row>
    <row r="153" spans="2:48">
      <c r="B153"/>
      <c r="E153" s="18" t="s">
        <v>872</v>
      </c>
      <c r="F153" s="18" t="s">
        <v>658</v>
      </c>
      <c r="G153" s="14" t="s">
        <v>722</v>
      </c>
      <c r="H153" s="14" t="s">
        <v>492</v>
      </c>
      <c r="AQ153" s="16"/>
      <c r="AR153" s="16"/>
      <c r="AS153" s="16"/>
      <c r="AV153" s="16"/>
    </row>
    <row r="154" spans="2:48">
      <c r="B154"/>
      <c r="E154" s="18" t="s">
        <v>872</v>
      </c>
      <c r="F154" s="18" t="s">
        <v>658</v>
      </c>
      <c r="G154" s="14" t="s">
        <v>723</v>
      </c>
      <c r="H154" s="14" t="s">
        <v>492</v>
      </c>
      <c r="AQ154" s="16"/>
      <c r="AR154" s="16"/>
      <c r="AS154" s="16"/>
      <c r="AV154" s="16"/>
    </row>
    <row r="155" spans="2:48">
      <c r="B155"/>
      <c r="E155" s="18" t="s">
        <v>872</v>
      </c>
      <c r="F155" s="18" t="s">
        <v>658</v>
      </c>
      <c r="G155" s="14" t="s">
        <v>724</v>
      </c>
      <c r="H155" s="14" t="s">
        <v>492</v>
      </c>
      <c r="AQ155" s="16"/>
      <c r="AR155" s="16"/>
      <c r="AS155" s="16"/>
      <c r="AV155" s="16"/>
    </row>
    <row r="156" spans="2:48">
      <c r="B156"/>
      <c r="E156" s="18" t="s">
        <v>872</v>
      </c>
      <c r="F156" s="18" t="s">
        <v>658</v>
      </c>
      <c r="G156" s="14" t="s">
        <v>725</v>
      </c>
      <c r="H156" s="14" t="s">
        <v>492</v>
      </c>
      <c r="AQ156" s="16"/>
      <c r="AR156" s="16"/>
      <c r="AS156" s="16"/>
      <c r="AV156" s="16"/>
    </row>
    <row r="157" spans="2:48">
      <c r="B157"/>
      <c r="E157" s="18" t="s">
        <v>872</v>
      </c>
      <c r="F157" s="18" t="s">
        <v>658</v>
      </c>
      <c r="G157" s="14" t="s">
        <v>726</v>
      </c>
      <c r="H157" s="14" t="s">
        <v>492</v>
      </c>
      <c r="AQ157" s="16"/>
      <c r="AR157" s="16"/>
      <c r="AS157" s="16"/>
      <c r="AV157" s="16"/>
    </row>
    <row r="158" spans="2:48">
      <c r="B158"/>
      <c r="E158" s="18" t="s">
        <v>872</v>
      </c>
      <c r="F158" s="18" t="s">
        <v>658</v>
      </c>
      <c r="G158" s="14" t="s">
        <v>727</v>
      </c>
      <c r="H158" s="14" t="s">
        <v>492</v>
      </c>
      <c r="AQ158" s="16"/>
      <c r="AR158" s="16"/>
      <c r="AS158" s="16"/>
      <c r="AV158" s="16"/>
    </row>
    <row r="159" spans="2:48">
      <c r="B159"/>
      <c r="E159" s="18" t="s">
        <v>872</v>
      </c>
      <c r="F159" s="18" t="s">
        <v>658</v>
      </c>
      <c r="G159" s="13" t="s">
        <v>736</v>
      </c>
      <c r="H159" s="13" t="s">
        <v>490</v>
      </c>
      <c r="AQ159" s="16"/>
      <c r="AR159" s="16"/>
      <c r="AS159" s="16"/>
      <c r="AV159" s="16"/>
    </row>
    <row r="160" spans="2:48">
      <c r="B160"/>
      <c r="E160" s="18" t="s">
        <v>872</v>
      </c>
      <c r="F160" s="18" t="s">
        <v>658</v>
      </c>
      <c r="G160" s="13" t="s">
        <v>737</v>
      </c>
      <c r="H160" s="13" t="s">
        <v>490</v>
      </c>
      <c r="AQ160" s="16"/>
      <c r="AR160" s="16"/>
      <c r="AS160" s="16"/>
      <c r="AV160" s="16"/>
    </row>
    <row r="161" spans="2:48">
      <c r="B161"/>
      <c r="E161" s="18" t="s">
        <v>872</v>
      </c>
      <c r="F161" s="18" t="s">
        <v>658</v>
      </c>
      <c r="G161" s="13" t="s">
        <v>738</v>
      </c>
      <c r="H161" s="13" t="s">
        <v>490</v>
      </c>
      <c r="AQ161" s="16"/>
      <c r="AR161" s="16"/>
      <c r="AS161" s="16"/>
      <c r="AV161" s="16"/>
    </row>
    <row r="162" spans="2:48">
      <c r="B162"/>
      <c r="E162" s="19" t="s">
        <v>872</v>
      </c>
      <c r="F162" s="19" t="s">
        <v>657</v>
      </c>
      <c r="G162" s="14" t="s">
        <v>641</v>
      </c>
      <c r="H162" s="14" t="s">
        <v>492</v>
      </c>
      <c r="AQ162" s="16"/>
      <c r="AR162" s="16"/>
      <c r="AS162" s="16"/>
      <c r="AV162" s="16"/>
    </row>
    <row r="163" spans="2:48">
      <c r="B163"/>
      <c r="E163" s="19" t="s">
        <v>872</v>
      </c>
      <c r="F163" s="19" t="s">
        <v>780</v>
      </c>
      <c r="G163" s="14" t="s">
        <v>767</v>
      </c>
      <c r="H163" s="14" t="s">
        <v>492</v>
      </c>
      <c r="AQ163" s="16"/>
      <c r="AR163" s="16"/>
      <c r="AS163" s="16"/>
      <c r="AV163" s="16"/>
    </row>
    <row r="164" spans="2:48">
      <c r="B164"/>
      <c r="E164" s="19" t="s">
        <v>872</v>
      </c>
      <c r="F164" s="19" t="s">
        <v>780</v>
      </c>
      <c r="G164" s="14" t="s">
        <v>768</v>
      </c>
      <c r="H164" s="14" t="s">
        <v>492</v>
      </c>
      <c r="AQ164" s="16"/>
      <c r="AR164" s="16"/>
      <c r="AS164" s="16"/>
      <c r="AV164" s="16"/>
    </row>
    <row r="165" spans="2:48">
      <c r="B165"/>
      <c r="E165" s="19" t="s">
        <v>872</v>
      </c>
      <c r="F165" s="19" t="s">
        <v>780</v>
      </c>
      <c r="G165" s="14" t="s">
        <v>769</v>
      </c>
      <c r="H165" s="14" t="s">
        <v>492</v>
      </c>
      <c r="AQ165" s="16"/>
      <c r="AR165" s="16"/>
      <c r="AS165" s="16"/>
      <c r="AV165" s="16"/>
    </row>
    <row r="166" spans="2:48">
      <c r="B166"/>
      <c r="E166" s="19" t="s">
        <v>872</v>
      </c>
      <c r="F166" s="19" t="s">
        <v>780</v>
      </c>
      <c r="G166" s="14" t="s">
        <v>770</v>
      </c>
      <c r="H166" s="14" t="s">
        <v>492</v>
      </c>
      <c r="AQ166" s="16"/>
      <c r="AR166" s="16"/>
      <c r="AS166" s="16"/>
      <c r="AV166" s="16"/>
    </row>
    <row r="167" spans="2:48">
      <c r="B167"/>
      <c r="E167" s="19" t="s">
        <v>872</v>
      </c>
      <c r="F167" s="19" t="s">
        <v>780</v>
      </c>
      <c r="G167" s="14" t="s">
        <v>771</v>
      </c>
      <c r="H167" s="14" t="s">
        <v>492</v>
      </c>
      <c r="AQ167" s="16"/>
      <c r="AR167" s="16"/>
      <c r="AS167" s="16"/>
      <c r="AV167" s="16"/>
    </row>
    <row r="168" spans="2:48">
      <c r="B168"/>
      <c r="E168" s="19" t="s">
        <v>872</v>
      </c>
      <c r="F168" s="19" t="s">
        <v>780</v>
      </c>
      <c r="G168" s="14" t="s">
        <v>772</v>
      </c>
      <c r="H168" s="14" t="s">
        <v>492</v>
      </c>
      <c r="AQ168" s="16"/>
      <c r="AR168" s="16"/>
      <c r="AS168" s="16"/>
      <c r="AV168" s="16"/>
    </row>
    <row r="169" spans="2:48">
      <c r="B169"/>
      <c r="E169" s="19" t="s">
        <v>872</v>
      </c>
      <c r="F169" s="19" t="s">
        <v>780</v>
      </c>
      <c r="G169" s="14" t="s">
        <v>773</v>
      </c>
      <c r="H169" s="14" t="s">
        <v>492</v>
      </c>
      <c r="AQ169" s="16"/>
      <c r="AR169" s="16"/>
      <c r="AS169" s="16"/>
      <c r="AV169" s="16"/>
    </row>
    <row r="170" spans="2:48">
      <c r="B170"/>
      <c r="E170" s="19" t="s">
        <v>872</v>
      </c>
      <c r="F170" s="19" t="s">
        <v>780</v>
      </c>
      <c r="G170" s="14" t="s">
        <v>774</v>
      </c>
      <c r="H170" s="14" t="s">
        <v>492</v>
      </c>
      <c r="AQ170" s="16"/>
      <c r="AR170" s="16"/>
      <c r="AS170" s="16"/>
      <c r="AV170" s="16"/>
    </row>
    <row r="171" spans="2:48">
      <c r="B171"/>
      <c r="E171" s="19" t="s">
        <v>872</v>
      </c>
      <c r="F171" s="19" t="s">
        <v>780</v>
      </c>
      <c r="G171" s="14" t="s">
        <v>775</v>
      </c>
      <c r="H171" s="14" t="s">
        <v>492</v>
      </c>
      <c r="AQ171" s="16"/>
      <c r="AR171" s="16"/>
      <c r="AS171" s="16"/>
      <c r="AV171" s="16"/>
    </row>
    <row r="172" spans="2:48">
      <c r="B172"/>
      <c r="E172" s="19" t="s">
        <v>872</v>
      </c>
      <c r="F172" s="19" t="s">
        <v>780</v>
      </c>
      <c r="G172" s="14" t="s">
        <v>776</v>
      </c>
      <c r="H172" s="14" t="s">
        <v>492</v>
      </c>
      <c r="AQ172" s="16"/>
      <c r="AR172" s="16"/>
      <c r="AS172" s="16"/>
      <c r="AV172" s="16"/>
    </row>
    <row r="173" spans="2:48">
      <c r="B173"/>
      <c r="E173" s="19" t="s">
        <v>872</v>
      </c>
      <c r="F173" s="19" t="s">
        <v>780</v>
      </c>
      <c r="G173" s="14" t="s">
        <v>777</v>
      </c>
      <c r="H173" s="14" t="s">
        <v>492</v>
      </c>
      <c r="AQ173" s="16"/>
      <c r="AR173" s="16"/>
      <c r="AS173" s="16"/>
      <c r="AV173" s="16"/>
    </row>
    <row r="174" spans="2:48">
      <c r="B174"/>
      <c r="E174" s="19" t="s">
        <v>872</v>
      </c>
      <c r="F174" s="19" t="s">
        <v>780</v>
      </c>
      <c r="G174" s="14" t="s">
        <v>778</v>
      </c>
      <c r="H174" s="14" t="s">
        <v>492</v>
      </c>
      <c r="AQ174" s="16"/>
      <c r="AR174" s="16"/>
      <c r="AS174" s="16"/>
      <c r="AV174" s="16"/>
    </row>
    <row r="175" spans="2:48">
      <c r="B175"/>
      <c r="E175" s="19" t="s">
        <v>872</v>
      </c>
      <c r="F175" s="19" t="s">
        <v>780</v>
      </c>
      <c r="G175" s="14" t="s">
        <v>779</v>
      </c>
      <c r="H175" s="14" t="s">
        <v>492</v>
      </c>
      <c r="AQ175" s="16"/>
      <c r="AR175" s="16"/>
      <c r="AS175" s="16"/>
      <c r="AV175" s="16"/>
    </row>
    <row r="176" spans="2:48">
      <c r="B176"/>
      <c r="E176" s="19" t="s">
        <v>872</v>
      </c>
      <c r="F176" s="19" t="s">
        <v>780</v>
      </c>
      <c r="G176" s="13" t="s">
        <v>739</v>
      </c>
      <c r="H176" s="13" t="s">
        <v>490</v>
      </c>
      <c r="AQ176" s="16"/>
      <c r="AR176" s="16"/>
      <c r="AS176" s="16"/>
      <c r="AV176" s="16"/>
    </row>
    <row r="177" spans="2:48">
      <c r="B177"/>
      <c r="E177" s="19" t="s">
        <v>872</v>
      </c>
      <c r="F177" s="19" t="s">
        <v>780</v>
      </c>
      <c r="G177" s="13" t="s">
        <v>740</v>
      </c>
      <c r="H177" s="13" t="s">
        <v>490</v>
      </c>
      <c r="AQ177" s="16"/>
      <c r="AR177" s="16"/>
      <c r="AS177" s="16"/>
      <c r="AV177" s="16"/>
    </row>
    <row r="178" spans="2:48">
      <c r="B178"/>
      <c r="E178" s="19" t="s">
        <v>872</v>
      </c>
      <c r="F178" s="19" t="s">
        <v>780</v>
      </c>
      <c r="G178" s="13" t="s">
        <v>741</v>
      </c>
      <c r="H178" s="13" t="s">
        <v>490</v>
      </c>
      <c r="AQ178" s="16"/>
      <c r="AR178" s="16"/>
      <c r="AS178" s="16"/>
      <c r="AV178" s="16"/>
    </row>
    <row r="179" spans="2:48">
      <c r="B179"/>
      <c r="E179" s="19" t="s">
        <v>872</v>
      </c>
      <c r="F179" s="19" t="s">
        <v>780</v>
      </c>
      <c r="G179" s="13" t="s">
        <v>742</v>
      </c>
      <c r="H179" s="13" t="s">
        <v>490</v>
      </c>
      <c r="AQ179" s="16"/>
      <c r="AR179" s="16"/>
      <c r="AS179" s="16"/>
      <c r="AV179" s="16"/>
    </row>
    <row r="180" spans="2:48">
      <c r="B180"/>
      <c r="E180" s="19" t="s">
        <v>872</v>
      </c>
      <c r="F180" s="19" t="s">
        <v>780</v>
      </c>
      <c r="G180" s="13" t="s">
        <v>743</v>
      </c>
      <c r="H180" s="13" t="s">
        <v>490</v>
      </c>
      <c r="AQ180" s="16"/>
      <c r="AR180" s="16"/>
      <c r="AS180" s="16"/>
      <c r="AV180" s="16"/>
    </row>
    <row r="181" spans="2:48">
      <c r="B181"/>
      <c r="E181" s="19" t="s">
        <v>872</v>
      </c>
      <c r="F181" s="19" t="s">
        <v>780</v>
      </c>
      <c r="G181" s="13" t="s">
        <v>744</v>
      </c>
      <c r="H181" s="13" t="s">
        <v>490</v>
      </c>
      <c r="AQ181" s="16"/>
      <c r="AR181" s="16"/>
      <c r="AS181" s="16"/>
      <c r="AV181" s="16"/>
    </row>
    <row r="182" spans="2:48">
      <c r="B182"/>
      <c r="E182" s="19" t="s">
        <v>872</v>
      </c>
      <c r="F182" s="19" t="s">
        <v>780</v>
      </c>
      <c r="G182" s="13" t="s">
        <v>745</v>
      </c>
      <c r="H182" s="13" t="s">
        <v>490</v>
      </c>
      <c r="AQ182" s="16"/>
      <c r="AR182" s="16"/>
      <c r="AS182" s="16"/>
      <c r="AV182" s="16"/>
    </row>
    <row r="183" spans="2:48">
      <c r="B183"/>
      <c r="E183" s="19" t="s">
        <v>872</v>
      </c>
      <c r="F183" s="19" t="s">
        <v>780</v>
      </c>
      <c r="G183" s="13" t="s">
        <v>746</v>
      </c>
      <c r="H183" s="13" t="s">
        <v>490</v>
      </c>
      <c r="AQ183" s="16"/>
      <c r="AR183" s="16"/>
      <c r="AS183" s="16"/>
      <c r="AV183" s="16"/>
    </row>
    <row r="184" spans="2:48">
      <c r="B184"/>
      <c r="E184" s="19" t="s">
        <v>872</v>
      </c>
      <c r="F184" s="19" t="s">
        <v>780</v>
      </c>
      <c r="G184" s="13" t="s">
        <v>747</v>
      </c>
      <c r="H184" s="13" t="s">
        <v>490</v>
      </c>
      <c r="AQ184" s="16"/>
      <c r="AR184" s="16"/>
      <c r="AS184" s="16"/>
      <c r="AV184" s="16"/>
    </row>
    <row r="185" spans="2:48">
      <c r="B185"/>
      <c r="E185" s="19" t="s">
        <v>872</v>
      </c>
      <c r="F185" s="19" t="s">
        <v>780</v>
      </c>
      <c r="G185" s="13" t="s">
        <v>748</v>
      </c>
      <c r="H185" s="13" t="s">
        <v>490</v>
      </c>
      <c r="AQ185" s="16"/>
      <c r="AR185" s="16"/>
      <c r="AS185" s="16"/>
      <c r="AV185" s="16"/>
    </row>
    <row r="186" spans="2:48">
      <c r="B186"/>
      <c r="E186" s="19" t="s">
        <v>872</v>
      </c>
      <c r="F186" s="19" t="s">
        <v>780</v>
      </c>
      <c r="G186" s="13" t="s">
        <v>749</v>
      </c>
      <c r="H186" s="13" t="s">
        <v>490</v>
      </c>
      <c r="AQ186" s="16"/>
      <c r="AR186" s="16"/>
      <c r="AS186" s="16"/>
      <c r="AV186" s="16"/>
    </row>
    <row r="187" spans="2:48">
      <c r="B187"/>
      <c r="E187" s="19" t="s">
        <v>872</v>
      </c>
      <c r="F187" s="19" t="s">
        <v>780</v>
      </c>
      <c r="G187" s="13" t="s">
        <v>750</v>
      </c>
      <c r="H187" s="13" t="s">
        <v>490</v>
      </c>
      <c r="AQ187" s="16"/>
      <c r="AR187" s="16"/>
      <c r="AS187" s="16"/>
      <c r="AV187" s="16"/>
    </row>
    <row r="188" spans="2:48">
      <c r="B188"/>
      <c r="E188" s="19" t="s">
        <v>872</v>
      </c>
      <c r="F188" s="19" t="s">
        <v>780</v>
      </c>
      <c r="G188" s="13" t="s">
        <v>751</v>
      </c>
      <c r="H188" s="13" t="s">
        <v>490</v>
      </c>
    </row>
    <row r="189" spans="2:48">
      <c r="B189"/>
      <c r="E189" s="19" t="s">
        <v>872</v>
      </c>
      <c r="F189" s="19" t="s">
        <v>780</v>
      </c>
      <c r="G189" s="13" t="s">
        <v>752</v>
      </c>
      <c r="H189" s="13" t="s">
        <v>490</v>
      </c>
    </row>
    <row r="190" spans="2:48">
      <c r="B190"/>
      <c r="E190" s="19" t="s">
        <v>872</v>
      </c>
      <c r="F190" s="19" t="s">
        <v>780</v>
      </c>
      <c r="G190" s="13" t="s">
        <v>753</v>
      </c>
      <c r="H190" s="13" t="s">
        <v>490</v>
      </c>
    </row>
    <row r="191" spans="2:48">
      <c r="B191"/>
      <c r="E191" s="19" t="s">
        <v>872</v>
      </c>
      <c r="F191" s="19" t="s">
        <v>780</v>
      </c>
      <c r="G191" s="13" t="s">
        <v>754</v>
      </c>
      <c r="H191" s="13" t="s">
        <v>490</v>
      </c>
    </row>
    <row r="192" spans="2:48">
      <c r="B192"/>
      <c r="E192" s="19" t="s">
        <v>872</v>
      </c>
      <c r="F192" s="19" t="s">
        <v>780</v>
      </c>
      <c r="G192" s="13" t="s">
        <v>755</v>
      </c>
      <c r="H192" s="13" t="s">
        <v>490</v>
      </c>
    </row>
    <row r="193" spans="2:8">
      <c r="B193"/>
      <c r="E193" s="19" t="s">
        <v>872</v>
      </c>
      <c r="F193" s="19" t="s">
        <v>780</v>
      </c>
      <c r="G193" s="13" t="s">
        <v>756</v>
      </c>
      <c r="H193" s="13" t="s">
        <v>490</v>
      </c>
    </row>
    <row r="194" spans="2:8">
      <c r="B194"/>
      <c r="E194" s="19" t="s">
        <v>872</v>
      </c>
      <c r="F194" s="19" t="s">
        <v>780</v>
      </c>
      <c r="G194" s="13" t="s">
        <v>757</v>
      </c>
      <c r="H194" s="13" t="s">
        <v>490</v>
      </c>
    </row>
    <row r="195" spans="2:8">
      <c r="B195"/>
      <c r="E195" s="19" t="s">
        <v>872</v>
      </c>
      <c r="F195" s="19" t="s">
        <v>780</v>
      </c>
      <c r="G195" s="13" t="s">
        <v>758</v>
      </c>
      <c r="H195" s="13" t="s">
        <v>490</v>
      </c>
    </row>
    <row r="196" spans="2:8">
      <c r="B196"/>
      <c r="E196" s="19" t="s">
        <v>872</v>
      </c>
      <c r="F196" s="19" t="s">
        <v>780</v>
      </c>
      <c r="G196" s="13" t="s">
        <v>759</v>
      </c>
      <c r="H196" s="13" t="s">
        <v>490</v>
      </c>
    </row>
    <row r="197" spans="2:8">
      <c r="B197"/>
      <c r="E197" s="19" t="s">
        <v>872</v>
      </c>
      <c r="F197" s="19" t="s">
        <v>780</v>
      </c>
      <c r="G197" s="13" t="s">
        <v>760</v>
      </c>
      <c r="H197" s="13" t="s">
        <v>490</v>
      </c>
    </row>
    <row r="198" spans="2:8">
      <c r="B198"/>
      <c r="E198" s="19" t="s">
        <v>872</v>
      </c>
      <c r="F198" s="19" t="s">
        <v>780</v>
      </c>
      <c r="G198" s="13" t="s">
        <v>761</v>
      </c>
      <c r="H198" s="13" t="s">
        <v>490</v>
      </c>
    </row>
    <row r="199" spans="2:8">
      <c r="B199"/>
      <c r="E199" s="19" t="s">
        <v>872</v>
      </c>
      <c r="F199" s="19" t="s">
        <v>780</v>
      </c>
      <c r="G199" s="13" t="s">
        <v>762</v>
      </c>
      <c r="H199" s="13" t="s">
        <v>490</v>
      </c>
    </row>
    <row r="200" spans="2:8">
      <c r="B200"/>
      <c r="E200" s="19" t="s">
        <v>872</v>
      </c>
      <c r="F200" s="19" t="s">
        <v>780</v>
      </c>
      <c r="G200" s="13" t="s">
        <v>763</v>
      </c>
      <c r="H200" s="13" t="s">
        <v>490</v>
      </c>
    </row>
    <row r="201" spans="2:8">
      <c r="B201"/>
      <c r="E201" s="19" t="s">
        <v>872</v>
      </c>
      <c r="F201" s="19" t="s">
        <v>780</v>
      </c>
      <c r="G201" s="13" t="s">
        <v>764</v>
      </c>
      <c r="H201" s="13" t="s">
        <v>490</v>
      </c>
    </row>
    <row r="202" spans="2:8">
      <c r="B202"/>
      <c r="E202" s="19" t="s">
        <v>872</v>
      </c>
      <c r="F202" s="19" t="s">
        <v>780</v>
      </c>
      <c r="G202" s="13" t="s">
        <v>765</v>
      </c>
      <c r="H202" s="13" t="s">
        <v>490</v>
      </c>
    </row>
    <row r="203" spans="2:8">
      <c r="B203"/>
      <c r="E203" s="19" t="s">
        <v>872</v>
      </c>
      <c r="F203" s="19" t="s">
        <v>780</v>
      </c>
      <c r="G203" s="13" t="s">
        <v>766</v>
      </c>
      <c r="H203" s="13" t="s">
        <v>490</v>
      </c>
    </row>
    <row r="204" spans="2:8">
      <c r="B204"/>
      <c r="E204" s="18" t="s">
        <v>872</v>
      </c>
      <c r="F204" s="18" t="s">
        <v>798</v>
      </c>
      <c r="G204" s="17" t="s">
        <v>799</v>
      </c>
      <c r="H204" s="17" t="s">
        <v>491</v>
      </c>
    </row>
    <row r="205" spans="2:8">
      <c r="B205"/>
      <c r="E205" s="18" t="s">
        <v>872</v>
      </c>
      <c r="F205" s="18" t="s">
        <v>798</v>
      </c>
      <c r="G205" s="17" t="s">
        <v>800</v>
      </c>
      <c r="H205" s="17" t="s">
        <v>491</v>
      </c>
    </row>
    <row r="206" spans="2:8">
      <c r="B206"/>
      <c r="E206" s="18" t="s">
        <v>872</v>
      </c>
      <c r="F206" s="18" t="s">
        <v>798</v>
      </c>
      <c r="G206" s="17" t="s">
        <v>801</v>
      </c>
      <c r="H206" s="17" t="s">
        <v>491</v>
      </c>
    </row>
    <row r="207" spans="2:8">
      <c r="B207"/>
      <c r="E207" s="18" t="s">
        <v>872</v>
      </c>
      <c r="F207" s="18" t="s">
        <v>798</v>
      </c>
      <c r="G207" s="17" t="s">
        <v>802</v>
      </c>
      <c r="H207" s="17" t="s">
        <v>491</v>
      </c>
    </row>
    <row r="208" spans="2:8">
      <c r="B208"/>
      <c r="E208" s="18" t="s">
        <v>872</v>
      </c>
      <c r="F208" s="18" t="s">
        <v>798</v>
      </c>
      <c r="G208" s="17" t="s">
        <v>803</v>
      </c>
      <c r="H208" s="17" t="s">
        <v>491</v>
      </c>
    </row>
    <row r="209" spans="2:8">
      <c r="B209"/>
      <c r="E209" s="18" t="s">
        <v>872</v>
      </c>
      <c r="F209" s="18" t="s">
        <v>798</v>
      </c>
      <c r="G209" s="14" t="s">
        <v>804</v>
      </c>
      <c r="H209" s="14" t="s">
        <v>492</v>
      </c>
    </row>
    <row r="210" spans="2:8">
      <c r="B210"/>
      <c r="E210" s="18" t="s">
        <v>872</v>
      </c>
      <c r="F210" s="18" t="s">
        <v>798</v>
      </c>
      <c r="G210" s="14" t="s">
        <v>805</v>
      </c>
      <c r="H210" s="14" t="s">
        <v>492</v>
      </c>
    </row>
    <row r="211" spans="2:8">
      <c r="B211"/>
      <c r="E211" s="18" t="s">
        <v>872</v>
      </c>
      <c r="F211" s="18" t="s">
        <v>798</v>
      </c>
      <c r="G211" s="14" t="s">
        <v>806</v>
      </c>
      <c r="H211" s="14" t="s">
        <v>492</v>
      </c>
    </row>
    <row r="212" spans="2:8">
      <c r="B212"/>
      <c r="E212" s="18" t="s">
        <v>872</v>
      </c>
      <c r="F212" s="18" t="s">
        <v>798</v>
      </c>
      <c r="G212" s="14" t="s">
        <v>465</v>
      </c>
      <c r="H212" s="14" t="s">
        <v>492</v>
      </c>
    </row>
    <row r="213" spans="2:8">
      <c r="B213"/>
      <c r="E213" s="18" t="s">
        <v>872</v>
      </c>
      <c r="F213" s="18" t="s">
        <v>798</v>
      </c>
      <c r="G213" s="14" t="s">
        <v>807</v>
      </c>
      <c r="H213" s="14" t="s">
        <v>492</v>
      </c>
    </row>
    <row r="214" spans="2:8">
      <c r="B214"/>
      <c r="E214" s="18" t="s">
        <v>872</v>
      </c>
      <c r="F214" s="18" t="s">
        <v>798</v>
      </c>
      <c r="G214" s="14" t="s">
        <v>808</v>
      </c>
      <c r="H214" s="14" t="s">
        <v>492</v>
      </c>
    </row>
    <row r="215" spans="2:8">
      <c r="B215"/>
      <c r="E215" s="18" t="s">
        <v>872</v>
      </c>
      <c r="F215" s="18" t="s">
        <v>798</v>
      </c>
      <c r="G215" s="14" t="s">
        <v>809</v>
      </c>
      <c r="H215" s="14" t="s">
        <v>492</v>
      </c>
    </row>
    <row r="216" spans="2:8">
      <c r="B216"/>
      <c r="E216" s="18" t="s">
        <v>872</v>
      </c>
      <c r="F216" s="18" t="s">
        <v>798</v>
      </c>
      <c r="G216" s="14" t="s">
        <v>810</v>
      </c>
      <c r="H216" s="14" t="s">
        <v>492</v>
      </c>
    </row>
    <row r="217" spans="2:8">
      <c r="B217"/>
      <c r="E217" s="18" t="s">
        <v>872</v>
      </c>
      <c r="F217" s="18" t="s">
        <v>798</v>
      </c>
      <c r="G217" s="14" t="s">
        <v>811</v>
      </c>
      <c r="H217" s="14" t="s">
        <v>492</v>
      </c>
    </row>
    <row r="218" spans="2:8">
      <c r="B218"/>
      <c r="E218" s="18" t="s">
        <v>872</v>
      </c>
      <c r="F218" s="18" t="s">
        <v>798</v>
      </c>
      <c r="G218" s="14" t="s">
        <v>812</v>
      </c>
      <c r="H218" s="14" t="s">
        <v>492</v>
      </c>
    </row>
    <row r="219" spans="2:8">
      <c r="B219"/>
      <c r="E219" s="18" t="s">
        <v>872</v>
      </c>
      <c r="F219" s="18" t="s">
        <v>798</v>
      </c>
      <c r="G219" s="14" t="s">
        <v>813</v>
      </c>
      <c r="H219" s="14" t="s">
        <v>492</v>
      </c>
    </row>
    <row r="220" spans="2:8">
      <c r="B220"/>
      <c r="E220" s="18" t="s">
        <v>872</v>
      </c>
      <c r="F220" s="18" t="s">
        <v>798</v>
      </c>
      <c r="G220" s="14" t="s">
        <v>814</v>
      </c>
      <c r="H220" s="14" t="s">
        <v>492</v>
      </c>
    </row>
    <row r="221" spans="2:8">
      <c r="B221"/>
      <c r="E221" s="18" t="s">
        <v>872</v>
      </c>
      <c r="F221" s="18" t="s">
        <v>798</v>
      </c>
      <c r="G221" s="14" t="s">
        <v>815</v>
      </c>
      <c r="H221" s="14" t="s">
        <v>492</v>
      </c>
    </row>
    <row r="222" spans="2:8">
      <c r="B222"/>
      <c r="E222" s="18" t="s">
        <v>872</v>
      </c>
      <c r="F222" s="18" t="s">
        <v>798</v>
      </c>
      <c r="G222" s="14" t="s">
        <v>816</v>
      </c>
      <c r="H222" s="14" t="s">
        <v>492</v>
      </c>
    </row>
    <row r="223" spans="2:8">
      <c r="B223"/>
      <c r="E223" s="18" t="s">
        <v>872</v>
      </c>
      <c r="F223" s="18" t="s">
        <v>798</v>
      </c>
      <c r="G223" s="14" t="s">
        <v>817</v>
      </c>
      <c r="H223" s="14" t="s">
        <v>492</v>
      </c>
    </row>
    <row r="224" spans="2:8">
      <c r="B224"/>
      <c r="E224" s="18" t="s">
        <v>872</v>
      </c>
      <c r="F224" s="18" t="s">
        <v>798</v>
      </c>
      <c r="G224" s="14" t="s">
        <v>818</v>
      </c>
      <c r="H224" s="14" t="s">
        <v>492</v>
      </c>
    </row>
    <row r="225" spans="2:8">
      <c r="B225"/>
      <c r="E225" s="18" t="s">
        <v>872</v>
      </c>
      <c r="F225" s="18" t="s">
        <v>798</v>
      </c>
      <c r="G225" s="14" t="s">
        <v>819</v>
      </c>
      <c r="H225" s="14" t="s">
        <v>492</v>
      </c>
    </row>
    <row r="226" spans="2:8">
      <c r="B226"/>
      <c r="E226" s="18" t="s">
        <v>872</v>
      </c>
      <c r="F226" s="18" t="s">
        <v>798</v>
      </c>
      <c r="G226" s="14" t="s">
        <v>820</v>
      </c>
      <c r="H226" s="14" t="s">
        <v>492</v>
      </c>
    </row>
    <row r="227" spans="2:8">
      <c r="B227"/>
      <c r="E227" s="18" t="s">
        <v>872</v>
      </c>
      <c r="F227" s="18" t="s">
        <v>798</v>
      </c>
      <c r="G227" s="14" t="s">
        <v>821</v>
      </c>
      <c r="H227" s="14" t="s">
        <v>492</v>
      </c>
    </row>
    <row r="228" spans="2:8">
      <c r="B228"/>
      <c r="E228" s="18" t="s">
        <v>872</v>
      </c>
      <c r="F228" s="18" t="s">
        <v>798</v>
      </c>
      <c r="G228" s="14" t="s">
        <v>822</v>
      </c>
      <c r="H228" s="14" t="s">
        <v>492</v>
      </c>
    </row>
    <row r="229" spans="2:8">
      <c r="B229"/>
      <c r="E229" s="18" t="s">
        <v>872</v>
      </c>
      <c r="F229" s="18" t="s">
        <v>798</v>
      </c>
      <c r="G229" s="14" t="s">
        <v>823</v>
      </c>
      <c r="H229" s="14" t="s">
        <v>492</v>
      </c>
    </row>
    <row r="230" spans="2:8">
      <c r="B230"/>
      <c r="E230" s="18" t="s">
        <v>872</v>
      </c>
      <c r="F230" s="18" t="s">
        <v>798</v>
      </c>
      <c r="G230" s="14" t="s">
        <v>824</v>
      </c>
      <c r="H230" s="14" t="s">
        <v>492</v>
      </c>
    </row>
    <row r="231" spans="2:8">
      <c r="B231"/>
      <c r="E231" s="18" t="s">
        <v>872</v>
      </c>
      <c r="F231" s="18" t="s">
        <v>798</v>
      </c>
      <c r="G231" s="14" t="s">
        <v>825</v>
      </c>
      <c r="H231" s="14" t="s">
        <v>492</v>
      </c>
    </row>
    <row r="232" spans="2:8">
      <c r="B232"/>
      <c r="E232" s="18" t="s">
        <v>872</v>
      </c>
      <c r="F232" s="18" t="s">
        <v>798</v>
      </c>
      <c r="G232" s="14" t="s">
        <v>826</v>
      </c>
      <c r="H232" s="14" t="s">
        <v>492</v>
      </c>
    </row>
    <row r="233" spans="2:8">
      <c r="B233"/>
      <c r="E233" s="18" t="s">
        <v>872</v>
      </c>
      <c r="F233" s="18" t="s">
        <v>798</v>
      </c>
      <c r="G233" s="14" t="s">
        <v>827</v>
      </c>
      <c r="H233" s="14" t="s">
        <v>492</v>
      </c>
    </row>
    <row r="234" spans="2:8">
      <c r="B234"/>
      <c r="E234" s="18" t="s">
        <v>872</v>
      </c>
      <c r="F234" s="18" t="s">
        <v>798</v>
      </c>
      <c r="G234" s="14" t="s">
        <v>828</v>
      </c>
      <c r="H234" s="14" t="s">
        <v>492</v>
      </c>
    </row>
    <row r="235" spans="2:8">
      <c r="B235"/>
      <c r="E235" s="18" t="s">
        <v>872</v>
      </c>
      <c r="F235" s="18" t="s">
        <v>798</v>
      </c>
      <c r="G235" s="14" t="s">
        <v>829</v>
      </c>
      <c r="H235" s="14" t="s">
        <v>492</v>
      </c>
    </row>
    <row r="236" spans="2:8">
      <c r="B236"/>
      <c r="E236" s="18" t="s">
        <v>872</v>
      </c>
      <c r="F236" s="18" t="s">
        <v>798</v>
      </c>
      <c r="G236" s="14" t="s">
        <v>830</v>
      </c>
      <c r="H236" s="14" t="s">
        <v>492</v>
      </c>
    </row>
    <row r="237" spans="2:8">
      <c r="B237"/>
      <c r="E237" s="18" t="s">
        <v>872</v>
      </c>
      <c r="F237" s="18" t="s">
        <v>798</v>
      </c>
      <c r="G237" s="14" t="s">
        <v>831</v>
      </c>
      <c r="H237" s="14" t="s">
        <v>492</v>
      </c>
    </row>
    <row r="238" spans="2:8">
      <c r="B238"/>
      <c r="E238" s="18" t="s">
        <v>872</v>
      </c>
      <c r="F238" s="18" t="s">
        <v>798</v>
      </c>
      <c r="G238" s="14" t="s">
        <v>832</v>
      </c>
      <c r="H238" s="14" t="s">
        <v>492</v>
      </c>
    </row>
    <row r="239" spans="2:8">
      <c r="B239"/>
      <c r="E239" s="18" t="s">
        <v>872</v>
      </c>
      <c r="F239" s="18" t="s">
        <v>798</v>
      </c>
      <c r="G239" s="14" t="s">
        <v>833</v>
      </c>
      <c r="H239" s="14" t="s">
        <v>492</v>
      </c>
    </row>
    <row r="240" spans="2:8">
      <c r="B240"/>
      <c r="E240" s="18" t="s">
        <v>872</v>
      </c>
      <c r="F240" s="18" t="s">
        <v>798</v>
      </c>
      <c r="G240" s="14" t="s">
        <v>834</v>
      </c>
      <c r="H240" s="14" t="s">
        <v>492</v>
      </c>
    </row>
    <row r="241" spans="2:8">
      <c r="B241"/>
      <c r="E241" s="18" t="s">
        <v>872</v>
      </c>
      <c r="F241" s="18" t="s">
        <v>798</v>
      </c>
      <c r="G241" s="14" t="s">
        <v>835</v>
      </c>
      <c r="H241" s="14" t="s">
        <v>492</v>
      </c>
    </row>
    <row r="242" spans="2:8">
      <c r="B242"/>
      <c r="E242" s="18" t="s">
        <v>872</v>
      </c>
      <c r="F242" s="18" t="s">
        <v>798</v>
      </c>
      <c r="G242" s="14" t="s">
        <v>836</v>
      </c>
      <c r="H242" s="14" t="s">
        <v>492</v>
      </c>
    </row>
    <row r="243" spans="2:8">
      <c r="B243"/>
      <c r="E243" s="18" t="s">
        <v>872</v>
      </c>
      <c r="F243" s="18" t="s">
        <v>798</v>
      </c>
      <c r="G243" s="14" t="s">
        <v>837</v>
      </c>
      <c r="H243" s="14" t="s">
        <v>492</v>
      </c>
    </row>
    <row r="244" spans="2:8">
      <c r="B244"/>
      <c r="E244" s="18" t="s">
        <v>872</v>
      </c>
      <c r="F244" s="18" t="s">
        <v>798</v>
      </c>
      <c r="G244" s="14" t="s">
        <v>838</v>
      </c>
      <c r="H244" s="14" t="s">
        <v>492</v>
      </c>
    </row>
    <row r="245" spans="2:8">
      <c r="B245"/>
      <c r="E245" s="18" t="s">
        <v>872</v>
      </c>
      <c r="F245" s="18" t="s">
        <v>798</v>
      </c>
      <c r="G245" s="14" t="s">
        <v>839</v>
      </c>
      <c r="H245" s="14" t="s">
        <v>492</v>
      </c>
    </row>
    <row r="246" spans="2:8">
      <c r="B246"/>
      <c r="E246" s="19" t="s">
        <v>872</v>
      </c>
      <c r="F246" s="19" t="s">
        <v>597</v>
      </c>
      <c r="G246" s="17" t="s">
        <v>589</v>
      </c>
      <c r="H246" s="17" t="s">
        <v>491</v>
      </c>
    </row>
    <row r="247" spans="2:8">
      <c r="B247"/>
      <c r="E247" s="19" t="s">
        <v>872</v>
      </c>
      <c r="F247" s="19" t="s">
        <v>597</v>
      </c>
      <c r="G247" s="17" t="s">
        <v>590</v>
      </c>
      <c r="H247" s="17" t="s">
        <v>491</v>
      </c>
    </row>
    <row r="248" spans="2:8">
      <c r="B248"/>
      <c r="E248" s="19" t="s">
        <v>872</v>
      </c>
      <c r="F248" s="19" t="s">
        <v>597</v>
      </c>
      <c r="G248" s="17" t="s">
        <v>591</v>
      </c>
      <c r="H248" s="17" t="s">
        <v>491</v>
      </c>
    </row>
    <row r="249" spans="2:8">
      <c r="B249"/>
      <c r="E249" s="19" t="s">
        <v>872</v>
      </c>
      <c r="F249" s="19" t="s">
        <v>597</v>
      </c>
      <c r="G249" s="17" t="s">
        <v>462</v>
      </c>
      <c r="H249" s="17" t="s">
        <v>491</v>
      </c>
    </row>
    <row r="250" spans="2:8">
      <c r="B250"/>
      <c r="E250" s="19" t="s">
        <v>872</v>
      </c>
      <c r="F250" s="19" t="s">
        <v>597</v>
      </c>
      <c r="G250" s="17" t="s">
        <v>592</v>
      </c>
      <c r="H250" s="17" t="s">
        <v>491</v>
      </c>
    </row>
    <row r="251" spans="2:8">
      <c r="B251"/>
      <c r="E251" s="19" t="s">
        <v>872</v>
      </c>
      <c r="F251" s="19" t="s">
        <v>597</v>
      </c>
      <c r="G251" s="17" t="s">
        <v>593</v>
      </c>
      <c r="H251" s="17" t="s">
        <v>491</v>
      </c>
    </row>
    <row r="252" spans="2:8">
      <c r="B252"/>
      <c r="E252" s="19" t="s">
        <v>872</v>
      </c>
      <c r="F252" s="19" t="s">
        <v>597</v>
      </c>
      <c r="G252" s="17" t="s">
        <v>594</v>
      </c>
      <c r="H252" s="17" t="s">
        <v>491</v>
      </c>
    </row>
    <row r="253" spans="2:8">
      <c r="B253"/>
      <c r="E253" s="19" t="s">
        <v>872</v>
      </c>
      <c r="F253" s="19" t="s">
        <v>597</v>
      </c>
      <c r="G253" s="17" t="s">
        <v>595</v>
      </c>
      <c r="H253" s="17" t="s">
        <v>491</v>
      </c>
    </row>
    <row r="254" spans="2:8">
      <c r="B254"/>
      <c r="E254" s="19" t="s">
        <v>872</v>
      </c>
      <c r="F254" s="19" t="s">
        <v>597</v>
      </c>
      <c r="G254" s="17" t="s">
        <v>596</v>
      </c>
      <c r="H254" s="17" t="s">
        <v>491</v>
      </c>
    </row>
    <row r="255" spans="2:8">
      <c r="B255"/>
      <c r="E255" s="19" t="s">
        <v>872</v>
      </c>
      <c r="F255" s="19" t="s">
        <v>597</v>
      </c>
      <c r="G255" s="14" t="s">
        <v>565</v>
      </c>
      <c r="H255" s="14" t="s">
        <v>492</v>
      </c>
    </row>
    <row r="256" spans="2:8">
      <c r="B256"/>
      <c r="E256" s="19" t="s">
        <v>872</v>
      </c>
      <c r="F256" s="19" t="s">
        <v>597</v>
      </c>
      <c r="G256" s="14" t="s">
        <v>566</v>
      </c>
      <c r="H256" s="14" t="s">
        <v>492</v>
      </c>
    </row>
    <row r="257" spans="2:8">
      <c r="B257"/>
      <c r="E257" s="19" t="s">
        <v>872</v>
      </c>
      <c r="F257" s="19" t="s">
        <v>597</v>
      </c>
      <c r="G257" s="14" t="s">
        <v>567</v>
      </c>
      <c r="H257" s="14" t="s">
        <v>492</v>
      </c>
    </row>
    <row r="258" spans="2:8">
      <c r="B258"/>
      <c r="E258" s="19" t="s">
        <v>872</v>
      </c>
      <c r="F258" s="19" t="s">
        <v>597</v>
      </c>
      <c r="G258" s="14" t="s">
        <v>568</v>
      </c>
      <c r="H258" s="14" t="s">
        <v>492</v>
      </c>
    </row>
    <row r="259" spans="2:8">
      <c r="B259"/>
      <c r="E259" s="19" t="s">
        <v>872</v>
      </c>
      <c r="F259" s="19" t="s">
        <v>597</v>
      </c>
      <c r="G259" s="14" t="s">
        <v>569</v>
      </c>
      <c r="H259" s="14" t="s">
        <v>492</v>
      </c>
    </row>
    <row r="260" spans="2:8">
      <c r="B260"/>
      <c r="E260" s="19" t="s">
        <v>872</v>
      </c>
      <c r="F260" s="19" t="s">
        <v>597</v>
      </c>
      <c r="G260" s="14" t="s">
        <v>570</v>
      </c>
      <c r="H260" s="14" t="s">
        <v>492</v>
      </c>
    </row>
    <row r="261" spans="2:8">
      <c r="B261"/>
      <c r="E261" s="19" t="s">
        <v>872</v>
      </c>
      <c r="F261" s="19" t="s">
        <v>597</v>
      </c>
      <c r="G261" s="14" t="s">
        <v>571</v>
      </c>
      <c r="H261" s="14" t="s">
        <v>492</v>
      </c>
    </row>
    <row r="262" spans="2:8">
      <c r="B262"/>
      <c r="E262" s="19" t="s">
        <v>872</v>
      </c>
      <c r="F262" s="19" t="s">
        <v>597</v>
      </c>
      <c r="G262" s="14" t="s">
        <v>572</v>
      </c>
      <c r="H262" s="14" t="s">
        <v>492</v>
      </c>
    </row>
    <row r="263" spans="2:8">
      <c r="B263"/>
      <c r="E263" s="19" t="s">
        <v>872</v>
      </c>
      <c r="F263" s="19" t="s">
        <v>597</v>
      </c>
      <c r="G263" s="14" t="s">
        <v>573</v>
      </c>
      <c r="H263" s="14" t="s">
        <v>492</v>
      </c>
    </row>
    <row r="264" spans="2:8">
      <c r="B264"/>
      <c r="E264" s="19" t="s">
        <v>872</v>
      </c>
      <c r="F264" s="19" t="s">
        <v>597</v>
      </c>
      <c r="G264" s="14" t="s">
        <v>574</v>
      </c>
      <c r="H264" s="14" t="s">
        <v>492</v>
      </c>
    </row>
    <row r="265" spans="2:8">
      <c r="B265"/>
      <c r="E265" s="19" t="s">
        <v>872</v>
      </c>
      <c r="F265" s="19" t="s">
        <v>597</v>
      </c>
      <c r="G265" s="14" t="s">
        <v>575</v>
      </c>
      <c r="H265" s="14" t="s">
        <v>492</v>
      </c>
    </row>
    <row r="266" spans="2:8">
      <c r="B266"/>
      <c r="E266" s="19" t="s">
        <v>872</v>
      </c>
      <c r="F266" s="19" t="s">
        <v>597</v>
      </c>
      <c r="G266" s="14" t="s">
        <v>576</v>
      </c>
      <c r="H266" s="14" t="s">
        <v>492</v>
      </c>
    </row>
    <row r="267" spans="2:8">
      <c r="B267"/>
      <c r="E267" s="19" t="s">
        <v>872</v>
      </c>
      <c r="F267" s="19" t="s">
        <v>597</v>
      </c>
      <c r="G267" s="14" t="s">
        <v>577</v>
      </c>
      <c r="H267" s="14" t="s">
        <v>492</v>
      </c>
    </row>
    <row r="268" spans="2:8">
      <c r="B268"/>
      <c r="E268" s="19" t="s">
        <v>872</v>
      </c>
      <c r="F268" s="19" t="s">
        <v>597</v>
      </c>
      <c r="G268" s="14" t="s">
        <v>578</v>
      </c>
      <c r="H268" s="14" t="s">
        <v>492</v>
      </c>
    </row>
    <row r="269" spans="2:8">
      <c r="B269"/>
      <c r="E269" s="19" t="s">
        <v>872</v>
      </c>
      <c r="F269" s="19" t="s">
        <v>597</v>
      </c>
      <c r="G269" s="14" t="s">
        <v>579</v>
      </c>
      <c r="H269" s="14" t="s">
        <v>492</v>
      </c>
    </row>
    <row r="270" spans="2:8">
      <c r="B270"/>
      <c r="E270" s="19" t="s">
        <v>872</v>
      </c>
      <c r="F270" s="19" t="s">
        <v>597</v>
      </c>
      <c r="G270" s="14" t="s">
        <v>580</v>
      </c>
      <c r="H270" s="14" t="s">
        <v>492</v>
      </c>
    </row>
    <row r="271" spans="2:8">
      <c r="B271"/>
      <c r="E271" s="19" t="s">
        <v>872</v>
      </c>
      <c r="F271" s="19" t="s">
        <v>597</v>
      </c>
      <c r="G271" s="14" t="s">
        <v>581</v>
      </c>
      <c r="H271" s="14" t="s">
        <v>492</v>
      </c>
    </row>
    <row r="272" spans="2:8">
      <c r="B272"/>
      <c r="E272" s="19" t="s">
        <v>872</v>
      </c>
      <c r="F272" s="19" t="s">
        <v>597</v>
      </c>
      <c r="G272" s="14" t="s">
        <v>582</v>
      </c>
      <c r="H272" s="14" t="s">
        <v>492</v>
      </c>
    </row>
    <row r="273" spans="2:8">
      <c r="B273"/>
      <c r="E273" s="19" t="s">
        <v>872</v>
      </c>
      <c r="F273" s="19" t="s">
        <v>597</v>
      </c>
      <c r="G273" s="14" t="s">
        <v>583</v>
      </c>
      <c r="H273" s="14" t="s">
        <v>492</v>
      </c>
    </row>
    <row r="274" spans="2:8">
      <c r="B274"/>
      <c r="E274" s="19" t="s">
        <v>872</v>
      </c>
      <c r="F274" s="19" t="s">
        <v>597</v>
      </c>
      <c r="G274" s="14" t="s">
        <v>584</v>
      </c>
      <c r="H274" s="14" t="s">
        <v>492</v>
      </c>
    </row>
    <row r="275" spans="2:8">
      <c r="B275"/>
      <c r="E275" s="19" t="s">
        <v>872</v>
      </c>
      <c r="F275" s="19" t="s">
        <v>597</v>
      </c>
      <c r="G275" s="14" t="s">
        <v>585</v>
      </c>
      <c r="H275" s="14" t="s">
        <v>492</v>
      </c>
    </row>
    <row r="276" spans="2:8">
      <c r="B276"/>
      <c r="E276" s="19" t="s">
        <v>872</v>
      </c>
      <c r="F276" s="19" t="s">
        <v>597</v>
      </c>
      <c r="G276" s="14" t="s">
        <v>586</v>
      </c>
      <c r="H276" s="14" t="s">
        <v>492</v>
      </c>
    </row>
    <row r="277" spans="2:8">
      <c r="B277"/>
      <c r="E277" s="19" t="s">
        <v>872</v>
      </c>
      <c r="F277" s="19" t="s">
        <v>597</v>
      </c>
      <c r="G277" s="14" t="s">
        <v>587</v>
      </c>
      <c r="H277" s="14" t="s">
        <v>492</v>
      </c>
    </row>
    <row r="278" spans="2:8">
      <c r="B278"/>
      <c r="E278" s="19" t="s">
        <v>872</v>
      </c>
      <c r="F278" s="19" t="s">
        <v>597</v>
      </c>
      <c r="G278" s="14" t="s">
        <v>588</v>
      </c>
      <c r="H278" s="14" t="s">
        <v>492</v>
      </c>
    </row>
    <row r="279" spans="2:8">
      <c r="B279"/>
      <c r="E279" s="18" t="s">
        <v>871</v>
      </c>
      <c r="F279" s="18" t="s">
        <v>429</v>
      </c>
      <c r="G279" s="14" t="s">
        <v>840</v>
      </c>
      <c r="H279" s="14" t="s">
        <v>492</v>
      </c>
    </row>
    <row r="280" spans="2:8">
      <c r="B280"/>
      <c r="E280" s="18" t="s">
        <v>871</v>
      </c>
      <c r="F280" s="18" t="s">
        <v>429</v>
      </c>
      <c r="G280" s="14" t="s">
        <v>841</v>
      </c>
      <c r="H280" s="14" t="s">
        <v>492</v>
      </c>
    </row>
    <row r="281" spans="2:8">
      <c r="B281"/>
      <c r="E281" s="18" t="s">
        <v>871</v>
      </c>
      <c r="F281" s="18" t="s">
        <v>429</v>
      </c>
      <c r="G281" s="14" t="s">
        <v>842</v>
      </c>
      <c r="H281" s="14" t="s">
        <v>492</v>
      </c>
    </row>
    <row r="282" spans="2:8">
      <c r="B282"/>
      <c r="E282" s="18" t="s">
        <v>871</v>
      </c>
      <c r="F282" s="18" t="s">
        <v>429</v>
      </c>
      <c r="G282" s="13" t="s">
        <v>843</v>
      </c>
      <c r="H282" s="13" t="s">
        <v>490</v>
      </c>
    </row>
    <row r="283" spans="2:8">
      <c r="B283"/>
      <c r="E283" s="18" t="s">
        <v>871</v>
      </c>
      <c r="F283" s="18" t="s">
        <v>429</v>
      </c>
      <c r="G283" s="13" t="s">
        <v>844</v>
      </c>
      <c r="H283" s="13" t="s">
        <v>490</v>
      </c>
    </row>
    <row r="284" spans="2:8">
      <c r="B284"/>
      <c r="E284" s="18" t="s">
        <v>871</v>
      </c>
      <c r="F284" s="18" t="s">
        <v>429</v>
      </c>
      <c r="G284" s="13" t="s">
        <v>845</v>
      </c>
      <c r="H284" s="13" t="s">
        <v>490</v>
      </c>
    </row>
    <row r="285" spans="2:8">
      <c r="B285"/>
      <c r="E285" s="18" t="s">
        <v>871</v>
      </c>
      <c r="F285" s="18" t="s">
        <v>429</v>
      </c>
      <c r="G285" s="13" t="s">
        <v>846</v>
      </c>
      <c r="H285" s="13" t="s">
        <v>490</v>
      </c>
    </row>
    <row r="286" spans="2:8">
      <c r="B286"/>
      <c r="E286" s="18" t="s">
        <v>871</v>
      </c>
      <c r="F286" s="18" t="s">
        <v>429</v>
      </c>
      <c r="G286" s="13" t="s">
        <v>847</v>
      </c>
      <c r="H286" s="13" t="s">
        <v>490</v>
      </c>
    </row>
    <row r="287" spans="2:8">
      <c r="B287"/>
      <c r="E287" s="18" t="s">
        <v>871</v>
      </c>
      <c r="F287" s="18" t="s">
        <v>429</v>
      </c>
      <c r="G287" s="13" t="s">
        <v>848</v>
      </c>
      <c r="H287" s="13" t="s">
        <v>490</v>
      </c>
    </row>
    <row r="288" spans="2:8">
      <c r="B288"/>
      <c r="E288" s="18" t="s">
        <v>871</v>
      </c>
      <c r="F288" s="18" t="s">
        <v>429</v>
      </c>
      <c r="G288" s="13" t="s">
        <v>849</v>
      </c>
      <c r="H288" s="13" t="s">
        <v>490</v>
      </c>
    </row>
    <row r="289" spans="2:8">
      <c r="B289"/>
      <c r="E289" s="18" t="s">
        <v>871</v>
      </c>
      <c r="F289" s="18" t="s">
        <v>429</v>
      </c>
      <c r="G289" s="13" t="s">
        <v>850</v>
      </c>
      <c r="H289" s="13" t="s">
        <v>490</v>
      </c>
    </row>
    <row r="290" spans="2:8">
      <c r="B290"/>
      <c r="E290" s="18" t="s">
        <v>871</v>
      </c>
      <c r="F290" s="18" t="s">
        <v>429</v>
      </c>
      <c r="G290" s="13" t="s">
        <v>851</v>
      </c>
      <c r="H290" s="13" t="s">
        <v>490</v>
      </c>
    </row>
    <row r="291" spans="2:8">
      <c r="B291"/>
      <c r="E291" s="18" t="s">
        <v>871</v>
      </c>
      <c r="F291" s="18" t="s">
        <v>429</v>
      </c>
      <c r="G291" s="13" t="s">
        <v>852</v>
      </c>
      <c r="H291" s="13" t="s">
        <v>490</v>
      </c>
    </row>
    <row r="292" spans="2:8">
      <c r="B292"/>
      <c r="E292" s="18" t="s">
        <v>871</v>
      </c>
      <c r="F292" s="18" t="s">
        <v>429</v>
      </c>
      <c r="G292" s="13" t="s">
        <v>853</v>
      </c>
      <c r="H292" s="13" t="s">
        <v>490</v>
      </c>
    </row>
    <row r="293" spans="2:8">
      <c r="B293"/>
      <c r="E293" s="18" t="s">
        <v>871</v>
      </c>
      <c r="F293" s="18" t="s">
        <v>429</v>
      </c>
      <c r="G293" s="13" t="s">
        <v>854</v>
      </c>
      <c r="H293" s="13" t="s">
        <v>490</v>
      </c>
    </row>
    <row r="294" spans="2:8">
      <c r="B294"/>
      <c r="E294" s="18" t="s">
        <v>871</v>
      </c>
      <c r="F294" s="18" t="s">
        <v>429</v>
      </c>
      <c r="G294" s="13" t="s">
        <v>855</v>
      </c>
      <c r="H294" s="13" t="s">
        <v>490</v>
      </c>
    </row>
    <row r="295" spans="2:8">
      <c r="B295"/>
      <c r="E295" s="18" t="s">
        <v>871</v>
      </c>
      <c r="F295" s="18" t="s">
        <v>429</v>
      </c>
      <c r="G295" s="13" t="s">
        <v>856</v>
      </c>
      <c r="H295" s="13" t="s">
        <v>490</v>
      </c>
    </row>
    <row r="296" spans="2:8">
      <c r="B296"/>
      <c r="E296" s="18" t="s">
        <v>871</v>
      </c>
      <c r="F296" s="18" t="s">
        <v>429</v>
      </c>
      <c r="G296" s="13" t="s">
        <v>857</v>
      </c>
      <c r="H296" s="13" t="s">
        <v>490</v>
      </c>
    </row>
    <row r="297" spans="2:8">
      <c r="B297"/>
      <c r="E297" s="18" t="s">
        <v>871</v>
      </c>
      <c r="F297" s="18" t="s">
        <v>429</v>
      </c>
      <c r="G297" s="13" t="s">
        <v>858</v>
      </c>
      <c r="H297" s="13" t="s">
        <v>490</v>
      </c>
    </row>
    <row r="298" spans="2:8">
      <c r="B298"/>
      <c r="E298" s="18" t="s">
        <v>871</v>
      </c>
      <c r="F298" s="18" t="s">
        <v>429</v>
      </c>
      <c r="G298" s="13" t="s">
        <v>859</v>
      </c>
      <c r="H298" s="13" t="s">
        <v>490</v>
      </c>
    </row>
    <row r="299" spans="2:8">
      <c r="B299"/>
      <c r="E299" s="18" t="s">
        <v>871</v>
      </c>
      <c r="F299" s="18" t="s">
        <v>429</v>
      </c>
      <c r="G299" s="13" t="s">
        <v>860</v>
      </c>
      <c r="H299" s="13" t="s">
        <v>490</v>
      </c>
    </row>
    <row r="300" spans="2:8">
      <c r="B300"/>
      <c r="E300" s="18" t="s">
        <v>871</v>
      </c>
      <c r="F300" s="18" t="s">
        <v>429</v>
      </c>
      <c r="G300" s="13" t="s">
        <v>861</v>
      </c>
      <c r="H300" s="13" t="s">
        <v>490</v>
      </c>
    </row>
    <row r="301" spans="2:8">
      <c r="B301"/>
      <c r="E301" s="18" t="s">
        <v>871</v>
      </c>
      <c r="F301" s="18" t="s">
        <v>429</v>
      </c>
      <c r="G301" s="13" t="s">
        <v>862</v>
      </c>
      <c r="H301" s="13" t="s">
        <v>490</v>
      </c>
    </row>
    <row r="302" spans="2:8">
      <c r="B302"/>
      <c r="E302" s="18" t="s">
        <v>871</v>
      </c>
      <c r="F302" s="18" t="s">
        <v>429</v>
      </c>
      <c r="G302" s="13" t="s">
        <v>863</v>
      </c>
      <c r="H302" s="13" t="s">
        <v>490</v>
      </c>
    </row>
    <row r="303" spans="2:8">
      <c r="B303"/>
      <c r="E303" s="18" t="s">
        <v>871</v>
      </c>
      <c r="F303" s="18" t="s">
        <v>429</v>
      </c>
      <c r="G303" s="13" t="s">
        <v>864</v>
      </c>
      <c r="H303" s="13" t="s">
        <v>490</v>
      </c>
    </row>
    <row r="304" spans="2:8">
      <c r="B304"/>
      <c r="E304" s="18" t="s">
        <v>871</v>
      </c>
      <c r="F304" s="18" t="s">
        <v>429</v>
      </c>
      <c r="G304" s="13" t="s">
        <v>865</v>
      </c>
      <c r="H304" s="13" t="s">
        <v>490</v>
      </c>
    </row>
    <row r="305" spans="2:8">
      <c r="B305"/>
      <c r="E305" s="18" t="s">
        <v>871</v>
      </c>
      <c r="F305" s="18" t="s">
        <v>429</v>
      </c>
      <c r="G305" s="13" t="s">
        <v>866</v>
      </c>
      <c r="H305" s="13" t="s">
        <v>490</v>
      </c>
    </row>
    <row r="306" spans="2:8">
      <c r="B306"/>
      <c r="E306" s="18" t="s">
        <v>871</v>
      </c>
      <c r="F306" s="18" t="s">
        <v>429</v>
      </c>
      <c r="G306" s="13" t="s">
        <v>867</v>
      </c>
      <c r="H306" s="13" t="s">
        <v>490</v>
      </c>
    </row>
    <row r="307" spans="2:8">
      <c r="B307"/>
      <c r="E307" s="18" t="s">
        <v>871</v>
      </c>
      <c r="F307" s="18" t="s">
        <v>429</v>
      </c>
      <c r="G307" s="13" t="s">
        <v>868</v>
      </c>
      <c r="H307" s="13" t="s">
        <v>490</v>
      </c>
    </row>
    <row r="308" spans="2:8">
      <c r="B308"/>
      <c r="E308" s="18" t="s">
        <v>871</v>
      </c>
      <c r="F308" s="18" t="s">
        <v>429</v>
      </c>
      <c r="G308" s="13" t="s">
        <v>869</v>
      </c>
      <c r="H308" s="13" t="s">
        <v>490</v>
      </c>
    </row>
    <row r="309" spans="2:8">
      <c r="B309"/>
      <c r="E309" s="18" t="s">
        <v>871</v>
      </c>
      <c r="F309" s="18" t="s">
        <v>429</v>
      </c>
      <c r="G309" s="13" t="s">
        <v>870</v>
      </c>
      <c r="H309" s="13" t="s">
        <v>490</v>
      </c>
    </row>
    <row r="310" spans="2:8">
      <c r="B310"/>
      <c r="E310" s="25" t="s">
        <v>871</v>
      </c>
      <c r="F310" s="25" t="s">
        <v>26</v>
      </c>
      <c r="G310" s="13" t="s">
        <v>781</v>
      </c>
      <c r="H310" s="13" t="s">
        <v>490</v>
      </c>
    </row>
    <row r="311" spans="2:8">
      <c r="B311"/>
      <c r="E311" s="25" t="s">
        <v>871</v>
      </c>
      <c r="F311" s="25" t="s">
        <v>26</v>
      </c>
      <c r="G311" s="13" t="s">
        <v>782</v>
      </c>
      <c r="H311" s="13" t="s">
        <v>490</v>
      </c>
    </row>
    <row r="312" spans="2:8">
      <c r="B312"/>
      <c r="E312" s="25" t="s">
        <v>871</v>
      </c>
      <c r="F312" s="25" t="s">
        <v>26</v>
      </c>
      <c r="G312" s="13" t="s">
        <v>783</v>
      </c>
      <c r="H312" s="13" t="s">
        <v>490</v>
      </c>
    </row>
    <row r="313" spans="2:8">
      <c r="B313"/>
      <c r="E313" s="25" t="s">
        <v>871</v>
      </c>
      <c r="F313" s="25" t="s">
        <v>26</v>
      </c>
      <c r="G313" s="13" t="s">
        <v>784</v>
      </c>
      <c r="H313" s="13" t="s">
        <v>490</v>
      </c>
    </row>
    <row r="314" spans="2:8">
      <c r="B314"/>
      <c r="E314" s="25" t="s">
        <v>871</v>
      </c>
      <c r="F314" s="25" t="s">
        <v>26</v>
      </c>
      <c r="G314" s="13" t="s">
        <v>785</v>
      </c>
      <c r="H314" s="13" t="s">
        <v>490</v>
      </c>
    </row>
    <row r="315" spans="2:8">
      <c r="B315"/>
      <c r="E315" s="25" t="s">
        <v>871</v>
      </c>
      <c r="F315" s="25" t="s">
        <v>26</v>
      </c>
      <c r="G315" s="13" t="s">
        <v>786</v>
      </c>
      <c r="H315" s="13" t="s">
        <v>490</v>
      </c>
    </row>
    <row r="316" spans="2:8">
      <c r="B316"/>
      <c r="E316" s="25" t="s">
        <v>871</v>
      </c>
      <c r="F316" s="25" t="s">
        <v>26</v>
      </c>
      <c r="G316" s="13" t="s">
        <v>787</v>
      </c>
      <c r="H316" s="13" t="s">
        <v>490</v>
      </c>
    </row>
    <row r="317" spans="2:8">
      <c r="B317"/>
      <c r="E317" s="25" t="s">
        <v>871</v>
      </c>
      <c r="F317" s="25" t="s">
        <v>26</v>
      </c>
      <c r="G317" s="13" t="s">
        <v>788</v>
      </c>
      <c r="H317" s="13" t="s">
        <v>490</v>
      </c>
    </row>
    <row r="318" spans="2:8">
      <c r="B318"/>
      <c r="E318" s="25" t="s">
        <v>871</v>
      </c>
      <c r="F318" s="25" t="s">
        <v>26</v>
      </c>
      <c r="G318" s="13" t="s">
        <v>789</v>
      </c>
      <c r="H318" s="13" t="s">
        <v>490</v>
      </c>
    </row>
    <row r="319" spans="2:8">
      <c r="B319"/>
      <c r="E319" s="25" t="s">
        <v>871</v>
      </c>
      <c r="F319" s="25" t="s">
        <v>26</v>
      </c>
      <c r="G319" s="13" t="s">
        <v>790</v>
      </c>
      <c r="H319" s="13" t="s">
        <v>490</v>
      </c>
    </row>
    <row r="320" spans="2:8">
      <c r="B320"/>
      <c r="E320" s="25" t="s">
        <v>871</v>
      </c>
      <c r="F320" s="25" t="s">
        <v>26</v>
      </c>
      <c r="G320" s="13" t="s">
        <v>791</v>
      </c>
      <c r="H320" s="13" t="s">
        <v>490</v>
      </c>
    </row>
    <row r="321" spans="2:8">
      <c r="B321"/>
      <c r="E321" s="25" t="s">
        <v>871</v>
      </c>
      <c r="F321" s="25" t="s">
        <v>26</v>
      </c>
      <c r="G321" s="13" t="s">
        <v>792</v>
      </c>
      <c r="H321" s="13" t="s">
        <v>490</v>
      </c>
    </row>
    <row r="322" spans="2:8">
      <c r="B322"/>
      <c r="E322" s="25" t="s">
        <v>871</v>
      </c>
      <c r="F322" s="25" t="s">
        <v>26</v>
      </c>
      <c r="G322" s="13" t="s">
        <v>793</v>
      </c>
      <c r="H322" s="13" t="s">
        <v>490</v>
      </c>
    </row>
    <row r="323" spans="2:8">
      <c r="B323"/>
      <c r="E323" s="25" t="s">
        <v>871</v>
      </c>
      <c r="F323" s="25" t="s">
        <v>26</v>
      </c>
      <c r="G323" s="13" t="s">
        <v>794</v>
      </c>
      <c r="H323" s="13" t="s">
        <v>490</v>
      </c>
    </row>
    <row r="324" spans="2:8">
      <c r="B324"/>
      <c r="E324" s="25" t="s">
        <v>871</v>
      </c>
      <c r="F324" s="25" t="s">
        <v>26</v>
      </c>
      <c r="G324" s="13" t="s">
        <v>795</v>
      </c>
      <c r="H324" s="13" t="s">
        <v>490</v>
      </c>
    </row>
    <row r="325" spans="2:8">
      <c r="B325"/>
      <c r="E325" s="25" t="s">
        <v>871</v>
      </c>
      <c r="F325" s="25" t="s">
        <v>26</v>
      </c>
      <c r="G325" s="13" t="s">
        <v>796</v>
      </c>
      <c r="H325" s="13" t="s">
        <v>490</v>
      </c>
    </row>
    <row r="326" spans="2:8">
      <c r="B326"/>
      <c r="E326" s="25" t="s">
        <v>871</v>
      </c>
      <c r="F326" s="25" t="s">
        <v>26</v>
      </c>
      <c r="G326" s="13" t="s">
        <v>797</v>
      </c>
      <c r="H326" s="13" t="s">
        <v>490</v>
      </c>
    </row>
    <row r="327" spans="2:8">
      <c r="B327"/>
      <c r="E327" s="26" t="s">
        <v>871</v>
      </c>
      <c r="F327" s="26" t="s">
        <v>27</v>
      </c>
      <c r="G327" s="13" t="s">
        <v>605</v>
      </c>
      <c r="H327" s="13" t="s">
        <v>490</v>
      </c>
    </row>
    <row r="328" spans="2:8">
      <c r="B328"/>
      <c r="E328" s="26" t="s">
        <v>871</v>
      </c>
      <c r="F328" s="26" t="s">
        <v>27</v>
      </c>
      <c r="G328" s="13" t="s">
        <v>606</v>
      </c>
      <c r="H328" s="13" t="s">
        <v>490</v>
      </c>
    </row>
    <row r="329" spans="2:8">
      <c r="B329"/>
      <c r="E329" s="26" t="s">
        <v>871</v>
      </c>
      <c r="F329" s="26" t="s">
        <v>27</v>
      </c>
      <c r="G329" s="13" t="s">
        <v>607</v>
      </c>
      <c r="H329" s="13" t="s">
        <v>490</v>
      </c>
    </row>
    <row r="330" spans="2:8">
      <c r="B330"/>
      <c r="E330" s="26" t="s">
        <v>871</v>
      </c>
      <c r="F330" s="26" t="s">
        <v>27</v>
      </c>
      <c r="G330" s="13" t="s">
        <v>608</v>
      </c>
      <c r="H330" s="13" t="s">
        <v>490</v>
      </c>
    </row>
    <row r="331" spans="2:8">
      <c r="B331"/>
      <c r="E331" s="26" t="s">
        <v>871</v>
      </c>
      <c r="F331" s="26" t="s">
        <v>27</v>
      </c>
      <c r="G331" s="13" t="s">
        <v>609</v>
      </c>
      <c r="H331" s="13" t="s">
        <v>490</v>
      </c>
    </row>
    <row r="332" spans="2:8">
      <c r="B332"/>
      <c r="E332" s="26" t="s">
        <v>871</v>
      </c>
      <c r="F332" s="26" t="s">
        <v>27</v>
      </c>
      <c r="G332" s="13" t="s">
        <v>610</v>
      </c>
      <c r="H332" s="13" t="s">
        <v>490</v>
      </c>
    </row>
    <row r="333" spans="2:8">
      <c r="B333"/>
      <c r="E333" s="26" t="s">
        <v>871</v>
      </c>
      <c r="F333" s="26" t="s">
        <v>27</v>
      </c>
      <c r="G333" s="13" t="s">
        <v>611</v>
      </c>
      <c r="H333" s="13" t="s">
        <v>490</v>
      </c>
    </row>
    <row r="334" spans="2:8">
      <c r="B334"/>
      <c r="E334" s="26" t="s">
        <v>871</v>
      </c>
      <c r="F334" s="26" t="s">
        <v>27</v>
      </c>
      <c r="G334" s="13" t="s">
        <v>612</v>
      </c>
      <c r="H334" s="13" t="s">
        <v>490</v>
      </c>
    </row>
    <row r="335" spans="2:8">
      <c r="B335"/>
      <c r="E335" s="26" t="s">
        <v>871</v>
      </c>
      <c r="F335" s="26" t="s">
        <v>27</v>
      </c>
      <c r="G335" s="13" t="s">
        <v>613</v>
      </c>
      <c r="H335" s="13" t="s">
        <v>490</v>
      </c>
    </row>
    <row r="336" spans="2:8">
      <c r="B336"/>
      <c r="E336" s="26" t="s">
        <v>871</v>
      </c>
      <c r="F336" s="26" t="s">
        <v>27</v>
      </c>
      <c r="G336" s="13" t="s">
        <v>614</v>
      </c>
      <c r="H336" s="13" t="s">
        <v>490</v>
      </c>
    </row>
    <row r="337" spans="2:8">
      <c r="B337"/>
      <c r="E337" s="26" t="s">
        <v>871</v>
      </c>
      <c r="F337" s="26" t="s">
        <v>27</v>
      </c>
      <c r="G337" s="13" t="s">
        <v>615</v>
      </c>
      <c r="H337" s="13" t="s">
        <v>490</v>
      </c>
    </row>
    <row r="338" spans="2:8">
      <c r="B338"/>
      <c r="E338" s="26" t="s">
        <v>871</v>
      </c>
      <c r="F338" s="26" t="s">
        <v>27</v>
      </c>
      <c r="G338" s="13" t="s">
        <v>616</v>
      </c>
      <c r="H338" s="13" t="s">
        <v>490</v>
      </c>
    </row>
    <row r="339" spans="2:8">
      <c r="B339"/>
      <c r="E339" s="26" t="s">
        <v>871</v>
      </c>
      <c r="F339" s="26" t="s">
        <v>27</v>
      </c>
      <c r="G339" s="13" t="s">
        <v>617</v>
      </c>
      <c r="H339" s="13" t="s">
        <v>490</v>
      </c>
    </row>
    <row r="340" spans="2:8">
      <c r="B340"/>
      <c r="E340" s="26" t="s">
        <v>871</v>
      </c>
      <c r="F340" s="26" t="s">
        <v>27</v>
      </c>
      <c r="G340" s="13" t="s">
        <v>618</v>
      </c>
      <c r="H340" s="13" t="s">
        <v>490</v>
      </c>
    </row>
    <row r="341" spans="2:8">
      <c r="B341"/>
      <c r="E341" s="26" t="s">
        <v>871</v>
      </c>
      <c r="F341" s="26" t="s">
        <v>27</v>
      </c>
      <c r="G341" s="13" t="s">
        <v>619</v>
      </c>
      <c r="H341" s="13" t="s">
        <v>490</v>
      </c>
    </row>
    <row r="342" spans="2:8">
      <c r="B342"/>
      <c r="E342" s="26" t="s">
        <v>871</v>
      </c>
      <c r="F342" s="26" t="s">
        <v>27</v>
      </c>
      <c r="G342" s="13" t="s">
        <v>620</v>
      </c>
      <c r="H342" s="13" t="s">
        <v>490</v>
      </c>
    </row>
    <row r="343" spans="2:8">
      <c r="B343"/>
      <c r="E343" s="26" t="s">
        <v>871</v>
      </c>
      <c r="F343" s="26" t="s">
        <v>27</v>
      </c>
      <c r="G343" s="13" t="s">
        <v>621</v>
      </c>
      <c r="H343" s="13" t="s">
        <v>490</v>
      </c>
    </row>
    <row r="344" spans="2:8">
      <c r="B344"/>
      <c r="E344" s="26" t="s">
        <v>871</v>
      </c>
      <c r="F344" s="26" t="s">
        <v>27</v>
      </c>
      <c r="G344" s="13" t="s">
        <v>622</v>
      </c>
      <c r="H344" s="13" t="s">
        <v>490</v>
      </c>
    </row>
    <row r="345" spans="2:8">
      <c r="B345"/>
      <c r="E345" s="26" t="s">
        <v>871</v>
      </c>
      <c r="F345" s="26" t="s">
        <v>27</v>
      </c>
      <c r="G345" s="13" t="s">
        <v>623</v>
      </c>
      <c r="H345" s="13" t="s">
        <v>490</v>
      </c>
    </row>
    <row r="346" spans="2:8">
      <c r="B346"/>
      <c r="E346" s="26" t="s">
        <v>871</v>
      </c>
      <c r="F346" s="26" t="s">
        <v>27</v>
      </c>
      <c r="G346" s="13" t="s">
        <v>624</v>
      </c>
      <c r="H346" s="13" t="s">
        <v>490</v>
      </c>
    </row>
    <row r="347" spans="2:8">
      <c r="B347"/>
      <c r="E347" s="26" t="s">
        <v>871</v>
      </c>
      <c r="F347" s="26" t="s">
        <v>27</v>
      </c>
      <c r="G347" s="13" t="s">
        <v>625</v>
      </c>
      <c r="H347" s="13" t="s">
        <v>490</v>
      </c>
    </row>
    <row r="348" spans="2:8">
      <c r="B348"/>
      <c r="E348" s="26" t="s">
        <v>871</v>
      </c>
      <c r="F348" s="26" t="s">
        <v>27</v>
      </c>
      <c r="G348" s="13" t="s">
        <v>626</v>
      </c>
      <c r="H348" s="13" t="s">
        <v>490</v>
      </c>
    </row>
    <row r="349" spans="2:8">
      <c r="B349"/>
      <c r="E349" s="26" t="s">
        <v>871</v>
      </c>
      <c r="F349" s="26" t="s">
        <v>27</v>
      </c>
      <c r="G349" s="13" t="s">
        <v>627</v>
      </c>
      <c r="H349" s="13" t="s">
        <v>490</v>
      </c>
    </row>
    <row r="350" spans="2:8">
      <c r="B350"/>
      <c r="E350" s="26" t="s">
        <v>871</v>
      </c>
      <c r="F350" s="26" t="s">
        <v>27</v>
      </c>
      <c r="G350" s="13" t="s">
        <v>628</v>
      </c>
      <c r="H350" s="13" t="s">
        <v>490</v>
      </c>
    </row>
    <row r="351" spans="2:8">
      <c r="B351"/>
      <c r="E351" s="26" t="s">
        <v>871</v>
      </c>
      <c r="F351" s="26" t="s">
        <v>27</v>
      </c>
      <c r="G351" s="13" t="s">
        <v>629</v>
      </c>
      <c r="H351" s="13" t="s">
        <v>490</v>
      </c>
    </row>
    <row r="352" spans="2:8">
      <c r="B352"/>
      <c r="E352" s="26" t="s">
        <v>871</v>
      </c>
      <c r="F352" s="26" t="s">
        <v>27</v>
      </c>
      <c r="G352" s="13" t="s">
        <v>630</v>
      </c>
      <c r="H352" s="13" t="s">
        <v>490</v>
      </c>
    </row>
    <row r="353" spans="2:8">
      <c r="B353"/>
      <c r="E353" s="26" t="s">
        <v>871</v>
      </c>
      <c r="F353" s="26" t="s">
        <v>27</v>
      </c>
      <c r="G353" s="13" t="s">
        <v>631</v>
      </c>
      <c r="H353" s="13" t="s">
        <v>490</v>
      </c>
    </row>
    <row r="354" spans="2:8">
      <c r="B354"/>
      <c r="E354" s="26" t="s">
        <v>871</v>
      </c>
      <c r="F354" s="26" t="s">
        <v>27</v>
      </c>
      <c r="G354" s="13" t="s">
        <v>632</v>
      </c>
      <c r="H354" s="13" t="s">
        <v>490</v>
      </c>
    </row>
    <row r="355" spans="2:8">
      <c r="B355"/>
      <c r="E355" s="26" t="s">
        <v>871</v>
      </c>
      <c r="F355" s="26" t="s">
        <v>27</v>
      </c>
      <c r="G355" s="13" t="s">
        <v>633</v>
      </c>
      <c r="H355" s="13" t="s">
        <v>490</v>
      </c>
    </row>
    <row r="356" spans="2:8">
      <c r="B356"/>
      <c r="E356" s="26" t="s">
        <v>871</v>
      </c>
      <c r="F356" s="26" t="s">
        <v>27</v>
      </c>
      <c r="G356" s="13" t="s">
        <v>634</v>
      </c>
      <c r="H356" s="13" t="s">
        <v>490</v>
      </c>
    </row>
    <row r="357" spans="2:8">
      <c r="B357"/>
      <c r="E357" s="26" t="s">
        <v>871</v>
      </c>
      <c r="F357" s="26" t="s">
        <v>27</v>
      </c>
      <c r="G357" s="13" t="s">
        <v>635</v>
      </c>
      <c r="H357" s="13" t="s">
        <v>490</v>
      </c>
    </row>
    <row r="358" spans="2:8">
      <c r="B358"/>
      <c r="E358" s="26" t="s">
        <v>871</v>
      </c>
      <c r="F358" s="26" t="s">
        <v>27</v>
      </c>
      <c r="G358" s="13" t="s">
        <v>636</v>
      </c>
      <c r="H358" s="13" t="s">
        <v>490</v>
      </c>
    </row>
    <row r="359" spans="2:8">
      <c r="B359"/>
      <c r="E359" s="26" t="s">
        <v>871</v>
      </c>
      <c r="F359" s="26" t="s">
        <v>27</v>
      </c>
      <c r="G359" s="13" t="s">
        <v>637</v>
      </c>
      <c r="H359" s="13" t="s">
        <v>490</v>
      </c>
    </row>
    <row r="360" spans="2:8">
      <c r="B360"/>
      <c r="E360" s="26" t="s">
        <v>871</v>
      </c>
      <c r="F360" s="26" t="s">
        <v>27</v>
      </c>
      <c r="G360" s="13" t="s">
        <v>638</v>
      </c>
      <c r="H360" s="13" t="s">
        <v>490</v>
      </c>
    </row>
    <row r="361" spans="2:8" ht="19.5">
      <c r="B361"/>
      <c r="E361" s="25" t="s">
        <v>25</v>
      </c>
      <c r="F361" s="25" t="s">
        <v>33</v>
      </c>
      <c r="G361" s="27" t="s">
        <v>641</v>
      </c>
      <c r="H361" s="17" t="s">
        <v>491</v>
      </c>
    </row>
    <row r="362" spans="2:8" ht="19.5">
      <c r="B362"/>
      <c r="E362" s="26" t="s">
        <v>25</v>
      </c>
      <c r="F362" s="26" t="s">
        <v>36</v>
      </c>
      <c r="G362" s="27" t="s">
        <v>641</v>
      </c>
      <c r="H362" s="17" t="s">
        <v>491</v>
      </c>
    </row>
    <row r="363" spans="2:8">
      <c r="B363"/>
      <c r="E363" s="25" t="s">
        <v>25</v>
      </c>
      <c r="F363" s="25" t="s">
        <v>37</v>
      </c>
      <c r="G363" s="17" t="s">
        <v>431</v>
      </c>
      <c r="H363" s="17" t="s">
        <v>491</v>
      </c>
    </row>
    <row r="364" spans="2:8">
      <c r="B364"/>
      <c r="E364" s="25" t="s">
        <v>25</v>
      </c>
      <c r="F364" s="25" t="s">
        <v>37</v>
      </c>
      <c r="G364" s="17" t="s">
        <v>433</v>
      </c>
      <c r="H364" s="17" t="s">
        <v>491</v>
      </c>
    </row>
    <row r="365" spans="2:8">
      <c r="B365"/>
      <c r="E365" s="25" t="s">
        <v>25</v>
      </c>
      <c r="F365" s="25" t="s">
        <v>37</v>
      </c>
      <c r="G365" s="17" t="s">
        <v>435</v>
      </c>
      <c r="H365" s="17" t="s">
        <v>491</v>
      </c>
    </row>
    <row r="366" spans="2:8">
      <c r="B366"/>
      <c r="E366" s="25" t="s">
        <v>25</v>
      </c>
      <c r="F366" s="25" t="s">
        <v>37</v>
      </c>
      <c r="G366" s="17" t="s">
        <v>438</v>
      </c>
      <c r="H366" s="17" t="s">
        <v>491</v>
      </c>
    </row>
    <row r="367" spans="2:8">
      <c r="B367"/>
      <c r="E367" s="25" t="s">
        <v>25</v>
      </c>
      <c r="F367" s="25" t="s">
        <v>37</v>
      </c>
      <c r="G367" s="17" t="s">
        <v>440</v>
      </c>
      <c r="H367" s="17" t="s">
        <v>491</v>
      </c>
    </row>
    <row r="368" spans="2:8">
      <c r="B368"/>
      <c r="E368" s="25" t="s">
        <v>25</v>
      </c>
      <c r="F368" s="25" t="s">
        <v>37</v>
      </c>
      <c r="G368" s="17" t="s">
        <v>443</v>
      </c>
      <c r="H368" s="17" t="s">
        <v>491</v>
      </c>
    </row>
    <row r="369" spans="2:8">
      <c r="B369"/>
      <c r="E369" s="25" t="s">
        <v>25</v>
      </c>
      <c r="F369" s="25" t="s">
        <v>37</v>
      </c>
      <c r="G369" s="17" t="s">
        <v>445</v>
      </c>
      <c r="H369" s="17" t="s">
        <v>491</v>
      </c>
    </row>
    <row r="370" spans="2:8">
      <c r="B370"/>
      <c r="E370" s="25" t="s">
        <v>25</v>
      </c>
      <c r="F370" s="25" t="s">
        <v>37</v>
      </c>
      <c r="G370" s="17" t="s">
        <v>447</v>
      </c>
      <c r="H370" s="17" t="s">
        <v>491</v>
      </c>
    </row>
    <row r="371" spans="2:8">
      <c r="B371"/>
      <c r="E371" s="25" t="s">
        <v>25</v>
      </c>
      <c r="F371" s="25" t="s">
        <v>37</v>
      </c>
      <c r="G371" s="17" t="s">
        <v>450</v>
      </c>
      <c r="H371" s="17" t="s">
        <v>491</v>
      </c>
    </row>
    <row r="372" spans="2:8">
      <c r="B372"/>
      <c r="E372" s="25" t="s">
        <v>25</v>
      </c>
      <c r="F372" s="25" t="s">
        <v>37</v>
      </c>
      <c r="G372" s="17" t="s">
        <v>452</v>
      </c>
      <c r="H372" s="17" t="s">
        <v>491</v>
      </c>
    </row>
    <row r="373" spans="2:8">
      <c r="B373"/>
      <c r="E373" s="25" t="s">
        <v>25</v>
      </c>
      <c r="F373" s="25" t="s">
        <v>37</v>
      </c>
      <c r="G373" s="17" t="s">
        <v>455</v>
      </c>
      <c r="H373" s="17" t="s">
        <v>491</v>
      </c>
    </row>
    <row r="374" spans="2:8">
      <c r="B374"/>
      <c r="E374" s="25" t="s">
        <v>25</v>
      </c>
      <c r="F374" s="25" t="s">
        <v>37</v>
      </c>
      <c r="G374" s="17" t="s">
        <v>457</v>
      </c>
      <c r="H374" s="17" t="s">
        <v>491</v>
      </c>
    </row>
    <row r="375" spans="2:8">
      <c r="B375"/>
      <c r="E375" s="26" t="s">
        <v>25</v>
      </c>
      <c r="F375" s="26" t="s">
        <v>35</v>
      </c>
      <c r="G375" s="17" t="s">
        <v>885</v>
      </c>
      <c r="H375" s="17" t="s">
        <v>491</v>
      </c>
    </row>
    <row r="376" spans="2:8">
      <c r="B376"/>
      <c r="E376" s="26" t="s">
        <v>25</v>
      </c>
      <c r="F376" s="26" t="s">
        <v>35</v>
      </c>
      <c r="G376" s="17" t="s">
        <v>886</v>
      </c>
      <c r="H376" s="17" t="s">
        <v>491</v>
      </c>
    </row>
    <row r="377" spans="2:8">
      <c r="B377"/>
      <c r="E377" s="26" t="s">
        <v>25</v>
      </c>
      <c r="F377" s="26" t="s">
        <v>35</v>
      </c>
      <c r="G377" s="17" t="s">
        <v>887</v>
      </c>
      <c r="H377" s="17" t="s">
        <v>491</v>
      </c>
    </row>
    <row r="378" spans="2:8">
      <c r="B378"/>
      <c r="E378" s="26" t="s">
        <v>25</v>
      </c>
      <c r="F378" s="26" t="s">
        <v>35</v>
      </c>
      <c r="G378" s="17" t="s">
        <v>888</v>
      </c>
      <c r="H378" s="17" t="s">
        <v>491</v>
      </c>
    </row>
    <row r="379" spans="2:8">
      <c r="B379"/>
      <c r="E379" s="26" t="s">
        <v>25</v>
      </c>
      <c r="F379" s="26" t="s">
        <v>35</v>
      </c>
      <c r="G379" s="17" t="s">
        <v>889</v>
      </c>
      <c r="H379" s="17" t="s">
        <v>491</v>
      </c>
    </row>
    <row r="380" spans="2:8">
      <c r="B380"/>
      <c r="E380" s="26" t="s">
        <v>25</v>
      </c>
      <c r="F380" s="26" t="s">
        <v>35</v>
      </c>
      <c r="G380" s="17" t="s">
        <v>890</v>
      </c>
      <c r="H380" s="17" t="s">
        <v>491</v>
      </c>
    </row>
    <row r="381" spans="2:8">
      <c r="B381"/>
      <c r="E381" s="26" t="s">
        <v>25</v>
      </c>
      <c r="F381" s="26" t="s">
        <v>35</v>
      </c>
      <c r="G381" s="17" t="s">
        <v>891</v>
      </c>
      <c r="H381" s="17" t="s">
        <v>491</v>
      </c>
    </row>
    <row r="382" spans="2:8">
      <c r="B382"/>
      <c r="E382" s="26" t="s">
        <v>25</v>
      </c>
      <c r="F382" s="26" t="s">
        <v>35</v>
      </c>
      <c r="G382" s="17" t="s">
        <v>892</v>
      </c>
      <c r="H382" s="17" t="s">
        <v>491</v>
      </c>
    </row>
    <row r="383" spans="2:8">
      <c r="B383"/>
      <c r="E383" s="26" t="s">
        <v>25</v>
      </c>
      <c r="F383" s="26" t="s">
        <v>35</v>
      </c>
      <c r="G383" s="17" t="s">
        <v>893</v>
      </c>
      <c r="H383" s="17" t="s">
        <v>491</v>
      </c>
    </row>
    <row r="384" spans="2:8">
      <c r="B384"/>
      <c r="E384" s="26" t="s">
        <v>25</v>
      </c>
      <c r="F384" s="26" t="s">
        <v>35</v>
      </c>
      <c r="G384" s="17" t="s">
        <v>894</v>
      </c>
      <c r="H384" s="17" t="s">
        <v>491</v>
      </c>
    </row>
    <row r="385" spans="2:8">
      <c r="B385"/>
      <c r="E385" s="26" t="s">
        <v>25</v>
      </c>
      <c r="F385" s="26" t="s">
        <v>35</v>
      </c>
      <c r="G385" s="17" t="s">
        <v>895</v>
      </c>
      <c r="H385" s="17" t="s">
        <v>491</v>
      </c>
    </row>
    <row r="386" spans="2:8">
      <c r="B386"/>
      <c r="E386" s="26" t="s">
        <v>25</v>
      </c>
      <c r="F386" s="26" t="s">
        <v>35</v>
      </c>
      <c r="G386" s="17" t="s">
        <v>896</v>
      </c>
      <c r="H386" s="17" t="s">
        <v>491</v>
      </c>
    </row>
    <row r="387" spans="2:8">
      <c r="B387"/>
      <c r="E387" s="26" t="s">
        <v>25</v>
      </c>
      <c r="F387" s="26" t="s">
        <v>35</v>
      </c>
      <c r="G387" s="17" t="s">
        <v>897</v>
      </c>
      <c r="H387" s="17" t="s">
        <v>491</v>
      </c>
    </row>
    <row r="388" spans="2:8">
      <c r="B388"/>
      <c r="E388" s="25" t="s">
        <v>25</v>
      </c>
      <c r="F388" s="25" t="s">
        <v>29</v>
      </c>
      <c r="G388" s="14" t="s">
        <v>641</v>
      </c>
      <c r="H388" s="14" t="s">
        <v>492</v>
      </c>
    </row>
    <row r="389" spans="2:8">
      <c r="B389"/>
      <c r="E389" s="26" t="s">
        <v>25</v>
      </c>
      <c r="F389" s="26" t="s">
        <v>31</v>
      </c>
      <c r="G389" s="13" t="s">
        <v>898</v>
      </c>
      <c r="H389" s="13" t="s">
        <v>490</v>
      </c>
    </row>
    <row r="390" spans="2:8">
      <c r="B390"/>
      <c r="E390" s="26" t="s">
        <v>25</v>
      </c>
      <c r="F390" s="26" t="s">
        <v>31</v>
      </c>
      <c r="G390" s="13" t="s">
        <v>899</v>
      </c>
      <c r="H390" s="13" t="s">
        <v>490</v>
      </c>
    </row>
    <row r="391" spans="2:8">
      <c r="B391"/>
      <c r="E391" s="26" t="s">
        <v>25</v>
      </c>
      <c r="F391" s="26" t="s">
        <v>31</v>
      </c>
      <c r="G391" s="13" t="s">
        <v>900</v>
      </c>
      <c r="H391" s="13" t="s">
        <v>490</v>
      </c>
    </row>
    <row r="392" spans="2:8">
      <c r="B392"/>
      <c r="E392" s="26" t="s">
        <v>25</v>
      </c>
      <c r="F392" s="26" t="s">
        <v>31</v>
      </c>
      <c r="G392" s="13" t="s">
        <v>901</v>
      </c>
      <c r="H392" s="13" t="s">
        <v>490</v>
      </c>
    </row>
    <row r="393" spans="2:8">
      <c r="B393"/>
      <c r="E393" s="26" t="s">
        <v>25</v>
      </c>
      <c r="F393" s="26" t="s">
        <v>31</v>
      </c>
      <c r="G393" s="13" t="s">
        <v>902</v>
      </c>
      <c r="H393" s="13" t="s">
        <v>490</v>
      </c>
    </row>
    <row r="394" spans="2:8">
      <c r="B394"/>
      <c r="E394" s="26" t="s">
        <v>25</v>
      </c>
      <c r="F394" s="26" t="s">
        <v>31</v>
      </c>
      <c r="G394" s="13" t="s">
        <v>903</v>
      </c>
      <c r="H394" s="13" t="s">
        <v>490</v>
      </c>
    </row>
    <row r="395" spans="2:8">
      <c r="B395"/>
      <c r="E395" s="26" t="s">
        <v>25</v>
      </c>
      <c r="F395" s="26" t="s">
        <v>31</v>
      </c>
      <c r="G395" s="13" t="s">
        <v>904</v>
      </c>
      <c r="H395" s="13" t="s">
        <v>490</v>
      </c>
    </row>
    <row r="396" spans="2:8">
      <c r="B396"/>
      <c r="E396" s="26" t="s">
        <v>25</v>
      </c>
      <c r="F396" s="26" t="s">
        <v>31</v>
      </c>
      <c r="G396" s="13" t="s">
        <v>905</v>
      </c>
      <c r="H396" s="13" t="s">
        <v>490</v>
      </c>
    </row>
    <row r="397" spans="2:8">
      <c r="B397"/>
      <c r="E397" s="26" t="s">
        <v>25</v>
      </c>
      <c r="F397" s="26" t="s">
        <v>31</v>
      </c>
      <c r="G397" s="13" t="s">
        <v>906</v>
      </c>
      <c r="H397" s="13" t="s">
        <v>490</v>
      </c>
    </row>
    <row r="398" spans="2:8">
      <c r="B398"/>
      <c r="E398" s="26" t="s">
        <v>25</v>
      </c>
      <c r="F398" s="26" t="s">
        <v>31</v>
      </c>
      <c r="G398" s="13" t="s">
        <v>907</v>
      </c>
      <c r="H398" s="13" t="s">
        <v>490</v>
      </c>
    </row>
    <row r="399" spans="2:8">
      <c r="B399"/>
      <c r="E399" s="26" t="s">
        <v>25</v>
      </c>
      <c r="F399" s="26" t="s">
        <v>31</v>
      </c>
      <c r="G399" s="13" t="s">
        <v>908</v>
      </c>
      <c r="H399" s="13" t="s">
        <v>490</v>
      </c>
    </row>
    <row r="400" spans="2:8">
      <c r="B400"/>
      <c r="E400" s="26" t="s">
        <v>25</v>
      </c>
      <c r="F400" s="26" t="s">
        <v>31</v>
      </c>
      <c r="G400" s="13" t="s">
        <v>909</v>
      </c>
      <c r="H400" s="13" t="s">
        <v>490</v>
      </c>
    </row>
    <row r="401" spans="2:8">
      <c r="B401"/>
      <c r="E401" s="26" t="s">
        <v>25</v>
      </c>
      <c r="F401" s="26" t="s">
        <v>31</v>
      </c>
      <c r="G401" s="13" t="s">
        <v>910</v>
      </c>
      <c r="H401" s="13" t="s">
        <v>490</v>
      </c>
    </row>
    <row r="402" spans="2:8">
      <c r="B402"/>
      <c r="E402" s="26" t="s">
        <v>25</v>
      </c>
      <c r="F402" s="26" t="s">
        <v>31</v>
      </c>
      <c r="G402" s="13" t="s">
        <v>911</v>
      </c>
      <c r="H402" s="13" t="s">
        <v>490</v>
      </c>
    </row>
    <row r="403" spans="2:8">
      <c r="B403"/>
      <c r="E403" s="26" t="s">
        <v>25</v>
      </c>
      <c r="F403" s="26" t="s">
        <v>31</v>
      </c>
      <c r="G403" s="13" t="s">
        <v>912</v>
      </c>
      <c r="H403" s="13" t="s">
        <v>490</v>
      </c>
    </row>
    <row r="404" spans="2:8">
      <c r="B404"/>
      <c r="E404" s="26" t="s">
        <v>25</v>
      </c>
      <c r="F404" s="26" t="s">
        <v>31</v>
      </c>
      <c r="G404" s="13" t="s">
        <v>913</v>
      </c>
      <c r="H404" s="13" t="s">
        <v>490</v>
      </c>
    </row>
    <row r="405" spans="2:8">
      <c r="B405"/>
      <c r="E405" s="26" t="s">
        <v>25</v>
      </c>
      <c r="F405" s="26" t="s">
        <v>31</v>
      </c>
      <c r="G405" s="13" t="s">
        <v>914</v>
      </c>
      <c r="H405" s="13" t="s">
        <v>490</v>
      </c>
    </row>
    <row r="406" spans="2:8">
      <c r="B406"/>
      <c r="E406" s="26" t="s">
        <v>25</v>
      </c>
      <c r="F406" s="26" t="s">
        <v>31</v>
      </c>
      <c r="G406" s="13" t="s">
        <v>915</v>
      </c>
      <c r="H406" s="13" t="s">
        <v>490</v>
      </c>
    </row>
    <row r="407" spans="2:8">
      <c r="B407"/>
      <c r="E407" s="26" t="s">
        <v>25</v>
      </c>
      <c r="F407" s="26" t="s">
        <v>31</v>
      </c>
      <c r="G407" s="13" t="s">
        <v>916</v>
      </c>
      <c r="H407" s="13" t="s">
        <v>490</v>
      </c>
    </row>
    <row r="408" spans="2:8">
      <c r="B408"/>
      <c r="E408" s="26" t="s">
        <v>25</v>
      </c>
      <c r="F408" s="26" t="s">
        <v>31</v>
      </c>
      <c r="G408" s="13" t="s">
        <v>917</v>
      </c>
      <c r="H408" s="13" t="s">
        <v>490</v>
      </c>
    </row>
    <row r="409" spans="2:8">
      <c r="B409"/>
      <c r="E409" s="26" t="s">
        <v>25</v>
      </c>
      <c r="F409" s="26" t="s">
        <v>31</v>
      </c>
      <c r="G409" s="13" t="s">
        <v>918</v>
      </c>
      <c r="H409" s="13" t="s">
        <v>490</v>
      </c>
    </row>
    <row r="410" spans="2:8">
      <c r="B410"/>
      <c r="E410" s="26" t="s">
        <v>25</v>
      </c>
      <c r="F410" s="26" t="s">
        <v>31</v>
      </c>
      <c r="G410" s="13" t="s">
        <v>919</v>
      </c>
      <c r="H410" s="13" t="s">
        <v>490</v>
      </c>
    </row>
    <row r="411" spans="2:8">
      <c r="B411"/>
      <c r="E411" s="26" t="s">
        <v>25</v>
      </c>
      <c r="F411" s="26" t="s">
        <v>31</v>
      </c>
      <c r="G411" s="13" t="s">
        <v>920</v>
      </c>
      <c r="H411" s="13" t="s">
        <v>490</v>
      </c>
    </row>
    <row r="412" spans="2:8">
      <c r="B412"/>
      <c r="E412" s="26" t="s">
        <v>25</v>
      </c>
      <c r="F412" s="26" t="s">
        <v>31</v>
      </c>
      <c r="G412" s="13" t="s">
        <v>921</v>
      </c>
      <c r="H412" s="13" t="s">
        <v>490</v>
      </c>
    </row>
    <row r="413" spans="2:8">
      <c r="B413"/>
      <c r="E413" s="26" t="s">
        <v>25</v>
      </c>
      <c r="F413" s="26" t="s">
        <v>31</v>
      </c>
      <c r="G413" s="13" t="s">
        <v>922</v>
      </c>
      <c r="H413" s="13" t="s">
        <v>490</v>
      </c>
    </row>
    <row r="414" spans="2:8">
      <c r="B414"/>
      <c r="E414" s="26" t="s">
        <v>25</v>
      </c>
      <c r="F414" s="26" t="s">
        <v>31</v>
      </c>
      <c r="G414" s="13" t="s">
        <v>923</v>
      </c>
      <c r="H414" s="13" t="s">
        <v>490</v>
      </c>
    </row>
    <row r="415" spans="2:8">
      <c r="B415"/>
      <c r="E415" s="26" t="s">
        <v>25</v>
      </c>
      <c r="F415" s="26" t="s">
        <v>31</v>
      </c>
      <c r="G415" s="13" t="s">
        <v>924</v>
      </c>
      <c r="H415" s="13" t="s">
        <v>490</v>
      </c>
    </row>
    <row r="416" spans="2:8">
      <c r="B416"/>
      <c r="E416" s="26" t="s">
        <v>25</v>
      </c>
      <c r="F416" s="26" t="s">
        <v>31</v>
      </c>
      <c r="G416" s="13" t="s">
        <v>925</v>
      </c>
      <c r="H416" s="13" t="s">
        <v>490</v>
      </c>
    </row>
    <row r="417" spans="2:8">
      <c r="B417"/>
      <c r="E417" s="26" t="s">
        <v>25</v>
      </c>
      <c r="F417" s="26" t="s">
        <v>31</v>
      </c>
      <c r="G417" s="13" t="s">
        <v>926</v>
      </c>
      <c r="H417" s="13" t="s">
        <v>490</v>
      </c>
    </row>
    <row r="418" spans="2:8">
      <c r="B418"/>
      <c r="E418" s="26" t="s">
        <v>25</v>
      </c>
      <c r="F418" s="26" t="s">
        <v>31</v>
      </c>
      <c r="G418" s="13" t="s">
        <v>927</v>
      </c>
      <c r="H418" s="13" t="s">
        <v>490</v>
      </c>
    </row>
    <row r="419" spans="2:8">
      <c r="B419"/>
      <c r="E419" s="26" t="s">
        <v>25</v>
      </c>
      <c r="F419" s="26" t="s">
        <v>31</v>
      </c>
      <c r="G419" s="13" t="s">
        <v>928</v>
      </c>
      <c r="H419" s="13" t="s">
        <v>490</v>
      </c>
    </row>
    <row r="420" spans="2:8">
      <c r="B420"/>
      <c r="E420" s="26" t="s">
        <v>25</v>
      </c>
      <c r="F420" s="26" t="s">
        <v>31</v>
      </c>
      <c r="G420" s="13" t="s">
        <v>929</v>
      </c>
      <c r="H420" s="13" t="s">
        <v>490</v>
      </c>
    </row>
    <row r="421" spans="2:8">
      <c r="B421"/>
      <c r="E421" s="26" t="s">
        <v>25</v>
      </c>
      <c r="F421" s="26" t="s">
        <v>31</v>
      </c>
      <c r="G421" s="13" t="s">
        <v>930</v>
      </c>
      <c r="H421" s="13" t="s">
        <v>490</v>
      </c>
    </row>
    <row r="422" spans="2:8">
      <c r="B422"/>
      <c r="E422" s="26" t="s">
        <v>25</v>
      </c>
      <c r="F422" s="26" t="s">
        <v>31</v>
      </c>
      <c r="G422" s="13" t="s">
        <v>931</v>
      </c>
      <c r="H422" s="13" t="s">
        <v>490</v>
      </c>
    </row>
    <row r="423" spans="2:8">
      <c r="B423"/>
      <c r="E423" s="26" t="s">
        <v>25</v>
      </c>
      <c r="F423" s="26" t="s">
        <v>31</v>
      </c>
      <c r="G423" s="13" t="s">
        <v>932</v>
      </c>
      <c r="H423" s="13" t="s">
        <v>490</v>
      </c>
    </row>
    <row r="424" spans="2:8">
      <c r="B424"/>
      <c r="E424" s="26" t="s">
        <v>25</v>
      </c>
      <c r="F424" s="26" t="s">
        <v>31</v>
      </c>
      <c r="G424" s="13" t="s">
        <v>933</v>
      </c>
      <c r="H424" s="13" t="s">
        <v>490</v>
      </c>
    </row>
    <row r="425" spans="2:8">
      <c r="B425"/>
      <c r="E425" s="26" t="s">
        <v>25</v>
      </c>
      <c r="F425" s="26" t="s">
        <v>31</v>
      </c>
      <c r="G425" s="13" t="s">
        <v>934</v>
      </c>
      <c r="H425" s="13" t="s">
        <v>490</v>
      </c>
    </row>
    <row r="426" spans="2:8">
      <c r="B426"/>
      <c r="E426" s="26" t="s">
        <v>25</v>
      </c>
      <c r="F426" s="26" t="s">
        <v>31</v>
      </c>
      <c r="G426" s="13" t="s">
        <v>935</v>
      </c>
      <c r="H426" s="13" t="s">
        <v>490</v>
      </c>
    </row>
    <row r="427" spans="2:8">
      <c r="B427"/>
      <c r="E427" s="25" t="s">
        <v>25</v>
      </c>
      <c r="F427" s="25" t="s">
        <v>34</v>
      </c>
      <c r="G427" s="17" t="s">
        <v>936</v>
      </c>
      <c r="H427" s="17" t="s">
        <v>491</v>
      </c>
    </row>
    <row r="428" spans="2:8">
      <c r="B428"/>
      <c r="E428" s="25" t="s">
        <v>25</v>
      </c>
      <c r="F428" s="25" t="s">
        <v>34</v>
      </c>
      <c r="G428" s="17" t="s">
        <v>937</v>
      </c>
      <c r="H428" s="17" t="s">
        <v>491</v>
      </c>
    </row>
    <row r="429" spans="2:8">
      <c r="B429"/>
      <c r="E429" s="25" t="s">
        <v>25</v>
      </c>
      <c r="F429" s="25" t="s">
        <v>34</v>
      </c>
      <c r="G429" s="17" t="s">
        <v>938</v>
      </c>
      <c r="H429" s="17" t="s">
        <v>491</v>
      </c>
    </row>
    <row r="430" spans="2:8">
      <c r="B430"/>
      <c r="E430" s="25" t="s">
        <v>25</v>
      </c>
      <c r="F430" s="25" t="s">
        <v>34</v>
      </c>
      <c r="G430" s="17" t="s">
        <v>939</v>
      </c>
      <c r="H430" s="17" t="s">
        <v>491</v>
      </c>
    </row>
    <row r="431" spans="2:8">
      <c r="B431"/>
      <c r="E431" s="25" t="s">
        <v>25</v>
      </c>
      <c r="F431" s="25" t="s">
        <v>34</v>
      </c>
      <c r="G431" s="17" t="s">
        <v>940</v>
      </c>
      <c r="H431" s="17" t="s">
        <v>491</v>
      </c>
    </row>
    <row r="432" spans="2:8">
      <c r="B432"/>
      <c r="E432" s="25" t="s">
        <v>25</v>
      </c>
      <c r="F432" s="25" t="s">
        <v>34</v>
      </c>
      <c r="G432" s="17" t="s">
        <v>941</v>
      </c>
      <c r="H432" s="17" t="s">
        <v>491</v>
      </c>
    </row>
    <row r="433" spans="2:8">
      <c r="B433"/>
      <c r="E433" s="25" t="s">
        <v>25</v>
      </c>
      <c r="F433" s="25" t="s">
        <v>34</v>
      </c>
      <c r="G433" s="17" t="s">
        <v>942</v>
      </c>
      <c r="H433" s="17" t="s">
        <v>491</v>
      </c>
    </row>
    <row r="434" spans="2:8">
      <c r="B434"/>
      <c r="E434" s="25" t="s">
        <v>25</v>
      </c>
      <c r="F434" s="25" t="s">
        <v>34</v>
      </c>
      <c r="G434" s="17" t="s">
        <v>943</v>
      </c>
      <c r="H434" s="17" t="s">
        <v>491</v>
      </c>
    </row>
    <row r="435" spans="2:8">
      <c r="B435"/>
      <c r="E435" s="25" t="s">
        <v>25</v>
      </c>
      <c r="F435" s="25" t="s">
        <v>34</v>
      </c>
      <c r="G435" s="17" t="s">
        <v>944</v>
      </c>
      <c r="H435" s="17" t="s">
        <v>491</v>
      </c>
    </row>
    <row r="436" spans="2:8">
      <c r="B436"/>
      <c r="E436" s="25" t="s">
        <v>25</v>
      </c>
      <c r="F436" s="25" t="s">
        <v>34</v>
      </c>
      <c r="G436" s="17" t="s">
        <v>945</v>
      </c>
      <c r="H436" s="17" t="s">
        <v>491</v>
      </c>
    </row>
    <row r="437" spans="2:8">
      <c r="B437"/>
      <c r="E437" s="25" t="s">
        <v>25</v>
      </c>
      <c r="F437" s="25" t="s">
        <v>34</v>
      </c>
      <c r="G437" s="17" t="s">
        <v>946</v>
      </c>
      <c r="H437" s="17" t="s">
        <v>491</v>
      </c>
    </row>
    <row r="438" spans="2:8">
      <c r="B438"/>
      <c r="E438" s="25" t="s">
        <v>25</v>
      </c>
      <c r="F438" s="25" t="s">
        <v>34</v>
      </c>
      <c r="G438" s="17" t="s">
        <v>947</v>
      </c>
      <c r="H438" s="17" t="s">
        <v>491</v>
      </c>
    </row>
    <row r="439" spans="2:8">
      <c r="B439"/>
      <c r="E439" s="25" t="s">
        <v>25</v>
      </c>
      <c r="F439" s="25" t="s">
        <v>34</v>
      </c>
      <c r="G439" s="17" t="s">
        <v>948</v>
      </c>
      <c r="H439" s="17" t="s">
        <v>491</v>
      </c>
    </row>
    <row r="440" spans="2:8">
      <c r="B440"/>
      <c r="E440" s="25" t="s">
        <v>25</v>
      </c>
      <c r="F440" s="25" t="s">
        <v>34</v>
      </c>
      <c r="G440" s="17" t="s">
        <v>949</v>
      </c>
      <c r="H440" s="17" t="s">
        <v>491</v>
      </c>
    </row>
    <row r="441" spans="2:8">
      <c r="B441"/>
      <c r="E441" s="25" t="s">
        <v>25</v>
      </c>
      <c r="F441" s="25" t="s">
        <v>34</v>
      </c>
      <c r="G441" s="17" t="s">
        <v>950</v>
      </c>
      <c r="H441" s="17" t="s">
        <v>491</v>
      </c>
    </row>
    <row r="442" spans="2:8">
      <c r="B442"/>
      <c r="E442" s="25" t="s">
        <v>25</v>
      </c>
      <c r="F442" s="25" t="s">
        <v>34</v>
      </c>
      <c r="G442" s="17" t="s">
        <v>951</v>
      </c>
      <c r="H442" s="17" t="s">
        <v>491</v>
      </c>
    </row>
    <row r="443" spans="2:8">
      <c r="B443"/>
      <c r="E443" s="25" t="s">
        <v>25</v>
      </c>
      <c r="F443" s="25" t="s">
        <v>34</v>
      </c>
      <c r="G443" s="17" t="s">
        <v>952</v>
      </c>
      <c r="H443" s="17" t="s">
        <v>491</v>
      </c>
    </row>
    <row r="444" spans="2:8">
      <c r="B444"/>
      <c r="E444" s="25" t="s">
        <v>25</v>
      </c>
      <c r="F444" s="25" t="s">
        <v>34</v>
      </c>
      <c r="G444" s="17" t="s">
        <v>953</v>
      </c>
      <c r="H444" s="17" t="s">
        <v>491</v>
      </c>
    </row>
    <row r="445" spans="2:8">
      <c r="B445"/>
      <c r="E445" s="25" t="s">
        <v>25</v>
      </c>
      <c r="F445" s="25" t="s">
        <v>34</v>
      </c>
      <c r="G445" s="17" t="s">
        <v>954</v>
      </c>
      <c r="H445" s="17" t="s">
        <v>491</v>
      </c>
    </row>
    <row r="446" spans="2:8">
      <c r="B446"/>
      <c r="E446" s="25" t="s">
        <v>25</v>
      </c>
      <c r="F446" s="25" t="s">
        <v>34</v>
      </c>
      <c r="G446" s="17" t="s">
        <v>955</v>
      </c>
      <c r="H446" s="17" t="s">
        <v>491</v>
      </c>
    </row>
    <row r="447" spans="2:8">
      <c r="B447"/>
      <c r="E447" s="25" t="s">
        <v>25</v>
      </c>
      <c r="F447" s="25" t="s">
        <v>34</v>
      </c>
      <c r="G447" s="17" t="s">
        <v>956</v>
      </c>
      <c r="H447" s="17" t="s">
        <v>491</v>
      </c>
    </row>
    <row r="448" spans="2:8">
      <c r="B448"/>
      <c r="E448" s="25" t="s">
        <v>25</v>
      </c>
      <c r="F448" s="25" t="s">
        <v>34</v>
      </c>
      <c r="G448" s="17" t="s">
        <v>957</v>
      </c>
      <c r="H448" s="17" t="s">
        <v>491</v>
      </c>
    </row>
    <row r="449" spans="2:8">
      <c r="B449"/>
      <c r="E449" s="25" t="s">
        <v>25</v>
      </c>
      <c r="F449" s="25" t="s">
        <v>34</v>
      </c>
      <c r="G449" s="17" t="s">
        <v>958</v>
      </c>
      <c r="H449" s="17" t="s">
        <v>491</v>
      </c>
    </row>
    <row r="450" spans="2:8">
      <c r="B450"/>
      <c r="E450" s="25" t="s">
        <v>25</v>
      </c>
      <c r="F450" s="25" t="s">
        <v>34</v>
      </c>
      <c r="G450" s="17" t="s">
        <v>959</v>
      </c>
      <c r="H450" s="17" t="s">
        <v>491</v>
      </c>
    </row>
    <row r="451" spans="2:8">
      <c r="B451"/>
      <c r="E451" s="25" t="s">
        <v>25</v>
      </c>
      <c r="F451" s="25" t="s">
        <v>34</v>
      </c>
      <c r="G451" s="17" t="s">
        <v>960</v>
      </c>
      <c r="H451" s="17" t="s">
        <v>491</v>
      </c>
    </row>
    <row r="452" spans="2:8">
      <c r="B452"/>
      <c r="E452" s="25" t="s">
        <v>25</v>
      </c>
      <c r="F452" s="25" t="s">
        <v>34</v>
      </c>
      <c r="G452" s="17" t="s">
        <v>961</v>
      </c>
      <c r="H452" s="17" t="s">
        <v>491</v>
      </c>
    </row>
    <row r="453" spans="2:8">
      <c r="B453"/>
      <c r="E453" s="25" t="s">
        <v>25</v>
      </c>
      <c r="F453" s="25" t="s">
        <v>34</v>
      </c>
      <c r="G453" s="17" t="s">
        <v>962</v>
      </c>
      <c r="H453" s="17" t="s">
        <v>491</v>
      </c>
    </row>
    <row r="454" spans="2:8">
      <c r="B454"/>
      <c r="E454" s="25" t="s">
        <v>25</v>
      </c>
      <c r="F454" s="25" t="s">
        <v>34</v>
      </c>
      <c r="G454" s="17" t="s">
        <v>963</v>
      </c>
      <c r="H454" s="17" t="s">
        <v>491</v>
      </c>
    </row>
    <row r="455" spans="2:8">
      <c r="B455"/>
      <c r="E455" s="25" t="s">
        <v>25</v>
      </c>
      <c r="F455" s="25" t="s">
        <v>34</v>
      </c>
      <c r="G455" s="17" t="s">
        <v>964</v>
      </c>
      <c r="H455" s="17" t="s">
        <v>491</v>
      </c>
    </row>
    <row r="456" spans="2:8">
      <c r="B456"/>
      <c r="E456" s="25" t="s">
        <v>25</v>
      </c>
      <c r="F456" s="25" t="s">
        <v>34</v>
      </c>
      <c r="G456" s="17" t="s">
        <v>965</v>
      </c>
      <c r="H456" s="17" t="s">
        <v>491</v>
      </c>
    </row>
    <row r="457" spans="2:8">
      <c r="B457"/>
      <c r="E457" s="25" t="s">
        <v>25</v>
      </c>
      <c r="F457" s="25" t="s">
        <v>34</v>
      </c>
      <c r="G457" s="17" t="s">
        <v>966</v>
      </c>
      <c r="H457" s="17" t="s">
        <v>491</v>
      </c>
    </row>
    <row r="458" spans="2:8">
      <c r="B458"/>
      <c r="E458" s="25" t="s">
        <v>25</v>
      </c>
      <c r="F458" s="25" t="s">
        <v>34</v>
      </c>
      <c r="G458" s="17" t="s">
        <v>967</v>
      </c>
      <c r="H458" s="17" t="s">
        <v>491</v>
      </c>
    </row>
    <row r="459" spans="2:8">
      <c r="B459"/>
      <c r="E459" s="25" t="s">
        <v>25</v>
      </c>
      <c r="F459" s="25" t="s">
        <v>34</v>
      </c>
      <c r="G459" s="17" t="s">
        <v>968</v>
      </c>
      <c r="H459" s="17" t="s">
        <v>491</v>
      </c>
    </row>
    <row r="460" spans="2:8">
      <c r="B460"/>
      <c r="E460" s="25" t="s">
        <v>25</v>
      </c>
      <c r="F460" s="25" t="s">
        <v>34</v>
      </c>
      <c r="G460" s="17" t="s">
        <v>969</v>
      </c>
      <c r="H460" s="17" t="s">
        <v>491</v>
      </c>
    </row>
    <row r="461" spans="2:8">
      <c r="B461"/>
      <c r="E461" s="25" t="s">
        <v>25</v>
      </c>
      <c r="F461" s="25" t="s">
        <v>34</v>
      </c>
      <c r="G461" s="17" t="s">
        <v>970</v>
      </c>
      <c r="H461" s="17" t="s">
        <v>491</v>
      </c>
    </row>
    <row r="462" spans="2:8">
      <c r="B462"/>
      <c r="E462" s="25" t="s">
        <v>25</v>
      </c>
      <c r="F462" s="25" t="s">
        <v>34</v>
      </c>
      <c r="G462" s="17" t="s">
        <v>971</v>
      </c>
      <c r="H462" s="17" t="s">
        <v>491</v>
      </c>
    </row>
    <row r="463" spans="2:8">
      <c r="B463"/>
      <c r="E463" s="25" t="s">
        <v>25</v>
      </c>
      <c r="F463" s="25" t="s">
        <v>34</v>
      </c>
      <c r="G463" s="17" t="s">
        <v>972</v>
      </c>
      <c r="H463" s="17" t="s">
        <v>491</v>
      </c>
    </row>
    <row r="464" spans="2:8">
      <c r="B464"/>
      <c r="E464" s="25" t="s">
        <v>25</v>
      </c>
      <c r="F464" s="25" t="s">
        <v>34</v>
      </c>
      <c r="G464" s="17" t="s">
        <v>973</v>
      </c>
      <c r="H464" s="17" t="s">
        <v>491</v>
      </c>
    </row>
    <row r="465" spans="2:8">
      <c r="B465"/>
      <c r="E465" s="25" t="s">
        <v>25</v>
      </c>
      <c r="F465" s="25" t="s">
        <v>34</v>
      </c>
      <c r="G465" s="17" t="s">
        <v>974</v>
      </c>
      <c r="H465" s="17" t="s">
        <v>491</v>
      </c>
    </row>
    <row r="466" spans="2:8">
      <c r="B466"/>
      <c r="E466" s="25" t="s">
        <v>25</v>
      </c>
      <c r="F466" s="25" t="s">
        <v>34</v>
      </c>
      <c r="G466" s="17" t="s">
        <v>975</v>
      </c>
      <c r="H466" s="17" t="s">
        <v>491</v>
      </c>
    </row>
    <row r="467" spans="2:8">
      <c r="B467"/>
      <c r="E467" s="25" t="s">
        <v>25</v>
      </c>
      <c r="F467" s="25" t="s">
        <v>34</v>
      </c>
      <c r="G467" s="17" t="s">
        <v>976</v>
      </c>
      <c r="H467" s="17" t="s">
        <v>491</v>
      </c>
    </row>
    <row r="468" spans="2:8">
      <c r="B468"/>
      <c r="E468" s="25" t="s">
        <v>25</v>
      </c>
      <c r="F468" s="25" t="s">
        <v>34</v>
      </c>
      <c r="G468" s="17" t="s">
        <v>977</v>
      </c>
      <c r="H468" s="17" t="s">
        <v>491</v>
      </c>
    </row>
    <row r="469" spans="2:8">
      <c r="B469"/>
      <c r="E469" s="25" t="s">
        <v>25</v>
      </c>
      <c r="F469" s="25" t="s">
        <v>34</v>
      </c>
      <c r="G469" s="17" t="s">
        <v>978</v>
      </c>
      <c r="H469" s="17" t="s">
        <v>491</v>
      </c>
    </row>
    <row r="470" spans="2:8">
      <c r="B470"/>
      <c r="E470" s="25" t="s">
        <v>25</v>
      </c>
      <c r="F470" s="25" t="s">
        <v>34</v>
      </c>
      <c r="G470" s="17" t="s">
        <v>979</v>
      </c>
      <c r="H470" s="17" t="s">
        <v>491</v>
      </c>
    </row>
    <row r="471" spans="2:8">
      <c r="B471"/>
      <c r="E471" s="25" t="s">
        <v>25</v>
      </c>
      <c r="F471" s="25" t="s">
        <v>34</v>
      </c>
      <c r="G471" s="17" t="s">
        <v>980</v>
      </c>
      <c r="H471" s="17" t="s">
        <v>491</v>
      </c>
    </row>
    <row r="472" spans="2:8">
      <c r="B472"/>
      <c r="E472" s="25" t="s">
        <v>25</v>
      </c>
      <c r="F472" s="25" t="s">
        <v>34</v>
      </c>
      <c r="G472" s="17" t="s">
        <v>981</v>
      </c>
      <c r="H472" s="17" t="s">
        <v>491</v>
      </c>
    </row>
    <row r="473" spans="2:8">
      <c r="B473"/>
      <c r="E473" s="25" t="s">
        <v>25</v>
      </c>
      <c r="F473" s="25" t="s">
        <v>34</v>
      </c>
      <c r="G473" s="17" t="s">
        <v>982</v>
      </c>
      <c r="H473" s="17" t="s">
        <v>491</v>
      </c>
    </row>
    <row r="474" spans="2:8">
      <c r="B474"/>
      <c r="E474" s="25" t="s">
        <v>25</v>
      </c>
      <c r="F474" s="25" t="s">
        <v>34</v>
      </c>
      <c r="G474" s="17" t="s">
        <v>983</v>
      </c>
      <c r="H474" s="17" t="s">
        <v>491</v>
      </c>
    </row>
    <row r="475" spans="2:8">
      <c r="B475"/>
      <c r="E475" s="25" t="s">
        <v>25</v>
      </c>
      <c r="F475" s="25" t="s">
        <v>34</v>
      </c>
      <c r="G475" s="17" t="s">
        <v>984</v>
      </c>
      <c r="H475" s="17" t="s">
        <v>491</v>
      </c>
    </row>
    <row r="476" spans="2:8">
      <c r="B476"/>
      <c r="E476" s="25" t="s">
        <v>25</v>
      </c>
      <c r="F476" s="25" t="s">
        <v>34</v>
      </c>
      <c r="G476" s="17" t="s">
        <v>985</v>
      </c>
      <c r="H476" s="17" t="s">
        <v>491</v>
      </c>
    </row>
    <row r="477" spans="2:8">
      <c r="B477"/>
      <c r="E477" s="25" t="s">
        <v>25</v>
      </c>
      <c r="F477" s="25" t="s">
        <v>34</v>
      </c>
      <c r="G477" s="17" t="s">
        <v>986</v>
      </c>
      <c r="H477" s="17" t="s">
        <v>491</v>
      </c>
    </row>
    <row r="478" spans="2:8">
      <c r="B478"/>
      <c r="E478" s="25" t="s">
        <v>25</v>
      </c>
      <c r="F478" s="25" t="s">
        <v>34</v>
      </c>
      <c r="G478" s="17" t="s">
        <v>987</v>
      </c>
      <c r="H478" s="17" t="s">
        <v>491</v>
      </c>
    </row>
    <row r="479" spans="2:8">
      <c r="B479"/>
      <c r="E479" s="25" t="s">
        <v>25</v>
      </c>
      <c r="F479" s="25" t="s">
        <v>34</v>
      </c>
      <c r="G479" s="17" t="s">
        <v>988</v>
      </c>
      <c r="H479" s="17" t="s">
        <v>491</v>
      </c>
    </row>
    <row r="480" spans="2:8">
      <c r="B480"/>
      <c r="E480" s="25" t="s">
        <v>25</v>
      </c>
      <c r="F480" s="25" t="s">
        <v>34</v>
      </c>
      <c r="G480" s="14" t="s">
        <v>989</v>
      </c>
      <c r="H480" s="14" t="s">
        <v>492</v>
      </c>
    </row>
    <row r="481" spans="2:8">
      <c r="B481"/>
      <c r="E481" s="25" t="s">
        <v>25</v>
      </c>
      <c r="F481" s="25" t="s">
        <v>34</v>
      </c>
      <c r="G481" s="14" t="s">
        <v>990</v>
      </c>
      <c r="H481" s="14" t="s">
        <v>492</v>
      </c>
    </row>
    <row r="482" spans="2:8">
      <c r="B482"/>
      <c r="E482" s="25" t="s">
        <v>25</v>
      </c>
      <c r="F482" s="25" t="s">
        <v>34</v>
      </c>
      <c r="G482" s="14" t="s">
        <v>991</v>
      </c>
      <c r="H482" s="14" t="s">
        <v>492</v>
      </c>
    </row>
    <row r="483" spans="2:8">
      <c r="B483"/>
      <c r="E483" s="25" t="s">
        <v>25</v>
      </c>
      <c r="F483" s="25" t="s">
        <v>34</v>
      </c>
      <c r="G483" s="14" t="s">
        <v>992</v>
      </c>
      <c r="H483" s="14" t="s">
        <v>492</v>
      </c>
    </row>
    <row r="484" spans="2:8">
      <c r="B484"/>
      <c r="E484" s="25" t="s">
        <v>25</v>
      </c>
      <c r="F484" s="25" t="s">
        <v>34</v>
      </c>
      <c r="G484" s="14" t="s">
        <v>993</v>
      </c>
      <c r="H484" s="14" t="s">
        <v>492</v>
      </c>
    </row>
    <row r="485" spans="2:8">
      <c r="B485"/>
      <c r="E485" s="25" t="s">
        <v>25</v>
      </c>
      <c r="F485" s="25" t="s">
        <v>34</v>
      </c>
      <c r="G485" s="14" t="s">
        <v>994</v>
      </c>
      <c r="H485" s="14" t="s">
        <v>492</v>
      </c>
    </row>
    <row r="486" spans="2:8">
      <c r="B486"/>
      <c r="E486" s="25" t="s">
        <v>25</v>
      </c>
      <c r="F486" s="25" t="s">
        <v>34</v>
      </c>
      <c r="G486" s="14" t="s">
        <v>995</v>
      </c>
      <c r="H486" s="14" t="s">
        <v>492</v>
      </c>
    </row>
    <row r="487" spans="2:8">
      <c r="B487"/>
      <c r="E487" s="25" t="s">
        <v>25</v>
      </c>
      <c r="F487" s="25" t="s">
        <v>34</v>
      </c>
      <c r="G487" s="14" t="s">
        <v>996</v>
      </c>
      <c r="H487" s="14" t="s">
        <v>492</v>
      </c>
    </row>
    <row r="488" spans="2:8">
      <c r="B488"/>
      <c r="E488" s="25" t="s">
        <v>25</v>
      </c>
      <c r="F488" s="25" t="s">
        <v>34</v>
      </c>
      <c r="G488" s="14" t="s">
        <v>997</v>
      </c>
      <c r="H488" s="14" t="s">
        <v>492</v>
      </c>
    </row>
    <row r="489" spans="2:8">
      <c r="B489"/>
      <c r="E489" s="25" t="s">
        <v>25</v>
      </c>
      <c r="F489" s="25" t="s">
        <v>34</v>
      </c>
      <c r="G489" s="14" t="s">
        <v>998</v>
      </c>
      <c r="H489" s="14" t="s">
        <v>492</v>
      </c>
    </row>
    <row r="490" spans="2:8">
      <c r="B490"/>
      <c r="E490" s="25" t="s">
        <v>25</v>
      </c>
      <c r="F490" s="25" t="s">
        <v>34</v>
      </c>
      <c r="G490" s="14" t="s">
        <v>999</v>
      </c>
      <c r="H490" s="14" t="s">
        <v>492</v>
      </c>
    </row>
    <row r="491" spans="2:8">
      <c r="B491"/>
      <c r="E491" s="25" t="s">
        <v>25</v>
      </c>
      <c r="F491" s="25" t="s">
        <v>34</v>
      </c>
      <c r="G491" s="14" t="s">
        <v>1000</v>
      </c>
      <c r="H491" s="14" t="s">
        <v>492</v>
      </c>
    </row>
    <row r="492" spans="2:8">
      <c r="B492"/>
      <c r="E492" s="25" t="s">
        <v>25</v>
      </c>
      <c r="F492" s="25" t="s">
        <v>34</v>
      </c>
      <c r="G492" s="14" t="s">
        <v>1001</v>
      </c>
      <c r="H492" s="14" t="s">
        <v>492</v>
      </c>
    </row>
    <row r="493" spans="2:8">
      <c r="B493"/>
      <c r="E493" s="25" t="s">
        <v>25</v>
      </c>
      <c r="F493" s="25" t="s">
        <v>34</v>
      </c>
      <c r="G493" s="14" t="s">
        <v>1002</v>
      </c>
      <c r="H493" s="14" t="s">
        <v>492</v>
      </c>
    </row>
    <row r="494" spans="2:8">
      <c r="B494"/>
      <c r="E494" s="25" t="s">
        <v>25</v>
      </c>
      <c r="F494" s="25" t="s">
        <v>34</v>
      </c>
      <c r="G494" s="14" t="s">
        <v>1003</v>
      </c>
      <c r="H494" s="14" t="s">
        <v>492</v>
      </c>
    </row>
    <row r="495" spans="2:8">
      <c r="B495"/>
      <c r="E495" s="25" t="s">
        <v>25</v>
      </c>
      <c r="F495" s="25" t="s">
        <v>34</v>
      </c>
      <c r="G495" s="14" t="s">
        <v>1004</v>
      </c>
      <c r="H495" s="14" t="s">
        <v>492</v>
      </c>
    </row>
    <row r="496" spans="2:8">
      <c r="B496"/>
      <c r="E496" s="25" t="s">
        <v>25</v>
      </c>
      <c r="F496" s="25" t="s">
        <v>34</v>
      </c>
      <c r="G496" s="14" t="s">
        <v>1005</v>
      </c>
      <c r="H496" s="14" t="s">
        <v>492</v>
      </c>
    </row>
    <row r="497" spans="2:8">
      <c r="B497"/>
      <c r="E497" s="25" t="s">
        <v>25</v>
      </c>
      <c r="F497" s="25" t="s">
        <v>34</v>
      </c>
      <c r="G497" s="14" t="s">
        <v>1006</v>
      </c>
      <c r="H497" s="14" t="s">
        <v>492</v>
      </c>
    </row>
    <row r="498" spans="2:8">
      <c r="B498"/>
      <c r="E498" s="26" t="s">
        <v>25</v>
      </c>
      <c r="F498" s="26" t="s">
        <v>32</v>
      </c>
      <c r="G498" s="14" t="s">
        <v>1025</v>
      </c>
      <c r="H498" s="14" t="s">
        <v>492</v>
      </c>
    </row>
    <row r="499" spans="2:8">
      <c r="B499"/>
      <c r="E499" s="26" t="s">
        <v>25</v>
      </c>
      <c r="F499" s="26" t="s">
        <v>32</v>
      </c>
      <c r="G499" s="14" t="s">
        <v>1026</v>
      </c>
      <c r="H499" s="14" t="s">
        <v>492</v>
      </c>
    </row>
    <row r="500" spans="2:8">
      <c r="B500"/>
      <c r="E500" s="26" t="s">
        <v>25</v>
      </c>
      <c r="F500" s="26" t="s">
        <v>32</v>
      </c>
      <c r="G500" s="14" t="s">
        <v>1027</v>
      </c>
      <c r="H500" s="14" t="s">
        <v>492</v>
      </c>
    </row>
    <row r="501" spans="2:8">
      <c r="B501"/>
      <c r="E501" s="26" t="s">
        <v>25</v>
      </c>
      <c r="F501" s="26" t="s">
        <v>32</v>
      </c>
      <c r="G501" s="14" t="s">
        <v>1028</v>
      </c>
      <c r="H501" s="14" t="s">
        <v>492</v>
      </c>
    </row>
    <row r="502" spans="2:8">
      <c r="B502"/>
      <c r="E502" s="26" t="s">
        <v>25</v>
      </c>
      <c r="F502" s="26" t="s">
        <v>32</v>
      </c>
      <c r="G502" s="14" t="s">
        <v>1029</v>
      </c>
      <c r="H502" s="14" t="s">
        <v>492</v>
      </c>
    </row>
    <row r="503" spans="2:8">
      <c r="B503"/>
      <c r="E503" s="26" t="s">
        <v>25</v>
      </c>
      <c r="F503" s="26" t="s">
        <v>32</v>
      </c>
      <c r="G503" s="14" t="s">
        <v>1030</v>
      </c>
      <c r="H503" s="14" t="s">
        <v>492</v>
      </c>
    </row>
    <row r="504" spans="2:8">
      <c r="B504"/>
      <c r="E504" s="26" t="s">
        <v>25</v>
      </c>
      <c r="F504" s="26" t="s">
        <v>32</v>
      </c>
      <c r="G504" s="14" t="s">
        <v>1031</v>
      </c>
      <c r="H504" s="14" t="s">
        <v>492</v>
      </c>
    </row>
    <row r="505" spans="2:8">
      <c r="B505"/>
      <c r="E505" s="26" t="s">
        <v>25</v>
      </c>
      <c r="F505" s="26" t="s">
        <v>32</v>
      </c>
      <c r="G505" s="14" t="s">
        <v>1032</v>
      </c>
      <c r="H505" s="14" t="s">
        <v>492</v>
      </c>
    </row>
    <row r="506" spans="2:8">
      <c r="B506"/>
      <c r="E506" s="26" t="s">
        <v>25</v>
      </c>
      <c r="F506" s="26" t="s">
        <v>32</v>
      </c>
      <c r="G506" s="14" t="s">
        <v>1033</v>
      </c>
      <c r="H506" s="14" t="s">
        <v>492</v>
      </c>
    </row>
    <row r="507" spans="2:8">
      <c r="B507"/>
      <c r="E507" s="26" t="s">
        <v>25</v>
      </c>
      <c r="F507" s="26" t="s">
        <v>32</v>
      </c>
      <c r="G507" s="14" t="s">
        <v>1034</v>
      </c>
      <c r="H507" s="14" t="s">
        <v>492</v>
      </c>
    </row>
    <row r="508" spans="2:8">
      <c r="B508"/>
      <c r="E508" s="26" t="s">
        <v>25</v>
      </c>
      <c r="F508" s="26" t="s">
        <v>32</v>
      </c>
      <c r="G508" s="13" t="s">
        <v>1007</v>
      </c>
      <c r="H508" s="13" t="s">
        <v>490</v>
      </c>
    </row>
    <row r="509" spans="2:8">
      <c r="B509"/>
      <c r="E509" s="26" t="s">
        <v>25</v>
      </c>
      <c r="F509" s="26" t="s">
        <v>32</v>
      </c>
      <c r="G509" s="13" t="s">
        <v>1008</v>
      </c>
      <c r="H509" s="13" t="s">
        <v>490</v>
      </c>
    </row>
    <row r="510" spans="2:8">
      <c r="B510"/>
      <c r="E510" s="26" t="s">
        <v>25</v>
      </c>
      <c r="F510" s="26" t="s">
        <v>32</v>
      </c>
      <c r="G510" s="13" t="s">
        <v>1009</v>
      </c>
      <c r="H510" s="13" t="s">
        <v>490</v>
      </c>
    </row>
    <row r="511" spans="2:8">
      <c r="B511"/>
      <c r="E511" s="26" t="s">
        <v>25</v>
      </c>
      <c r="F511" s="26" t="s">
        <v>32</v>
      </c>
      <c r="G511" s="13" t="s">
        <v>1010</v>
      </c>
      <c r="H511" s="13" t="s">
        <v>490</v>
      </c>
    </row>
    <row r="512" spans="2:8">
      <c r="B512"/>
      <c r="E512" s="26" t="s">
        <v>25</v>
      </c>
      <c r="F512" s="26" t="s">
        <v>32</v>
      </c>
      <c r="G512" s="13" t="s">
        <v>1011</v>
      </c>
      <c r="H512" s="13" t="s">
        <v>490</v>
      </c>
    </row>
    <row r="513" spans="2:8">
      <c r="B513"/>
      <c r="E513" s="26" t="s">
        <v>25</v>
      </c>
      <c r="F513" s="26" t="s">
        <v>32</v>
      </c>
      <c r="G513" s="13" t="s">
        <v>1012</v>
      </c>
      <c r="H513" s="13" t="s">
        <v>490</v>
      </c>
    </row>
    <row r="514" spans="2:8">
      <c r="B514"/>
      <c r="E514" s="26" t="s">
        <v>25</v>
      </c>
      <c r="F514" s="26" t="s">
        <v>32</v>
      </c>
      <c r="G514" s="13" t="s">
        <v>1013</v>
      </c>
      <c r="H514" s="13" t="s">
        <v>490</v>
      </c>
    </row>
    <row r="515" spans="2:8">
      <c r="B515"/>
      <c r="E515" s="26" t="s">
        <v>25</v>
      </c>
      <c r="F515" s="26" t="s">
        <v>32</v>
      </c>
      <c r="G515" s="13" t="s">
        <v>962</v>
      </c>
      <c r="H515" s="13" t="s">
        <v>490</v>
      </c>
    </row>
    <row r="516" spans="2:8">
      <c r="B516"/>
      <c r="E516" s="26" t="s">
        <v>25</v>
      </c>
      <c r="F516" s="26" t="s">
        <v>32</v>
      </c>
      <c r="G516" s="13" t="s">
        <v>1014</v>
      </c>
      <c r="H516" s="13" t="s">
        <v>490</v>
      </c>
    </row>
    <row r="517" spans="2:8">
      <c r="B517"/>
      <c r="E517" s="26" t="s">
        <v>25</v>
      </c>
      <c r="F517" s="26" t="s">
        <v>32</v>
      </c>
      <c r="G517" s="13" t="s">
        <v>1015</v>
      </c>
      <c r="H517" s="13" t="s">
        <v>490</v>
      </c>
    </row>
    <row r="518" spans="2:8">
      <c r="B518"/>
      <c r="E518" s="26" t="s">
        <v>25</v>
      </c>
      <c r="F518" s="26" t="s">
        <v>32</v>
      </c>
      <c r="G518" s="13" t="s">
        <v>1016</v>
      </c>
      <c r="H518" s="13" t="s">
        <v>490</v>
      </c>
    </row>
    <row r="519" spans="2:8">
      <c r="B519"/>
      <c r="E519" s="26" t="s">
        <v>25</v>
      </c>
      <c r="F519" s="26" t="s">
        <v>32</v>
      </c>
      <c r="G519" s="13" t="s">
        <v>1017</v>
      </c>
      <c r="H519" s="13" t="s">
        <v>490</v>
      </c>
    </row>
    <row r="520" spans="2:8">
      <c r="B520"/>
      <c r="E520" s="26" t="s">
        <v>25</v>
      </c>
      <c r="F520" s="26" t="s">
        <v>32</v>
      </c>
      <c r="G520" s="13" t="s">
        <v>1018</v>
      </c>
      <c r="H520" s="13" t="s">
        <v>490</v>
      </c>
    </row>
    <row r="521" spans="2:8">
      <c r="B521"/>
      <c r="E521" s="26" t="s">
        <v>25</v>
      </c>
      <c r="F521" s="26" t="s">
        <v>32</v>
      </c>
      <c r="G521" s="13" t="s">
        <v>1019</v>
      </c>
      <c r="H521" s="13" t="s">
        <v>490</v>
      </c>
    </row>
    <row r="522" spans="2:8">
      <c r="B522"/>
      <c r="E522" s="26" t="s">
        <v>25</v>
      </c>
      <c r="F522" s="26" t="s">
        <v>32</v>
      </c>
      <c r="G522" s="13" t="s">
        <v>1020</v>
      </c>
      <c r="H522" s="13" t="s">
        <v>490</v>
      </c>
    </row>
    <row r="523" spans="2:8">
      <c r="B523"/>
      <c r="E523" s="26" t="s">
        <v>25</v>
      </c>
      <c r="F523" s="26" t="s">
        <v>32</v>
      </c>
      <c r="G523" s="13" t="s">
        <v>1021</v>
      </c>
      <c r="H523" s="13" t="s">
        <v>490</v>
      </c>
    </row>
    <row r="524" spans="2:8">
      <c r="B524"/>
      <c r="E524" s="26" t="s">
        <v>25</v>
      </c>
      <c r="F524" s="26" t="s">
        <v>32</v>
      </c>
      <c r="G524" s="13" t="s">
        <v>1022</v>
      </c>
      <c r="H524" s="13" t="s">
        <v>490</v>
      </c>
    </row>
    <row r="525" spans="2:8">
      <c r="B525"/>
      <c r="E525" s="26" t="s">
        <v>25</v>
      </c>
      <c r="F525" s="26" t="s">
        <v>32</v>
      </c>
      <c r="G525" s="13" t="s">
        <v>1023</v>
      </c>
      <c r="H525" s="13" t="s">
        <v>490</v>
      </c>
    </row>
    <row r="526" spans="2:8">
      <c r="B526"/>
      <c r="E526" s="26" t="s">
        <v>25</v>
      </c>
      <c r="F526" s="26" t="s">
        <v>32</v>
      </c>
      <c r="G526" s="13" t="s">
        <v>1024</v>
      </c>
      <c r="H526" s="13" t="s">
        <v>490</v>
      </c>
    </row>
    <row r="527" spans="2:8">
      <c r="B527"/>
      <c r="E527" s="25" t="s">
        <v>25</v>
      </c>
      <c r="F527" s="28" t="s">
        <v>1035</v>
      </c>
      <c r="G527" s="17" t="s">
        <v>1039</v>
      </c>
      <c r="H527" s="17" t="s">
        <v>491</v>
      </c>
    </row>
    <row r="528" spans="2:8">
      <c r="B528"/>
      <c r="E528" s="25" t="s">
        <v>25</v>
      </c>
      <c r="F528" s="28" t="s">
        <v>1035</v>
      </c>
      <c r="G528" s="17" t="s">
        <v>1040</v>
      </c>
      <c r="H528" s="17" t="s">
        <v>491</v>
      </c>
    </row>
    <row r="529" spans="2:8">
      <c r="B529"/>
      <c r="E529" s="25" t="s">
        <v>25</v>
      </c>
      <c r="F529" s="28" t="s">
        <v>1035</v>
      </c>
      <c r="G529" s="17" t="s">
        <v>1041</v>
      </c>
      <c r="H529" s="17" t="s">
        <v>491</v>
      </c>
    </row>
    <row r="530" spans="2:8">
      <c r="B530"/>
      <c r="E530" s="25" t="s">
        <v>25</v>
      </c>
      <c r="F530" s="28" t="s">
        <v>1035</v>
      </c>
      <c r="G530" s="17" t="s">
        <v>1042</v>
      </c>
      <c r="H530" s="17" t="s">
        <v>491</v>
      </c>
    </row>
    <row r="531" spans="2:8">
      <c r="B531"/>
      <c r="E531" s="25" t="s">
        <v>25</v>
      </c>
      <c r="F531" s="28" t="s">
        <v>1035</v>
      </c>
      <c r="G531" s="17" t="s">
        <v>1043</v>
      </c>
      <c r="H531" s="17" t="s">
        <v>491</v>
      </c>
    </row>
    <row r="532" spans="2:8">
      <c r="B532"/>
      <c r="E532" s="25" t="s">
        <v>25</v>
      </c>
      <c r="F532" s="28" t="s">
        <v>1035</v>
      </c>
      <c r="G532" s="17" t="s">
        <v>1044</v>
      </c>
      <c r="H532" s="17" t="s">
        <v>491</v>
      </c>
    </row>
    <row r="533" spans="2:8">
      <c r="B533"/>
      <c r="E533" s="25" t="s">
        <v>25</v>
      </c>
      <c r="F533" s="28" t="s">
        <v>1035</v>
      </c>
      <c r="G533" s="17" t="s">
        <v>1045</v>
      </c>
      <c r="H533" s="17" t="s">
        <v>491</v>
      </c>
    </row>
    <row r="534" spans="2:8">
      <c r="B534"/>
      <c r="E534" s="25" t="s">
        <v>25</v>
      </c>
      <c r="F534" s="28" t="s">
        <v>1035</v>
      </c>
      <c r="G534" s="17" t="s">
        <v>1046</v>
      </c>
      <c r="H534" s="17" t="s">
        <v>491</v>
      </c>
    </row>
    <row r="535" spans="2:8">
      <c r="B535"/>
      <c r="E535" s="25" t="s">
        <v>25</v>
      </c>
      <c r="F535" s="28" t="s">
        <v>1035</v>
      </c>
      <c r="G535" s="17" t="s">
        <v>1047</v>
      </c>
      <c r="H535" s="17" t="s">
        <v>491</v>
      </c>
    </row>
    <row r="536" spans="2:8">
      <c r="B536"/>
      <c r="E536" s="25" t="s">
        <v>25</v>
      </c>
      <c r="F536" s="28" t="s">
        <v>1035</v>
      </c>
      <c r="G536" s="17" t="s">
        <v>1048</v>
      </c>
      <c r="H536" s="17" t="s">
        <v>491</v>
      </c>
    </row>
    <row r="537" spans="2:8">
      <c r="B537"/>
      <c r="E537" s="25" t="s">
        <v>25</v>
      </c>
      <c r="F537" s="28" t="s">
        <v>1035</v>
      </c>
      <c r="G537" s="17" t="s">
        <v>1049</v>
      </c>
      <c r="H537" s="17" t="s">
        <v>491</v>
      </c>
    </row>
    <row r="538" spans="2:8">
      <c r="B538"/>
      <c r="E538" s="25" t="s">
        <v>25</v>
      </c>
      <c r="F538" s="28" t="s">
        <v>1035</v>
      </c>
      <c r="G538" s="17" t="s">
        <v>1050</v>
      </c>
      <c r="H538" s="17" t="s">
        <v>491</v>
      </c>
    </row>
    <row r="539" spans="2:8">
      <c r="B539"/>
      <c r="E539" s="25" t="s">
        <v>25</v>
      </c>
      <c r="F539" s="28" t="s">
        <v>1035</v>
      </c>
      <c r="G539" s="17" t="s">
        <v>1051</v>
      </c>
      <c r="H539" s="17" t="s">
        <v>491</v>
      </c>
    </row>
    <row r="540" spans="2:8">
      <c r="B540"/>
      <c r="E540" s="25" t="s">
        <v>25</v>
      </c>
      <c r="F540" s="28" t="s">
        <v>1035</v>
      </c>
      <c r="G540" s="17" t="s">
        <v>1052</v>
      </c>
      <c r="H540" s="17" t="s">
        <v>491</v>
      </c>
    </row>
    <row r="541" spans="2:8">
      <c r="B541"/>
      <c r="E541" s="25" t="s">
        <v>25</v>
      </c>
      <c r="F541" s="28" t="s">
        <v>1035</v>
      </c>
      <c r="G541" s="17" t="s">
        <v>1053</v>
      </c>
      <c r="H541" s="17" t="s">
        <v>491</v>
      </c>
    </row>
    <row r="542" spans="2:8">
      <c r="B542"/>
      <c r="E542" s="25" t="s">
        <v>25</v>
      </c>
      <c r="F542" s="28" t="s">
        <v>1035</v>
      </c>
      <c r="G542" s="17" t="s">
        <v>1054</v>
      </c>
      <c r="H542" s="17" t="s">
        <v>491</v>
      </c>
    </row>
    <row r="543" spans="2:8">
      <c r="B543"/>
      <c r="E543" s="25" t="s">
        <v>25</v>
      </c>
      <c r="F543" s="28" t="s">
        <v>1035</v>
      </c>
      <c r="G543" s="17" t="s">
        <v>1055</v>
      </c>
      <c r="H543" s="17" t="s">
        <v>491</v>
      </c>
    </row>
    <row r="544" spans="2:8">
      <c r="B544"/>
      <c r="E544" s="25" t="s">
        <v>25</v>
      </c>
      <c r="F544" s="28" t="s">
        <v>1035</v>
      </c>
      <c r="G544" s="17" t="s">
        <v>1056</v>
      </c>
      <c r="H544" s="17" t="s">
        <v>491</v>
      </c>
    </row>
    <row r="545" spans="2:8">
      <c r="B545"/>
      <c r="E545" s="25" t="s">
        <v>25</v>
      </c>
      <c r="F545" s="28" t="s">
        <v>1035</v>
      </c>
      <c r="G545" s="17" t="s">
        <v>1057</v>
      </c>
      <c r="H545" s="17" t="s">
        <v>491</v>
      </c>
    </row>
    <row r="546" spans="2:8">
      <c r="B546"/>
      <c r="E546" s="25" t="s">
        <v>25</v>
      </c>
      <c r="F546" s="28" t="s">
        <v>1035</v>
      </c>
      <c r="G546" s="17" t="s">
        <v>1058</v>
      </c>
      <c r="H546" s="17" t="s">
        <v>491</v>
      </c>
    </row>
    <row r="547" spans="2:8">
      <c r="B547"/>
      <c r="E547" s="25" t="s">
        <v>25</v>
      </c>
      <c r="F547" s="28" t="s">
        <v>1035</v>
      </c>
      <c r="G547" s="17" t="s">
        <v>1059</v>
      </c>
      <c r="H547" s="17" t="s">
        <v>491</v>
      </c>
    </row>
    <row r="548" spans="2:8">
      <c r="B548"/>
      <c r="E548" s="25" t="s">
        <v>25</v>
      </c>
      <c r="F548" s="28" t="s">
        <v>1035</v>
      </c>
      <c r="G548" s="17" t="s">
        <v>1060</v>
      </c>
      <c r="H548" s="17" t="s">
        <v>491</v>
      </c>
    </row>
    <row r="549" spans="2:8">
      <c r="B549"/>
      <c r="E549" s="25" t="s">
        <v>25</v>
      </c>
      <c r="F549" s="28" t="s">
        <v>1035</v>
      </c>
      <c r="G549" s="17" t="s">
        <v>1061</v>
      </c>
      <c r="H549" s="17" t="s">
        <v>491</v>
      </c>
    </row>
    <row r="550" spans="2:8">
      <c r="B550"/>
      <c r="E550" s="25" t="s">
        <v>25</v>
      </c>
      <c r="F550" s="28" t="s">
        <v>1035</v>
      </c>
      <c r="G550" s="17" t="s">
        <v>1062</v>
      </c>
      <c r="H550" s="17" t="s">
        <v>491</v>
      </c>
    </row>
    <row r="551" spans="2:8">
      <c r="B551"/>
      <c r="E551" s="25" t="s">
        <v>25</v>
      </c>
      <c r="F551" s="28" t="s">
        <v>1035</v>
      </c>
      <c r="G551" s="17" t="s">
        <v>1063</v>
      </c>
      <c r="H551" s="17" t="s">
        <v>491</v>
      </c>
    </row>
    <row r="552" spans="2:8">
      <c r="B552"/>
      <c r="E552" s="25" t="s">
        <v>25</v>
      </c>
      <c r="F552" s="28" t="s">
        <v>1035</v>
      </c>
      <c r="G552" s="17" t="s">
        <v>1064</v>
      </c>
      <c r="H552" s="17" t="s">
        <v>491</v>
      </c>
    </row>
    <row r="553" spans="2:8">
      <c r="B553"/>
      <c r="E553" s="25" t="s">
        <v>25</v>
      </c>
      <c r="F553" s="28" t="s">
        <v>1035</v>
      </c>
      <c r="G553" s="17" t="s">
        <v>1065</v>
      </c>
      <c r="H553" s="17" t="s">
        <v>491</v>
      </c>
    </row>
    <row r="554" spans="2:8">
      <c r="B554"/>
      <c r="E554" s="25" t="s">
        <v>25</v>
      </c>
      <c r="F554" s="28" t="s">
        <v>1035</v>
      </c>
      <c r="G554" s="17" t="s">
        <v>1066</v>
      </c>
      <c r="H554" s="17" t="s">
        <v>491</v>
      </c>
    </row>
    <row r="555" spans="2:8">
      <c r="B555"/>
      <c r="E555" s="25" t="s">
        <v>25</v>
      </c>
      <c r="F555" s="28" t="s">
        <v>1035</v>
      </c>
      <c r="G555" s="17" t="s">
        <v>1067</v>
      </c>
      <c r="H555" s="17" t="s">
        <v>491</v>
      </c>
    </row>
    <row r="556" spans="2:8">
      <c r="B556"/>
      <c r="E556" s="25" t="s">
        <v>25</v>
      </c>
      <c r="F556" s="28" t="s">
        <v>1035</v>
      </c>
      <c r="G556" s="17" t="s">
        <v>1068</v>
      </c>
      <c r="H556" s="17" t="s">
        <v>491</v>
      </c>
    </row>
    <row r="557" spans="2:8">
      <c r="B557"/>
      <c r="E557" s="25" t="s">
        <v>25</v>
      </c>
      <c r="F557" s="28" t="s">
        <v>1035</v>
      </c>
      <c r="G557" s="17" t="s">
        <v>1069</v>
      </c>
      <c r="H557" s="17" t="s">
        <v>491</v>
      </c>
    </row>
    <row r="558" spans="2:8">
      <c r="B558"/>
      <c r="E558" s="25" t="s">
        <v>25</v>
      </c>
      <c r="F558" s="28" t="s">
        <v>1035</v>
      </c>
      <c r="G558" s="17" t="s">
        <v>1070</v>
      </c>
      <c r="H558" s="17" t="s">
        <v>491</v>
      </c>
    </row>
    <row r="559" spans="2:8">
      <c r="B559"/>
      <c r="E559" s="25" t="s">
        <v>25</v>
      </c>
      <c r="F559" s="28" t="s">
        <v>1035</v>
      </c>
      <c r="G559" s="17" t="s">
        <v>1071</v>
      </c>
      <c r="H559" s="17" t="s">
        <v>491</v>
      </c>
    </row>
    <row r="560" spans="2:8">
      <c r="B560"/>
      <c r="E560" s="25" t="s">
        <v>25</v>
      </c>
      <c r="F560" s="28" t="s">
        <v>1035</v>
      </c>
      <c r="G560" s="17" t="s">
        <v>1072</v>
      </c>
      <c r="H560" s="17" t="s">
        <v>491</v>
      </c>
    </row>
    <row r="561" spans="2:8">
      <c r="B561"/>
      <c r="E561" s="25" t="s">
        <v>25</v>
      </c>
      <c r="F561" s="28" t="s">
        <v>1035</v>
      </c>
      <c r="G561" s="17" t="s">
        <v>1073</v>
      </c>
      <c r="H561" s="17" t="s">
        <v>491</v>
      </c>
    </row>
    <row r="562" spans="2:8">
      <c r="B562"/>
      <c r="E562" s="25" t="s">
        <v>25</v>
      </c>
      <c r="F562" s="28" t="s">
        <v>1035</v>
      </c>
      <c r="G562" s="17" t="s">
        <v>1074</v>
      </c>
      <c r="H562" s="17" t="s">
        <v>491</v>
      </c>
    </row>
    <row r="563" spans="2:8">
      <c r="B563"/>
      <c r="E563" s="25" t="s">
        <v>25</v>
      </c>
      <c r="F563" s="28" t="s">
        <v>1035</v>
      </c>
      <c r="G563" s="17" t="s">
        <v>1075</v>
      </c>
      <c r="H563" s="17" t="s">
        <v>491</v>
      </c>
    </row>
    <row r="564" spans="2:8">
      <c r="B564"/>
      <c r="E564" s="25" t="s">
        <v>25</v>
      </c>
      <c r="F564" s="28" t="s">
        <v>1035</v>
      </c>
      <c r="G564" s="17" t="s">
        <v>985</v>
      </c>
      <c r="H564" s="17" t="s">
        <v>491</v>
      </c>
    </row>
    <row r="565" spans="2:8">
      <c r="B565"/>
      <c r="E565" s="25" t="s">
        <v>25</v>
      </c>
      <c r="F565" s="28" t="s">
        <v>1035</v>
      </c>
      <c r="G565" s="14" t="s">
        <v>1076</v>
      </c>
      <c r="H565" s="14" t="s">
        <v>492</v>
      </c>
    </row>
    <row r="566" spans="2:8">
      <c r="B566"/>
      <c r="E566" s="25" t="s">
        <v>25</v>
      </c>
      <c r="F566" s="28" t="s">
        <v>1035</v>
      </c>
      <c r="G566" s="14" t="s">
        <v>1077</v>
      </c>
      <c r="H566" s="14" t="s">
        <v>492</v>
      </c>
    </row>
    <row r="567" spans="2:8">
      <c r="B567"/>
      <c r="E567" s="25" t="s">
        <v>25</v>
      </c>
      <c r="F567" s="28" t="s">
        <v>1035</v>
      </c>
      <c r="G567" s="14" t="s">
        <v>1078</v>
      </c>
      <c r="H567" s="14" t="s">
        <v>492</v>
      </c>
    </row>
    <row r="568" spans="2:8">
      <c r="B568"/>
      <c r="E568" s="25" t="s">
        <v>25</v>
      </c>
      <c r="F568" s="28" t="s">
        <v>1035</v>
      </c>
      <c r="G568" s="14" t="s">
        <v>1079</v>
      </c>
      <c r="H568" s="14" t="s">
        <v>492</v>
      </c>
    </row>
    <row r="569" spans="2:8">
      <c r="B569"/>
      <c r="E569" s="25" t="s">
        <v>25</v>
      </c>
      <c r="F569" s="28" t="s">
        <v>1035</v>
      </c>
      <c r="G569" s="14" t="s">
        <v>1080</v>
      </c>
      <c r="H569" s="14" t="s">
        <v>492</v>
      </c>
    </row>
    <row r="570" spans="2:8">
      <c r="B570"/>
      <c r="E570" s="25" t="s">
        <v>25</v>
      </c>
      <c r="F570" s="28" t="s">
        <v>1035</v>
      </c>
      <c r="G570" s="14" t="s">
        <v>1081</v>
      </c>
      <c r="H570" s="14" t="s">
        <v>492</v>
      </c>
    </row>
    <row r="571" spans="2:8">
      <c r="B571"/>
      <c r="E571" s="25" t="s">
        <v>25</v>
      </c>
      <c r="F571" s="28" t="s">
        <v>1035</v>
      </c>
      <c r="G571" s="14" t="s">
        <v>1082</v>
      </c>
      <c r="H571" s="14" t="s">
        <v>492</v>
      </c>
    </row>
    <row r="572" spans="2:8">
      <c r="B572"/>
      <c r="E572" s="25" t="s">
        <v>25</v>
      </c>
      <c r="F572" s="28" t="s">
        <v>1035</v>
      </c>
      <c r="G572" s="14" t="s">
        <v>1083</v>
      </c>
      <c r="H572" s="14" t="s">
        <v>492</v>
      </c>
    </row>
    <row r="573" spans="2:8">
      <c r="B573"/>
      <c r="E573" s="25" t="s">
        <v>25</v>
      </c>
      <c r="F573" s="28" t="s">
        <v>1035</v>
      </c>
      <c r="G573" s="14" t="s">
        <v>1084</v>
      </c>
      <c r="H573" s="14" t="s">
        <v>492</v>
      </c>
    </row>
    <row r="574" spans="2:8">
      <c r="B574"/>
      <c r="E574" s="25" t="s">
        <v>25</v>
      </c>
      <c r="F574" s="28" t="s">
        <v>1035</v>
      </c>
      <c r="G574" s="14" t="s">
        <v>968</v>
      </c>
      <c r="H574" s="14" t="s">
        <v>492</v>
      </c>
    </row>
    <row r="575" spans="2:8">
      <c r="B575"/>
      <c r="E575" s="25" t="s">
        <v>25</v>
      </c>
      <c r="F575" s="28" t="s">
        <v>1035</v>
      </c>
      <c r="G575" s="14" t="s">
        <v>969</v>
      </c>
      <c r="H575" s="14" t="s">
        <v>492</v>
      </c>
    </row>
    <row r="576" spans="2:8">
      <c r="B576"/>
      <c r="E576" s="25" t="s">
        <v>25</v>
      </c>
      <c r="F576" s="28" t="s">
        <v>1035</v>
      </c>
      <c r="G576" s="14" t="s">
        <v>996</v>
      </c>
      <c r="H576" s="14" t="s">
        <v>492</v>
      </c>
    </row>
    <row r="577" spans="2:8">
      <c r="B577"/>
      <c r="E577" s="25" t="s">
        <v>25</v>
      </c>
      <c r="F577" s="28" t="s">
        <v>1035</v>
      </c>
      <c r="G577" s="14" t="s">
        <v>1085</v>
      </c>
      <c r="H577" s="14" t="s">
        <v>492</v>
      </c>
    </row>
    <row r="578" spans="2:8">
      <c r="B578"/>
      <c r="E578" s="25" t="s">
        <v>25</v>
      </c>
      <c r="F578" s="28" t="s">
        <v>1035</v>
      </c>
      <c r="G578" s="14" t="s">
        <v>1086</v>
      </c>
      <c r="H578" s="14" t="s">
        <v>492</v>
      </c>
    </row>
    <row r="579" spans="2:8">
      <c r="B579"/>
      <c r="E579" s="25" t="s">
        <v>25</v>
      </c>
      <c r="F579" s="28" t="s">
        <v>1035</v>
      </c>
      <c r="G579" s="14" t="s">
        <v>1087</v>
      </c>
      <c r="H579" s="14" t="s">
        <v>492</v>
      </c>
    </row>
    <row r="580" spans="2:8">
      <c r="B580"/>
      <c r="E580" s="25" t="s">
        <v>25</v>
      </c>
      <c r="F580" s="28" t="s">
        <v>1035</v>
      </c>
      <c r="G580" s="14" t="s">
        <v>1088</v>
      </c>
      <c r="H580" s="14" t="s">
        <v>492</v>
      </c>
    </row>
    <row r="581" spans="2:8">
      <c r="B581"/>
      <c r="E581" s="25" t="s">
        <v>25</v>
      </c>
      <c r="F581" s="28" t="s">
        <v>1035</v>
      </c>
      <c r="G581" s="14" t="s">
        <v>1089</v>
      </c>
      <c r="H581" s="14" t="s">
        <v>492</v>
      </c>
    </row>
    <row r="582" spans="2:8">
      <c r="B582"/>
      <c r="E582" s="25" t="s">
        <v>25</v>
      </c>
      <c r="F582" s="28" t="s">
        <v>1035</v>
      </c>
      <c r="G582" s="14" t="s">
        <v>1090</v>
      </c>
      <c r="H582" s="14" t="s">
        <v>492</v>
      </c>
    </row>
    <row r="583" spans="2:8">
      <c r="B583"/>
      <c r="E583" s="25" t="s">
        <v>25</v>
      </c>
      <c r="F583" s="28" t="s">
        <v>1035</v>
      </c>
      <c r="G583" s="14" t="s">
        <v>1091</v>
      </c>
      <c r="H583" s="14" t="s">
        <v>492</v>
      </c>
    </row>
    <row r="584" spans="2:8">
      <c r="B584"/>
      <c r="E584" s="25" t="s">
        <v>25</v>
      </c>
      <c r="F584" s="28" t="s">
        <v>1035</v>
      </c>
      <c r="G584" s="14" t="s">
        <v>1092</v>
      </c>
      <c r="H584" s="14" t="s">
        <v>492</v>
      </c>
    </row>
    <row r="585" spans="2:8">
      <c r="B585"/>
      <c r="E585" s="25" t="s">
        <v>25</v>
      </c>
      <c r="F585" s="28" t="s">
        <v>1035</v>
      </c>
      <c r="G585" s="14" t="s">
        <v>1093</v>
      </c>
      <c r="H585" s="14" t="s">
        <v>492</v>
      </c>
    </row>
    <row r="586" spans="2:8">
      <c r="B586"/>
      <c r="E586" s="25" t="s">
        <v>25</v>
      </c>
      <c r="F586" s="28" t="s">
        <v>1035</v>
      </c>
      <c r="G586" s="14" t="s">
        <v>970</v>
      </c>
      <c r="H586" s="14" t="s">
        <v>492</v>
      </c>
    </row>
    <row r="587" spans="2:8">
      <c r="B587"/>
      <c r="E587" s="25" t="s">
        <v>25</v>
      </c>
      <c r="F587" s="28" t="s">
        <v>1035</v>
      </c>
      <c r="G587" s="14" t="s">
        <v>1094</v>
      </c>
      <c r="H587" s="14" t="s">
        <v>492</v>
      </c>
    </row>
    <row r="588" spans="2:8">
      <c r="B588"/>
      <c r="E588" s="25" t="s">
        <v>25</v>
      </c>
      <c r="F588" s="28" t="s">
        <v>1035</v>
      </c>
      <c r="G588" s="14" t="s">
        <v>1095</v>
      </c>
      <c r="H588" s="14" t="s">
        <v>492</v>
      </c>
    </row>
    <row r="589" spans="2:8">
      <c r="B589"/>
      <c r="E589" s="25" t="s">
        <v>25</v>
      </c>
      <c r="F589" s="28" t="s">
        <v>1035</v>
      </c>
      <c r="G589" s="14" t="s">
        <v>1096</v>
      </c>
      <c r="H589" s="14" t="s">
        <v>492</v>
      </c>
    </row>
    <row r="590" spans="2:8">
      <c r="B590"/>
      <c r="E590" s="25" t="s">
        <v>25</v>
      </c>
      <c r="F590" s="28" t="s">
        <v>1035</v>
      </c>
      <c r="G590" s="14" t="s">
        <v>1097</v>
      </c>
      <c r="H590" s="14" t="s">
        <v>492</v>
      </c>
    </row>
    <row r="591" spans="2:8">
      <c r="B591"/>
      <c r="E591" s="25" t="s">
        <v>25</v>
      </c>
      <c r="F591" s="28" t="s">
        <v>1035</v>
      </c>
      <c r="G591" s="14" t="s">
        <v>1098</v>
      </c>
      <c r="H591" s="14" t="s">
        <v>492</v>
      </c>
    </row>
    <row r="592" spans="2:8">
      <c r="B592"/>
      <c r="E592" s="25" t="s">
        <v>25</v>
      </c>
      <c r="F592" s="28" t="s">
        <v>1035</v>
      </c>
      <c r="G592" s="14" t="s">
        <v>1099</v>
      </c>
      <c r="H592" s="14" t="s">
        <v>492</v>
      </c>
    </row>
    <row r="593" spans="2:8">
      <c r="B593"/>
      <c r="E593" s="25" t="s">
        <v>25</v>
      </c>
      <c r="F593" s="28" t="s">
        <v>1035</v>
      </c>
      <c r="G593" s="14" t="s">
        <v>1100</v>
      </c>
      <c r="H593" s="14" t="s">
        <v>492</v>
      </c>
    </row>
    <row r="594" spans="2:8">
      <c r="B594"/>
      <c r="E594" s="25" t="s">
        <v>25</v>
      </c>
      <c r="F594" s="28" t="s">
        <v>1035</v>
      </c>
      <c r="G594" s="14" t="s">
        <v>1101</v>
      </c>
      <c r="H594" s="14" t="s">
        <v>492</v>
      </c>
    </row>
    <row r="595" spans="2:8">
      <c r="B595"/>
      <c r="E595" s="25" t="s">
        <v>25</v>
      </c>
      <c r="F595" s="28" t="s">
        <v>1035</v>
      </c>
      <c r="G595" s="14" t="s">
        <v>1102</v>
      </c>
      <c r="H595" s="14" t="s">
        <v>492</v>
      </c>
    </row>
    <row r="596" spans="2:8">
      <c r="B596"/>
      <c r="E596" s="25" t="s">
        <v>25</v>
      </c>
      <c r="F596" s="28" t="s">
        <v>1035</v>
      </c>
      <c r="G596" s="14" t="s">
        <v>936</v>
      </c>
      <c r="H596" s="14" t="s">
        <v>492</v>
      </c>
    </row>
    <row r="597" spans="2:8">
      <c r="B597"/>
      <c r="E597" s="25" t="s">
        <v>25</v>
      </c>
      <c r="F597" s="28" t="s">
        <v>1035</v>
      </c>
      <c r="G597" s="14" t="s">
        <v>1103</v>
      </c>
      <c r="H597" s="14" t="s">
        <v>492</v>
      </c>
    </row>
    <row r="598" spans="2:8">
      <c r="B598"/>
      <c r="E598" s="25" t="s">
        <v>25</v>
      </c>
      <c r="F598" s="28" t="s">
        <v>1035</v>
      </c>
      <c r="G598" s="14" t="s">
        <v>1104</v>
      </c>
      <c r="H598" s="14" t="s">
        <v>492</v>
      </c>
    </row>
    <row r="599" spans="2:8">
      <c r="B599"/>
      <c r="E599" s="25" t="s">
        <v>25</v>
      </c>
      <c r="F599" s="28" t="s">
        <v>1035</v>
      </c>
      <c r="G599" s="14" t="s">
        <v>1105</v>
      </c>
      <c r="H599" s="14" t="s">
        <v>492</v>
      </c>
    </row>
    <row r="600" spans="2:8">
      <c r="B600"/>
      <c r="E600" s="25" t="s">
        <v>25</v>
      </c>
      <c r="F600" s="28" t="s">
        <v>1035</v>
      </c>
      <c r="G600" s="14" t="s">
        <v>1106</v>
      </c>
      <c r="H600" s="14" t="s">
        <v>492</v>
      </c>
    </row>
    <row r="601" spans="2:8">
      <c r="B601"/>
      <c r="E601" s="25" t="s">
        <v>25</v>
      </c>
      <c r="F601" s="28" t="s">
        <v>1035</v>
      </c>
      <c r="G601" s="14" t="s">
        <v>1107</v>
      </c>
      <c r="H601" s="14" t="s">
        <v>492</v>
      </c>
    </row>
    <row r="602" spans="2:8">
      <c r="B602"/>
      <c r="E602" s="25" t="s">
        <v>25</v>
      </c>
      <c r="F602" s="28" t="s">
        <v>1035</v>
      </c>
      <c r="G602" s="14" t="s">
        <v>1108</v>
      </c>
      <c r="H602" s="14" t="s">
        <v>492</v>
      </c>
    </row>
    <row r="603" spans="2:8">
      <c r="B603"/>
      <c r="E603" s="25" t="s">
        <v>25</v>
      </c>
      <c r="F603" s="28" t="s">
        <v>1035</v>
      </c>
      <c r="G603" s="14" t="s">
        <v>1109</v>
      </c>
      <c r="H603" s="14" t="s">
        <v>492</v>
      </c>
    </row>
    <row r="604" spans="2:8">
      <c r="B604"/>
      <c r="E604" s="25" t="s">
        <v>25</v>
      </c>
      <c r="F604" s="28" t="s">
        <v>1035</v>
      </c>
      <c r="G604" s="14" t="s">
        <v>1110</v>
      </c>
      <c r="H604" s="14" t="s">
        <v>492</v>
      </c>
    </row>
    <row r="605" spans="2:8">
      <c r="B605"/>
      <c r="E605" s="25" t="s">
        <v>25</v>
      </c>
      <c r="F605" s="28" t="s">
        <v>1035</v>
      </c>
      <c r="G605" s="14" t="s">
        <v>938</v>
      </c>
      <c r="H605" s="14" t="s">
        <v>492</v>
      </c>
    </row>
    <row r="606" spans="2:8">
      <c r="B606"/>
      <c r="E606" s="25" t="s">
        <v>25</v>
      </c>
      <c r="F606" s="28" t="s">
        <v>1035</v>
      </c>
      <c r="G606" s="14" t="s">
        <v>1111</v>
      </c>
      <c r="H606" s="14" t="s">
        <v>492</v>
      </c>
    </row>
    <row r="607" spans="2:8">
      <c r="B607"/>
      <c r="E607" s="25" t="s">
        <v>25</v>
      </c>
      <c r="F607" s="28" t="s">
        <v>1035</v>
      </c>
      <c r="G607" s="14" t="s">
        <v>1112</v>
      </c>
      <c r="H607" s="14" t="s">
        <v>492</v>
      </c>
    </row>
    <row r="608" spans="2:8">
      <c r="B608"/>
      <c r="E608" s="25" t="s">
        <v>25</v>
      </c>
      <c r="F608" s="28" t="s">
        <v>1035</v>
      </c>
      <c r="G608" s="14" t="s">
        <v>1113</v>
      </c>
      <c r="H608" s="14" t="s">
        <v>492</v>
      </c>
    </row>
    <row r="609" spans="2:8">
      <c r="B609"/>
      <c r="E609" s="25" t="s">
        <v>25</v>
      </c>
      <c r="F609" s="28" t="s">
        <v>1035</v>
      </c>
      <c r="G609" s="14" t="s">
        <v>1114</v>
      </c>
      <c r="H609" s="14" t="s">
        <v>492</v>
      </c>
    </row>
    <row r="610" spans="2:8">
      <c r="B610"/>
      <c r="E610" s="25" t="s">
        <v>25</v>
      </c>
      <c r="F610" s="28" t="s">
        <v>1035</v>
      </c>
      <c r="G610" s="14" t="s">
        <v>1115</v>
      </c>
      <c r="H610" s="14" t="s">
        <v>492</v>
      </c>
    </row>
    <row r="611" spans="2:8">
      <c r="B611"/>
      <c r="E611" s="25" t="s">
        <v>25</v>
      </c>
      <c r="F611" s="28" t="s">
        <v>1035</v>
      </c>
      <c r="G611" s="14" t="s">
        <v>1116</v>
      </c>
      <c r="H611" s="14" t="s">
        <v>492</v>
      </c>
    </row>
    <row r="612" spans="2:8">
      <c r="B612"/>
      <c r="E612" s="25" t="s">
        <v>25</v>
      </c>
      <c r="F612" s="28" t="s">
        <v>1035</v>
      </c>
      <c r="G612" s="14" t="s">
        <v>958</v>
      </c>
      <c r="H612" s="14" t="s">
        <v>492</v>
      </c>
    </row>
    <row r="613" spans="2:8">
      <c r="B613"/>
      <c r="E613" s="25" t="s">
        <v>25</v>
      </c>
      <c r="F613" s="28" t="s">
        <v>1035</v>
      </c>
      <c r="G613" s="14" t="s">
        <v>1117</v>
      </c>
      <c r="H613" s="14" t="s">
        <v>492</v>
      </c>
    </row>
    <row r="614" spans="2:8">
      <c r="B614"/>
      <c r="E614" s="25" t="s">
        <v>25</v>
      </c>
      <c r="F614" s="28" t="s">
        <v>1035</v>
      </c>
      <c r="G614" s="14" t="s">
        <v>1118</v>
      </c>
      <c r="H614" s="14" t="s">
        <v>492</v>
      </c>
    </row>
    <row r="615" spans="2:8">
      <c r="B615"/>
      <c r="E615" s="25" t="s">
        <v>25</v>
      </c>
      <c r="F615" s="28" t="s">
        <v>1035</v>
      </c>
      <c r="G615" s="14" t="s">
        <v>1119</v>
      </c>
      <c r="H615" s="14" t="s">
        <v>492</v>
      </c>
    </row>
    <row r="616" spans="2:8">
      <c r="B616"/>
      <c r="E616" s="25" t="s">
        <v>25</v>
      </c>
      <c r="F616" s="28" t="s">
        <v>1035</v>
      </c>
      <c r="G616" s="14" t="s">
        <v>1120</v>
      </c>
      <c r="H616" s="14" t="s">
        <v>492</v>
      </c>
    </row>
    <row r="617" spans="2:8">
      <c r="B617"/>
      <c r="E617" s="25" t="s">
        <v>25</v>
      </c>
      <c r="F617" s="28" t="s">
        <v>1035</v>
      </c>
      <c r="G617" s="14" t="s">
        <v>1121</v>
      </c>
      <c r="H617" s="14" t="s">
        <v>492</v>
      </c>
    </row>
    <row r="618" spans="2:8">
      <c r="B618"/>
      <c r="E618" s="25" t="s">
        <v>25</v>
      </c>
      <c r="F618" s="28" t="s">
        <v>1035</v>
      </c>
      <c r="G618" s="14" t="s">
        <v>1122</v>
      </c>
      <c r="H618" s="14" t="s">
        <v>492</v>
      </c>
    </row>
    <row r="619" spans="2:8">
      <c r="B619"/>
      <c r="E619" s="25" t="s">
        <v>25</v>
      </c>
      <c r="F619" s="28" t="s">
        <v>1035</v>
      </c>
      <c r="G619" s="14" t="s">
        <v>1123</v>
      </c>
      <c r="H619" s="14" t="s">
        <v>492</v>
      </c>
    </row>
    <row r="620" spans="2:8">
      <c r="B620"/>
      <c r="E620" s="25" t="s">
        <v>25</v>
      </c>
      <c r="F620" s="28" t="s">
        <v>1035</v>
      </c>
      <c r="G620" s="14" t="s">
        <v>930</v>
      </c>
      <c r="H620" s="14" t="s">
        <v>492</v>
      </c>
    </row>
    <row r="621" spans="2:8">
      <c r="B621"/>
      <c r="E621" s="25" t="s">
        <v>25</v>
      </c>
      <c r="F621" s="28" t="s">
        <v>1035</v>
      </c>
      <c r="G621" s="14" t="s">
        <v>916</v>
      </c>
      <c r="H621" s="14" t="s">
        <v>492</v>
      </c>
    </row>
    <row r="622" spans="2:8">
      <c r="B622"/>
      <c r="E622" s="25" t="s">
        <v>25</v>
      </c>
      <c r="F622" s="28" t="s">
        <v>1035</v>
      </c>
      <c r="G622" s="14" t="s">
        <v>1124</v>
      </c>
      <c r="H622" s="14" t="s">
        <v>492</v>
      </c>
    </row>
    <row r="623" spans="2:8">
      <c r="B623"/>
      <c r="E623" s="25" t="s">
        <v>25</v>
      </c>
      <c r="F623" s="28" t="s">
        <v>1035</v>
      </c>
      <c r="G623" s="14" t="s">
        <v>1125</v>
      </c>
      <c r="H623" s="14" t="s">
        <v>492</v>
      </c>
    </row>
    <row r="624" spans="2:8">
      <c r="B624"/>
      <c r="E624" s="25" t="s">
        <v>25</v>
      </c>
      <c r="F624" s="28" t="s">
        <v>1035</v>
      </c>
      <c r="G624" s="14" t="s">
        <v>1005</v>
      </c>
      <c r="H624" s="14" t="s">
        <v>492</v>
      </c>
    </row>
    <row r="625" spans="2:8">
      <c r="B625"/>
      <c r="E625" s="25" t="s">
        <v>25</v>
      </c>
      <c r="F625" s="28" t="s">
        <v>1035</v>
      </c>
      <c r="G625" s="14" t="s">
        <v>1126</v>
      </c>
      <c r="H625" s="14" t="s">
        <v>492</v>
      </c>
    </row>
    <row r="626" spans="2:8">
      <c r="B626"/>
      <c r="E626" s="25" t="s">
        <v>25</v>
      </c>
      <c r="F626" s="28" t="s">
        <v>1035</v>
      </c>
      <c r="G626" s="14" t="s">
        <v>1127</v>
      </c>
      <c r="H626" s="14" t="s">
        <v>492</v>
      </c>
    </row>
    <row r="627" spans="2:8">
      <c r="B627"/>
      <c r="E627" s="25" t="s">
        <v>25</v>
      </c>
      <c r="F627" s="28" t="s">
        <v>1035</v>
      </c>
      <c r="G627" s="14" t="s">
        <v>1128</v>
      </c>
      <c r="H627" s="14" t="s">
        <v>492</v>
      </c>
    </row>
    <row r="628" spans="2:8">
      <c r="B628"/>
      <c r="E628" s="25" t="s">
        <v>25</v>
      </c>
      <c r="F628" s="28" t="s">
        <v>1035</v>
      </c>
      <c r="G628" s="14" t="s">
        <v>952</v>
      </c>
      <c r="H628" s="14" t="s">
        <v>492</v>
      </c>
    </row>
    <row r="629" spans="2:8">
      <c r="B629"/>
      <c r="E629" s="25" t="s">
        <v>25</v>
      </c>
      <c r="F629" s="28" t="s">
        <v>1035</v>
      </c>
      <c r="G629" s="14" t="s">
        <v>1129</v>
      </c>
      <c r="H629" s="14" t="s">
        <v>492</v>
      </c>
    </row>
    <row r="630" spans="2:8">
      <c r="B630"/>
      <c r="E630" s="25" t="s">
        <v>25</v>
      </c>
      <c r="F630" s="28" t="s">
        <v>1035</v>
      </c>
      <c r="G630" s="14" t="s">
        <v>1130</v>
      </c>
      <c r="H630" s="14" t="s">
        <v>492</v>
      </c>
    </row>
    <row r="631" spans="2:8">
      <c r="B631"/>
      <c r="E631" s="25" t="s">
        <v>25</v>
      </c>
      <c r="F631" s="28" t="s">
        <v>1035</v>
      </c>
      <c r="G631" s="14" t="s">
        <v>1131</v>
      </c>
      <c r="H631" s="14" t="s">
        <v>492</v>
      </c>
    </row>
    <row r="632" spans="2:8">
      <c r="B632"/>
      <c r="E632" s="25" t="s">
        <v>25</v>
      </c>
      <c r="F632" s="28" t="s">
        <v>1035</v>
      </c>
      <c r="G632" s="14" t="s">
        <v>1132</v>
      </c>
      <c r="H632" s="14" t="s">
        <v>492</v>
      </c>
    </row>
    <row r="633" spans="2:8">
      <c r="B633"/>
      <c r="E633" s="25" t="s">
        <v>25</v>
      </c>
      <c r="F633" s="28" t="s">
        <v>1035</v>
      </c>
      <c r="G633" s="14" t="s">
        <v>1133</v>
      </c>
      <c r="H633" s="14" t="s">
        <v>492</v>
      </c>
    </row>
    <row r="634" spans="2:8">
      <c r="B634"/>
      <c r="E634" s="25" t="s">
        <v>25</v>
      </c>
      <c r="F634" s="28" t="s">
        <v>1035</v>
      </c>
      <c r="G634" s="14" t="s">
        <v>997</v>
      </c>
      <c r="H634" s="14" t="s">
        <v>492</v>
      </c>
    </row>
    <row r="635" spans="2:8">
      <c r="B635"/>
      <c r="E635" s="25" t="s">
        <v>25</v>
      </c>
      <c r="F635" s="28" t="s">
        <v>1035</v>
      </c>
      <c r="G635" s="14" t="s">
        <v>994</v>
      </c>
      <c r="H635" s="14" t="s">
        <v>492</v>
      </c>
    </row>
    <row r="636" spans="2:8">
      <c r="B636"/>
      <c r="E636" s="25" t="s">
        <v>25</v>
      </c>
      <c r="F636" s="28" t="s">
        <v>1035</v>
      </c>
      <c r="G636" s="14" t="s">
        <v>1134</v>
      </c>
      <c r="H636" s="14" t="s">
        <v>492</v>
      </c>
    </row>
    <row r="637" spans="2:8">
      <c r="B637"/>
      <c r="E637" s="25" t="s">
        <v>25</v>
      </c>
      <c r="F637" s="28" t="s">
        <v>1035</v>
      </c>
      <c r="G637" s="14" t="s">
        <v>1135</v>
      </c>
      <c r="H637" s="14" t="s">
        <v>492</v>
      </c>
    </row>
    <row r="638" spans="2:8">
      <c r="B638"/>
      <c r="E638" s="25" t="s">
        <v>25</v>
      </c>
      <c r="F638" s="28" t="s">
        <v>1035</v>
      </c>
      <c r="G638" s="14" t="s">
        <v>1136</v>
      </c>
      <c r="H638" s="14" t="s">
        <v>492</v>
      </c>
    </row>
    <row r="639" spans="2:8">
      <c r="B639"/>
      <c r="E639" s="25" t="s">
        <v>25</v>
      </c>
      <c r="F639" s="28" t="s">
        <v>1035</v>
      </c>
      <c r="G639" s="14" t="s">
        <v>1137</v>
      </c>
      <c r="H639" s="14" t="s">
        <v>492</v>
      </c>
    </row>
    <row r="640" spans="2:8">
      <c r="B640"/>
      <c r="E640" s="25" t="s">
        <v>25</v>
      </c>
      <c r="F640" s="28" t="s">
        <v>1035</v>
      </c>
      <c r="G640" s="14" t="s">
        <v>1138</v>
      </c>
      <c r="H640" s="14" t="s">
        <v>492</v>
      </c>
    </row>
    <row r="641" spans="2:8">
      <c r="B641"/>
      <c r="E641" s="25" t="s">
        <v>25</v>
      </c>
      <c r="F641" s="28" t="s">
        <v>1035</v>
      </c>
      <c r="G641" s="14" t="s">
        <v>1139</v>
      </c>
      <c r="H641" s="14" t="s">
        <v>492</v>
      </c>
    </row>
    <row r="642" spans="2:8">
      <c r="B642"/>
      <c r="E642" s="25" t="s">
        <v>25</v>
      </c>
      <c r="F642" s="28" t="s">
        <v>1035</v>
      </c>
      <c r="G642" s="14" t="s">
        <v>1140</v>
      </c>
      <c r="H642" s="14" t="s">
        <v>492</v>
      </c>
    </row>
    <row r="643" spans="2:8">
      <c r="B643"/>
      <c r="E643" s="25" t="s">
        <v>25</v>
      </c>
      <c r="F643" s="28" t="s">
        <v>1035</v>
      </c>
      <c r="G643" s="13" t="s">
        <v>1141</v>
      </c>
      <c r="H643" s="13" t="s">
        <v>490</v>
      </c>
    </row>
    <row r="644" spans="2:8">
      <c r="B644"/>
      <c r="E644" s="25" t="s">
        <v>25</v>
      </c>
      <c r="F644" s="28" t="s">
        <v>1035</v>
      </c>
      <c r="G644" s="13" t="s">
        <v>962</v>
      </c>
      <c r="H644" s="13" t="s">
        <v>490</v>
      </c>
    </row>
    <row r="645" spans="2:8">
      <c r="B645"/>
      <c r="E645" s="25" t="s">
        <v>25</v>
      </c>
      <c r="F645" s="28" t="s">
        <v>1035</v>
      </c>
      <c r="G645" s="13" t="s">
        <v>923</v>
      </c>
      <c r="H645" s="13" t="s">
        <v>490</v>
      </c>
    </row>
    <row r="646" spans="2:8">
      <c r="B646"/>
      <c r="E646" s="25" t="s">
        <v>25</v>
      </c>
      <c r="F646" s="28" t="s">
        <v>1035</v>
      </c>
      <c r="G646" s="13" t="s">
        <v>1142</v>
      </c>
      <c r="H646" s="13" t="s">
        <v>490</v>
      </c>
    </row>
    <row r="647" spans="2:8">
      <c r="B647"/>
      <c r="E647" s="25" t="s">
        <v>25</v>
      </c>
      <c r="F647" s="28" t="s">
        <v>1035</v>
      </c>
      <c r="G647" s="13" t="s">
        <v>960</v>
      </c>
      <c r="H647" s="13" t="s">
        <v>490</v>
      </c>
    </row>
    <row r="648" spans="2:8">
      <c r="B648"/>
      <c r="E648" s="25" t="s">
        <v>25</v>
      </c>
      <c r="F648" s="28" t="s">
        <v>1035</v>
      </c>
      <c r="G648" s="13" t="s">
        <v>1143</v>
      </c>
      <c r="H648" s="13" t="s">
        <v>490</v>
      </c>
    </row>
    <row r="649" spans="2:8">
      <c r="B649"/>
      <c r="E649" s="25" t="s">
        <v>25</v>
      </c>
      <c r="F649" s="28" t="s">
        <v>1035</v>
      </c>
      <c r="G649" s="13" t="s">
        <v>1144</v>
      </c>
      <c r="H649" s="13" t="s">
        <v>490</v>
      </c>
    </row>
    <row r="650" spans="2:8">
      <c r="B650"/>
      <c r="E650" s="25" t="s">
        <v>25</v>
      </c>
      <c r="F650" s="28" t="s">
        <v>1035</v>
      </c>
      <c r="G650" s="13" t="s">
        <v>1145</v>
      </c>
      <c r="H650" s="13" t="s">
        <v>490</v>
      </c>
    </row>
    <row r="651" spans="2:8">
      <c r="B651"/>
      <c r="E651" s="25" t="s">
        <v>25</v>
      </c>
      <c r="F651" s="28" t="s">
        <v>1035</v>
      </c>
      <c r="G651" s="13" t="s">
        <v>1146</v>
      </c>
      <c r="H651" s="13" t="s">
        <v>490</v>
      </c>
    </row>
    <row r="652" spans="2:8">
      <c r="B652"/>
      <c r="E652" s="25" t="s">
        <v>25</v>
      </c>
      <c r="F652" s="28" t="s">
        <v>1035</v>
      </c>
      <c r="G652" s="13" t="s">
        <v>1147</v>
      </c>
      <c r="H652" s="13" t="s">
        <v>490</v>
      </c>
    </row>
    <row r="653" spans="2:8">
      <c r="B653"/>
      <c r="E653" s="26" t="s">
        <v>25</v>
      </c>
      <c r="F653" s="26" t="s">
        <v>30</v>
      </c>
      <c r="G653" s="14" t="s">
        <v>974</v>
      </c>
      <c r="H653" s="14" t="s">
        <v>492</v>
      </c>
    </row>
    <row r="654" spans="2:8">
      <c r="B654"/>
      <c r="E654" s="26" t="s">
        <v>25</v>
      </c>
      <c r="F654" s="26" t="s">
        <v>30</v>
      </c>
      <c r="G654" s="14" t="s">
        <v>1148</v>
      </c>
      <c r="H654" s="14" t="s">
        <v>492</v>
      </c>
    </row>
    <row r="655" spans="2:8">
      <c r="B655"/>
      <c r="E655" s="26" t="s">
        <v>25</v>
      </c>
      <c r="F655" s="26" t="s">
        <v>30</v>
      </c>
      <c r="G655" s="14" t="s">
        <v>1149</v>
      </c>
      <c r="H655" s="14" t="s">
        <v>492</v>
      </c>
    </row>
    <row r="656" spans="2:8">
      <c r="B656"/>
      <c r="E656" s="26" t="s">
        <v>25</v>
      </c>
      <c r="F656" s="26" t="s">
        <v>30</v>
      </c>
      <c r="G656" s="14" t="s">
        <v>1150</v>
      </c>
      <c r="H656" s="14" t="s">
        <v>492</v>
      </c>
    </row>
    <row r="657" spans="2:8">
      <c r="B657"/>
      <c r="E657" s="26" t="s">
        <v>25</v>
      </c>
      <c r="F657" s="26" t="s">
        <v>30</v>
      </c>
      <c r="G657" s="14" t="s">
        <v>1039</v>
      </c>
      <c r="H657" s="14" t="s">
        <v>492</v>
      </c>
    </row>
    <row r="658" spans="2:8">
      <c r="B658"/>
      <c r="E658" s="26" t="s">
        <v>25</v>
      </c>
      <c r="F658" s="26" t="s">
        <v>30</v>
      </c>
      <c r="G658" s="14" t="s">
        <v>1151</v>
      </c>
      <c r="H658" s="14" t="s">
        <v>492</v>
      </c>
    </row>
    <row r="659" spans="2:8">
      <c r="B659"/>
      <c r="E659" s="26" t="s">
        <v>25</v>
      </c>
      <c r="F659" s="26" t="s">
        <v>30</v>
      </c>
      <c r="G659" s="14" t="s">
        <v>1152</v>
      </c>
      <c r="H659" s="14" t="s">
        <v>492</v>
      </c>
    </row>
    <row r="660" spans="2:8">
      <c r="B660"/>
      <c r="E660" s="26" t="s">
        <v>25</v>
      </c>
      <c r="F660" s="26" t="s">
        <v>30</v>
      </c>
      <c r="G660" s="14" t="s">
        <v>1153</v>
      </c>
      <c r="H660" s="14" t="s">
        <v>492</v>
      </c>
    </row>
    <row r="661" spans="2:8">
      <c r="B661"/>
      <c r="E661" s="26" t="s">
        <v>25</v>
      </c>
      <c r="F661" s="26" t="s">
        <v>30</v>
      </c>
      <c r="G661" s="14" t="s">
        <v>1154</v>
      </c>
      <c r="H661" s="14" t="s">
        <v>492</v>
      </c>
    </row>
    <row r="662" spans="2:8">
      <c r="B662"/>
      <c r="E662" s="26" t="s">
        <v>25</v>
      </c>
      <c r="F662" s="26" t="s">
        <v>30</v>
      </c>
      <c r="G662" s="14" t="s">
        <v>1155</v>
      </c>
      <c r="H662" s="14" t="s">
        <v>492</v>
      </c>
    </row>
    <row r="663" spans="2:8">
      <c r="B663"/>
      <c r="E663" s="26" t="s">
        <v>25</v>
      </c>
      <c r="F663" s="26" t="s">
        <v>30</v>
      </c>
      <c r="G663" s="14" t="s">
        <v>1156</v>
      </c>
      <c r="H663" s="14" t="s">
        <v>492</v>
      </c>
    </row>
    <row r="664" spans="2:8">
      <c r="B664"/>
      <c r="E664" s="26" t="s">
        <v>25</v>
      </c>
      <c r="F664" s="26" t="s">
        <v>30</v>
      </c>
      <c r="G664" s="14" t="s">
        <v>1157</v>
      </c>
      <c r="H664" s="14" t="s">
        <v>492</v>
      </c>
    </row>
    <row r="665" spans="2:8">
      <c r="B665"/>
      <c r="E665" s="26" t="s">
        <v>25</v>
      </c>
      <c r="F665" s="26" t="s">
        <v>30</v>
      </c>
      <c r="G665" s="14" t="s">
        <v>1158</v>
      </c>
      <c r="H665" s="14" t="s">
        <v>492</v>
      </c>
    </row>
    <row r="666" spans="2:8">
      <c r="B666"/>
      <c r="E666" s="26" t="s">
        <v>25</v>
      </c>
      <c r="F666" s="26" t="s">
        <v>30</v>
      </c>
      <c r="G666" s="14" t="s">
        <v>1159</v>
      </c>
      <c r="H666" s="14" t="s">
        <v>492</v>
      </c>
    </row>
    <row r="667" spans="2:8">
      <c r="B667"/>
      <c r="E667" s="26" t="s">
        <v>25</v>
      </c>
      <c r="F667" s="26" t="s">
        <v>30</v>
      </c>
      <c r="G667" s="14" t="s">
        <v>1160</v>
      </c>
      <c r="H667" s="14" t="s">
        <v>492</v>
      </c>
    </row>
    <row r="668" spans="2:8">
      <c r="B668"/>
      <c r="E668" s="26" t="s">
        <v>25</v>
      </c>
      <c r="F668" s="26" t="s">
        <v>30</v>
      </c>
      <c r="G668" s="14" t="s">
        <v>1161</v>
      </c>
      <c r="H668" s="14" t="s">
        <v>492</v>
      </c>
    </row>
    <row r="669" spans="2:8">
      <c r="B669"/>
      <c r="E669" s="26" t="s">
        <v>25</v>
      </c>
      <c r="F669" s="26" t="s">
        <v>30</v>
      </c>
      <c r="G669" s="14" t="s">
        <v>1162</v>
      </c>
      <c r="H669" s="14" t="s">
        <v>492</v>
      </c>
    </row>
    <row r="670" spans="2:8">
      <c r="B670"/>
      <c r="E670" s="26" t="s">
        <v>25</v>
      </c>
      <c r="F670" s="26" t="s">
        <v>30</v>
      </c>
      <c r="G670" s="14" t="s">
        <v>1163</v>
      </c>
      <c r="H670" s="14" t="s">
        <v>492</v>
      </c>
    </row>
    <row r="671" spans="2:8">
      <c r="B671"/>
      <c r="E671" s="26" t="s">
        <v>25</v>
      </c>
      <c r="F671" s="26" t="s">
        <v>30</v>
      </c>
      <c r="G671" s="14" t="s">
        <v>1164</v>
      </c>
      <c r="H671" s="14" t="s">
        <v>492</v>
      </c>
    </row>
    <row r="672" spans="2:8">
      <c r="B672"/>
      <c r="E672" s="26" t="s">
        <v>25</v>
      </c>
      <c r="F672" s="26" t="s">
        <v>30</v>
      </c>
      <c r="G672" s="14" t="s">
        <v>926</v>
      </c>
      <c r="H672" s="14" t="s">
        <v>492</v>
      </c>
    </row>
    <row r="673" spans="2:8">
      <c r="B673"/>
      <c r="E673" s="26" t="s">
        <v>25</v>
      </c>
      <c r="F673" s="26" t="s">
        <v>30</v>
      </c>
      <c r="G673" s="14" t="s">
        <v>1165</v>
      </c>
      <c r="H673" s="14" t="s">
        <v>492</v>
      </c>
    </row>
    <row r="674" spans="2:8">
      <c r="B674"/>
      <c r="E674" s="26" t="s">
        <v>25</v>
      </c>
      <c r="F674" s="26" t="s">
        <v>30</v>
      </c>
      <c r="G674" s="14" t="s">
        <v>1166</v>
      </c>
      <c r="H674" s="14" t="s">
        <v>492</v>
      </c>
    </row>
    <row r="675" spans="2:8">
      <c r="B675"/>
      <c r="E675" s="26" t="s">
        <v>25</v>
      </c>
      <c r="F675" s="26" t="s">
        <v>30</v>
      </c>
      <c r="G675" s="14" t="s">
        <v>1167</v>
      </c>
      <c r="H675" s="14" t="s">
        <v>492</v>
      </c>
    </row>
    <row r="676" spans="2:8">
      <c r="B676"/>
      <c r="E676" s="26" t="s">
        <v>25</v>
      </c>
      <c r="F676" s="26" t="s">
        <v>30</v>
      </c>
      <c r="G676" s="14" t="s">
        <v>1168</v>
      </c>
      <c r="H676" s="14" t="s">
        <v>492</v>
      </c>
    </row>
    <row r="677" spans="2:8">
      <c r="B677"/>
      <c r="E677" s="26" t="s">
        <v>25</v>
      </c>
      <c r="F677" s="26" t="s">
        <v>30</v>
      </c>
      <c r="G677" s="14" t="s">
        <v>1169</v>
      </c>
      <c r="H677" s="14" t="s">
        <v>492</v>
      </c>
    </row>
    <row r="678" spans="2:8">
      <c r="B678"/>
      <c r="E678" s="26" t="s">
        <v>25</v>
      </c>
      <c r="F678" s="26" t="s">
        <v>30</v>
      </c>
      <c r="G678" s="14" t="s">
        <v>1170</v>
      </c>
      <c r="H678" s="14" t="s">
        <v>492</v>
      </c>
    </row>
    <row r="679" spans="2:8">
      <c r="B679"/>
      <c r="E679" s="26" t="s">
        <v>25</v>
      </c>
      <c r="F679" s="26" t="s">
        <v>30</v>
      </c>
      <c r="G679" s="14" t="s">
        <v>1171</v>
      </c>
      <c r="H679" s="14" t="s">
        <v>492</v>
      </c>
    </row>
    <row r="680" spans="2:8">
      <c r="B680"/>
      <c r="E680" s="26" t="s">
        <v>25</v>
      </c>
      <c r="F680" s="26" t="s">
        <v>30</v>
      </c>
      <c r="G680" s="14" t="s">
        <v>1172</v>
      </c>
      <c r="H680" s="14" t="s">
        <v>492</v>
      </c>
    </row>
    <row r="681" spans="2:8">
      <c r="B681"/>
      <c r="E681" s="26" t="s">
        <v>25</v>
      </c>
      <c r="F681" s="26" t="s">
        <v>30</v>
      </c>
      <c r="G681" s="14" t="s">
        <v>1173</v>
      </c>
      <c r="H681" s="14" t="s">
        <v>492</v>
      </c>
    </row>
    <row r="682" spans="2:8">
      <c r="B682"/>
      <c r="E682" s="26" t="s">
        <v>25</v>
      </c>
      <c r="F682" s="26" t="s">
        <v>30</v>
      </c>
      <c r="G682" s="14" t="s">
        <v>942</v>
      </c>
      <c r="H682" s="14" t="s">
        <v>492</v>
      </c>
    </row>
    <row r="683" spans="2:8">
      <c r="B683"/>
      <c r="E683" s="26" t="s">
        <v>25</v>
      </c>
      <c r="F683" s="26" t="s">
        <v>30</v>
      </c>
      <c r="G683" s="14" t="s">
        <v>1174</v>
      </c>
      <c r="H683" s="14" t="s">
        <v>492</v>
      </c>
    </row>
    <row r="684" spans="2:8">
      <c r="B684"/>
      <c r="E684" s="26" t="s">
        <v>25</v>
      </c>
      <c r="F684" s="26" t="s">
        <v>30</v>
      </c>
      <c r="G684" s="14" t="s">
        <v>1175</v>
      </c>
      <c r="H684" s="14" t="s">
        <v>492</v>
      </c>
    </row>
    <row r="685" spans="2:8">
      <c r="B685"/>
      <c r="E685" s="26" t="s">
        <v>25</v>
      </c>
      <c r="F685" s="26" t="s">
        <v>30</v>
      </c>
      <c r="G685" s="14" t="s">
        <v>1176</v>
      </c>
      <c r="H685" s="14" t="s">
        <v>492</v>
      </c>
    </row>
    <row r="686" spans="2:8">
      <c r="B686"/>
      <c r="E686" s="26" t="s">
        <v>25</v>
      </c>
      <c r="F686" s="26" t="s">
        <v>30</v>
      </c>
      <c r="G686" s="14" t="s">
        <v>1177</v>
      </c>
      <c r="H686" s="14" t="s">
        <v>492</v>
      </c>
    </row>
    <row r="687" spans="2:8">
      <c r="B687"/>
      <c r="E687" s="26" t="s">
        <v>25</v>
      </c>
      <c r="F687" s="26" t="s">
        <v>30</v>
      </c>
      <c r="G687" s="14" t="s">
        <v>930</v>
      </c>
      <c r="H687" s="14" t="s">
        <v>492</v>
      </c>
    </row>
    <row r="688" spans="2:8">
      <c r="B688"/>
      <c r="E688" s="26" t="s">
        <v>25</v>
      </c>
      <c r="F688" s="26" t="s">
        <v>30</v>
      </c>
      <c r="G688" s="14" t="s">
        <v>1178</v>
      </c>
      <c r="H688" s="14" t="s">
        <v>492</v>
      </c>
    </row>
    <row r="689" spans="2:8">
      <c r="B689"/>
      <c r="E689" s="26" t="s">
        <v>25</v>
      </c>
      <c r="F689" s="26" t="s">
        <v>30</v>
      </c>
      <c r="G689" s="14" t="s">
        <v>1179</v>
      </c>
      <c r="H689" s="14" t="s">
        <v>492</v>
      </c>
    </row>
    <row r="690" spans="2:8">
      <c r="B690"/>
      <c r="E690" s="26" t="s">
        <v>25</v>
      </c>
      <c r="F690" s="26" t="s">
        <v>30</v>
      </c>
      <c r="G690" s="14" t="s">
        <v>1180</v>
      </c>
      <c r="H690" s="14" t="s">
        <v>492</v>
      </c>
    </row>
    <row r="691" spans="2:8">
      <c r="B691"/>
      <c r="E691" s="26" t="s">
        <v>25</v>
      </c>
      <c r="F691" s="26" t="s">
        <v>30</v>
      </c>
      <c r="G691" s="14" t="s">
        <v>1181</v>
      </c>
      <c r="H691" s="14" t="s">
        <v>492</v>
      </c>
    </row>
    <row r="692" spans="2:8">
      <c r="B692"/>
      <c r="E692" s="26" t="s">
        <v>25</v>
      </c>
      <c r="F692" s="26" t="s">
        <v>30</v>
      </c>
      <c r="G692" s="14" t="s">
        <v>1182</v>
      </c>
      <c r="H692" s="14" t="s">
        <v>492</v>
      </c>
    </row>
    <row r="693" spans="2:8">
      <c r="B693"/>
      <c r="E693" s="26" t="s">
        <v>25</v>
      </c>
      <c r="F693" s="26" t="s">
        <v>30</v>
      </c>
      <c r="G693" s="14" t="s">
        <v>1183</v>
      </c>
      <c r="H693" s="14" t="s">
        <v>492</v>
      </c>
    </row>
    <row r="694" spans="2:8">
      <c r="B694"/>
      <c r="E694" s="26" t="s">
        <v>25</v>
      </c>
      <c r="F694" s="26" t="s">
        <v>30</v>
      </c>
      <c r="G694" s="14" t="s">
        <v>1184</v>
      </c>
      <c r="H694" s="14" t="s">
        <v>492</v>
      </c>
    </row>
    <row r="695" spans="2:8">
      <c r="B695"/>
      <c r="E695" s="26" t="s">
        <v>25</v>
      </c>
      <c r="F695" s="26" t="s">
        <v>30</v>
      </c>
      <c r="G695" s="14" t="s">
        <v>1185</v>
      </c>
      <c r="H695" s="14" t="s">
        <v>492</v>
      </c>
    </row>
    <row r="696" spans="2:8">
      <c r="B696"/>
      <c r="E696" s="26" t="s">
        <v>25</v>
      </c>
      <c r="F696" s="26" t="s">
        <v>30</v>
      </c>
      <c r="G696" s="14" t="s">
        <v>1186</v>
      </c>
      <c r="H696" s="14" t="s">
        <v>492</v>
      </c>
    </row>
    <row r="697" spans="2:8">
      <c r="B697"/>
      <c r="E697" s="26" t="s">
        <v>25</v>
      </c>
      <c r="F697" s="26" t="s">
        <v>30</v>
      </c>
      <c r="G697" s="14" t="s">
        <v>1187</v>
      </c>
      <c r="H697" s="14" t="s">
        <v>492</v>
      </c>
    </row>
    <row r="698" spans="2:8">
      <c r="B698"/>
      <c r="E698" s="26" t="s">
        <v>25</v>
      </c>
      <c r="F698" s="26" t="s">
        <v>30</v>
      </c>
      <c r="G698" s="14" t="s">
        <v>1188</v>
      </c>
      <c r="H698" s="14" t="s">
        <v>492</v>
      </c>
    </row>
    <row r="699" spans="2:8">
      <c r="B699"/>
      <c r="E699" s="26" t="s">
        <v>25</v>
      </c>
      <c r="F699" s="26" t="s">
        <v>30</v>
      </c>
      <c r="G699" s="14" t="s">
        <v>1189</v>
      </c>
      <c r="H699" s="14" t="s">
        <v>492</v>
      </c>
    </row>
    <row r="700" spans="2:8">
      <c r="B700"/>
      <c r="E700" s="26" t="s">
        <v>25</v>
      </c>
      <c r="F700" s="26" t="s">
        <v>30</v>
      </c>
      <c r="G700" s="14" t="s">
        <v>1190</v>
      </c>
      <c r="H700" s="14" t="s">
        <v>492</v>
      </c>
    </row>
    <row r="701" spans="2:8">
      <c r="B701"/>
      <c r="E701" s="26" t="s">
        <v>25</v>
      </c>
      <c r="F701" s="26" t="s">
        <v>30</v>
      </c>
      <c r="G701" s="14" t="s">
        <v>1191</v>
      </c>
      <c r="H701" s="14" t="s">
        <v>492</v>
      </c>
    </row>
    <row r="702" spans="2:8">
      <c r="B702"/>
      <c r="E702" s="26" t="s">
        <v>25</v>
      </c>
      <c r="F702" s="26" t="s">
        <v>30</v>
      </c>
      <c r="G702" s="14" t="s">
        <v>994</v>
      </c>
      <c r="H702" s="14" t="s">
        <v>492</v>
      </c>
    </row>
    <row r="703" spans="2:8">
      <c r="B703"/>
      <c r="E703" s="26" t="s">
        <v>25</v>
      </c>
      <c r="F703" s="26" t="s">
        <v>30</v>
      </c>
      <c r="G703" s="14" t="s">
        <v>1192</v>
      </c>
      <c r="H703" s="14" t="s">
        <v>492</v>
      </c>
    </row>
    <row r="704" spans="2:8">
      <c r="B704"/>
      <c r="E704" s="26" t="s">
        <v>25</v>
      </c>
      <c r="F704" s="26" t="s">
        <v>30</v>
      </c>
      <c r="G704" s="14" t="s">
        <v>1193</v>
      </c>
      <c r="H704" s="14" t="s">
        <v>492</v>
      </c>
    </row>
    <row r="705" spans="2:8">
      <c r="B705"/>
      <c r="E705" s="26" t="s">
        <v>25</v>
      </c>
      <c r="F705" s="26" t="s">
        <v>30</v>
      </c>
      <c r="G705" s="14" t="s">
        <v>1194</v>
      </c>
      <c r="H705" s="14" t="s">
        <v>492</v>
      </c>
    </row>
    <row r="706" spans="2:8">
      <c r="B706"/>
      <c r="E706" s="26" t="s">
        <v>25</v>
      </c>
      <c r="F706" s="26" t="s">
        <v>30</v>
      </c>
      <c r="G706" s="14" t="s">
        <v>1130</v>
      </c>
      <c r="H706" s="14" t="s">
        <v>492</v>
      </c>
    </row>
    <row r="707" spans="2:8">
      <c r="B707"/>
      <c r="E707" s="26" t="s">
        <v>25</v>
      </c>
      <c r="F707" s="26" t="s">
        <v>30</v>
      </c>
      <c r="G707" s="14" t="s">
        <v>1085</v>
      </c>
      <c r="H707" s="14" t="s">
        <v>492</v>
      </c>
    </row>
    <row r="708" spans="2:8">
      <c r="B708"/>
      <c r="E708" s="26" t="s">
        <v>25</v>
      </c>
      <c r="F708" s="26" t="s">
        <v>30</v>
      </c>
      <c r="G708" s="14" t="s">
        <v>1195</v>
      </c>
      <c r="H708" s="14" t="s">
        <v>492</v>
      </c>
    </row>
    <row r="709" spans="2:8">
      <c r="B709"/>
      <c r="E709" s="26" t="s">
        <v>25</v>
      </c>
      <c r="F709" s="26" t="s">
        <v>30</v>
      </c>
      <c r="G709" s="14" t="s">
        <v>1196</v>
      </c>
      <c r="H709" s="14" t="s">
        <v>492</v>
      </c>
    </row>
    <row r="710" spans="2:8">
      <c r="B710"/>
      <c r="E710" s="26" t="s">
        <v>25</v>
      </c>
      <c r="F710" s="26" t="s">
        <v>30</v>
      </c>
      <c r="G710" s="14" t="s">
        <v>1197</v>
      </c>
      <c r="H710" s="14" t="s">
        <v>492</v>
      </c>
    </row>
    <row r="711" spans="2:8">
      <c r="B711"/>
      <c r="E711" s="26" t="s">
        <v>25</v>
      </c>
      <c r="F711" s="26" t="s">
        <v>30</v>
      </c>
      <c r="G711" s="14" t="s">
        <v>1198</v>
      </c>
      <c r="H711" s="14" t="s">
        <v>492</v>
      </c>
    </row>
    <row r="712" spans="2:8">
      <c r="B712"/>
      <c r="E712" s="26" t="s">
        <v>25</v>
      </c>
      <c r="F712" s="26" t="s">
        <v>30</v>
      </c>
      <c r="G712" s="14" t="s">
        <v>1199</v>
      </c>
      <c r="H712" s="14" t="s">
        <v>492</v>
      </c>
    </row>
    <row r="713" spans="2:8">
      <c r="B713"/>
      <c r="E713" s="26" t="s">
        <v>25</v>
      </c>
      <c r="F713" s="26" t="s">
        <v>30</v>
      </c>
      <c r="G713" s="14" t="s">
        <v>1200</v>
      </c>
      <c r="H713" s="14" t="s">
        <v>492</v>
      </c>
    </row>
    <row r="714" spans="2:8">
      <c r="B714"/>
      <c r="E714" s="26" t="s">
        <v>25</v>
      </c>
      <c r="F714" s="26" t="s">
        <v>30</v>
      </c>
      <c r="G714" s="14" t="s">
        <v>1201</v>
      </c>
      <c r="H714" s="14" t="s">
        <v>492</v>
      </c>
    </row>
    <row r="715" spans="2:8">
      <c r="B715"/>
      <c r="E715" s="26" t="s">
        <v>25</v>
      </c>
      <c r="F715" s="26" t="s">
        <v>30</v>
      </c>
      <c r="G715" s="14" t="s">
        <v>1123</v>
      </c>
      <c r="H715" s="14" t="s">
        <v>492</v>
      </c>
    </row>
    <row r="716" spans="2:8">
      <c r="B716"/>
      <c r="E716" s="26" t="s">
        <v>25</v>
      </c>
      <c r="F716" s="26" t="s">
        <v>30</v>
      </c>
      <c r="G716" s="14" t="s">
        <v>1202</v>
      </c>
      <c r="H716" s="14" t="s">
        <v>492</v>
      </c>
    </row>
    <row r="717" spans="2:8">
      <c r="B717"/>
      <c r="E717" s="26" t="s">
        <v>25</v>
      </c>
      <c r="F717" s="26" t="s">
        <v>30</v>
      </c>
      <c r="G717" s="14" t="s">
        <v>1203</v>
      </c>
      <c r="H717" s="14" t="s">
        <v>492</v>
      </c>
    </row>
    <row r="718" spans="2:8">
      <c r="B718"/>
      <c r="E718" s="26" t="s">
        <v>25</v>
      </c>
      <c r="F718" s="26" t="s">
        <v>30</v>
      </c>
      <c r="G718" s="14" t="s">
        <v>1204</v>
      </c>
      <c r="H718" s="14" t="s">
        <v>492</v>
      </c>
    </row>
    <row r="719" spans="2:8">
      <c r="B719"/>
      <c r="E719" s="26" t="s">
        <v>25</v>
      </c>
      <c r="F719" s="26" t="s">
        <v>30</v>
      </c>
      <c r="G719" s="14" t="s">
        <v>1205</v>
      </c>
      <c r="H719" s="14" t="s">
        <v>492</v>
      </c>
    </row>
    <row r="720" spans="2:8">
      <c r="B720"/>
      <c r="E720" s="26" t="s">
        <v>25</v>
      </c>
      <c r="F720" s="26" t="s">
        <v>30</v>
      </c>
      <c r="G720" s="14" t="s">
        <v>1206</v>
      </c>
      <c r="H720" s="14" t="s">
        <v>492</v>
      </c>
    </row>
    <row r="721" spans="2:8">
      <c r="B721"/>
      <c r="E721" s="26" t="s">
        <v>25</v>
      </c>
      <c r="F721" s="26" t="s">
        <v>30</v>
      </c>
      <c r="G721" s="14" t="s">
        <v>1207</v>
      </c>
      <c r="H721" s="14" t="s">
        <v>492</v>
      </c>
    </row>
    <row r="722" spans="2:8">
      <c r="B722"/>
      <c r="E722" s="26" t="s">
        <v>25</v>
      </c>
      <c r="F722" s="26" t="s">
        <v>30</v>
      </c>
      <c r="G722" s="14" t="s">
        <v>1208</v>
      </c>
      <c r="H722" s="14" t="s">
        <v>492</v>
      </c>
    </row>
    <row r="723" spans="2:8">
      <c r="B723"/>
      <c r="E723" s="26" t="s">
        <v>25</v>
      </c>
      <c r="F723" s="26" t="s">
        <v>30</v>
      </c>
      <c r="G723" s="14" t="s">
        <v>1209</v>
      </c>
      <c r="H723" s="14" t="s">
        <v>492</v>
      </c>
    </row>
    <row r="724" spans="2:8">
      <c r="B724"/>
      <c r="E724" s="26" t="s">
        <v>25</v>
      </c>
      <c r="F724" s="26" t="s">
        <v>30</v>
      </c>
      <c r="G724" s="14" t="s">
        <v>1210</v>
      </c>
      <c r="H724" s="14" t="s">
        <v>492</v>
      </c>
    </row>
    <row r="725" spans="2:8">
      <c r="B725"/>
      <c r="E725" s="26" t="s">
        <v>25</v>
      </c>
      <c r="F725" s="26" t="s">
        <v>30</v>
      </c>
      <c r="G725" s="14" t="s">
        <v>1211</v>
      </c>
      <c r="H725" s="14" t="s">
        <v>492</v>
      </c>
    </row>
    <row r="726" spans="2:8">
      <c r="B726"/>
      <c r="E726" s="26" t="s">
        <v>25</v>
      </c>
      <c r="F726" s="26" t="s">
        <v>30</v>
      </c>
      <c r="G726" s="14" t="s">
        <v>1212</v>
      </c>
      <c r="H726" s="14" t="s">
        <v>492</v>
      </c>
    </row>
    <row r="727" spans="2:8">
      <c r="B727"/>
      <c r="E727" s="26" t="s">
        <v>25</v>
      </c>
      <c r="F727" s="26" t="s">
        <v>30</v>
      </c>
      <c r="G727" s="14" t="s">
        <v>1213</v>
      </c>
      <c r="H727" s="14" t="s">
        <v>492</v>
      </c>
    </row>
    <row r="728" spans="2:8">
      <c r="B728"/>
      <c r="E728" s="26" t="s">
        <v>25</v>
      </c>
      <c r="F728" s="26" t="s">
        <v>30</v>
      </c>
      <c r="G728" s="14" t="s">
        <v>1214</v>
      </c>
      <c r="H728" s="14" t="s">
        <v>492</v>
      </c>
    </row>
    <row r="729" spans="2:8">
      <c r="B729"/>
      <c r="E729" s="26" t="s">
        <v>25</v>
      </c>
      <c r="F729" s="26" t="s">
        <v>30</v>
      </c>
      <c r="G729" s="14" t="s">
        <v>1215</v>
      </c>
      <c r="H729" s="14" t="s">
        <v>492</v>
      </c>
    </row>
    <row r="730" spans="2:8">
      <c r="B730"/>
      <c r="E730" s="26" t="s">
        <v>25</v>
      </c>
      <c r="F730" s="26" t="s">
        <v>30</v>
      </c>
      <c r="G730" s="14" t="s">
        <v>1216</v>
      </c>
      <c r="H730" s="14" t="s">
        <v>492</v>
      </c>
    </row>
    <row r="731" spans="2:8">
      <c r="B731"/>
      <c r="E731" s="26" t="s">
        <v>25</v>
      </c>
      <c r="F731" s="26" t="s">
        <v>30</v>
      </c>
      <c r="G731" s="14" t="s">
        <v>1217</v>
      </c>
      <c r="H731" s="14" t="s">
        <v>492</v>
      </c>
    </row>
    <row r="732" spans="2:8">
      <c r="B732"/>
      <c r="E732" s="26" t="s">
        <v>25</v>
      </c>
      <c r="F732" s="26" t="s">
        <v>30</v>
      </c>
      <c r="G732" s="14" t="s">
        <v>1218</v>
      </c>
      <c r="H732" s="14" t="s">
        <v>492</v>
      </c>
    </row>
    <row r="733" spans="2:8">
      <c r="B733"/>
      <c r="E733" s="26" t="s">
        <v>25</v>
      </c>
      <c r="F733" s="26" t="s">
        <v>30</v>
      </c>
      <c r="G733" s="14" t="s">
        <v>1219</v>
      </c>
      <c r="H733" s="14" t="s">
        <v>492</v>
      </c>
    </row>
    <row r="734" spans="2:8">
      <c r="B734"/>
      <c r="E734" s="26" t="s">
        <v>25</v>
      </c>
      <c r="F734" s="26" t="s">
        <v>30</v>
      </c>
      <c r="G734" s="14" t="s">
        <v>1220</v>
      </c>
      <c r="H734" s="14" t="s">
        <v>492</v>
      </c>
    </row>
    <row r="735" spans="2:8">
      <c r="B735"/>
      <c r="E735" s="26" t="s">
        <v>25</v>
      </c>
      <c r="F735" s="26" t="s">
        <v>30</v>
      </c>
      <c r="G735" s="14" t="s">
        <v>1221</v>
      </c>
      <c r="H735" s="14" t="s">
        <v>492</v>
      </c>
    </row>
    <row r="736" spans="2:8">
      <c r="B736"/>
      <c r="E736" s="26" t="s">
        <v>25</v>
      </c>
      <c r="F736" s="26" t="s">
        <v>30</v>
      </c>
      <c r="G736" s="14" t="s">
        <v>1222</v>
      </c>
      <c r="H736" s="14" t="s">
        <v>492</v>
      </c>
    </row>
    <row r="737" spans="2:8">
      <c r="B737"/>
      <c r="E737" s="26" t="s">
        <v>25</v>
      </c>
      <c r="F737" s="26" t="s">
        <v>30</v>
      </c>
      <c r="G737" s="13" t="s">
        <v>1223</v>
      </c>
      <c r="H737" s="13" t="s">
        <v>490</v>
      </c>
    </row>
    <row r="738" spans="2:8">
      <c r="B738"/>
      <c r="E738" s="26" t="s">
        <v>25</v>
      </c>
      <c r="F738" s="26" t="s">
        <v>30</v>
      </c>
      <c r="G738" s="13" t="s">
        <v>1224</v>
      </c>
      <c r="H738" s="13" t="s">
        <v>490</v>
      </c>
    </row>
    <row r="739" spans="2:8">
      <c r="B739"/>
      <c r="E739" s="26" t="s">
        <v>25</v>
      </c>
      <c r="F739" s="26" t="s">
        <v>30</v>
      </c>
      <c r="G739" s="13" t="s">
        <v>1225</v>
      </c>
      <c r="H739" s="13" t="s">
        <v>490</v>
      </c>
    </row>
    <row r="740" spans="2:8">
      <c r="B740"/>
      <c r="E740" s="26" t="s">
        <v>25</v>
      </c>
      <c r="F740" s="26" t="s">
        <v>30</v>
      </c>
      <c r="G740" s="13" t="s">
        <v>968</v>
      </c>
      <c r="H740" s="13" t="s">
        <v>490</v>
      </c>
    </row>
    <row r="741" spans="2:8">
      <c r="B741"/>
      <c r="E741" s="26" t="s">
        <v>25</v>
      </c>
      <c r="F741" s="26" t="s">
        <v>30</v>
      </c>
      <c r="G741" s="13" t="s">
        <v>1226</v>
      </c>
      <c r="H741" s="13" t="s">
        <v>490</v>
      </c>
    </row>
    <row r="742" spans="2:8">
      <c r="B742"/>
      <c r="E742" s="26" t="s">
        <v>25</v>
      </c>
      <c r="F742" s="26" t="s">
        <v>30</v>
      </c>
      <c r="G742" s="13" t="s">
        <v>1227</v>
      </c>
      <c r="H742" s="13" t="s">
        <v>490</v>
      </c>
    </row>
    <row r="743" spans="2:8">
      <c r="B743"/>
      <c r="E743" s="26" t="s">
        <v>25</v>
      </c>
      <c r="F743" s="26" t="s">
        <v>30</v>
      </c>
      <c r="G743" s="13" t="s">
        <v>1228</v>
      </c>
      <c r="H743" s="13" t="s">
        <v>490</v>
      </c>
    </row>
    <row r="744" spans="2:8">
      <c r="B744"/>
      <c r="E744" s="25" t="s">
        <v>25</v>
      </c>
      <c r="F744" s="28" t="s">
        <v>28</v>
      </c>
      <c r="G744" s="14" t="s">
        <v>1067</v>
      </c>
      <c r="H744" s="14" t="s">
        <v>492</v>
      </c>
    </row>
    <row r="745" spans="2:8">
      <c r="B745"/>
      <c r="E745" s="25" t="s">
        <v>25</v>
      </c>
      <c r="F745" s="28" t="s">
        <v>28</v>
      </c>
      <c r="G745" s="13" t="s">
        <v>1229</v>
      </c>
      <c r="H745" s="13" t="s">
        <v>490</v>
      </c>
    </row>
    <row r="746" spans="2:8">
      <c r="B746"/>
      <c r="E746" s="25" t="s">
        <v>25</v>
      </c>
      <c r="F746" s="28" t="s">
        <v>28</v>
      </c>
      <c r="G746" s="13" t="s">
        <v>1227</v>
      </c>
      <c r="H746" s="13" t="s">
        <v>490</v>
      </c>
    </row>
    <row r="747" spans="2:8">
      <c r="B747"/>
      <c r="E747" s="25" t="s">
        <v>25</v>
      </c>
      <c r="F747" s="28" t="s">
        <v>28</v>
      </c>
      <c r="G747" s="13" t="s">
        <v>1116</v>
      </c>
      <c r="H747" s="13" t="s">
        <v>490</v>
      </c>
    </row>
    <row r="748" spans="2:8">
      <c r="B748"/>
      <c r="E748" s="25" t="s">
        <v>25</v>
      </c>
      <c r="F748" s="28" t="s">
        <v>28</v>
      </c>
      <c r="G748" s="13" t="s">
        <v>1013</v>
      </c>
      <c r="H748" s="13" t="s">
        <v>490</v>
      </c>
    </row>
    <row r="749" spans="2:8">
      <c r="B749"/>
      <c r="E749" s="25" t="s">
        <v>25</v>
      </c>
      <c r="F749" s="28" t="s">
        <v>28</v>
      </c>
      <c r="G749" s="13" t="s">
        <v>1230</v>
      </c>
      <c r="H749" s="13" t="s">
        <v>490</v>
      </c>
    </row>
    <row r="750" spans="2:8">
      <c r="B750"/>
      <c r="E750" s="25" t="s">
        <v>25</v>
      </c>
      <c r="F750" s="28" t="s">
        <v>28</v>
      </c>
      <c r="G750" s="13" t="s">
        <v>1231</v>
      </c>
      <c r="H750" s="13" t="s">
        <v>490</v>
      </c>
    </row>
    <row r="751" spans="2:8">
      <c r="B751"/>
      <c r="E751" s="25" t="s">
        <v>25</v>
      </c>
      <c r="F751" s="28" t="s">
        <v>28</v>
      </c>
      <c r="G751" s="13" t="s">
        <v>1232</v>
      </c>
      <c r="H751" s="13" t="s">
        <v>490</v>
      </c>
    </row>
    <row r="752" spans="2:8">
      <c r="B752"/>
      <c r="E752" s="25" t="s">
        <v>25</v>
      </c>
      <c r="F752" s="28" t="s">
        <v>28</v>
      </c>
      <c r="G752" s="13" t="s">
        <v>960</v>
      </c>
      <c r="H752" s="13" t="s">
        <v>490</v>
      </c>
    </row>
    <row r="753" spans="2:8">
      <c r="B753"/>
      <c r="E753" s="25" t="s">
        <v>25</v>
      </c>
      <c r="F753" s="28" t="s">
        <v>28</v>
      </c>
      <c r="G753" s="13" t="s">
        <v>942</v>
      </c>
      <c r="H753" s="13" t="s">
        <v>490</v>
      </c>
    </row>
    <row r="754" spans="2:8">
      <c r="B754"/>
      <c r="E754" s="25" t="s">
        <v>25</v>
      </c>
      <c r="F754" s="28" t="s">
        <v>28</v>
      </c>
      <c r="G754" s="13" t="s">
        <v>1233</v>
      </c>
      <c r="H754" s="13" t="s">
        <v>490</v>
      </c>
    </row>
    <row r="755" spans="2:8">
      <c r="B755"/>
      <c r="E755" s="25" t="s">
        <v>25</v>
      </c>
      <c r="F755" s="28" t="s">
        <v>28</v>
      </c>
      <c r="G755" s="13" t="s">
        <v>1234</v>
      </c>
      <c r="H755" s="13" t="s">
        <v>490</v>
      </c>
    </row>
    <row r="756" spans="2:8">
      <c r="B756"/>
      <c r="E756" s="25" t="s">
        <v>25</v>
      </c>
      <c r="F756" s="28" t="s">
        <v>28</v>
      </c>
      <c r="G756" s="13" t="s">
        <v>1235</v>
      </c>
      <c r="H756" s="13" t="s">
        <v>490</v>
      </c>
    </row>
    <row r="757" spans="2:8">
      <c r="B757"/>
      <c r="E757" s="25" t="s">
        <v>25</v>
      </c>
      <c r="F757" s="28" t="s">
        <v>28</v>
      </c>
      <c r="G757" s="13" t="s">
        <v>1236</v>
      </c>
      <c r="H757" s="13" t="s">
        <v>490</v>
      </c>
    </row>
    <row r="758" spans="2:8">
      <c r="B758"/>
      <c r="E758" s="25" t="s">
        <v>25</v>
      </c>
      <c r="F758" s="28" t="s">
        <v>28</v>
      </c>
      <c r="G758" s="13" t="s">
        <v>1237</v>
      </c>
      <c r="H758" s="13" t="s">
        <v>490</v>
      </c>
    </row>
    <row r="759" spans="2:8">
      <c r="B759"/>
      <c r="E759" s="25" t="s">
        <v>25</v>
      </c>
      <c r="F759" s="28" t="s">
        <v>28</v>
      </c>
      <c r="G759" s="13" t="s">
        <v>1238</v>
      </c>
      <c r="H759" s="13" t="s">
        <v>490</v>
      </c>
    </row>
    <row r="760" spans="2:8">
      <c r="B760"/>
      <c r="E760" s="25" t="s">
        <v>25</v>
      </c>
      <c r="F760" s="28" t="s">
        <v>28</v>
      </c>
      <c r="G760" s="13" t="s">
        <v>1094</v>
      </c>
      <c r="H760" s="13" t="s">
        <v>490</v>
      </c>
    </row>
    <row r="761" spans="2:8">
      <c r="B761"/>
      <c r="E761" s="25" t="s">
        <v>25</v>
      </c>
      <c r="F761" s="28" t="s">
        <v>28</v>
      </c>
      <c r="G761" s="13" t="s">
        <v>1039</v>
      </c>
      <c r="H761" s="13" t="s">
        <v>490</v>
      </c>
    </row>
    <row r="762" spans="2:8">
      <c r="B762"/>
      <c r="E762" s="25" t="s">
        <v>25</v>
      </c>
      <c r="F762" s="28" t="s">
        <v>28</v>
      </c>
      <c r="G762" s="13" t="s">
        <v>972</v>
      </c>
      <c r="H762" s="13" t="s">
        <v>490</v>
      </c>
    </row>
    <row r="763" spans="2:8">
      <c r="B763"/>
      <c r="E763" s="25" t="s">
        <v>25</v>
      </c>
      <c r="F763" s="28" t="s">
        <v>28</v>
      </c>
      <c r="G763" s="13" t="s">
        <v>958</v>
      </c>
      <c r="H763" s="13" t="s">
        <v>490</v>
      </c>
    </row>
    <row r="764" spans="2:8">
      <c r="B764"/>
      <c r="E764" s="25" t="s">
        <v>25</v>
      </c>
      <c r="F764" s="28" t="s">
        <v>28</v>
      </c>
      <c r="G764" s="13" t="s">
        <v>1239</v>
      </c>
      <c r="H764" s="13" t="s">
        <v>490</v>
      </c>
    </row>
    <row r="765" spans="2:8">
      <c r="B765"/>
      <c r="E765" s="25" t="s">
        <v>25</v>
      </c>
      <c r="F765" s="28" t="s">
        <v>28</v>
      </c>
      <c r="G765" s="13" t="s">
        <v>1240</v>
      </c>
      <c r="H765" s="13" t="s">
        <v>490</v>
      </c>
    </row>
    <row r="766" spans="2:8">
      <c r="B766"/>
      <c r="E766" s="25" t="s">
        <v>25</v>
      </c>
      <c r="F766" s="28" t="s">
        <v>28</v>
      </c>
      <c r="G766" s="13" t="s">
        <v>1111</v>
      </c>
      <c r="H766" s="13" t="s">
        <v>490</v>
      </c>
    </row>
    <row r="767" spans="2:8">
      <c r="B767"/>
      <c r="E767" s="25" t="s">
        <v>25</v>
      </c>
      <c r="F767" s="28" t="s">
        <v>28</v>
      </c>
      <c r="G767" s="13" t="s">
        <v>1241</v>
      </c>
      <c r="H767" s="13" t="s">
        <v>490</v>
      </c>
    </row>
    <row r="768" spans="2:8">
      <c r="B768"/>
      <c r="E768" s="25" t="s">
        <v>25</v>
      </c>
      <c r="F768" s="28" t="s">
        <v>28</v>
      </c>
      <c r="G768" s="13" t="s">
        <v>1242</v>
      </c>
      <c r="H768" s="13" t="s">
        <v>490</v>
      </c>
    </row>
    <row r="769" spans="2:8">
      <c r="B769"/>
      <c r="E769" s="25" t="s">
        <v>25</v>
      </c>
      <c r="F769" s="28" t="s">
        <v>28</v>
      </c>
      <c r="G769" s="13" t="s">
        <v>1123</v>
      </c>
      <c r="H769" s="13" t="s">
        <v>490</v>
      </c>
    </row>
    <row r="770" spans="2:8">
      <c r="B770"/>
      <c r="E770" s="25" t="s">
        <v>25</v>
      </c>
      <c r="F770" s="28" t="s">
        <v>28</v>
      </c>
      <c r="G770" s="13" t="s">
        <v>962</v>
      </c>
      <c r="H770" s="13" t="s">
        <v>490</v>
      </c>
    </row>
    <row r="771" spans="2:8">
      <c r="B771"/>
      <c r="E771" s="25" t="s">
        <v>25</v>
      </c>
      <c r="F771" s="28" t="s">
        <v>28</v>
      </c>
      <c r="G771" s="13" t="s">
        <v>1243</v>
      </c>
      <c r="H771" s="13" t="s">
        <v>490</v>
      </c>
    </row>
    <row r="772" spans="2:8">
      <c r="B772"/>
      <c r="E772" s="25" t="s">
        <v>25</v>
      </c>
      <c r="F772" s="28" t="s">
        <v>28</v>
      </c>
      <c r="G772" s="13" t="s">
        <v>926</v>
      </c>
      <c r="H772" s="13" t="s">
        <v>490</v>
      </c>
    </row>
    <row r="773" spans="2:8">
      <c r="B773"/>
      <c r="E773" s="26" t="s">
        <v>25</v>
      </c>
      <c r="F773" s="26" t="s">
        <v>1036</v>
      </c>
      <c r="G773" s="14" t="s">
        <v>1111</v>
      </c>
      <c r="H773" s="14" t="s">
        <v>492</v>
      </c>
    </row>
    <row r="774" spans="2:8">
      <c r="B774"/>
      <c r="E774" s="26" t="s">
        <v>25</v>
      </c>
      <c r="F774" s="26" t="s">
        <v>1036</v>
      </c>
      <c r="G774" s="14" t="s">
        <v>1244</v>
      </c>
      <c r="H774" s="14" t="s">
        <v>492</v>
      </c>
    </row>
    <row r="775" spans="2:8">
      <c r="B775"/>
      <c r="E775" s="26" t="s">
        <v>25</v>
      </c>
      <c r="F775" s="26" t="s">
        <v>1036</v>
      </c>
      <c r="G775" s="14" t="s">
        <v>1130</v>
      </c>
      <c r="H775" s="14" t="s">
        <v>492</v>
      </c>
    </row>
    <row r="776" spans="2:8">
      <c r="B776"/>
      <c r="E776" s="26" t="s">
        <v>25</v>
      </c>
      <c r="F776" s="26" t="s">
        <v>1036</v>
      </c>
      <c r="G776" s="14" t="s">
        <v>1245</v>
      </c>
      <c r="H776" s="14" t="s">
        <v>492</v>
      </c>
    </row>
    <row r="777" spans="2:8">
      <c r="B777"/>
      <c r="E777" s="26" t="s">
        <v>25</v>
      </c>
      <c r="F777" s="26" t="s">
        <v>1036</v>
      </c>
      <c r="G777" s="14" t="s">
        <v>1246</v>
      </c>
      <c r="H777" s="14" t="s">
        <v>492</v>
      </c>
    </row>
    <row r="778" spans="2:8">
      <c r="B778"/>
      <c r="E778" s="26" t="s">
        <v>25</v>
      </c>
      <c r="F778" s="26" t="s">
        <v>1036</v>
      </c>
      <c r="G778" s="14" t="s">
        <v>1247</v>
      </c>
      <c r="H778" s="14" t="s">
        <v>492</v>
      </c>
    </row>
    <row r="779" spans="2:8">
      <c r="B779"/>
      <c r="E779" s="26" t="s">
        <v>25</v>
      </c>
      <c r="F779" s="26" t="s">
        <v>1036</v>
      </c>
      <c r="G779" s="14" t="s">
        <v>1248</v>
      </c>
      <c r="H779" s="14" t="s">
        <v>492</v>
      </c>
    </row>
    <row r="780" spans="2:8">
      <c r="B780"/>
      <c r="E780" s="26" t="s">
        <v>25</v>
      </c>
      <c r="F780" s="26" t="s">
        <v>1036</v>
      </c>
      <c r="G780" s="14" t="s">
        <v>1249</v>
      </c>
      <c r="H780" s="14" t="s">
        <v>492</v>
      </c>
    </row>
    <row r="781" spans="2:8">
      <c r="B781"/>
      <c r="E781" s="26" t="s">
        <v>25</v>
      </c>
      <c r="F781" s="26" t="s">
        <v>1036</v>
      </c>
      <c r="G781" s="14" t="s">
        <v>1250</v>
      </c>
      <c r="H781" s="14" t="s">
        <v>492</v>
      </c>
    </row>
    <row r="782" spans="2:8">
      <c r="B782"/>
      <c r="E782" s="26" t="s">
        <v>25</v>
      </c>
      <c r="F782" s="26" t="s">
        <v>1036</v>
      </c>
      <c r="G782" s="14" t="s">
        <v>1251</v>
      </c>
      <c r="H782" s="14" t="s">
        <v>492</v>
      </c>
    </row>
    <row r="783" spans="2:8">
      <c r="B783"/>
      <c r="E783" s="26" t="s">
        <v>25</v>
      </c>
      <c r="F783" s="26" t="s">
        <v>1036</v>
      </c>
      <c r="G783" s="14" t="s">
        <v>994</v>
      </c>
      <c r="H783" s="14" t="s">
        <v>492</v>
      </c>
    </row>
    <row r="784" spans="2:8">
      <c r="B784"/>
      <c r="E784" s="26" t="s">
        <v>25</v>
      </c>
      <c r="F784" s="26" t="s">
        <v>1036</v>
      </c>
      <c r="G784" s="14" t="s">
        <v>1128</v>
      </c>
      <c r="H784" s="14" t="s">
        <v>492</v>
      </c>
    </row>
    <row r="785" spans="2:8">
      <c r="B785"/>
      <c r="E785" s="26" t="s">
        <v>25</v>
      </c>
      <c r="F785" s="26" t="s">
        <v>1036</v>
      </c>
      <c r="G785" s="14" t="s">
        <v>1071</v>
      </c>
      <c r="H785" s="14" t="s">
        <v>492</v>
      </c>
    </row>
    <row r="786" spans="2:8">
      <c r="B786"/>
      <c r="E786" s="26" t="s">
        <v>25</v>
      </c>
      <c r="F786" s="26" t="s">
        <v>1036</v>
      </c>
      <c r="G786" s="14" t="s">
        <v>1252</v>
      </c>
      <c r="H786" s="14" t="s">
        <v>492</v>
      </c>
    </row>
    <row r="787" spans="2:8">
      <c r="B787"/>
      <c r="E787" s="26" t="s">
        <v>25</v>
      </c>
      <c r="F787" s="26" t="s">
        <v>1036</v>
      </c>
      <c r="G787" s="14" t="s">
        <v>1253</v>
      </c>
      <c r="H787" s="14" t="s">
        <v>492</v>
      </c>
    </row>
    <row r="788" spans="2:8">
      <c r="B788"/>
      <c r="E788" s="25" t="s">
        <v>25</v>
      </c>
      <c r="F788" s="28" t="s">
        <v>1037</v>
      </c>
      <c r="G788" s="14" t="s">
        <v>1254</v>
      </c>
      <c r="H788" s="14" t="s">
        <v>492</v>
      </c>
    </row>
    <row r="789" spans="2:8">
      <c r="B789"/>
      <c r="E789" s="25" t="s">
        <v>25</v>
      </c>
      <c r="F789" s="28" t="s">
        <v>1037</v>
      </c>
      <c r="G789" s="14" t="s">
        <v>1255</v>
      </c>
      <c r="H789" s="14" t="s">
        <v>492</v>
      </c>
    </row>
    <row r="790" spans="2:8">
      <c r="B790"/>
      <c r="E790" s="25" t="s">
        <v>25</v>
      </c>
      <c r="F790" s="28" t="s">
        <v>1037</v>
      </c>
      <c r="G790" s="14" t="s">
        <v>1256</v>
      </c>
      <c r="H790" s="14" t="s">
        <v>492</v>
      </c>
    </row>
    <row r="791" spans="2:8">
      <c r="B791"/>
      <c r="E791" s="25" t="s">
        <v>25</v>
      </c>
      <c r="F791" s="28" t="s">
        <v>1037</v>
      </c>
      <c r="G791" s="14" t="s">
        <v>1257</v>
      </c>
      <c r="H791" s="14" t="s">
        <v>492</v>
      </c>
    </row>
    <row r="792" spans="2:8">
      <c r="B792"/>
      <c r="E792" s="25" t="s">
        <v>25</v>
      </c>
      <c r="F792" s="28" t="s">
        <v>1037</v>
      </c>
      <c r="G792" s="14" t="s">
        <v>1258</v>
      </c>
      <c r="H792" s="14" t="s">
        <v>492</v>
      </c>
    </row>
    <row r="793" spans="2:8">
      <c r="B793"/>
      <c r="E793" s="25" t="s">
        <v>25</v>
      </c>
      <c r="F793" s="28" t="s">
        <v>1037</v>
      </c>
      <c r="G793" s="14" t="s">
        <v>1259</v>
      </c>
      <c r="H793" s="14" t="s">
        <v>492</v>
      </c>
    </row>
    <row r="794" spans="2:8">
      <c r="B794"/>
      <c r="E794" s="25" t="s">
        <v>25</v>
      </c>
      <c r="F794" s="28" t="s">
        <v>1037</v>
      </c>
      <c r="G794" s="14" t="s">
        <v>1260</v>
      </c>
      <c r="H794" s="14" t="s">
        <v>492</v>
      </c>
    </row>
    <row r="795" spans="2:8">
      <c r="B795"/>
      <c r="E795" s="25" t="s">
        <v>25</v>
      </c>
      <c r="F795" s="28" t="s">
        <v>1037</v>
      </c>
      <c r="G795" s="14" t="s">
        <v>1261</v>
      </c>
      <c r="H795" s="14" t="s">
        <v>492</v>
      </c>
    </row>
    <row r="796" spans="2:8">
      <c r="B796"/>
      <c r="E796" s="25" t="s">
        <v>25</v>
      </c>
      <c r="F796" s="28" t="s">
        <v>1037</v>
      </c>
      <c r="G796" s="14" t="s">
        <v>1262</v>
      </c>
      <c r="H796" s="14" t="s">
        <v>492</v>
      </c>
    </row>
    <row r="797" spans="2:8">
      <c r="B797"/>
      <c r="E797" s="26" t="s">
        <v>25</v>
      </c>
      <c r="F797" s="26" t="s">
        <v>1038</v>
      </c>
      <c r="G797" s="13" t="s">
        <v>1263</v>
      </c>
      <c r="H797" s="13" t="s">
        <v>490</v>
      </c>
    </row>
    <row r="798" spans="2:8">
      <c r="B798"/>
      <c r="E798" s="26" t="s">
        <v>25</v>
      </c>
      <c r="F798" s="26" t="s">
        <v>1038</v>
      </c>
      <c r="G798" s="13" t="s">
        <v>1264</v>
      </c>
      <c r="H798" s="13" t="s">
        <v>490</v>
      </c>
    </row>
    <row r="799" spans="2:8">
      <c r="B799"/>
      <c r="E799" s="26" t="s">
        <v>25</v>
      </c>
      <c r="F799" s="26" t="s">
        <v>1038</v>
      </c>
      <c r="G799" s="13" t="s">
        <v>1265</v>
      </c>
      <c r="H799" s="13" t="s">
        <v>490</v>
      </c>
    </row>
    <row r="800" spans="2:8">
      <c r="B800"/>
      <c r="E800" s="26" t="s">
        <v>25</v>
      </c>
      <c r="F800" s="26" t="s">
        <v>1038</v>
      </c>
      <c r="G800" s="13" t="s">
        <v>1266</v>
      </c>
      <c r="H800" s="13" t="s">
        <v>490</v>
      </c>
    </row>
    <row r="801" spans="2:8">
      <c r="B801"/>
      <c r="E801" s="26" t="s">
        <v>25</v>
      </c>
      <c r="F801" s="26" t="s">
        <v>1038</v>
      </c>
      <c r="G801" s="13" t="s">
        <v>1267</v>
      </c>
      <c r="H801" s="13" t="s">
        <v>490</v>
      </c>
    </row>
    <row r="802" spans="2:8">
      <c r="B802"/>
      <c r="E802" s="26" t="s">
        <v>25</v>
      </c>
      <c r="F802" s="26" t="s">
        <v>1038</v>
      </c>
      <c r="G802" s="13" t="s">
        <v>1169</v>
      </c>
      <c r="H802" s="13" t="s">
        <v>490</v>
      </c>
    </row>
    <row r="803" spans="2:8">
      <c r="B803"/>
      <c r="E803" s="26" t="s">
        <v>25</v>
      </c>
      <c r="F803" s="26" t="s">
        <v>1038</v>
      </c>
      <c r="G803" s="13" t="s">
        <v>1268</v>
      </c>
      <c r="H803" s="13" t="s">
        <v>490</v>
      </c>
    </row>
    <row r="804" spans="2:8">
      <c r="B804"/>
      <c r="E804" s="26" t="s">
        <v>25</v>
      </c>
      <c r="F804" s="26" t="s">
        <v>1038</v>
      </c>
      <c r="G804" s="13" t="s">
        <v>930</v>
      </c>
      <c r="H804" s="13" t="s">
        <v>490</v>
      </c>
    </row>
    <row r="805" spans="2:8">
      <c r="B805"/>
      <c r="E805" s="26" t="s">
        <v>25</v>
      </c>
      <c r="F805" s="26" t="s">
        <v>1038</v>
      </c>
      <c r="G805" s="13" t="s">
        <v>1107</v>
      </c>
      <c r="H805" s="13" t="s">
        <v>490</v>
      </c>
    </row>
    <row r="806" spans="2:8">
      <c r="B806"/>
      <c r="E806" s="26" t="s">
        <v>25</v>
      </c>
      <c r="F806" s="26" t="s">
        <v>1038</v>
      </c>
      <c r="G806" s="13" t="s">
        <v>1269</v>
      </c>
      <c r="H806" s="13" t="s">
        <v>490</v>
      </c>
    </row>
    <row r="807" spans="2:8">
      <c r="B807"/>
      <c r="E807" s="26" t="s">
        <v>25</v>
      </c>
      <c r="F807" s="26" t="s">
        <v>1038</v>
      </c>
      <c r="G807" s="13" t="s">
        <v>1270</v>
      </c>
      <c r="H807" s="13" t="s">
        <v>490</v>
      </c>
    </row>
    <row r="808" spans="2:8">
      <c r="B808"/>
      <c r="E808" s="26" t="s">
        <v>25</v>
      </c>
      <c r="F808" s="26" t="s">
        <v>1038</v>
      </c>
      <c r="G808" s="13" t="s">
        <v>1271</v>
      </c>
      <c r="H808" s="13" t="s">
        <v>490</v>
      </c>
    </row>
    <row r="809" spans="2:8">
      <c r="B809"/>
      <c r="E809" s="26" t="s">
        <v>25</v>
      </c>
      <c r="F809" s="26" t="s">
        <v>1038</v>
      </c>
      <c r="G809" s="13" t="s">
        <v>1272</v>
      </c>
      <c r="H809" s="13" t="s">
        <v>490</v>
      </c>
    </row>
    <row r="810" spans="2:8">
      <c r="B810"/>
      <c r="E810" s="26" t="s">
        <v>25</v>
      </c>
      <c r="F810" s="26" t="s">
        <v>1038</v>
      </c>
      <c r="G810" s="13" t="s">
        <v>1273</v>
      </c>
      <c r="H810" s="13" t="s">
        <v>490</v>
      </c>
    </row>
    <row r="811" spans="2:8">
      <c r="B811"/>
      <c r="E811" s="26" t="s">
        <v>25</v>
      </c>
      <c r="F811" s="26" t="s">
        <v>1038</v>
      </c>
      <c r="G811" s="13" t="s">
        <v>1274</v>
      </c>
      <c r="H811" s="13" t="s">
        <v>490</v>
      </c>
    </row>
    <row r="812" spans="2:8">
      <c r="B812"/>
      <c r="E812" s="26" t="s">
        <v>25</v>
      </c>
      <c r="F812" s="26" t="s">
        <v>1038</v>
      </c>
      <c r="G812" s="13" t="s">
        <v>1275</v>
      </c>
      <c r="H812" s="13" t="s">
        <v>490</v>
      </c>
    </row>
    <row r="813" spans="2:8">
      <c r="B813"/>
      <c r="E813" s="26" t="s">
        <v>25</v>
      </c>
      <c r="F813" s="26" t="s">
        <v>1038</v>
      </c>
      <c r="G813" s="13" t="s">
        <v>1276</v>
      </c>
      <c r="H813" s="13" t="s">
        <v>490</v>
      </c>
    </row>
    <row r="814" spans="2:8">
      <c r="B814"/>
      <c r="E814" s="26" t="s">
        <v>25</v>
      </c>
      <c r="F814" s="26" t="s">
        <v>1038</v>
      </c>
      <c r="G814" s="13" t="s">
        <v>1200</v>
      </c>
      <c r="H814" s="13" t="s">
        <v>490</v>
      </c>
    </row>
    <row r="815" spans="2:8">
      <c r="B815"/>
      <c r="E815" s="26" t="s">
        <v>25</v>
      </c>
      <c r="F815" s="26" t="s">
        <v>1038</v>
      </c>
      <c r="G815" s="13" t="s">
        <v>1277</v>
      </c>
      <c r="H815" s="13" t="s">
        <v>490</v>
      </c>
    </row>
    <row r="816" spans="2:8">
      <c r="B816"/>
      <c r="E816" s="26" t="s">
        <v>25</v>
      </c>
      <c r="F816" s="26" t="s">
        <v>1038</v>
      </c>
      <c r="G816" s="13" t="s">
        <v>1278</v>
      </c>
      <c r="H816" s="13" t="s">
        <v>490</v>
      </c>
    </row>
    <row r="817" spans="2:8">
      <c r="B817"/>
      <c r="E817" s="26" t="s">
        <v>25</v>
      </c>
      <c r="F817" s="26" t="s">
        <v>1038</v>
      </c>
      <c r="G817" s="13" t="s">
        <v>1279</v>
      </c>
      <c r="H817" s="13" t="s">
        <v>490</v>
      </c>
    </row>
    <row r="818" spans="2:8">
      <c r="B818"/>
      <c r="E818" s="26" t="s">
        <v>25</v>
      </c>
      <c r="F818" s="26" t="s">
        <v>1038</v>
      </c>
      <c r="G818" s="13" t="s">
        <v>942</v>
      </c>
      <c r="H818" s="13" t="s">
        <v>490</v>
      </c>
    </row>
    <row r="819" spans="2:8">
      <c r="B819"/>
      <c r="E819" s="26" t="s">
        <v>25</v>
      </c>
      <c r="F819" s="26" t="s">
        <v>1038</v>
      </c>
      <c r="G819" s="13" t="s">
        <v>968</v>
      </c>
      <c r="H819" s="13" t="s">
        <v>490</v>
      </c>
    </row>
    <row r="820" spans="2:8">
      <c r="B820"/>
    </row>
    <row r="821" spans="2:8">
      <c r="B821"/>
    </row>
    <row r="822" spans="2:8">
      <c r="B822"/>
    </row>
    <row r="823" spans="2:8">
      <c r="B823"/>
    </row>
    <row r="824" spans="2:8">
      <c r="B824"/>
    </row>
    <row r="825" spans="2:8">
      <c r="B825"/>
    </row>
    <row r="826" spans="2:8">
      <c r="B826"/>
    </row>
    <row r="827" spans="2:8">
      <c r="B827"/>
    </row>
    <row r="828" spans="2:8">
      <c r="B828"/>
    </row>
    <row r="829" spans="2:8">
      <c r="B829"/>
    </row>
    <row r="830" spans="2:8">
      <c r="B830"/>
    </row>
    <row r="831" spans="2:8">
      <c r="B831"/>
    </row>
    <row r="832" spans="2:8">
      <c r="B832"/>
    </row>
    <row r="833" spans="2:2">
      <c r="B833"/>
    </row>
    <row r="834" spans="2:2">
      <c r="B834"/>
    </row>
    <row r="835" spans="2:2">
      <c r="B835"/>
    </row>
    <row r="836" spans="2:2">
      <c r="B836"/>
    </row>
    <row r="837" spans="2:2">
      <c r="B837"/>
    </row>
    <row r="838" spans="2:2">
      <c r="B838"/>
    </row>
    <row r="839" spans="2:2">
      <c r="B839"/>
    </row>
    <row r="840" spans="2:2">
      <c r="B840"/>
    </row>
    <row r="841" spans="2:2">
      <c r="B841"/>
    </row>
    <row r="842" spans="2:2">
      <c r="B842"/>
    </row>
    <row r="843" spans="2:2">
      <c r="B843"/>
    </row>
    <row r="844" spans="2:2">
      <c r="B844"/>
    </row>
    <row r="845" spans="2:2">
      <c r="B845"/>
    </row>
    <row r="846" spans="2:2">
      <c r="B846"/>
    </row>
    <row r="847" spans="2:2">
      <c r="B847"/>
    </row>
    <row r="848" spans="2:2">
      <c r="B848"/>
    </row>
    <row r="849" spans="2:2">
      <c r="B849"/>
    </row>
    <row r="850" spans="2:2">
      <c r="B850"/>
    </row>
    <row r="851" spans="2:2">
      <c r="B851"/>
    </row>
    <row r="852" spans="2:2">
      <c r="B852"/>
    </row>
    <row r="853" spans="2:2">
      <c r="B853"/>
    </row>
    <row r="854" spans="2:2">
      <c r="B854"/>
    </row>
    <row r="855" spans="2:2">
      <c r="B855"/>
    </row>
    <row r="856" spans="2:2">
      <c r="B856"/>
    </row>
    <row r="857" spans="2:2">
      <c r="B857"/>
    </row>
    <row r="858" spans="2:2">
      <c r="B858"/>
    </row>
    <row r="859" spans="2:2">
      <c r="B859"/>
    </row>
    <row r="860" spans="2:2">
      <c r="B860"/>
    </row>
    <row r="861" spans="2:2">
      <c r="B861"/>
    </row>
    <row r="862" spans="2:2">
      <c r="B862"/>
    </row>
    <row r="863" spans="2:2">
      <c r="B863"/>
    </row>
    <row r="864" spans="2:2">
      <c r="B864"/>
    </row>
    <row r="865" spans="2:2">
      <c r="B865"/>
    </row>
    <row r="866" spans="2:2">
      <c r="B866"/>
    </row>
    <row r="867" spans="2:2">
      <c r="B867"/>
    </row>
    <row r="868" spans="2:2">
      <c r="B868"/>
    </row>
    <row r="869" spans="2:2">
      <c r="B869"/>
    </row>
    <row r="870" spans="2:2">
      <c r="B870"/>
    </row>
    <row r="871" spans="2:2">
      <c r="B871"/>
    </row>
    <row r="872" spans="2:2">
      <c r="B872"/>
    </row>
    <row r="873" spans="2:2">
      <c r="B873"/>
    </row>
    <row r="874" spans="2:2">
      <c r="B874"/>
    </row>
    <row r="875" spans="2:2">
      <c r="B875"/>
    </row>
    <row r="876" spans="2:2">
      <c r="B876"/>
    </row>
    <row r="877" spans="2:2">
      <c r="B877"/>
    </row>
    <row r="878" spans="2:2">
      <c r="B878"/>
    </row>
    <row r="879" spans="2:2">
      <c r="B879"/>
    </row>
    <row r="880" spans="2:2">
      <c r="B880"/>
    </row>
    <row r="881" spans="2:2">
      <c r="B881"/>
    </row>
    <row r="882" spans="2:2">
      <c r="B882"/>
    </row>
    <row r="883" spans="2:2">
      <c r="B883"/>
    </row>
    <row r="884" spans="2:2">
      <c r="B884"/>
    </row>
    <row r="885" spans="2:2">
      <c r="B885"/>
    </row>
    <row r="886" spans="2:2">
      <c r="B886"/>
    </row>
    <row r="887" spans="2:2">
      <c r="B887"/>
    </row>
    <row r="888" spans="2:2">
      <c r="B888"/>
    </row>
    <row r="889" spans="2:2">
      <c r="B889"/>
    </row>
    <row r="890" spans="2:2">
      <c r="B890"/>
    </row>
    <row r="891" spans="2:2">
      <c r="B891"/>
    </row>
    <row r="892" spans="2:2">
      <c r="B892"/>
    </row>
    <row r="893" spans="2:2">
      <c r="B893"/>
    </row>
    <row r="894" spans="2:2">
      <c r="B894"/>
    </row>
    <row r="895" spans="2:2">
      <c r="B895"/>
    </row>
    <row r="896" spans="2:2">
      <c r="B896"/>
    </row>
    <row r="897" spans="2:2">
      <c r="B897"/>
    </row>
    <row r="898" spans="2:2">
      <c r="B898"/>
    </row>
    <row r="899" spans="2:2">
      <c r="B899"/>
    </row>
    <row r="900" spans="2:2">
      <c r="B900"/>
    </row>
    <row r="901" spans="2:2">
      <c r="B901"/>
    </row>
    <row r="902" spans="2:2">
      <c r="B902"/>
    </row>
    <row r="903" spans="2:2">
      <c r="B903"/>
    </row>
    <row r="904" spans="2:2">
      <c r="B904"/>
    </row>
    <row r="905" spans="2:2">
      <c r="B905"/>
    </row>
    <row r="906" spans="2:2">
      <c r="B906"/>
    </row>
    <row r="907" spans="2:2">
      <c r="B907"/>
    </row>
    <row r="908" spans="2:2">
      <c r="B908"/>
    </row>
    <row r="909" spans="2:2">
      <c r="B909"/>
    </row>
    <row r="910" spans="2:2">
      <c r="B910"/>
    </row>
    <row r="911" spans="2:2">
      <c r="B911"/>
    </row>
    <row r="912" spans="2:2">
      <c r="B912"/>
    </row>
    <row r="913" spans="2:2">
      <c r="B913"/>
    </row>
    <row r="914" spans="2:2">
      <c r="B914"/>
    </row>
    <row r="915" spans="2:2">
      <c r="B915"/>
    </row>
    <row r="916" spans="2:2">
      <c r="B916"/>
    </row>
    <row r="917" spans="2:2">
      <c r="B917"/>
    </row>
    <row r="918" spans="2:2">
      <c r="B918"/>
    </row>
    <row r="919" spans="2:2">
      <c r="B919"/>
    </row>
    <row r="920" spans="2:2">
      <c r="B920"/>
    </row>
    <row r="921" spans="2:2">
      <c r="B921"/>
    </row>
    <row r="922" spans="2:2">
      <c r="B922"/>
    </row>
    <row r="923" spans="2:2">
      <c r="B923"/>
    </row>
    <row r="924" spans="2:2">
      <c r="B924"/>
    </row>
    <row r="925" spans="2:2">
      <c r="B925"/>
    </row>
    <row r="926" spans="2:2">
      <c r="B926"/>
    </row>
    <row r="927" spans="2:2">
      <c r="B927"/>
    </row>
    <row r="928" spans="2:2">
      <c r="B928"/>
    </row>
    <row r="929" spans="2:2">
      <c r="B929"/>
    </row>
    <row r="930" spans="2:2">
      <c r="B930"/>
    </row>
    <row r="931" spans="2:2">
      <c r="B931"/>
    </row>
    <row r="932" spans="2:2">
      <c r="B932"/>
    </row>
    <row r="933" spans="2:2">
      <c r="B933"/>
    </row>
    <row r="934" spans="2:2">
      <c r="B934"/>
    </row>
    <row r="935" spans="2:2">
      <c r="B935"/>
    </row>
    <row r="936" spans="2:2">
      <c r="B936"/>
    </row>
    <row r="937" spans="2:2">
      <c r="B937"/>
    </row>
    <row r="938" spans="2:2">
      <c r="B938"/>
    </row>
    <row r="939" spans="2:2">
      <c r="B939"/>
    </row>
    <row r="940" spans="2:2">
      <c r="B940"/>
    </row>
    <row r="941" spans="2:2">
      <c r="B941"/>
    </row>
    <row r="942" spans="2:2">
      <c r="B942"/>
    </row>
    <row r="943" spans="2:2">
      <c r="B943"/>
    </row>
    <row r="944" spans="2:2">
      <c r="B944"/>
    </row>
    <row r="945" spans="2:2">
      <c r="B945"/>
    </row>
    <row r="946" spans="2:2">
      <c r="B946"/>
    </row>
    <row r="947" spans="2:2">
      <c r="B947"/>
    </row>
    <row r="948" spans="2:2">
      <c r="B948"/>
    </row>
    <row r="949" spans="2:2">
      <c r="B949"/>
    </row>
    <row r="950" spans="2:2">
      <c r="B950"/>
    </row>
    <row r="951" spans="2:2">
      <c r="B951"/>
    </row>
    <row r="952" spans="2:2">
      <c r="B952"/>
    </row>
    <row r="953" spans="2:2">
      <c r="B953"/>
    </row>
    <row r="954" spans="2:2">
      <c r="B954"/>
    </row>
    <row r="955" spans="2:2">
      <c r="B955"/>
    </row>
    <row r="956" spans="2:2">
      <c r="B956"/>
    </row>
    <row r="957" spans="2:2">
      <c r="B957"/>
    </row>
    <row r="958" spans="2:2">
      <c r="B958"/>
    </row>
    <row r="959" spans="2:2">
      <c r="B959"/>
    </row>
    <row r="960" spans="2:2">
      <c r="B960"/>
    </row>
    <row r="961" spans="2:2">
      <c r="B961"/>
    </row>
    <row r="962" spans="2:2">
      <c r="B962"/>
    </row>
    <row r="963" spans="2:2">
      <c r="B963"/>
    </row>
    <row r="964" spans="2:2">
      <c r="B964"/>
    </row>
    <row r="965" spans="2:2">
      <c r="B965"/>
    </row>
    <row r="966" spans="2:2">
      <c r="B966"/>
    </row>
    <row r="967" spans="2:2">
      <c r="B967"/>
    </row>
    <row r="968" spans="2:2">
      <c r="B968"/>
    </row>
    <row r="969" spans="2:2">
      <c r="B969"/>
    </row>
    <row r="970" spans="2:2">
      <c r="B970"/>
    </row>
    <row r="971" spans="2:2">
      <c r="B971"/>
    </row>
    <row r="972" spans="2:2">
      <c r="B972"/>
    </row>
    <row r="973" spans="2:2">
      <c r="B973"/>
    </row>
    <row r="974" spans="2:2">
      <c r="B974"/>
    </row>
    <row r="975" spans="2:2">
      <c r="B975"/>
    </row>
    <row r="976" spans="2:2">
      <c r="B976"/>
    </row>
    <row r="977" spans="2:2">
      <c r="B977"/>
    </row>
    <row r="978" spans="2:2">
      <c r="B978"/>
    </row>
    <row r="979" spans="2:2">
      <c r="B979"/>
    </row>
    <row r="980" spans="2:2">
      <c r="B980"/>
    </row>
    <row r="981" spans="2:2">
      <c r="B981"/>
    </row>
    <row r="982" spans="2:2">
      <c r="B982"/>
    </row>
    <row r="983" spans="2:2">
      <c r="B983"/>
    </row>
    <row r="984" spans="2:2">
      <c r="B984"/>
    </row>
    <row r="985" spans="2:2">
      <c r="B985"/>
    </row>
    <row r="986" spans="2:2">
      <c r="B986"/>
    </row>
    <row r="987" spans="2:2">
      <c r="B987"/>
    </row>
    <row r="988" spans="2:2">
      <c r="B988"/>
    </row>
    <row r="989" spans="2:2">
      <c r="B989"/>
    </row>
    <row r="990" spans="2:2">
      <c r="B990"/>
    </row>
    <row r="991" spans="2:2">
      <c r="B991"/>
    </row>
    <row r="992" spans="2:2">
      <c r="B992"/>
    </row>
    <row r="993" spans="2:2">
      <c r="B993"/>
    </row>
    <row r="994" spans="2:2">
      <c r="B994"/>
    </row>
    <row r="995" spans="2:2">
      <c r="B995"/>
    </row>
    <row r="996" spans="2:2">
      <c r="B996"/>
    </row>
    <row r="997" spans="2:2">
      <c r="B997"/>
    </row>
    <row r="998" spans="2:2">
      <c r="B998"/>
    </row>
    <row r="999" spans="2:2">
      <c r="B999"/>
    </row>
    <row r="1000" spans="2:2">
      <c r="B1000"/>
    </row>
    <row r="1001" spans="2:2">
      <c r="B1001"/>
    </row>
    <row r="1002" spans="2:2">
      <c r="B1002"/>
    </row>
    <row r="1003" spans="2:2">
      <c r="B1003"/>
    </row>
    <row r="1004" spans="2:2">
      <c r="B1004"/>
    </row>
    <row r="1005" spans="2:2">
      <c r="B1005"/>
    </row>
    <row r="1006" spans="2:2">
      <c r="B1006"/>
    </row>
    <row r="1007" spans="2:2">
      <c r="B1007"/>
    </row>
    <row r="1008" spans="2:2">
      <c r="B1008"/>
    </row>
    <row r="1009" spans="2:2">
      <c r="B1009"/>
    </row>
    <row r="1010" spans="2:2">
      <c r="B1010"/>
    </row>
    <row r="1011" spans="2:2">
      <c r="B1011"/>
    </row>
    <row r="1012" spans="2:2">
      <c r="B1012"/>
    </row>
    <row r="1013" spans="2:2">
      <c r="B1013"/>
    </row>
    <row r="1014" spans="2:2">
      <c r="B1014"/>
    </row>
    <row r="1015" spans="2:2">
      <c r="B1015"/>
    </row>
    <row r="1016" spans="2:2">
      <c r="B1016"/>
    </row>
    <row r="1017" spans="2:2">
      <c r="B1017"/>
    </row>
    <row r="1018" spans="2:2">
      <c r="B1018"/>
    </row>
    <row r="1019" spans="2:2">
      <c r="B1019"/>
    </row>
    <row r="1020" spans="2:2">
      <c r="B1020"/>
    </row>
    <row r="1021" spans="2:2">
      <c r="B1021"/>
    </row>
    <row r="1022" spans="2:2">
      <c r="B1022"/>
    </row>
    <row r="1023" spans="2:2">
      <c r="B1023"/>
    </row>
    <row r="1024" spans="2:2">
      <c r="B1024"/>
    </row>
    <row r="1025" spans="2:2">
      <c r="B1025"/>
    </row>
    <row r="1026" spans="2:2">
      <c r="B1026"/>
    </row>
    <row r="1027" spans="2:2">
      <c r="B1027"/>
    </row>
    <row r="1028" spans="2:2">
      <c r="B1028"/>
    </row>
    <row r="1029" spans="2:2">
      <c r="B1029"/>
    </row>
    <row r="1030" spans="2:2">
      <c r="B1030"/>
    </row>
    <row r="1031" spans="2:2">
      <c r="B1031"/>
    </row>
    <row r="1032" spans="2:2">
      <c r="B1032"/>
    </row>
    <row r="1033" spans="2:2">
      <c r="B1033"/>
    </row>
    <row r="1034" spans="2:2">
      <c r="B1034"/>
    </row>
    <row r="1035" spans="2:2">
      <c r="B1035"/>
    </row>
    <row r="1036" spans="2:2">
      <c r="B1036"/>
    </row>
    <row r="1037" spans="2:2">
      <c r="B1037"/>
    </row>
    <row r="1038" spans="2:2">
      <c r="B1038"/>
    </row>
    <row r="1039" spans="2:2">
      <c r="B1039"/>
    </row>
    <row r="1040" spans="2:2">
      <c r="B1040"/>
    </row>
    <row r="1041" spans="2:2">
      <c r="B1041"/>
    </row>
    <row r="1042" spans="2:2">
      <c r="B1042"/>
    </row>
    <row r="1043" spans="2:2">
      <c r="B1043"/>
    </row>
    <row r="1044" spans="2:2">
      <c r="B1044"/>
    </row>
    <row r="1045" spans="2:2">
      <c r="B1045"/>
    </row>
    <row r="1046" spans="2:2">
      <c r="B1046"/>
    </row>
    <row r="1047" spans="2:2">
      <c r="B1047"/>
    </row>
    <row r="1048" spans="2:2">
      <c r="B1048"/>
    </row>
    <row r="1049" spans="2:2">
      <c r="B1049"/>
    </row>
    <row r="1050" spans="2:2">
      <c r="B1050"/>
    </row>
    <row r="1051" spans="2:2">
      <c r="B1051"/>
    </row>
    <row r="1052" spans="2:2">
      <c r="B1052"/>
    </row>
    <row r="1053" spans="2:2">
      <c r="B1053"/>
    </row>
    <row r="1054" spans="2:2">
      <c r="B1054"/>
    </row>
    <row r="1055" spans="2:2">
      <c r="B1055"/>
    </row>
    <row r="1056" spans="2:2">
      <c r="B1056"/>
    </row>
    <row r="1057" spans="2:2">
      <c r="B1057"/>
    </row>
    <row r="1058" spans="2:2">
      <c r="B1058"/>
    </row>
    <row r="1059" spans="2:2">
      <c r="B1059"/>
    </row>
    <row r="1060" spans="2:2">
      <c r="B1060"/>
    </row>
    <row r="1061" spans="2:2">
      <c r="B1061"/>
    </row>
    <row r="1062" spans="2:2">
      <c r="B1062"/>
    </row>
    <row r="1063" spans="2:2">
      <c r="B1063"/>
    </row>
    <row r="1064" spans="2:2">
      <c r="B1064"/>
    </row>
    <row r="1065" spans="2:2">
      <c r="B1065"/>
    </row>
    <row r="1066" spans="2:2">
      <c r="B1066"/>
    </row>
    <row r="1067" spans="2:2">
      <c r="B1067"/>
    </row>
    <row r="1068" spans="2:2">
      <c r="B1068"/>
    </row>
    <row r="1069" spans="2:2">
      <c r="B1069"/>
    </row>
    <row r="1070" spans="2:2">
      <c r="B1070"/>
    </row>
    <row r="1071" spans="2:2">
      <c r="B1071"/>
    </row>
    <row r="1072" spans="2:2">
      <c r="B1072"/>
    </row>
    <row r="1073" spans="2:2">
      <c r="B1073"/>
    </row>
    <row r="1074" spans="2:2">
      <c r="B1074"/>
    </row>
    <row r="1075" spans="2:2">
      <c r="B1075"/>
    </row>
    <row r="1076" spans="2:2">
      <c r="B1076"/>
    </row>
    <row r="1077" spans="2:2">
      <c r="B1077"/>
    </row>
    <row r="1078" spans="2:2">
      <c r="B1078"/>
    </row>
    <row r="1079" spans="2:2">
      <c r="B1079"/>
    </row>
    <row r="1080" spans="2:2">
      <c r="B1080"/>
    </row>
    <row r="1081" spans="2:2">
      <c r="B1081"/>
    </row>
    <row r="1082" spans="2:2">
      <c r="B1082"/>
    </row>
    <row r="1083" spans="2:2">
      <c r="B1083"/>
    </row>
    <row r="1084" spans="2:2">
      <c r="B1084"/>
    </row>
    <row r="1085" spans="2:2">
      <c r="B1085"/>
    </row>
    <row r="1086" spans="2:2">
      <c r="B1086"/>
    </row>
    <row r="1087" spans="2:2">
      <c r="B1087"/>
    </row>
    <row r="1088" spans="2:2">
      <c r="B1088"/>
    </row>
    <row r="1089" spans="2:2">
      <c r="B1089"/>
    </row>
    <row r="1090" spans="2:2">
      <c r="B1090"/>
    </row>
    <row r="1091" spans="2:2">
      <c r="B1091"/>
    </row>
    <row r="1092" spans="2:2">
      <c r="B1092"/>
    </row>
    <row r="1093" spans="2:2">
      <c r="B1093"/>
    </row>
    <row r="1094" spans="2:2">
      <c r="B1094"/>
    </row>
    <row r="1095" spans="2:2">
      <c r="B1095"/>
    </row>
    <row r="1096" spans="2:2">
      <c r="B1096"/>
    </row>
    <row r="1097" spans="2:2">
      <c r="B1097"/>
    </row>
    <row r="1098" spans="2:2">
      <c r="B1098"/>
    </row>
    <row r="1099" spans="2:2">
      <c r="B1099"/>
    </row>
    <row r="1100" spans="2:2">
      <c r="B1100"/>
    </row>
    <row r="1101" spans="2:2">
      <c r="B1101"/>
    </row>
    <row r="1102" spans="2:2">
      <c r="B1102"/>
    </row>
    <row r="1103" spans="2:2">
      <c r="B1103"/>
    </row>
    <row r="1104" spans="2:2">
      <c r="B1104"/>
    </row>
    <row r="1105" spans="2:2">
      <c r="B1105"/>
    </row>
    <row r="1106" spans="2:2">
      <c r="B1106"/>
    </row>
    <row r="1107" spans="2:2">
      <c r="B1107"/>
    </row>
    <row r="1108" spans="2:2">
      <c r="B1108"/>
    </row>
    <row r="1109" spans="2:2">
      <c r="B1109"/>
    </row>
    <row r="1110" spans="2:2">
      <c r="B1110"/>
    </row>
    <row r="1111" spans="2:2">
      <c r="B1111"/>
    </row>
    <row r="1112" spans="2:2">
      <c r="B1112"/>
    </row>
    <row r="1113" spans="2:2">
      <c r="B1113"/>
    </row>
    <row r="1114" spans="2:2">
      <c r="B1114"/>
    </row>
    <row r="1115" spans="2:2">
      <c r="B1115"/>
    </row>
    <row r="1116" spans="2:2">
      <c r="B1116"/>
    </row>
    <row r="1117" spans="2:2">
      <c r="B1117"/>
    </row>
    <row r="1118" spans="2:2">
      <c r="B1118"/>
    </row>
    <row r="1119" spans="2:2">
      <c r="B1119"/>
    </row>
    <row r="1120" spans="2:2">
      <c r="B1120"/>
    </row>
    <row r="1121" spans="2:2">
      <c r="B1121"/>
    </row>
    <row r="1122" spans="2:2">
      <c r="B1122"/>
    </row>
    <row r="1123" spans="2:2">
      <c r="B1123"/>
    </row>
    <row r="1124" spans="2:2">
      <c r="B1124"/>
    </row>
    <row r="1125" spans="2:2">
      <c r="B1125"/>
    </row>
    <row r="1126" spans="2:2">
      <c r="B1126"/>
    </row>
    <row r="1127" spans="2:2">
      <c r="B1127"/>
    </row>
    <row r="1128" spans="2:2">
      <c r="B1128"/>
    </row>
    <row r="1129" spans="2:2">
      <c r="B1129"/>
    </row>
    <row r="1130" spans="2:2">
      <c r="B1130"/>
    </row>
    <row r="1131" spans="2:2">
      <c r="B1131"/>
    </row>
    <row r="1132" spans="2:2">
      <c r="B1132"/>
    </row>
    <row r="1133" spans="2:2">
      <c r="B1133"/>
    </row>
    <row r="1134" spans="2:2">
      <c r="B1134"/>
    </row>
    <row r="1135" spans="2:2">
      <c r="B1135"/>
    </row>
    <row r="1136" spans="2:2">
      <c r="B1136"/>
    </row>
    <row r="1137" spans="2:2">
      <c r="B1137"/>
    </row>
    <row r="1138" spans="2:2">
      <c r="B1138"/>
    </row>
    <row r="1139" spans="2:2">
      <c r="B1139"/>
    </row>
    <row r="1140" spans="2:2">
      <c r="B1140"/>
    </row>
    <row r="1141" spans="2:2">
      <c r="B1141"/>
    </row>
    <row r="1142" spans="2:2">
      <c r="B1142"/>
    </row>
    <row r="1143" spans="2:2">
      <c r="B1143"/>
    </row>
    <row r="1144" spans="2:2">
      <c r="B1144"/>
    </row>
    <row r="1145" spans="2:2">
      <c r="B1145"/>
    </row>
    <row r="1146" spans="2:2">
      <c r="B1146"/>
    </row>
    <row r="1147" spans="2:2">
      <c r="B1147"/>
    </row>
    <row r="1148" spans="2:2">
      <c r="B1148"/>
    </row>
    <row r="1149" spans="2:2">
      <c r="B1149"/>
    </row>
    <row r="1150" spans="2:2">
      <c r="B1150"/>
    </row>
    <row r="1151" spans="2:2">
      <c r="B1151"/>
    </row>
    <row r="1152" spans="2:2">
      <c r="B1152"/>
    </row>
    <row r="1153" spans="2:2">
      <c r="B1153"/>
    </row>
    <row r="1154" spans="2:2">
      <c r="B1154"/>
    </row>
    <row r="1155" spans="2:2">
      <c r="B1155"/>
    </row>
    <row r="1156" spans="2:2">
      <c r="B1156"/>
    </row>
    <row r="1157" spans="2:2">
      <c r="B1157"/>
    </row>
    <row r="1158" spans="2:2">
      <c r="B1158"/>
    </row>
    <row r="1159" spans="2:2">
      <c r="B1159"/>
    </row>
    <row r="1160" spans="2:2">
      <c r="B1160"/>
    </row>
    <row r="1161" spans="2:2">
      <c r="B1161"/>
    </row>
    <row r="1162" spans="2:2">
      <c r="B1162"/>
    </row>
    <row r="1163" spans="2:2">
      <c r="B1163"/>
    </row>
    <row r="1164" spans="2:2">
      <c r="B1164"/>
    </row>
    <row r="1165" spans="2:2">
      <c r="B1165"/>
    </row>
    <row r="1166" spans="2:2">
      <c r="B1166"/>
    </row>
    <row r="1167" spans="2:2">
      <c r="B1167"/>
    </row>
    <row r="1168" spans="2:2">
      <c r="B1168"/>
    </row>
    <row r="1169" spans="2:2">
      <c r="B1169"/>
    </row>
    <row r="1170" spans="2:2">
      <c r="B1170"/>
    </row>
    <row r="1171" spans="2:2">
      <c r="B1171"/>
    </row>
    <row r="1172" spans="2:2">
      <c r="B1172"/>
    </row>
    <row r="1173" spans="2:2">
      <c r="B1173"/>
    </row>
    <row r="1174" spans="2:2">
      <c r="B1174"/>
    </row>
    <row r="1175" spans="2:2">
      <c r="B1175"/>
    </row>
    <row r="1176" spans="2:2">
      <c r="B1176"/>
    </row>
    <row r="1177" spans="2:2">
      <c r="B1177"/>
    </row>
    <row r="1178" spans="2:2">
      <c r="B1178"/>
    </row>
    <row r="1179" spans="2:2">
      <c r="B1179"/>
    </row>
    <row r="1180" spans="2:2">
      <c r="B1180"/>
    </row>
    <row r="1181" spans="2:2">
      <c r="B1181"/>
    </row>
    <row r="1182" spans="2:2">
      <c r="B1182"/>
    </row>
    <row r="1183" spans="2:2">
      <c r="B1183"/>
    </row>
    <row r="1184" spans="2:2">
      <c r="B1184"/>
    </row>
    <row r="1185" spans="2:2">
      <c r="B1185"/>
    </row>
    <row r="1186" spans="2:2">
      <c r="B1186"/>
    </row>
    <row r="1187" spans="2:2">
      <c r="B1187"/>
    </row>
    <row r="1188" spans="2:2">
      <c r="B1188"/>
    </row>
    <row r="1189" spans="2:2">
      <c r="B1189"/>
    </row>
    <row r="1190" spans="2:2">
      <c r="B1190"/>
    </row>
    <row r="1191" spans="2:2">
      <c r="B1191"/>
    </row>
    <row r="1192" spans="2:2">
      <c r="B1192"/>
    </row>
    <row r="1193" spans="2:2">
      <c r="B1193"/>
    </row>
    <row r="1194" spans="2:2">
      <c r="B1194"/>
    </row>
    <row r="1195" spans="2:2">
      <c r="B1195"/>
    </row>
    <row r="1196" spans="2:2">
      <c r="B1196"/>
    </row>
    <row r="1197" spans="2:2">
      <c r="B1197"/>
    </row>
    <row r="1198" spans="2:2">
      <c r="B1198"/>
    </row>
    <row r="1199" spans="2:2">
      <c r="B1199"/>
    </row>
    <row r="1200" spans="2:2">
      <c r="B1200"/>
    </row>
    <row r="1201" spans="2:2">
      <c r="B1201"/>
    </row>
    <row r="1202" spans="2:2">
      <c r="B1202"/>
    </row>
    <row r="1203" spans="2:2">
      <c r="B1203"/>
    </row>
    <row r="1204" spans="2:2">
      <c r="B1204"/>
    </row>
    <row r="1205" spans="2:2">
      <c r="B1205"/>
    </row>
    <row r="1206" spans="2:2">
      <c r="B1206"/>
    </row>
    <row r="1207" spans="2:2">
      <c r="B1207"/>
    </row>
    <row r="1208" spans="2:2">
      <c r="B1208"/>
    </row>
    <row r="1209" spans="2:2">
      <c r="B1209"/>
    </row>
    <row r="1210" spans="2:2">
      <c r="B1210"/>
    </row>
    <row r="1211" spans="2:2">
      <c r="B1211"/>
    </row>
    <row r="1212" spans="2:2">
      <c r="B1212"/>
    </row>
    <row r="1213" spans="2:2">
      <c r="B1213"/>
    </row>
    <row r="1214" spans="2:2">
      <c r="B1214"/>
    </row>
    <row r="1215" spans="2:2">
      <c r="B1215"/>
    </row>
    <row r="1216" spans="2:2">
      <c r="B1216"/>
    </row>
    <row r="1217" spans="2:2">
      <c r="B1217"/>
    </row>
    <row r="1218" spans="2:2">
      <c r="B1218"/>
    </row>
    <row r="1219" spans="2:2">
      <c r="B1219"/>
    </row>
    <row r="1220" spans="2:2">
      <c r="B1220"/>
    </row>
    <row r="1221" spans="2:2">
      <c r="B1221"/>
    </row>
    <row r="1222" spans="2:2">
      <c r="B1222"/>
    </row>
    <row r="1223" spans="2:2">
      <c r="B1223"/>
    </row>
    <row r="1224" spans="2:2">
      <c r="B1224"/>
    </row>
    <row r="1225" spans="2:2">
      <c r="B1225"/>
    </row>
    <row r="1226" spans="2:2">
      <c r="B1226"/>
    </row>
    <row r="1227" spans="2:2">
      <c r="B1227"/>
    </row>
    <row r="1228" spans="2:2">
      <c r="B1228"/>
    </row>
    <row r="1229" spans="2:2">
      <c r="B1229"/>
    </row>
    <row r="1230" spans="2:2">
      <c r="B1230"/>
    </row>
    <row r="1231" spans="2:2">
      <c r="B1231"/>
    </row>
    <row r="1232" spans="2:2">
      <c r="B1232"/>
    </row>
    <row r="1233" spans="2:2">
      <c r="B1233"/>
    </row>
    <row r="1234" spans="2:2">
      <c r="B1234"/>
    </row>
    <row r="1235" spans="2:2">
      <c r="B1235"/>
    </row>
    <row r="1236" spans="2:2">
      <c r="B1236"/>
    </row>
    <row r="1237" spans="2:2">
      <c r="B1237"/>
    </row>
    <row r="1238" spans="2:2">
      <c r="B1238"/>
    </row>
    <row r="1239" spans="2:2">
      <c r="B1239"/>
    </row>
    <row r="1240" spans="2:2">
      <c r="B1240"/>
    </row>
    <row r="1241" spans="2:2">
      <c r="B1241"/>
    </row>
    <row r="1242" spans="2:2">
      <c r="B1242"/>
    </row>
    <row r="1243" spans="2:2">
      <c r="B1243"/>
    </row>
    <row r="1244" spans="2:2">
      <c r="B1244"/>
    </row>
    <row r="1245" spans="2:2">
      <c r="B1245"/>
    </row>
    <row r="1246" spans="2:2">
      <c r="B1246"/>
    </row>
    <row r="1247" spans="2:2">
      <c r="B1247"/>
    </row>
    <row r="1248" spans="2:2">
      <c r="B1248"/>
    </row>
    <row r="1249" spans="2:2">
      <c r="B1249"/>
    </row>
    <row r="1250" spans="2:2">
      <c r="B1250"/>
    </row>
    <row r="1251" spans="2:2">
      <c r="B1251"/>
    </row>
    <row r="1252" spans="2:2">
      <c r="B1252"/>
    </row>
    <row r="1253" spans="2:2">
      <c r="B1253"/>
    </row>
    <row r="1254" spans="2:2">
      <c r="B1254"/>
    </row>
    <row r="1255" spans="2:2">
      <c r="B1255"/>
    </row>
    <row r="1256" spans="2:2">
      <c r="B1256"/>
    </row>
    <row r="1257" spans="2:2">
      <c r="B1257"/>
    </row>
    <row r="1258" spans="2:2">
      <c r="B1258"/>
    </row>
    <row r="1259" spans="2:2">
      <c r="B1259"/>
    </row>
    <row r="1260" spans="2:2">
      <c r="B1260"/>
    </row>
    <row r="1261" spans="2:2">
      <c r="B1261"/>
    </row>
    <row r="1262" spans="2:2">
      <c r="B1262"/>
    </row>
    <row r="1263" spans="2:2">
      <c r="B1263"/>
    </row>
    <row r="1264" spans="2:2">
      <c r="B1264"/>
    </row>
    <row r="1265" spans="2:2">
      <c r="B1265"/>
    </row>
    <row r="1266" spans="2:2">
      <c r="B1266"/>
    </row>
    <row r="1267" spans="2:2">
      <c r="B1267"/>
    </row>
    <row r="1268" spans="2:2">
      <c r="B1268"/>
    </row>
    <row r="1269" spans="2:2">
      <c r="B1269"/>
    </row>
    <row r="1270" spans="2:2">
      <c r="B1270"/>
    </row>
    <row r="1271" spans="2:2">
      <c r="B1271"/>
    </row>
    <row r="1272" spans="2:2">
      <c r="B1272"/>
    </row>
    <row r="1273" spans="2:2">
      <c r="B1273"/>
    </row>
    <row r="1274" spans="2:2">
      <c r="B1274"/>
    </row>
    <row r="1275" spans="2:2">
      <c r="B1275"/>
    </row>
    <row r="1276" spans="2:2">
      <c r="B1276"/>
    </row>
    <row r="1277" spans="2:2">
      <c r="B1277"/>
    </row>
    <row r="1278" spans="2:2">
      <c r="B1278"/>
    </row>
    <row r="1279" spans="2:2">
      <c r="B1279"/>
    </row>
    <row r="1280" spans="2:2">
      <c r="B1280"/>
    </row>
    <row r="1281" spans="2:2">
      <c r="B1281"/>
    </row>
    <row r="1282" spans="2:2">
      <c r="B1282"/>
    </row>
    <row r="1283" spans="2:2">
      <c r="B1283"/>
    </row>
    <row r="1284" spans="2:2">
      <c r="B1284"/>
    </row>
    <row r="1285" spans="2:2">
      <c r="B1285"/>
    </row>
    <row r="1286" spans="2:2">
      <c r="B1286"/>
    </row>
    <row r="1287" spans="2:2">
      <c r="B1287"/>
    </row>
    <row r="1288" spans="2:2">
      <c r="B1288"/>
    </row>
    <row r="1289" spans="2:2">
      <c r="B1289"/>
    </row>
    <row r="1290" spans="2:2">
      <c r="B1290"/>
    </row>
    <row r="1291" spans="2:2">
      <c r="B1291"/>
    </row>
    <row r="1292" spans="2:2">
      <c r="B1292"/>
    </row>
    <row r="1293" spans="2:2">
      <c r="B1293"/>
    </row>
    <row r="1294" spans="2:2">
      <c r="B1294"/>
    </row>
    <row r="1295" spans="2:2">
      <c r="B1295"/>
    </row>
    <row r="1296" spans="2:2">
      <c r="B1296"/>
    </row>
    <row r="1297" spans="2:2">
      <c r="B1297"/>
    </row>
    <row r="1298" spans="2:2">
      <c r="B1298"/>
    </row>
    <row r="1299" spans="2:2">
      <c r="B1299"/>
    </row>
    <row r="1300" spans="2:2">
      <c r="B1300"/>
    </row>
    <row r="1301" spans="2:2">
      <c r="B1301"/>
    </row>
    <row r="1302" spans="2:2">
      <c r="B1302"/>
    </row>
    <row r="1303" spans="2:2">
      <c r="B1303"/>
    </row>
    <row r="1304" spans="2:2">
      <c r="B1304"/>
    </row>
    <row r="1305" spans="2:2">
      <c r="B1305"/>
    </row>
    <row r="1306" spans="2:2">
      <c r="B1306"/>
    </row>
    <row r="1307" spans="2:2">
      <c r="B1307"/>
    </row>
    <row r="1308" spans="2:2">
      <c r="B1308"/>
    </row>
    <row r="1309" spans="2:2">
      <c r="B1309"/>
    </row>
    <row r="1310" spans="2:2">
      <c r="B1310"/>
    </row>
    <row r="1311" spans="2:2">
      <c r="B1311"/>
    </row>
    <row r="1312" spans="2:2">
      <c r="B1312"/>
    </row>
    <row r="1313" spans="2:2">
      <c r="B1313"/>
    </row>
    <row r="1314" spans="2:2">
      <c r="B1314"/>
    </row>
    <row r="1315" spans="2:2">
      <c r="B1315"/>
    </row>
    <row r="1316" spans="2:2">
      <c r="B1316"/>
    </row>
    <row r="1317" spans="2:2">
      <c r="B1317"/>
    </row>
    <row r="1318" spans="2:2">
      <c r="B1318"/>
    </row>
    <row r="1319" spans="2:2">
      <c r="B1319"/>
    </row>
    <row r="1320" spans="2:2">
      <c r="B1320"/>
    </row>
    <row r="1321" spans="2:2">
      <c r="B1321"/>
    </row>
    <row r="1322" spans="2:2">
      <c r="B1322"/>
    </row>
    <row r="1323" spans="2:2">
      <c r="B1323"/>
    </row>
    <row r="1324" spans="2:2">
      <c r="B1324"/>
    </row>
    <row r="1325" spans="2:2">
      <c r="B1325"/>
    </row>
    <row r="1326" spans="2:2">
      <c r="B1326"/>
    </row>
    <row r="1327" spans="2:2">
      <c r="B1327"/>
    </row>
    <row r="1328" spans="2:2">
      <c r="B1328"/>
    </row>
    <row r="1329" spans="2:2">
      <c r="B1329"/>
    </row>
    <row r="1330" spans="2:2">
      <c r="B1330"/>
    </row>
    <row r="1331" spans="2:2">
      <c r="B1331"/>
    </row>
    <row r="1332" spans="2:2">
      <c r="B1332"/>
    </row>
    <row r="1333" spans="2:2">
      <c r="B1333"/>
    </row>
    <row r="1334" spans="2:2">
      <c r="B1334"/>
    </row>
    <row r="1335" spans="2:2">
      <c r="B1335"/>
    </row>
    <row r="1336" spans="2:2">
      <c r="B1336"/>
    </row>
    <row r="1337" spans="2:2">
      <c r="B1337"/>
    </row>
    <row r="1338" spans="2:2">
      <c r="B1338"/>
    </row>
    <row r="1339" spans="2:2">
      <c r="B1339"/>
    </row>
    <row r="1340" spans="2:2">
      <c r="B1340"/>
    </row>
    <row r="1341" spans="2:2">
      <c r="B1341"/>
    </row>
    <row r="1342" spans="2:2">
      <c r="B1342"/>
    </row>
    <row r="1343" spans="2:2">
      <c r="B1343"/>
    </row>
    <row r="1344" spans="2:2">
      <c r="B1344"/>
    </row>
    <row r="1345" spans="2:2">
      <c r="B1345"/>
    </row>
    <row r="1346" spans="2:2">
      <c r="B1346"/>
    </row>
    <row r="1347" spans="2:2">
      <c r="B1347"/>
    </row>
    <row r="1348" spans="2:2">
      <c r="B1348"/>
    </row>
    <row r="1349" spans="2:2">
      <c r="B1349"/>
    </row>
    <row r="1350" spans="2:2">
      <c r="B1350"/>
    </row>
    <row r="1351" spans="2:2">
      <c r="B1351"/>
    </row>
    <row r="1352" spans="2:2">
      <c r="B1352"/>
    </row>
    <row r="1353" spans="2:2">
      <c r="B1353"/>
    </row>
    <row r="1354" spans="2:2">
      <c r="B1354"/>
    </row>
    <row r="1355" spans="2:2">
      <c r="B1355"/>
    </row>
    <row r="1356" spans="2:2">
      <c r="B1356"/>
    </row>
    <row r="1357" spans="2:2">
      <c r="B1357"/>
    </row>
    <row r="1358" spans="2:2">
      <c r="B1358"/>
    </row>
    <row r="1359" spans="2:2">
      <c r="B1359"/>
    </row>
    <row r="1360" spans="2:2">
      <c r="B1360"/>
    </row>
    <row r="1361" spans="2:2">
      <c r="B1361"/>
    </row>
    <row r="1362" spans="2:2">
      <c r="B1362"/>
    </row>
    <row r="1363" spans="2:2">
      <c r="B1363"/>
    </row>
    <row r="1364" spans="2:2">
      <c r="B1364"/>
    </row>
    <row r="1365" spans="2:2">
      <c r="B1365"/>
    </row>
    <row r="1366" spans="2:2">
      <c r="B1366"/>
    </row>
    <row r="1367" spans="2:2">
      <c r="B1367"/>
    </row>
    <row r="1368" spans="2:2">
      <c r="B1368"/>
    </row>
    <row r="1369" spans="2:2">
      <c r="B1369"/>
    </row>
    <row r="1370" spans="2:2">
      <c r="B1370"/>
    </row>
    <row r="1371" spans="2:2">
      <c r="B1371"/>
    </row>
    <row r="1372" spans="2:2">
      <c r="B1372"/>
    </row>
    <row r="1373" spans="2:2">
      <c r="B1373"/>
    </row>
    <row r="1374" spans="2:2">
      <c r="B1374"/>
    </row>
    <row r="1375" spans="2:2">
      <c r="B1375"/>
    </row>
    <row r="1376" spans="2:2">
      <c r="B1376"/>
    </row>
    <row r="1377" spans="2:2">
      <c r="B1377"/>
    </row>
    <row r="1378" spans="2:2">
      <c r="B1378"/>
    </row>
    <row r="1379" spans="2:2">
      <c r="B1379"/>
    </row>
    <row r="1380" spans="2:2">
      <c r="B1380"/>
    </row>
    <row r="1381" spans="2:2">
      <c r="B1381"/>
    </row>
    <row r="1382" spans="2:2">
      <c r="B1382"/>
    </row>
    <row r="1383" spans="2:2">
      <c r="B1383"/>
    </row>
    <row r="1384" spans="2:2">
      <c r="B1384"/>
    </row>
    <row r="1385" spans="2:2">
      <c r="B1385"/>
    </row>
    <row r="1386" spans="2:2">
      <c r="B1386"/>
    </row>
    <row r="1387" spans="2:2">
      <c r="B1387"/>
    </row>
    <row r="1388" spans="2:2">
      <c r="B1388"/>
    </row>
    <row r="1389" spans="2:2">
      <c r="B1389"/>
    </row>
    <row r="1390" spans="2:2">
      <c r="B1390"/>
    </row>
    <row r="1391" spans="2:2">
      <c r="B1391"/>
    </row>
    <row r="1392" spans="2:2">
      <c r="B1392"/>
    </row>
    <row r="1393" spans="2:2">
      <c r="B1393"/>
    </row>
    <row r="1394" spans="2:2">
      <c r="B1394"/>
    </row>
    <row r="1395" spans="2:2">
      <c r="B1395"/>
    </row>
    <row r="1396" spans="2:2">
      <c r="B1396"/>
    </row>
    <row r="1397" spans="2:2">
      <c r="B1397"/>
    </row>
    <row r="1398" spans="2:2">
      <c r="B1398"/>
    </row>
    <row r="1399" spans="2:2">
      <c r="B1399"/>
    </row>
    <row r="1400" spans="2:2">
      <c r="B1400"/>
    </row>
    <row r="1401" spans="2:2">
      <c r="B1401"/>
    </row>
    <row r="1402" spans="2:2">
      <c r="B1402"/>
    </row>
    <row r="1403" spans="2:2">
      <c r="B1403"/>
    </row>
    <row r="1404" spans="2:2">
      <c r="B1404"/>
    </row>
    <row r="1405" spans="2:2">
      <c r="B1405"/>
    </row>
    <row r="1406" spans="2:2">
      <c r="B1406"/>
    </row>
    <row r="1407" spans="2:2">
      <c r="B1407"/>
    </row>
    <row r="1408" spans="2:2">
      <c r="B1408"/>
    </row>
    <row r="1409" spans="2:2">
      <c r="B1409"/>
    </row>
    <row r="1410" spans="2:2">
      <c r="B1410"/>
    </row>
    <row r="1411" spans="2:2">
      <c r="B1411"/>
    </row>
    <row r="1412" spans="2:2">
      <c r="B1412"/>
    </row>
    <row r="1413" spans="2:2">
      <c r="B1413"/>
    </row>
    <row r="1414" spans="2:2">
      <c r="B1414"/>
    </row>
    <row r="1415" spans="2:2">
      <c r="B1415"/>
    </row>
    <row r="1416" spans="2:2">
      <c r="B1416"/>
    </row>
    <row r="1417" spans="2:2">
      <c r="B1417"/>
    </row>
    <row r="1418" spans="2:2">
      <c r="B1418"/>
    </row>
    <row r="1419" spans="2:2">
      <c r="B1419"/>
    </row>
    <row r="1420" spans="2:2">
      <c r="B1420"/>
    </row>
    <row r="1421" spans="2:2">
      <c r="B1421"/>
    </row>
    <row r="1422" spans="2:2">
      <c r="B1422"/>
    </row>
    <row r="1423" spans="2:2">
      <c r="B1423"/>
    </row>
    <row r="1424" spans="2:2">
      <c r="B1424"/>
    </row>
    <row r="1425" spans="2:2">
      <c r="B1425"/>
    </row>
    <row r="1426" spans="2:2">
      <c r="B1426"/>
    </row>
    <row r="1427" spans="2:2">
      <c r="B1427"/>
    </row>
    <row r="1428" spans="2:2">
      <c r="B1428"/>
    </row>
    <row r="1429" spans="2:2">
      <c r="B1429"/>
    </row>
    <row r="1430" spans="2:2">
      <c r="B1430"/>
    </row>
    <row r="1431" spans="2:2">
      <c r="B1431"/>
    </row>
    <row r="1432" spans="2:2">
      <c r="B1432"/>
    </row>
    <row r="1433" spans="2:2">
      <c r="B1433"/>
    </row>
    <row r="1434" spans="2:2">
      <c r="B1434"/>
    </row>
    <row r="1435" spans="2:2">
      <c r="B1435"/>
    </row>
    <row r="1436" spans="2:2">
      <c r="B1436"/>
    </row>
    <row r="1437" spans="2:2">
      <c r="B1437"/>
    </row>
    <row r="1438" spans="2:2">
      <c r="B1438"/>
    </row>
    <row r="1439" spans="2:2">
      <c r="B1439"/>
    </row>
    <row r="1440" spans="2:2">
      <c r="B1440"/>
    </row>
    <row r="1441" spans="2:2">
      <c r="B1441"/>
    </row>
    <row r="1442" spans="2:2">
      <c r="B1442"/>
    </row>
    <row r="1443" spans="2:2">
      <c r="B1443"/>
    </row>
    <row r="1444" spans="2:2">
      <c r="B1444"/>
    </row>
    <row r="1445" spans="2:2">
      <c r="B1445"/>
    </row>
    <row r="1446" spans="2:2">
      <c r="B1446"/>
    </row>
    <row r="1447" spans="2:2">
      <c r="B1447"/>
    </row>
    <row r="1448" spans="2:2">
      <c r="B1448"/>
    </row>
    <row r="1449" spans="2:2">
      <c r="B1449"/>
    </row>
    <row r="1450" spans="2:2">
      <c r="B1450"/>
    </row>
    <row r="1451" spans="2:2">
      <c r="B1451"/>
    </row>
    <row r="1452" spans="2:2">
      <c r="B1452"/>
    </row>
    <row r="1453" spans="2:2">
      <c r="B1453"/>
    </row>
    <row r="1454" spans="2:2">
      <c r="B1454"/>
    </row>
    <row r="1455" spans="2:2">
      <c r="B1455"/>
    </row>
    <row r="1456" spans="2:2">
      <c r="B1456"/>
    </row>
    <row r="1457" spans="2:2">
      <c r="B1457"/>
    </row>
    <row r="1458" spans="2:2">
      <c r="B1458"/>
    </row>
    <row r="1459" spans="2:2">
      <c r="B1459"/>
    </row>
    <row r="1460" spans="2:2">
      <c r="B1460"/>
    </row>
    <row r="1461" spans="2:2">
      <c r="B1461"/>
    </row>
    <row r="1462" spans="2:2">
      <c r="B1462"/>
    </row>
    <row r="1463" spans="2:2">
      <c r="B1463"/>
    </row>
    <row r="1464" spans="2:2">
      <c r="B1464"/>
    </row>
    <row r="1465" spans="2:2">
      <c r="B1465"/>
    </row>
    <row r="1466" spans="2:2">
      <c r="B1466"/>
    </row>
    <row r="1467" spans="2:2">
      <c r="B1467"/>
    </row>
    <row r="1468" spans="2:2">
      <c r="B1468"/>
    </row>
    <row r="1469" spans="2:2">
      <c r="B1469"/>
    </row>
    <row r="1470" spans="2:2">
      <c r="B1470"/>
    </row>
    <row r="1471" spans="2:2">
      <c r="B1471"/>
    </row>
    <row r="1472" spans="2:2">
      <c r="B1472"/>
    </row>
    <row r="1473" spans="2:2">
      <c r="B1473"/>
    </row>
    <row r="1474" spans="2:2">
      <c r="B1474"/>
    </row>
    <row r="1475" spans="2:2">
      <c r="B1475"/>
    </row>
    <row r="1476" spans="2:2">
      <c r="B1476"/>
    </row>
    <row r="1477" spans="2:2">
      <c r="B1477"/>
    </row>
    <row r="1478" spans="2:2">
      <c r="B1478"/>
    </row>
    <row r="1479" spans="2:2">
      <c r="B1479"/>
    </row>
    <row r="1480" spans="2:2">
      <c r="B1480"/>
    </row>
    <row r="1481" spans="2:2">
      <c r="B1481"/>
    </row>
    <row r="1482" spans="2:2">
      <c r="B1482"/>
    </row>
    <row r="1483" spans="2:2">
      <c r="B1483"/>
    </row>
    <row r="1484" spans="2:2">
      <c r="B1484"/>
    </row>
    <row r="1485" spans="2:2">
      <c r="B1485"/>
    </row>
    <row r="1486" spans="2:2">
      <c r="B1486"/>
    </row>
    <row r="1487" spans="2:2">
      <c r="B1487"/>
    </row>
    <row r="1488" spans="2:2">
      <c r="B1488"/>
    </row>
    <row r="1489" spans="2:2">
      <c r="B1489"/>
    </row>
    <row r="1490" spans="2:2">
      <c r="B1490"/>
    </row>
    <row r="1491" spans="2:2">
      <c r="B1491"/>
    </row>
    <row r="1492" spans="2:2">
      <c r="B1492"/>
    </row>
    <row r="1493" spans="2:2">
      <c r="B1493"/>
    </row>
    <row r="1494" spans="2:2">
      <c r="B1494"/>
    </row>
    <row r="1495" spans="2:2">
      <c r="B1495"/>
    </row>
    <row r="1496" spans="2:2">
      <c r="B1496"/>
    </row>
    <row r="1497" spans="2:2">
      <c r="B1497"/>
    </row>
    <row r="1498" spans="2:2">
      <c r="B1498"/>
    </row>
    <row r="1499" spans="2:2">
      <c r="B1499"/>
    </row>
    <row r="1500" spans="2:2">
      <c r="B1500"/>
    </row>
    <row r="1501" spans="2:2">
      <c r="B1501"/>
    </row>
    <row r="1502" spans="2:2">
      <c r="B1502"/>
    </row>
    <row r="1503" spans="2:2">
      <c r="B1503"/>
    </row>
    <row r="1504" spans="2:2">
      <c r="B1504"/>
    </row>
    <row r="1505" spans="2:2">
      <c r="B1505"/>
    </row>
    <row r="1506" spans="2:2">
      <c r="B1506"/>
    </row>
    <row r="1507" spans="2:2">
      <c r="B1507"/>
    </row>
    <row r="1508" spans="2:2">
      <c r="B1508"/>
    </row>
    <row r="1509" spans="2:2">
      <c r="B1509"/>
    </row>
    <row r="1510" spans="2:2">
      <c r="B1510"/>
    </row>
    <row r="1511" spans="2:2">
      <c r="B1511"/>
    </row>
    <row r="1512" spans="2:2">
      <c r="B1512"/>
    </row>
    <row r="1513" spans="2:2">
      <c r="B1513"/>
    </row>
    <row r="1514" spans="2:2">
      <c r="B1514"/>
    </row>
    <row r="1515" spans="2:2">
      <c r="B1515"/>
    </row>
    <row r="1516" spans="2:2">
      <c r="B1516"/>
    </row>
    <row r="1517" spans="2:2">
      <c r="B1517"/>
    </row>
    <row r="1518" spans="2:2">
      <c r="B1518"/>
    </row>
    <row r="1519" spans="2:2">
      <c r="B1519"/>
    </row>
    <row r="1520" spans="2:2">
      <c r="B1520"/>
    </row>
    <row r="1521" spans="2:2">
      <c r="B1521"/>
    </row>
    <row r="1522" spans="2:2">
      <c r="B1522"/>
    </row>
    <row r="1523" spans="2:2">
      <c r="B1523"/>
    </row>
    <row r="1524" spans="2:2">
      <c r="B1524"/>
    </row>
    <row r="1525" spans="2:2">
      <c r="B1525"/>
    </row>
    <row r="1526" spans="2:2">
      <c r="B1526"/>
    </row>
    <row r="1527" spans="2:2">
      <c r="B1527"/>
    </row>
    <row r="1528" spans="2:2">
      <c r="B1528"/>
    </row>
    <row r="1529" spans="2:2">
      <c r="B1529"/>
    </row>
    <row r="1530" spans="2:2">
      <c r="B1530"/>
    </row>
    <row r="1531" spans="2:2">
      <c r="B1531"/>
    </row>
    <row r="1532" spans="2:2">
      <c r="B1532"/>
    </row>
    <row r="1533" spans="2:2">
      <c r="B1533"/>
    </row>
    <row r="1534" spans="2:2">
      <c r="B1534"/>
    </row>
    <row r="1535" spans="2:2">
      <c r="B1535"/>
    </row>
    <row r="1536" spans="2:2">
      <c r="B1536"/>
    </row>
    <row r="1537" spans="2:2">
      <c r="B1537"/>
    </row>
    <row r="1538" spans="2:2">
      <c r="B1538"/>
    </row>
    <row r="1539" spans="2:2">
      <c r="B1539"/>
    </row>
    <row r="1540" spans="2:2">
      <c r="B1540"/>
    </row>
    <row r="1541" spans="2:2">
      <c r="B1541"/>
    </row>
    <row r="1542" spans="2:2">
      <c r="B1542"/>
    </row>
    <row r="1543" spans="2:2">
      <c r="B1543"/>
    </row>
    <row r="1544" spans="2:2">
      <c r="B1544"/>
    </row>
    <row r="1545" spans="2:2">
      <c r="B1545"/>
    </row>
    <row r="1546" spans="2:2">
      <c r="B1546"/>
    </row>
    <row r="1547" spans="2:2">
      <c r="B1547"/>
    </row>
    <row r="1548" spans="2:2">
      <c r="B1548"/>
    </row>
    <row r="1549" spans="2:2">
      <c r="B1549"/>
    </row>
    <row r="1550" spans="2:2">
      <c r="B1550"/>
    </row>
    <row r="1551" spans="2:2">
      <c r="B1551"/>
    </row>
    <row r="1552" spans="2:2">
      <c r="B1552"/>
    </row>
    <row r="1553" spans="2:2">
      <c r="B1553"/>
    </row>
    <row r="1554" spans="2:2">
      <c r="B1554"/>
    </row>
    <row r="1555" spans="2:2">
      <c r="B1555"/>
    </row>
    <row r="1556" spans="2:2">
      <c r="B1556"/>
    </row>
    <row r="1557" spans="2:2">
      <c r="B1557"/>
    </row>
    <row r="1558" spans="2:2">
      <c r="B1558"/>
    </row>
    <row r="1559" spans="2:2">
      <c r="B1559"/>
    </row>
    <row r="1560" spans="2:2">
      <c r="B1560"/>
    </row>
    <row r="1561" spans="2:2">
      <c r="B1561"/>
    </row>
    <row r="1562" spans="2:2">
      <c r="B1562"/>
    </row>
    <row r="1563" spans="2:2">
      <c r="B1563"/>
    </row>
    <row r="1564" spans="2:2">
      <c r="B1564"/>
    </row>
    <row r="1565" spans="2:2">
      <c r="B1565"/>
    </row>
    <row r="1566" spans="2:2">
      <c r="B1566"/>
    </row>
    <row r="1567" spans="2:2">
      <c r="B1567"/>
    </row>
    <row r="1568" spans="2:2">
      <c r="B1568"/>
    </row>
    <row r="1569" spans="2:2">
      <c r="B1569"/>
    </row>
    <row r="1570" spans="2:2">
      <c r="B1570"/>
    </row>
    <row r="1571" spans="2:2">
      <c r="B1571"/>
    </row>
    <row r="1572" spans="2:2">
      <c r="B1572"/>
    </row>
    <row r="1573" spans="2:2">
      <c r="B1573"/>
    </row>
    <row r="1574" spans="2:2">
      <c r="B1574"/>
    </row>
    <row r="1575" spans="2:2">
      <c r="B1575"/>
    </row>
    <row r="1576" spans="2:2">
      <c r="B1576"/>
    </row>
    <row r="1577" spans="2:2">
      <c r="B1577"/>
    </row>
    <row r="1578" spans="2:2">
      <c r="B1578"/>
    </row>
    <row r="1579" spans="2:2">
      <c r="B1579"/>
    </row>
    <row r="1580" spans="2:2">
      <c r="B1580"/>
    </row>
    <row r="1581" spans="2:2">
      <c r="B1581"/>
    </row>
    <row r="1582" spans="2:2">
      <c r="B1582"/>
    </row>
    <row r="1583" spans="2:2">
      <c r="B1583"/>
    </row>
    <row r="1584" spans="2:2">
      <c r="B1584"/>
    </row>
    <row r="1585" spans="2:2">
      <c r="B1585"/>
    </row>
    <row r="1586" spans="2:2">
      <c r="B1586"/>
    </row>
    <row r="1587" spans="2:2">
      <c r="B1587"/>
    </row>
    <row r="1588" spans="2:2">
      <c r="B1588"/>
    </row>
    <row r="1589" spans="2:2">
      <c r="B1589"/>
    </row>
    <row r="1590" spans="2:2">
      <c r="B1590"/>
    </row>
    <row r="1591" spans="2:2">
      <c r="B1591"/>
    </row>
    <row r="1592" spans="2:2">
      <c r="B1592"/>
    </row>
    <row r="1593" spans="2:2">
      <c r="B1593"/>
    </row>
    <row r="1594" spans="2:2">
      <c r="B1594"/>
    </row>
    <row r="1595" spans="2:2">
      <c r="B1595"/>
    </row>
    <row r="1596" spans="2:2">
      <c r="B1596"/>
    </row>
    <row r="1597" spans="2:2">
      <c r="B1597"/>
    </row>
    <row r="1598" spans="2:2">
      <c r="B1598"/>
    </row>
    <row r="1599" spans="2:2">
      <c r="B1599"/>
    </row>
    <row r="1600" spans="2:2">
      <c r="B1600"/>
    </row>
    <row r="1601" spans="2:2">
      <c r="B1601"/>
    </row>
    <row r="1602" spans="2:2">
      <c r="B1602"/>
    </row>
    <row r="1603" spans="2:2">
      <c r="B1603"/>
    </row>
    <row r="1604" spans="2:2">
      <c r="B1604"/>
    </row>
    <row r="1605" spans="2:2">
      <c r="B1605"/>
    </row>
    <row r="1606" spans="2:2">
      <c r="B1606"/>
    </row>
    <row r="1607" spans="2:2">
      <c r="B1607"/>
    </row>
    <row r="1608" spans="2:2">
      <c r="B1608"/>
    </row>
    <row r="1609" spans="2:2">
      <c r="B1609"/>
    </row>
    <row r="1610" spans="2:2">
      <c r="B1610"/>
    </row>
    <row r="1611" spans="2:2">
      <c r="B1611"/>
    </row>
    <row r="1612" spans="2:2">
      <c r="B1612"/>
    </row>
    <row r="1613" spans="2:2">
      <c r="B1613"/>
    </row>
    <row r="1614" spans="2:2">
      <c r="B1614"/>
    </row>
    <row r="1615" spans="2:2">
      <c r="B1615"/>
    </row>
    <row r="1616" spans="2:2">
      <c r="B1616"/>
    </row>
    <row r="1617" spans="2:2">
      <c r="B1617"/>
    </row>
    <row r="1618" spans="2:2">
      <c r="B1618"/>
    </row>
    <row r="1619" spans="2:2">
      <c r="B1619"/>
    </row>
    <row r="1620" spans="2:2">
      <c r="B1620"/>
    </row>
    <row r="1621" spans="2:2">
      <c r="B1621"/>
    </row>
    <row r="1622" spans="2:2">
      <c r="B1622"/>
    </row>
    <row r="1623" spans="2:2">
      <c r="B1623"/>
    </row>
    <row r="1624" spans="2:2">
      <c r="B1624"/>
    </row>
    <row r="1625" spans="2:2">
      <c r="B1625"/>
    </row>
    <row r="1626" spans="2:2">
      <c r="B1626"/>
    </row>
    <row r="1627" spans="2:2">
      <c r="B1627"/>
    </row>
    <row r="1628" spans="2:2">
      <c r="B1628"/>
    </row>
    <row r="1629" spans="2:2">
      <c r="B1629"/>
    </row>
    <row r="1630" spans="2:2">
      <c r="B1630"/>
    </row>
    <row r="1631" spans="2:2">
      <c r="B1631"/>
    </row>
    <row r="1632" spans="2:2">
      <c r="B1632"/>
    </row>
    <row r="1633" spans="2:2">
      <c r="B1633"/>
    </row>
    <row r="1634" spans="2:2">
      <c r="B1634"/>
    </row>
    <row r="1635" spans="2:2">
      <c r="B1635"/>
    </row>
    <row r="1636" spans="2:2">
      <c r="B1636"/>
    </row>
    <row r="1637" spans="2:2">
      <c r="B1637"/>
    </row>
    <row r="1638" spans="2:2">
      <c r="B1638"/>
    </row>
    <row r="1639" spans="2:2">
      <c r="B1639"/>
    </row>
    <row r="1640" spans="2:2">
      <c r="B1640"/>
    </row>
    <row r="1641" spans="2:2">
      <c r="B1641"/>
    </row>
    <row r="1642" spans="2:2">
      <c r="B1642"/>
    </row>
    <row r="1643" spans="2:2">
      <c r="B1643"/>
    </row>
    <row r="1644" spans="2:2">
      <c r="B1644"/>
    </row>
    <row r="1645" spans="2:2">
      <c r="B1645"/>
    </row>
    <row r="1646" spans="2:2">
      <c r="B1646"/>
    </row>
    <row r="1647" spans="2:2">
      <c r="B1647"/>
    </row>
    <row r="1648" spans="2:2">
      <c r="B1648"/>
    </row>
    <row r="1649" spans="2:2">
      <c r="B1649"/>
    </row>
    <row r="1650" spans="2:2">
      <c r="B1650"/>
    </row>
    <row r="1651" spans="2:2">
      <c r="B1651"/>
    </row>
    <row r="1652" spans="2:2">
      <c r="B1652"/>
    </row>
    <row r="1653" spans="2:2">
      <c r="B1653"/>
    </row>
    <row r="1654" spans="2:2">
      <c r="B1654"/>
    </row>
    <row r="1655" spans="2:2">
      <c r="B1655"/>
    </row>
    <row r="1656" spans="2:2">
      <c r="B1656"/>
    </row>
    <row r="1657" spans="2:2">
      <c r="B1657"/>
    </row>
    <row r="1658" spans="2:2">
      <c r="B1658"/>
    </row>
    <row r="1659" spans="2:2">
      <c r="B1659"/>
    </row>
    <row r="1660" spans="2:2">
      <c r="B1660"/>
    </row>
    <row r="1661" spans="2:2">
      <c r="B1661"/>
    </row>
    <row r="1662" spans="2:2">
      <c r="B1662"/>
    </row>
    <row r="1663" spans="2:2">
      <c r="B1663"/>
    </row>
    <row r="1664" spans="2:2">
      <c r="B1664"/>
    </row>
    <row r="1665" spans="2:2">
      <c r="B1665"/>
    </row>
    <row r="1666" spans="2:2">
      <c r="B1666"/>
    </row>
    <row r="1667" spans="2:2">
      <c r="B1667"/>
    </row>
    <row r="1668" spans="2:2">
      <c r="B1668"/>
    </row>
    <row r="1669" spans="2:2">
      <c r="B1669"/>
    </row>
    <row r="1670" spans="2:2">
      <c r="B1670"/>
    </row>
    <row r="1671" spans="2:2">
      <c r="B1671"/>
    </row>
    <row r="1672" spans="2:2">
      <c r="B1672"/>
    </row>
    <row r="1673" spans="2:2">
      <c r="B1673"/>
    </row>
    <row r="1674" spans="2:2">
      <c r="B1674"/>
    </row>
    <row r="1675" spans="2:2">
      <c r="B1675"/>
    </row>
    <row r="1676" spans="2:2">
      <c r="B1676"/>
    </row>
    <row r="1677" spans="2:2">
      <c r="B1677"/>
    </row>
    <row r="1678" spans="2:2">
      <c r="B1678"/>
    </row>
    <row r="1679" spans="2:2">
      <c r="B1679"/>
    </row>
    <row r="1680" spans="2:2">
      <c r="B1680"/>
    </row>
    <row r="1681" spans="2:2">
      <c r="B1681"/>
    </row>
    <row r="1682" spans="2:2">
      <c r="B1682"/>
    </row>
    <row r="1683" spans="2:2">
      <c r="B1683"/>
    </row>
    <row r="1684" spans="2:2">
      <c r="B1684"/>
    </row>
    <row r="1685" spans="2:2">
      <c r="B1685"/>
    </row>
    <row r="1686" spans="2:2">
      <c r="B1686"/>
    </row>
    <row r="1687" spans="2:2">
      <c r="B1687"/>
    </row>
    <row r="1688" spans="2:2">
      <c r="B1688"/>
    </row>
    <row r="1689" spans="2:2">
      <c r="B1689"/>
    </row>
    <row r="1690" spans="2:2">
      <c r="B1690"/>
    </row>
    <row r="1691" spans="2:2">
      <c r="B1691"/>
    </row>
    <row r="1692" spans="2:2">
      <c r="B1692"/>
    </row>
    <row r="1693" spans="2:2">
      <c r="B1693"/>
    </row>
    <row r="1694" spans="2:2">
      <c r="B1694"/>
    </row>
    <row r="1695" spans="2:2">
      <c r="B1695"/>
    </row>
    <row r="1696" spans="2:2">
      <c r="B1696"/>
    </row>
    <row r="1697" spans="2:2">
      <c r="B1697"/>
    </row>
    <row r="1698" spans="2:2">
      <c r="B1698"/>
    </row>
    <row r="1699" spans="2:2">
      <c r="B1699"/>
    </row>
    <row r="1700" spans="2:2">
      <c r="B1700"/>
    </row>
    <row r="1701" spans="2:2">
      <c r="B1701"/>
    </row>
    <row r="1702" spans="2:2">
      <c r="B1702"/>
    </row>
    <row r="1703" spans="2:2">
      <c r="B1703"/>
    </row>
    <row r="1704" spans="2:2">
      <c r="B1704"/>
    </row>
    <row r="1705" spans="2:2">
      <c r="B1705"/>
    </row>
    <row r="1706" spans="2:2">
      <c r="B1706"/>
    </row>
    <row r="1707" spans="2:2">
      <c r="B1707"/>
    </row>
    <row r="1708" spans="2:2">
      <c r="B1708"/>
    </row>
    <row r="1709" spans="2:2">
      <c r="B1709"/>
    </row>
    <row r="1710" spans="2:2">
      <c r="B1710"/>
    </row>
    <row r="1711" spans="2:2">
      <c r="B1711"/>
    </row>
    <row r="1712" spans="2:2">
      <c r="B1712"/>
    </row>
    <row r="1713" spans="2:2">
      <c r="B1713"/>
    </row>
    <row r="1714" spans="2:2">
      <c r="B1714"/>
    </row>
    <row r="1715" spans="2:2">
      <c r="B1715"/>
    </row>
    <row r="1716" spans="2:2">
      <c r="B1716"/>
    </row>
    <row r="1717" spans="2:2">
      <c r="B1717"/>
    </row>
    <row r="1718" spans="2:2">
      <c r="B1718"/>
    </row>
    <row r="1719" spans="2:2">
      <c r="B1719"/>
    </row>
    <row r="1720" spans="2:2">
      <c r="B1720"/>
    </row>
    <row r="1721" spans="2:2">
      <c r="B1721"/>
    </row>
    <row r="1722" spans="2:2">
      <c r="B1722"/>
    </row>
    <row r="1723" spans="2:2">
      <c r="B1723"/>
    </row>
    <row r="1724" spans="2:2">
      <c r="B1724"/>
    </row>
    <row r="1725" spans="2:2">
      <c r="B1725"/>
    </row>
    <row r="1726" spans="2:2">
      <c r="B1726"/>
    </row>
    <row r="1727" spans="2:2">
      <c r="B1727"/>
    </row>
    <row r="1728" spans="2:2">
      <c r="B1728"/>
    </row>
    <row r="1729" spans="2:2">
      <c r="B1729"/>
    </row>
    <row r="1730" spans="2:2">
      <c r="B1730"/>
    </row>
    <row r="1731" spans="2:2">
      <c r="B1731"/>
    </row>
    <row r="1732" spans="2:2">
      <c r="B1732"/>
    </row>
    <row r="1733" spans="2:2">
      <c r="B1733"/>
    </row>
    <row r="1734" spans="2:2">
      <c r="B1734"/>
    </row>
    <row r="1735" spans="2:2">
      <c r="B1735"/>
    </row>
    <row r="1736" spans="2:2">
      <c r="B1736"/>
    </row>
    <row r="1737" spans="2:2">
      <c r="B1737"/>
    </row>
    <row r="1738" spans="2:2">
      <c r="B1738"/>
    </row>
    <row r="1739" spans="2:2">
      <c r="B1739"/>
    </row>
    <row r="1740" spans="2:2">
      <c r="B1740"/>
    </row>
    <row r="1741" spans="2:2">
      <c r="B1741"/>
    </row>
    <row r="1742" spans="2:2">
      <c r="B1742"/>
    </row>
    <row r="1743" spans="2:2">
      <c r="B1743"/>
    </row>
    <row r="1744" spans="2:2">
      <c r="B1744"/>
    </row>
    <row r="1745" spans="2:2">
      <c r="B1745"/>
    </row>
    <row r="1746" spans="2:2">
      <c r="B1746"/>
    </row>
    <row r="1747" spans="2:2">
      <c r="B1747"/>
    </row>
    <row r="1748" spans="2:2">
      <c r="B1748"/>
    </row>
    <row r="1749" spans="2:2">
      <c r="B1749"/>
    </row>
    <row r="1750" spans="2:2">
      <c r="B1750"/>
    </row>
    <row r="1751" spans="2:2">
      <c r="B1751"/>
    </row>
    <row r="1752" spans="2:2">
      <c r="B1752"/>
    </row>
    <row r="1753" spans="2:2">
      <c r="B1753"/>
    </row>
    <row r="1754" spans="2:2">
      <c r="B1754"/>
    </row>
    <row r="1755" spans="2:2">
      <c r="B1755"/>
    </row>
    <row r="1756" spans="2:2">
      <c r="B1756"/>
    </row>
    <row r="1757" spans="2:2">
      <c r="B1757"/>
    </row>
    <row r="1758" spans="2:2">
      <c r="B1758"/>
    </row>
    <row r="1759" spans="2:2">
      <c r="B1759"/>
    </row>
    <row r="1760" spans="2:2">
      <c r="B1760"/>
    </row>
    <row r="1761" spans="2:2">
      <c r="B1761"/>
    </row>
    <row r="1762" spans="2:2">
      <c r="B1762"/>
    </row>
    <row r="1763" spans="2:2">
      <c r="B1763"/>
    </row>
    <row r="1764" spans="2:2">
      <c r="B1764"/>
    </row>
    <row r="1765" spans="2:2">
      <c r="B1765"/>
    </row>
    <row r="1766" spans="2:2">
      <c r="B1766"/>
    </row>
    <row r="1767" spans="2:2">
      <c r="B1767"/>
    </row>
    <row r="1768" spans="2:2">
      <c r="B1768"/>
    </row>
    <row r="1769" spans="2:2">
      <c r="B1769"/>
    </row>
    <row r="1770" spans="2:2">
      <c r="B1770"/>
    </row>
    <row r="1771" spans="2:2">
      <c r="B1771"/>
    </row>
    <row r="1772" spans="2:2">
      <c r="B1772"/>
    </row>
    <row r="1773" spans="2:2">
      <c r="B1773"/>
    </row>
    <row r="1774" spans="2:2">
      <c r="B1774"/>
    </row>
    <row r="1775" spans="2:2">
      <c r="B1775"/>
    </row>
    <row r="1776" spans="2:2">
      <c r="B1776"/>
    </row>
    <row r="1777" spans="2:2">
      <c r="B1777"/>
    </row>
    <row r="1778" spans="2:2">
      <c r="B1778"/>
    </row>
    <row r="1779" spans="2:2">
      <c r="B1779"/>
    </row>
    <row r="1780" spans="2:2">
      <c r="B1780"/>
    </row>
    <row r="1781" spans="2:2">
      <c r="B1781"/>
    </row>
    <row r="1782" spans="2:2">
      <c r="B1782"/>
    </row>
    <row r="1783" spans="2:2">
      <c r="B1783"/>
    </row>
    <row r="1784" spans="2:2">
      <c r="B1784"/>
    </row>
    <row r="1785" spans="2:2">
      <c r="B1785"/>
    </row>
    <row r="1786" spans="2:2">
      <c r="B1786"/>
    </row>
    <row r="1787" spans="2:2">
      <c r="B1787"/>
    </row>
    <row r="1788" spans="2:2">
      <c r="B1788"/>
    </row>
    <row r="1789" spans="2:2">
      <c r="B1789"/>
    </row>
    <row r="1790" spans="2:2">
      <c r="B1790"/>
    </row>
    <row r="1791" spans="2:2">
      <c r="B1791"/>
    </row>
    <row r="1792" spans="2:2">
      <c r="B1792"/>
    </row>
    <row r="1793" spans="2:2">
      <c r="B1793"/>
    </row>
    <row r="1794" spans="2:2">
      <c r="B1794"/>
    </row>
    <row r="1795" spans="2:2">
      <c r="B1795"/>
    </row>
    <row r="1796" spans="2:2">
      <c r="B1796"/>
    </row>
    <row r="1797" spans="2:2">
      <c r="B1797"/>
    </row>
    <row r="1798" spans="2:2">
      <c r="B1798"/>
    </row>
    <row r="1799" spans="2:2">
      <c r="B1799"/>
    </row>
    <row r="1800" spans="2:2">
      <c r="B1800"/>
    </row>
    <row r="1801" spans="2:2">
      <c r="B1801"/>
    </row>
    <row r="1802" spans="2:2">
      <c r="B1802"/>
    </row>
    <row r="1803" spans="2:2">
      <c r="B1803"/>
    </row>
    <row r="1804" spans="2:2">
      <c r="B1804"/>
    </row>
    <row r="1805" spans="2:2">
      <c r="B1805"/>
    </row>
    <row r="1806" spans="2:2">
      <c r="B1806"/>
    </row>
    <row r="1807" spans="2:2">
      <c r="B1807"/>
    </row>
    <row r="1808" spans="2:2">
      <c r="B1808"/>
    </row>
    <row r="1809" spans="2:2">
      <c r="B1809"/>
    </row>
    <row r="1810" spans="2:2">
      <c r="B1810"/>
    </row>
    <row r="1811" spans="2:2">
      <c r="B1811"/>
    </row>
    <row r="1812" spans="2:2">
      <c r="B1812"/>
    </row>
    <row r="1813" spans="2:2">
      <c r="B1813"/>
    </row>
    <row r="1814" spans="2:2">
      <c r="B1814"/>
    </row>
    <row r="1815" spans="2:2">
      <c r="B1815"/>
    </row>
    <row r="1816" spans="2:2">
      <c r="B1816"/>
    </row>
    <row r="1817" spans="2:2">
      <c r="B1817"/>
    </row>
    <row r="1818" spans="2:2">
      <c r="B1818"/>
    </row>
    <row r="1819" spans="2:2">
      <c r="B1819"/>
    </row>
    <row r="1820" spans="2:2">
      <c r="B1820"/>
    </row>
    <row r="1821" spans="2:2">
      <c r="B1821"/>
    </row>
    <row r="1822" spans="2:2">
      <c r="B1822"/>
    </row>
    <row r="1823" spans="2:2">
      <c r="B1823"/>
    </row>
    <row r="1824" spans="2:2">
      <c r="B1824"/>
    </row>
    <row r="1825" spans="2:2">
      <c r="B1825"/>
    </row>
    <row r="1826" spans="2:2">
      <c r="B1826"/>
    </row>
    <row r="1827" spans="2:2">
      <c r="B1827"/>
    </row>
    <row r="1828" spans="2:2">
      <c r="B1828"/>
    </row>
    <row r="1829" spans="2:2">
      <c r="B1829"/>
    </row>
    <row r="1830" spans="2:2">
      <c r="B1830"/>
    </row>
    <row r="1831" spans="2:2">
      <c r="B1831"/>
    </row>
    <row r="1832" spans="2:2">
      <c r="B1832"/>
    </row>
    <row r="1833" spans="2:2">
      <c r="B1833"/>
    </row>
    <row r="1834" spans="2:2">
      <c r="B1834"/>
    </row>
    <row r="1835" spans="2:2">
      <c r="B1835"/>
    </row>
    <row r="1836" spans="2:2">
      <c r="B1836"/>
    </row>
    <row r="1837" spans="2:2">
      <c r="B1837"/>
    </row>
    <row r="1838" spans="2:2">
      <c r="B1838"/>
    </row>
    <row r="1839" spans="2:2">
      <c r="B1839"/>
    </row>
    <row r="1840" spans="2:2">
      <c r="B1840"/>
    </row>
    <row r="1841" spans="2:2">
      <c r="B1841"/>
    </row>
    <row r="1842" spans="2:2">
      <c r="B1842"/>
    </row>
    <row r="1843" spans="2:2">
      <c r="B1843"/>
    </row>
    <row r="1844" spans="2:2">
      <c r="B1844"/>
    </row>
    <row r="1845" spans="2:2">
      <c r="B1845"/>
    </row>
    <row r="1846" spans="2:2">
      <c r="B1846"/>
    </row>
    <row r="1847" spans="2:2">
      <c r="B1847"/>
    </row>
    <row r="1848" spans="2:2">
      <c r="B1848"/>
    </row>
    <row r="1849" spans="2:2">
      <c r="B1849"/>
    </row>
    <row r="1850" spans="2:2">
      <c r="B1850"/>
    </row>
    <row r="1851" spans="2:2">
      <c r="B1851"/>
    </row>
    <row r="1852" spans="2:2">
      <c r="B1852"/>
    </row>
    <row r="1853" spans="2:2">
      <c r="B1853"/>
    </row>
    <row r="1854" spans="2:2">
      <c r="B1854"/>
    </row>
    <row r="1855" spans="2:2">
      <c r="B1855"/>
    </row>
    <row r="1856" spans="2:2">
      <c r="B1856"/>
    </row>
    <row r="1857" spans="2:2">
      <c r="B1857"/>
    </row>
    <row r="1858" spans="2:2">
      <c r="B1858"/>
    </row>
    <row r="1859" spans="2:2">
      <c r="B1859"/>
    </row>
    <row r="1860" spans="2:2">
      <c r="B1860"/>
    </row>
    <row r="1861" spans="2:2">
      <c r="B1861"/>
    </row>
    <row r="1862" spans="2:2">
      <c r="B1862"/>
    </row>
    <row r="1863" spans="2:2">
      <c r="B1863"/>
    </row>
    <row r="1864" spans="2:2">
      <c r="B1864"/>
    </row>
    <row r="1865" spans="2:2">
      <c r="B1865"/>
    </row>
    <row r="1866" spans="2:2">
      <c r="B1866"/>
    </row>
    <row r="1867" spans="2:2">
      <c r="B1867"/>
    </row>
    <row r="1868" spans="2:2">
      <c r="B1868"/>
    </row>
    <row r="1869" spans="2:2">
      <c r="B1869"/>
    </row>
    <row r="1870" spans="2:2">
      <c r="B1870"/>
    </row>
    <row r="1871" spans="2:2">
      <c r="B1871"/>
    </row>
    <row r="1872" spans="2:2">
      <c r="B1872"/>
    </row>
    <row r="1873" spans="2:2">
      <c r="B1873"/>
    </row>
    <row r="1874" spans="2:2">
      <c r="B1874"/>
    </row>
    <row r="1875" spans="2:2">
      <c r="B1875"/>
    </row>
    <row r="1876" spans="2:2">
      <c r="B1876"/>
    </row>
    <row r="1877" spans="2:2">
      <c r="B1877"/>
    </row>
    <row r="1878" spans="2:2">
      <c r="B1878"/>
    </row>
    <row r="1879" spans="2:2">
      <c r="B1879"/>
    </row>
    <row r="1880" spans="2:2">
      <c r="B1880"/>
    </row>
    <row r="1881" spans="2:2">
      <c r="B1881"/>
    </row>
    <row r="1882" spans="2:2">
      <c r="B1882"/>
    </row>
    <row r="1883" spans="2:2">
      <c r="B1883"/>
    </row>
    <row r="1884" spans="2:2">
      <c r="B1884"/>
    </row>
    <row r="1885" spans="2:2">
      <c r="B1885"/>
    </row>
    <row r="1886" spans="2:2">
      <c r="B1886"/>
    </row>
    <row r="1887" spans="2:2">
      <c r="B1887"/>
    </row>
    <row r="1888" spans="2:2">
      <c r="B1888"/>
    </row>
    <row r="1889" spans="2:2">
      <c r="B1889"/>
    </row>
    <row r="1890" spans="2:2">
      <c r="B1890"/>
    </row>
    <row r="1891" spans="2:2">
      <c r="B1891"/>
    </row>
    <row r="1892" spans="2:2">
      <c r="B1892"/>
    </row>
    <row r="1893" spans="2:2">
      <c r="B1893"/>
    </row>
    <row r="1894" spans="2:2">
      <c r="B1894"/>
    </row>
    <row r="1895" spans="2:2">
      <c r="B1895"/>
    </row>
    <row r="1896" spans="2:2">
      <c r="B1896"/>
    </row>
    <row r="1897" spans="2:2">
      <c r="B1897"/>
    </row>
    <row r="1898" spans="2:2">
      <c r="B1898"/>
    </row>
    <row r="1899" spans="2:2">
      <c r="B1899"/>
    </row>
    <row r="1900" spans="2:2">
      <c r="B1900"/>
    </row>
    <row r="1901" spans="2:2">
      <c r="B1901"/>
    </row>
    <row r="1902" spans="2:2">
      <c r="B1902"/>
    </row>
    <row r="1903" spans="2:2">
      <c r="B1903"/>
    </row>
    <row r="1904" spans="2:2">
      <c r="B1904"/>
    </row>
    <row r="1905" spans="2:2">
      <c r="B1905"/>
    </row>
    <row r="1906" spans="2:2">
      <c r="B1906"/>
    </row>
    <row r="1907" spans="2:2">
      <c r="B1907"/>
    </row>
    <row r="1908" spans="2:2">
      <c r="B1908"/>
    </row>
    <row r="1909" spans="2:2">
      <c r="B1909"/>
    </row>
    <row r="1910" spans="2:2">
      <c r="B1910"/>
    </row>
    <row r="1911" spans="2:2">
      <c r="B1911"/>
    </row>
    <row r="1912" spans="2:2">
      <c r="B1912"/>
    </row>
    <row r="1913" spans="2:2">
      <c r="B1913"/>
    </row>
    <row r="1914" spans="2:2">
      <c r="B1914"/>
    </row>
    <row r="1915" spans="2:2">
      <c r="B1915"/>
    </row>
    <row r="1916" spans="2:2">
      <c r="B1916"/>
    </row>
    <row r="1917" spans="2:2">
      <c r="B1917"/>
    </row>
    <row r="1918" spans="2:2">
      <c r="B1918"/>
    </row>
    <row r="1919" spans="2:2">
      <c r="B1919"/>
    </row>
    <row r="1920" spans="2:2">
      <c r="B1920"/>
    </row>
    <row r="1921" spans="2:2">
      <c r="B1921"/>
    </row>
    <row r="1922" spans="2:2">
      <c r="B1922"/>
    </row>
    <row r="1923" spans="2:2">
      <c r="B1923"/>
    </row>
    <row r="1924" spans="2:2">
      <c r="B1924"/>
    </row>
    <row r="1925" spans="2:2">
      <c r="B1925"/>
    </row>
    <row r="1926" spans="2:2">
      <c r="B1926"/>
    </row>
    <row r="1927" spans="2:2">
      <c r="B1927"/>
    </row>
    <row r="1928" spans="2:2">
      <c r="B1928"/>
    </row>
    <row r="1929" spans="2:2">
      <c r="B1929"/>
    </row>
    <row r="1930" spans="2:2">
      <c r="B1930"/>
    </row>
    <row r="1931" spans="2:2">
      <c r="B1931"/>
    </row>
    <row r="1932" spans="2:2">
      <c r="B1932"/>
    </row>
    <row r="1933" spans="2:2">
      <c r="B1933"/>
    </row>
    <row r="1934" spans="2:2">
      <c r="B1934"/>
    </row>
    <row r="1935" spans="2:2">
      <c r="B1935"/>
    </row>
    <row r="1936" spans="2:2">
      <c r="B1936"/>
    </row>
    <row r="1937" spans="2:2">
      <c r="B1937"/>
    </row>
    <row r="1938" spans="2:2">
      <c r="B1938"/>
    </row>
    <row r="1939" spans="2:2">
      <c r="B1939"/>
    </row>
    <row r="1940" spans="2:2">
      <c r="B1940"/>
    </row>
    <row r="1941" spans="2:2">
      <c r="B1941"/>
    </row>
    <row r="1942" spans="2:2">
      <c r="B1942"/>
    </row>
    <row r="1943" spans="2:2">
      <c r="B1943"/>
    </row>
    <row r="1944" spans="2:2">
      <c r="B1944"/>
    </row>
    <row r="1945" spans="2:2">
      <c r="B1945"/>
    </row>
    <row r="1946" spans="2:2">
      <c r="B1946"/>
    </row>
    <row r="1947" spans="2:2">
      <c r="B1947"/>
    </row>
    <row r="1948" spans="2:2">
      <c r="B1948"/>
    </row>
    <row r="1949" spans="2:2">
      <c r="B1949"/>
    </row>
    <row r="1950" spans="2:2">
      <c r="B1950"/>
    </row>
    <row r="1951" spans="2:2">
      <c r="B1951"/>
    </row>
    <row r="1952" spans="2:2">
      <c r="B1952"/>
    </row>
    <row r="1953" spans="2:2">
      <c r="B1953"/>
    </row>
    <row r="1954" spans="2:2">
      <c r="B1954"/>
    </row>
    <row r="1955" spans="2:2">
      <c r="B1955"/>
    </row>
    <row r="1956" spans="2:2">
      <c r="B1956"/>
    </row>
    <row r="1957" spans="2:2">
      <c r="B1957"/>
    </row>
    <row r="1958" spans="2:2">
      <c r="B1958"/>
    </row>
    <row r="1959" spans="2:2">
      <c r="B1959"/>
    </row>
    <row r="1960" spans="2:2">
      <c r="B1960"/>
    </row>
    <row r="1961" spans="2:2">
      <c r="B1961"/>
    </row>
    <row r="1962" spans="2:2">
      <c r="B1962"/>
    </row>
    <row r="1963" spans="2:2">
      <c r="B1963"/>
    </row>
    <row r="1964" spans="2:2">
      <c r="B1964"/>
    </row>
    <row r="1965" spans="2:2">
      <c r="B1965"/>
    </row>
    <row r="1966" spans="2:2">
      <c r="B1966"/>
    </row>
    <row r="1967" spans="2:2">
      <c r="B1967"/>
    </row>
    <row r="1968" spans="2:2">
      <c r="B1968"/>
    </row>
    <row r="1969" spans="2:2">
      <c r="B1969"/>
    </row>
    <row r="1970" spans="2:2">
      <c r="B1970"/>
    </row>
    <row r="1971" spans="2:2">
      <c r="B1971"/>
    </row>
    <row r="1972" spans="2:2">
      <c r="B1972"/>
    </row>
    <row r="1973" spans="2:2">
      <c r="B1973"/>
    </row>
    <row r="1974" spans="2:2">
      <c r="B1974"/>
    </row>
    <row r="1975" spans="2:2">
      <c r="B1975"/>
    </row>
    <row r="1976" spans="2:2">
      <c r="B1976"/>
    </row>
    <row r="1977" spans="2:2">
      <c r="B1977"/>
    </row>
    <row r="1978" spans="2:2">
      <c r="B1978"/>
    </row>
    <row r="1979" spans="2:2">
      <c r="B1979"/>
    </row>
    <row r="1980" spans="2:2">
      <c r="B1980"/>
    </row>
    <row r="1981" spans="2:2">
      <c r="B1981"/>
    </row>
    <row r="1982" spans="2:2">
      <c r="B1982"/>
    </row>
    <row r="1983" spans="2:2">
      <c r="B1983"/>
    </row>
    <row r="1984" spans="2:2">
      <c r="B1984"/>
    </row>
    <row r="1985" spans="2:2">
      <c r="B1985"/>
    </row>
    <row r="1986" spans="2:2">
      <c r="B1986"/>
    </row>
    <row r="1987" spans="2:2">
      <c r="B1987"/>
    </row>
    <row r="1988" spans="2:2">
      <c r="B1988"/>
    </row>
    <row r="1989" spans="2:2">
      <c r="B1989"/>
    </row>
    <row r="1990" spans="2:2">
      <c r="B1990"/>
    </row>
    <row r="1991" spans="2:2">
      <c r="B1991"/>
    </row>
    <row r="1992" spans="2:2">
      <c r="B1992"/>
    </row>
    <row r="1993" spans="2:2">
      <c r="B1993"/>
    </row>
    <row r="1994" spans="2:2">
      <c r="B1994"/>
    </row>
    <row r="1995" spans="2:2">
      <c r="B1995"/>
    </row>
    <row r="1996" spans="2:2">
      <c r="B1996"/>
    </row>
    <row r="1997" spans="2:2">
      <c r="B1997"/>
    </row>
    <row r="1998" spans="2:2">
      <c r="B1998"/>
    </row>
    <row r="1999" spans="2:2">
      <c r="B1999"/>
    </row>
    <row r="2000" spans="2:2">
      <c r="B2000"/>
    </row>
    <row r="2001" spans="2:2">
      <c r="B2001"/>
    </row>
    <row r="2002" spans="2:2">
      <c r="B2002"/>
    </row>
    <row r="2003" spans="2:2">
      <c r="B2003"/>
    </row>
    <row r="2004" spans="2:2">
      <c r="B2004"/>
    </row>
    <row r="2005" spans="2:2">
      <c r="B2005"/>
    </row>
    <row r="2006" spans="2:2">
      <c r="B2006"/>
    </row>
    <row r="2007" spans="2:2">
      <c r="B2007"/>
    </row>
    <row r="2008" spans="2:2">
      <c r="B2008"/>
    </row>
    <row r="2009" spans="2:2">
      <c r="B2009"/>
    </row>
    <row r="2010" spans="2:2">
      <c r="B2010"/>
    </row>
    <row r="2011" spans="2:2">
      <c r="B2011"/>
    </row>
    <row r="2012" spans="2:2">
      <c r="B2012"/>
    </row>
    <row r="2013" spans="2:2">
      <c r="B2013"/>
    </row>
    <row r="2014" spans="2:2">
      <c r="B2014"/>
    </row>
    <row r="2015" spans="2:2">
      <c r="B2015"/>
    </row>
    <row r="2016" spans="2:2">
      <c r="B2016"/>
    </row>
    <row r="2017" spans="2:2">
      <c r="B2017"/>
    </row>
    <row r="2018" spans="2:2">
      <c r="B2018"/>
    </row>
    <row r="2019" spans="2:2">
      <c r="B2019"/>
    </row>
    <row r="2020" spans="2:2">
      <c r="B2020"/>
    </row>
    <row r="2021" spans="2:2">
      <c r="B2021"/>
    </row>
    <row r="2022" spans="2:2">
      <c r="B2022"/>
    </row>
    <row r="2023" spans="2:2">
      <c r="B2023"/>
    </row>
    <row r="2024" spans="2:2">
      <c r="B2024"/>
    </row>
    <row r="2025" spans="2:2">
      <c r="B2025"/>
    </row>
    <row r="2026" spans="2:2">
      <c r="B2026"/>
    </row>
    <row r="2027" spans="2:2">
      <c r="B2027"/>
    </row>
    <row r="2028" spans="2:2">
      <c r="B2028"/>
    </row>
    <row r="2029" spans="2:2">
      <c r="B2029"/>
    </row>
    <row r="2030" spans="2:2">
      <c r="B2030"/>
    </row>
    <row r="2031" spans="2:2">
      <c r="B2031"/>
    </row>
    <row r="2032" spans="2:2">
      <c r="B2032"/>
    </row>
    <row r="2033" spans="2:2">
      <c r="B2033"/>
    </row>
    <row r="2034" spans="2:2">
      <c r="B2034"/>
    </row>
    <row r="2035" spans="2:2">
      <c r="B2035"/>
    </row>
    <row r="2036" spans="2:2">
      <c r="B2036"/>
    </row>
    <row r="2037" spans="2:2">
      <c r="B2037"/>
    </row>
    <row r="2038" spans="2:2">
      <c r="B2038"/>
    </row>
    <row r="2039" spans="2:2">
      <c r="B2039"/>
    </row>
    <row r="2040" spans="2:2">
      <c r="B2040"/>
    </row>
    <row r="2041" spans="2:2">
      <c r="B2041"/>
    </row>
    <row r="2042" spans="2:2">
      <c r="B2042"/>
    </row>
    <row r="2043" spans="2:2">
      <c r="B2043"/>
    </row>
    <row r="2044" spans="2:2">
      <c r="B2044"/>
    </row>
    <row r="2045" spans="2:2">
      <c r="B2045"/>
    </row>
    <row r="2046" spans="2:2">
      <c r="B2046"/>
    </row>
    <row r="2047" spans="2:2">
      <c r="B2047"/>
    </row>
    <row r="2048" spans="2:2">
      <c r="B2048"/>
    </row>
    <row r="2049" spans="2:2">
      <c r="B2049"/>
    </row>
    <row r="2050" spans="2:2">
      <c r="B2050"/>
    </row>
    <row r="2051" spans="2:2">
      <c r="B2051"/>
    </row>
    <row r="2052" spans="2:2">
      <c r="B2052"/>
    </row>
    <row r="2053" spans="2:2">
      <c r="B2053"/>
    </row>
    <row r="2054" spans="2:2">
      <c r="B2054"/>
    </row>
    <row r="2055" spans="2:2">
      <c r="B2055"/>
    </row>
    <row r="2056" spans="2:2">
      <c r="B2056"/>
    </row>
    <row r="2057" spans="2:2">
      <c r="B2057"/>
    </row>
    <row r="2058" spans="2:2">
      <c r="B2058"/>
    </row>
    <row r="2059" spans="2:2">
      <c r="B2059"/>
    </row>
    <row r="2060" spans="2:2">
      <c r="B2060"/>
    </row>
    <row r="2061" spans="2:2">
      <c r="B2061"/>
    </row>
    <row r="2062" spans="2:2">
      <c r="B2062"/>
    </row>
    <row r="2063" spans="2:2">
      <c r="B2063"/>
    </row>
    <row r="2064" spans="2:2">
      <c r="B2064"/>
    </row>
    <row r="2065" spans="2:2">
      <c r="B2065"/>
    </row>
    <row r="2066" spans="2:2">
      <c r="B2066"/>
    </row>
    <row r="2067" spans="2:2">
      <c r="B2067"/>
    </row>
    <row r="2068" spans="2:2">
      <c r="B2068"/>
    </row>
    <row r="2069" spans="2:2">
      <c r="B2069"/>
    </row>
    <row r="2070" spans="2:2">
      <c r="B2070"/>
    </row>
    <row r="2071" spans="2:2">
      <c r="B2071"/>
    </row>
    <row r="2072" spans="2:2">
      <c r="B2072"/>
    </row>
    <row r="2073" spans="2:2">
      <c r="B2073"/>
    </row>
    <row r="2074" spans="2:2">
      <c r="B2074"/>
    </row>
    <row r="2075" spans="2:2">
      <c r="B2075"/>
    </row>
    <row r="2076" spans="2:2">
      <c r="B2076"/>
    </row>
    <row r="2077" spans="2:2">
      <c r="B2077"/>
    </row>
    <row r="2078" spans="2:2">
      <c r="B2078"/>
    </row>
    <row r="2079" spans="2:2">
      <c r="B2079"/>
    </row>
    <row r="2080" spans="2:2">
      <c r="B2080"/>
    </row>
    <row r="2081" spans="2:2">
      <c r="B2081"/>
    </row>
    <row r="2082" spans="2:2">
      <c r="B2082"/>
    </row>
    <row r="2083" spans="2:2">
      <c r="B2083"/>
    </row>
    <row r="2084" spans="2:2">
      <c r="B2084"/>
    </row>
    <row r="2085" spans="2:2">
      <c r="B2085"/>
    </row>
    <row r="2086" spans="2:2">
      <c r="B2086"/>
    </row>
    <row r="2087" spans="2:2">
      <c r="B2087"/>
    </row>
    <row r="2088" spans="2:2">
      <c r="B2088"/>
    </row>
    <row r="2089" spans="2:2">
      <c r="B2089"/>
    </row>
    <row r="2090" spans="2:2">
      <c r="B2090"/>
    </row>
    <row r="2091" spans="2:2">
      <c r="B2091"/>
    </row>
    <row r="2092" spans="2:2">
      <c r="B2092"/>
    </row>
    <row r="2093" spans="2:2">
      <c r="B2093"/>
    </row>
    <row r="2094" spans="2:2">
      <c r="B2094"/>
    </row>
    <row r="2095" spans="2:2">
      <c r="B2095"/>
    </row>
    <row r="2096" spans="2:2">
      <c r="B2096"/>
    </row>
    <row r="2097" spans="2:2">
      <c r="B2097"/>
    </row>
    <row r="2098" spans="2:2">
      <c r="B2098"/>
    </row>
    <row r="2099" spans="2:2">
      <c r="B2099"/>
    </row>
    <row r="2100" spans="2:2">
      <c r="B2100"/>
    </row>
    <row r="2101" spans="2:2">
      <c r="B2101"/>
    </row>
    <row r="2102" spans="2:2">
      <c r="B2102"/>
    </row>
    <row r="2103" spans="2:2">
      <c r="B2103"/>
    </row>
    <row r="2104" spans="2:2">
      <c r="B2104"/>
    </row>
    <row r="2105" spans="2:2">
      <c r="B2105"/>
    </row>
    <row r="2106" spans="2:2">
      <c r="B2106"/>
    </row>
    <row r="2107" spans="2:2">
      <c r="B2107"/>
    </row>
    <row r="2108" spans="2:2">
      <c r="B2108"/>
    </row>
    <row r="2109" spans="2:2">
      <c r="B2109"/>
    </row>
    <row r="2110" spans="2:2">
      <c r="B2110"/>
    </row>
    <row r="2111" spans="2:2">
      <c r="B2111"/>
    </row>
    <row r="2112" spans="2:2">
      <c r="B2112"/>
    </row>
    <row r="2113" spans="2:2">
      <c r="B2113"/>
    </row>
    <row r="2114" spans="2:2">
      <c r="B2114"/>
    </row>
    <row r="2115" spans="2:2">
      <c r="B2115"/>
    </row>
    <row r="2116" spans="2:2">
      <c r="B2116"/>
    </row>
    <row r="2117" spans="2:2">
      <c r="B2117"/>
    </row>
    <row r="2118" spans="2:2">
      <c r="B2118"/>
    </row>
    <row r="2119" spans="2:2">
      <c r="B2119"/>
    </row>
    <row r="2120" spans="2:2">
      <c r="B2120"/>
    </row>
    <row r="2121" spans="2:2">
      <c r="B2121"/>
    </row>
    <row r="2122" spans="2:2">
      <c r="B2122"/>
    </row>
    <row r="2123" spans="2:2">
      <c r="B2123"/>
    </row>
    <row r="2124" spans="2:2">
      <c r="B2124"/>
    </row>
    <row r="2125" spans="2:2">
      <c r="B2125"/>
    </row>
    <row r="2126" spans="2:2">
      <c r="B2126"/>
    </row>
    <row r="2127" spans="2:2">
      <c r="B2127"/>
    </row>
    <row r="2128" spans="2:2">
      <c r="B2128"/>
    </row>
    <row r="2129" spans="2:2">
      <c r="B2129"/>
    </row>
    <row r="2130" spans="2:2">
      <c r="B2130"/>
    </row>
    <row r="2131" spans="2:2">
      <c r="B2131"/>
    </row>
    <row r="2132" spans="2:2">
      <c r="B2132"/>
    </row>
    <row r="2133" spans="2:2">
      <c r="B2133"/>
    </row>
    <row r="2134" spans="2:2">
      <c r="B2134"/>
    </row>
    <row r="2135" spans="2:2">
      <c r="B2135"/>
    </row>
    <row r="2136" spans="2:2">
      <c r="B2136"/>
    </row>
    <row r="2137" spans="2:2">
      <c r="B2137"/>
    </row>
    <row r="2138" spans="2:2">
      <c r="B2138"/>
    </row>
    <row r="2139" spans="2:2">
      <c r="B2139"/>
    </row>
    <row r="2140" spans="2:2">
      <c r="B2140"/>
    </row>
    <row r="2141" spans="2:2">
      <c r="B2141"/>
    </row>
    <row r="2142" spans="2:2">
      <c r="B2142"/>
    </row>
    <row r="2143" spans="2:2">
      <c r="B2143"/>
    </row>
    <row r="2144" spans="2:2">
      <c r="B2144"/>
    </row>
    <row r="2145" spans="2:2">
      <c r="B2145"/>
    </row>
    <row r="2146" spans="2:2">
      <c r="B2146"/>
    </row>
    <row r="2147" spans="2:2">
      <c r="B2147"/>
    </row>
    <row r="2148" spans="2:2">
      <c r="B2148"/>
    </row>
    <row r="2149" spans="2:2">
      <c r="B2149"/>
    </row>
    <row r="2150" spans="2:2">
      <c r="B2150"/>
    </row>
    <row r="2151" spans="2:2">
      <c r="B2151"/>
    </row>
    <row r="2152" spans="2:2">
      <c r="B2152"/>
    </row>
    <row r="2153" spans="2:2">
      <c r="B2153"/>
    </row>
    <row r="2154" spans="2:2">
      <c r="B2154"/>
    </row>
    <row r="2155" spans="2:2">
      <c r="B2155"/>
    </row>
    <row r="2156" spans="2:2">
      <c r="B2156"/>
    </row>
    <row r="2157" spans="2:2">
      <c r="B2157"/>
    </row>
    <row r="2158" spans="2:2">
      <c r="B2158"/>
    </row>
    <row r="2159" spans="2:2">
      <c r="B2159"/>
    </row>
    <row r="2160" spans="2:2">
      <c r="B2160"/>
    </row>
    <row r="2161" spans="2:2">
      <c r="B2161"/>
    </row>
    <row r="2162" spans="2:2">
      <c r="B2162"/>
    </row>
    <row r="2163" spans="2:2">
      <c r="B2163"/>
    </row>
    <row r="2164" spans="2:2">
      <c r="B2164"/>
    </row>
    <row r="2165" spans="2:2">
      <c r="B2165"/>
    </row>
    <row r="2166" spans="2:2">
      <c r="B2166"/>
    </row>
    <row r="2167" spans="2:2">
      <c r="B2167"/>
    </row>
    <row r="2168" spans="2:2">
      <c r="B2168"/>
    </row>
    <row r="2169" spans="2:2">
      <c r="B2169"/>
    </row>
    <row r="2170" spans="2:2">
      <c r="B2170"/>
    </row>
    <row r="2171" spans="2:2">
      <c r="B2171"/>
    </row>
    <row r="2172" spans="2:2">
      <c r="B2172"/>
    </row>
    <row r="2173" spans="2:2">
      <c r="B2173"/>
    </row>
    <row r="2174" spans="2:2">
      <c r="B2174"/>
    </row>
    <row r="2175" spans="2:2">
      <c r="B2175"/>
    </row>
    <row r="2176" spans="2:2">
      <c r="B2176"/>
    </row>
    <row r="2177" spans="2:2">
      <c r="B2177"/>
    </row>
    <row r="2178" spans="2:2">
      <c r="B2178"/>
    </row>
    <row r="2179" spans="2:2">
      <c r="B2179"/>
    </row>
    <row r="2180" spans="2:2">
      <c r="B2180"/>
    </row>
    <row r="2181" spans="2:2">
      <c r="B2181"/>
    </row>
    <row r="2182" spans="2:2">
      <c r="B2182"/>
    </row>
    <row r="2183" spans="2:2">
      <c r="B2183"/>
    </row>
    <row r="2184" spans="2:2">
      <c r="B2184"/>
    </row>
    <row r="2185" spans="2:2">
      <c r="B2185"/>
    </row>
    <row r="2186" spans="2:2">
      <c r="B2186"/>
    </row>
    <row r="2187" spans="2:2">
      <c r="B2187"/>
    </row>
    <row r="2188" spans="2:2">
      <c r="B2188"/>
    </row>
    <row r="2189" spans="2:2">
      <c r="B2189"/>
    </row>
    <row r="2190" spans="2:2">
      <c r="B2190"/>
    </row>
    <row r="2191" spans="2:2">
      <c r="B2191"/>
    </row>
    <row r="2192" spans="2:2">
      <c r="B2192"/>
    </row>
    <row r="2193" spans="2:2">
      <c r="B2193"/>
    </row>
    <row r="2194" spans="2:2">
      <c r="B2194"/>
    </row>
    <row r="2195" spans="2:2">
      <c r="B2195"/>
    </row>
    <row r="2196" spans="2:2">
      <c r="B2196"/>
    </row>
    <row r="2197" spans="2:2">
      <c r="B2197"/>
    </row>
    <row r="2198" spans="2:2">
      <c r="B2198"/>
    </row>
    <row r="2199" spans="2:2">
      <c r="B2199"/>
    </row>
    <row r="2200" spans="2:2">
      <c r="B2200"/>
    </row>
    <row r="2201" spans="2:2">
      <c r="B2201"/>
    </row>
    <row r="2202" spans="2:2">
      <c r="B2202"/>
    </row>
    <row r="2203" spans="2:2">
      <c r="B2203"/>
    </row>
    <row r="2204" spans="2:2">
      <c r="B2204"/>
    </row>
    <row r="2205" spans="2:2">
      <c r="B2205"/>
    </row>
    <row r="2206" spans="2:2">
      <c r="B2206"/>
    </row>
    <row r="2207" spans="2:2">
      <c r="B2207"/>
    </row>
    <row r="2208" spans="2:2">
      <c r="B2208"/>
    </row>
    <row r="2209" spans="2:2">
      <c r="B2209"/>
    </row>
    <row r="2210" spans="2:2">
      <c r="B2210"/>
    </row>
    <row r="2211" spans="2:2">
      <c r="B2211"/>
    </row>
    <row r="2212" spans="2:2">
      <c r="B2212"/>
    </row>
    <row r="2213" spans="2:2">
      <c r="B2213"/>
    </row>
    <row r="2214" spans="2:2">
      <c r="B2214"/>
    </row>
    <row r="2215" spans="2:2">
      <c r="B2215"/>
    </row>
    <row r="2216" spans="2:2">
      <c r="B2216"/>
    </row>
    <row r="2217" spans="2:2">
      <c r="B2217"/>
    </row>
    <row r="2218" spans="2:2">
      <c r="B2218"/>
    </row>
    <row r="2219" spans="2:2">
      <c r="B2219"/>
    </row>
    <row r="2220" spans="2:2">
      <c r="B2220"/>
    </row>
    <row r="2221" spans="2:2">
      <c r="B2221"/>
    </row>
    <row r="2222" spans="2:2">
      <c r="B2222"/>
    </row>
    <row r="2223" spans="2:2">
      <c r="B2223"/>
    </row>
    <row r="2224" spans="2:2">
      <c r="B2224"/>
    </row>
    <row r="2225" spans="2:2">
      <c r="B2225"/>
    </row>
    <row r="2226" spans="2:2">
      <c r="B2226"/>
    </row>
    <row r="2227" spans="2:2">
      <c r="B2227"/>
    </row>
    <row r="2228" spans="2:2">
      <c r="B2228"/>
    </row>
    <row r="2229" spans="2:2">
      <c r="B2229"/>
    </row>
    <row r="2230" spans="2:2">
      <c r="B2230"/>
    </row>
    <row r="2231" spans="2:2">
      <c r="B2231"/>
    </row>
    <row r="2232" spans="2:2">
      <c r="B2232"/>
    </row>
    <row r="2233" spans="2:2">
      <c r="B2233"/>
    </row>
    <row r="2234" spans="2:2">
      <c r="B2234"/>
    </row>
    <row r="2235" spans="2:2">
      <c r="B2235"/>
    </row>
    <row r="2236" spans="2:2">
      <c r="B2236"/>
    </row>
    <row r="2237" spans="2:2">
      <c r="B2237"/>
    </row>
    <row r="2238" spans="2:2">
      <c r="B2238"/>
    </row>
    <row r="2239" spans="2:2">
      <c r="B2239"/>
    </row>
    <row r="2240" spans="2:2">
      <c r="B2240"/>
    </row>
    <row r="2241" spans="2:2">
      <c r="B2241"/>
    </row>
    <row r="2242" spans="2:2">
      <c r="B2242"/>
    </row>
    <row r="2243" spans="2:2">
      <c r="B2243"/>
    </row>
    <row r="2244" spans="2:2">
      <c r="B2244"/>
    </row>
    <row r="2245" spans="2:2">
      <c r="B2245"/>
    </row>
    <row r="2246" spans="2:2">
      <c r="B2246"/>
    </row>
    <row r="2247" spans="2:2">
      <c r="B2247"/>
    </row>
    <row r="2248" spans="2:2">
      <c r="B2248"/>
    </row>
    <row r="2249" spans="2:2">
      <c r="B2249"/>
    </row>
    <row r="2250" spans="2:2">
      <c r="B2250"/>
    </row>
    <row r="2251" spans="2:2">
      <c r="B2251"/>
    </row>
    <row r="2252" spans="2:2">
      <c r="B2252"/>
    </row>
    <row r="2253" spans="2:2">
      <c r="B2253"/>
    </row>
    <row r="2254" spans="2:2">
      <c r="B2254"/>
    </row>
    <row r="2255" spans="2:2">
      <c r="B2255"/>
    </row>
    <row r="2256" spans="2:2">
      <c r="B2256"/>
    </row>
    <row r="2257" spans="2:2">
      <c r="B2257"/>
    </row>
    <row r="2258" spans="2:2">
      <c r="B2258"/>
    </row>
    <row r="2259" spans="2:2">
      <c r="B2259"/>
    </row>
    <row r="2260" spans="2:2">
      <c r="B2260"/>
    </row>
    <row r="2261" spans="2:2">
      <c r="B2261"/>
    </row>
    <row r="2262" spans="2:2">
      <c r="B2262"/>
    </row>
    <row r="2263" spans="2:2">
      <c r="B2263"/>
    </row>
    <row r="2264" spans="2:2">
      <c r="B2264"/>
    </row>
    <row r="2265" spans="2:2">
      <c r="B2265"/>
    </row>
    <row r="2266" spans="2:2">
      <c r="B2266"/>
    </row>
    <row r="2267" spans="2:2">
      <c r="B2267"/>
    </row>
    <row r="2268" spans="2:2">
      <c r="B2268"/>
    </row>
    <row r="2269" spans="2:2">
      <c r="B2269"/>
    </row>
    <row r="2270" spans="2:2">
      <c r="B2270"/>
    </row>
    <row r="2271" spans="2:2">
      <c r="B2271"/>
    </row>
    <row r="2272" spans="2:2">
      <c r="B2272"/>
    </row>
    <row r="2273" spans="2:2">
      <c r="B2273"/>
    </row>
    <row r="2274" spans="2:2">
      <c r="B2274"/>
    </row>
    <row r="2275" spans="2:2">
      <c r="B2275"/>
    </row>
    <row r="2276" spans="2:2">
      <c r="B2276"/>
    </row>
    <row r="2277" spans="2:2">
      <c r="B2277"/>
    </row>
    <row r="2278" spans="2:2">
      <c r="B2278"/>
    </row>
    <row r="2279" spans="2:2">
      <c r="B2279"/>
    </row>
    <row r="2280" spans="2:2">
      <c r="B2280"/>
    </row>
    <row r="2281" spans="2:2">
      <c r="B2281"/>
    </row>
    <row r="2282" spans="2:2">
      <c r="B2282"/>
    </row>
    <row r="2283" spans="2:2">
      <c r="B2283"/>
    </row>
    <row r="2284" spans="2:2">
      <c r="B2284"/>
    </row>
    <row r="2285" spans="2:2">
      <c r="B2285"/>
    </row>
    <row r="2286" spans="2:2">
      <c r="B2286"/>
    </row>
    <row r="2287" spans="2:2">
      <c r="B2287"/>
    </row>
    <row r="2288" spans="2:2">
      <c r="B2288"/>
    </row>
    <row r="2289" spans="2:2">
      <c r="B2289"/>
    </row>
    <row r="2290" spans="2:2">
      <c r="B2290"/>
    </row>
    <row r="2291" spans="2:2">
      <c r="B2291"/>
    </row>
    <row r="2292" spans="2:2">
      <c r="B2292"/>
    </row>
    <row r="2293" spans="2:2">
      <c r="B2293"/>
    </row>
    <row r="2294" spans="2:2">
      <c r="B2294"/>
    </row>
    <row r="2295" spans="2:2">
      <c r="B2295"/>
    </row>
    <row r="2296" spans="2:2">
      <c r="B2296"/>
    </row>
    <row r="2297" spans="2:2">
      <c r="B2297"/>
    </row>
    <row r="2298" spans="2:2">
      <c r="B2298"/>
    </row>
    <row r="2299" spans="2:2">
      <c r="B2299"/>
    </row>
    <row r="2300" spans="2:2">
      <c r="B2300"/>
    </row>
    <row r="2301" spans="2:2">
      <c r="B2301"/>
    </row>
    <row r="2302" spans="2:2">
      <c r="B2302"/>
    </row>
    <row r="2303" spans="2:2">
      <c r="B2303"/>
    </row>
    <row r="2304" spans="2:2">
      <c r="B2304"/>
    </row>
    <row r="2305" spans="2:2">
      <c r="B2305"/>
    </row>
    <row r="2306" spans="2:2">
      <c r="B2306"/>
    </row>
    <row r="2307" spans="2:2">
      <c r="B2307"/>
    </row>
    <row r="2308" spans="2:2">
      <c r="B2308"/>
    </row>
    <row r="2309" spans="2:2">
      <c r="B2309"/>
    </row>
    <row r="2310" spans="2:2">
      <c r="B2310"/>
    </row>
    <row r="2311" spans="2:2">
      <c r="B2311"/>
    </row>
    <row r="2312" spans="2:2">
      <c r="B2312"/>
    </row>
    <row r="2313" spans="2:2">
      <c r="B2313"/>
    </row>
    <row r="2314" spans="2:2">
      <c r="B2314"/>
    </row>
    <row r="2315" spans="2:2">
      <c r="B2315"/>
    </row>
    <row r="2316" spans="2:2">
      <c r="B2316"/>
    </row>
    <row r="2317" spans="2:2">
      <c r="B2317"/>
    </row>
    <row r="2318" spans="2:2">
      <c r="B2318"/>
    </row>
    <row r="2319" spans="2:2">
      <c r="B2319"/>
    </row>
    <row r="2320" spans="2:2">
      <c r="B2320"/>
    </row>
    <row r="2321" spans="2:2">
      <c r="B2321"/>
    </row>
    <row r="2322" spans="2:2">
      <c r="B2322"/>
    </row>
    <row r="2323" spans="2:2">
      <c r="B2323"/>
    </row>
    <row r="2324" spans="2:2">
      <c r="B2324"/>
    </row>
    <row r="2325" spans="2:2">
      <c r="B2325"/>
    </row>
    <row r="2326" spans="2:2">
      <c r="B2326"/>
    </row>
    <row r="2327" spans="2:2">
      <c r="B2327"/>
    </row>
    <row r="2328" spans="2:2">
      <c r="B2328"/>
    </row>
    <row r="2329" spans="2:2">
      <c r="B2329"/>
    </row>
    <row r="2330" spans="2:2">
      <c r="B2330"/>
    </row>
    <row r="2331" spans="2:2">
      <c r="B2331"/>
    </row>
    <row r="2332" spans="2:2">
      <c r="B2332"/>
    </row>
    <row r="2333" spans="2:2">
      <c r="B2333"/>
    </row>
    <row r="2334" spans="2:2">
      <c r="B2334"/>
    </row>
    <row r="2335" spans="2:2">
      <c r="B2335"/>
    </row>
    <row r="2336" spans="2:2">
      <c r="B2336"/>
    </row>
    <row r="2337" spans="2:2">
      <c r="B2337"/>
    </row>
    <row r="2338" spans="2:2">
      <c r="B2338"/>
    </row>
    <row r="2339" spans="2:2">
      <c r="B2339"/>
    </row>
    <row r="2340" spans="2:2">
      <c r="B2340"/>
    </row>
    <row r="2341" spans="2:2">
      <c r="B2341"/>
    </row>
    <row r="2342" spans="2:2">
      <c r="B2342"/>
    </row>
    <row r="2343" spans="2:2">
      <c r="B2343"/>
    </row>
    <row r="2344" spans="2:2">
      <c r="B2344"/>
    </row>
    <row r="2345" spans="2:2">
      <c r="B2345"/>
    </row>
    <row r="2346" spans="2:2">
      <c r="B2346"/>
    </row>
    <row r="2347" spans="2:2">
      <c r="B2347"/>
    </row>
    <row r="2348" spans="2:2">
      <c r="B2348"/>
    </row>
    <row r="2349" spans="2:2">
      <c r="B2349"/>
    </row>
    <row r="2350" spans="2:2">
      <c r="B2350"/>
    </row>
    <row r="2351" spans="2:2">
      <c r="B2351"/>
    </row>
    <row r="2352" spans="2:2">
      <c r="B2352"/>
    </row>
    <row r="2353" spans="2:2">
      <c r="B2353"/>
    </row>
    <row r="2354" spans="2:2">
      <c r="B2354"/>
    </row>
    <row r="2355" spans="2:2">
      <c r="B2355"/>
    </row>
    <row r="2356" spans="2:2">
      <c r="B2356"/>
    </row>
    <row r="2357" spans="2:2">
      <c r="B2357"/>
    </row>
    <row r="2358" spans="2:2">
      <c r="B2358"/>
    </row>
    <row r="2359" spans="2:2">
      <c r="B2359"/>
    </row>
    <row r="2360" spans="2:2">
      <c r="B2360"/>
    </row>
    <row r="2361" spans="2:2">
      <c r="B2361"/>
    </row>
    <row r="2362" spans="2:2">
      <c r="B2362"/>
    </row>
    <row r="2363" spans="2:2">
      <c r="B2363"/>
    </row>
    <row r="2364" spans="2:2">
      <c r="B2364"/>
    </row>
    <row r="2365" spans="2:2">
      <c r="B2365"/>
    </row>
    <row r="2366" spans="2:2">
      <c r="B2366"/>
    </row>
    <row r="2367" spans="2:2">
      <c r="B2367"/>
    </row>
    <row r="2368" spans="2:2">
      <c r="B2368"/>
    </row>
    <row r="2369" spans="2:2">
      <c r="B2369"/>
    </row>
    <row r="2370" spans="2:2">
      <c r="B2370"/>
    </row>
    <row r="2371" spans="2:2">
      <c r="B2371"/>
    </row>
    <row r="2372" spans="2:2">
      <c r="B2372"/>
    </row>
    <row r="2373" spans="2:2">
      <c r="B2373"/>
    </row>
    <row r="2374" spans="2:2">
      <c r="B2374"/>
    </row>
    <row r="2375" spans="2:2">
      <c r="B2375"/>
    </row>
    <row r="2376" spans="2:2">
      <c r="B2376"/>
    </row>
    <row r="2377" spans="2:2">
      <c r="B2377"/>
    </row>
    <row r="2378" spans="2:2">
      <c r="B2378"/>
    </row>
    <row r="2379" spans="2:2">
      <c r="B2379"/>
    </row>
    <row r="2380" spans="2:2">
      <c r="B2380"/>
    </row>
    <row r="2381" spans="2:2">
      <c r="B2381"/>
    </row>
    <row r="2382" spans="2:2">
      <c r="B2382"/>
    </row>
    <row r="2383" spans="2:2">
      <c r="B2383"/>
    </row>
    <row r="2384" spans="2:2">
      <c r="B2384"/>
    </row>
    <row r="2385" spans="2:2">
      <c r="B2385"/>
    </row>
    <row r="2386" spans="2:2">
      <c r="B2386"/>
    </row>
    <row r="2387" spans="2:2">
      <c r="B2387"/>
    </row>
    <row r="2388" spans="2:2">
      <c r="B2388"/>
    </row>
    <row r="2389" spans="2:2">
      <c r="B2389"/>
    </row>
    <row r="2390" spans="2:2">
      <c r="B2390"/>
    </row>
    <row r="2391" spans="2:2">
      <c r="B2391"/>
    </row>
    <row r="2392" spans="2:2">
      <c r="B2392"/>
    </row>
    <row r="2393" spans="2:2">
      <c r="B2393"/>
    </row>
    <row r="2394" spans="2:2">
      <c r="B2394"/>
    </row>
    <row r="2395" spans="2:2">
      <c r="B2395"/>
    </row>
    <row r="2396" spans="2:2">
      <c r="B2396"/>
    </row>
    <row r="2397" spans="2:2">
      <c r="B2397"/>
    </row>
    <row r="2398" spans="2:2">
      <c r="B2398"/>
    </row>
    <row r="2399" spans="2:2">
      <c r="B2399"/>
    </row>
    <row r="2400" spans="2:2">
      <c r="B2400"/>
    </row>
    <row r="2401" spans="2:2">
      <c r="B2401"/>
    </row>
    <row r="2402" spans="2:2">
      <c r="B2402"/>
    </row>
    <row r="2403" spans="2:2">
      <c r="B2403"/>
    </row>
    <row r="2404" spans="2:2">
      <c r="B2404"/>
    </row>
    <row r="2405" spans="2:2">
      <c r="B2405"/>
    </row>
    <row r="2406" spans="2:2">
      <c r="B2406"/>
    </row>
    <row r="2407" spans="2:2">
      <c r="B2407"/>
    </row>
    <row r="2408" spans="2:2">
      <c r="B2408"/>
    </row>
    <row r="2409" spans="2:2">
      <c r="B2409"/>
    </row>
    <row r="2410" spans="2:2">
      <c r="B2410"/>
    </row>
    <row r="2411" spans="2:2">
      <c r="B2411"/>
    </row>
    <row r="2412" spans="2:2">
      <c r="B2412"/>
    </row>
    <row r="2413" spans="2:2">
      <c r="B2413"/>
    </row>
    <row r="2414" spans="2:2">
      <c r="B2414"/>
    </row>
    <row r="2415" spans="2:2">
      <c r="B2415"/>
    </row>
    <row r="2416" spans="2:2">
      <c r="B2416"/>
    </row>
    <row r="2417" spans="2:2">
      <c r="B2417"/>
    </row>
    <row r="2418" spans="2:2">
      <c r="B2418"/>
    </row>
    <row r="2419" spans="2:2">
      <c r="B2419"/>
    </row>
    <row r="2420" spans="2:2">
      <c r="B2420"/>
    </row>
    <row r="2421" spans="2:2">
      <c r="B2421"/>
    </row>
    <row r="2422" spans="2:2">
      <c r="B2422"/>
    </row>
    <row r="2423" spans="2:2">
      <c r="B2423"/>
    </row>
    <row r="2424" spans="2:2">
      <c r="B2424"/>
    </row>
    <row r="2425" spans="2:2">
      <c r="B2425"/>
    </row>
    <row r="2426" spans="2:2">
      <c r="B2426"/>
    </row>
    <row r="2427" spans="2:2">
      <c r="B2427"/>
    </row>
    <row r="2428" spans="2:2">
      <c r="B2428"/>
    </row>
    <row r="2429" spans="2:2">
      <c r="B2429"/>
    </row>
    <row r="2430" spans="2:2">
      <c r="B2430"/>
    </row>
    <row r="2431" spans="2:2">
      <c r="B2431"/>
    </row>
    <row r="2432" spans="2:2">
      <c r="B2432"/>
    </row>
    <row r="2433" spans="2:2">
      <c r="B2433"/>
    </row>
    <row r="2434" spans="2:2">
      <c r="B2434"/>
    </row>
    <row r="2435" spans="2:2">
      <c r="B2435"/>
    </row>
    <row r="2436" spans="2:2">
      <c r="B2436"/>
    </row>
    <row r="2437" spans="2:2">
      <c r="B2437"/>
    </row>
    <row r="2438" spans="2:2">
      <c r="B2438"/>
    </row>
    <row r="2439" spans="2:2">
      <c r="B2439"/>
    </row>
    <row r="2440" spans="2:2">
      <c r="B2440"/>
    </row>
    <row r="2441" spans="2:2">
      <c r="B2441"/>
    </row>
    <row r="2442" spans="2:2">
      <c r="B2442"/>
    </row>
    <row r="2443" spans="2:2">
      <c r="B2443"/>
    </row>
    <row r="2444" spans="2:2">
      <c r="B2444"/>
    </row>
    <row r="2445" spans="2:2">
      <c r="B2445"/>
    </row>
    <row r="2446" spans="2:2">
      <c r="B2446"/>
    </row>
    <row r="2447" spans="2:2">
      <c r="B2447"/>
    </row>
    <row r="2448" spans="2:2">
      <c r="B2448"/>
    </row>
    <row r="2449" spans="2:2">
      <c r="B2449"/>
    </row>
    <row r="2450" spans="2:2">
      <c r="B2450"/>
    </row>
    <row r="2451" spans="2:2">
      <c r="B2451"/>
    </row>
    <row r="2452" spans="2:2">
      <c r="B2452"/>
    </row>
    <row r="2453" spans="2:2">
      <c r="B2453"/>
    </row>
    <row r="2454" spans="2:2">
      <c r="B2454"/>
    </row>
    <row r="2455" spans="2:2">
      <c r="B2455"/>
    </row>
    <row r="2456" spans="2:2">
      <c r="B2456"/>
    </row>
    <row r="2457" spans="2:2">
      <c r="B2457"/>
    </row>
    <row r="2458" spans="2:2">
      <c r="B2458"/>
    </row>
    <row r="2459" spans="2:2">
      <c r="B2459"/>
    </row>
    <row r="2460" spans="2:2">
      <c r="B2460"/>
    </row>
    <row r="2461" spans="2:2">
      <c r="B2461"/>
    </row>
    <row r="2462" spans="2:2">
      <c r="B2462"/>
    </row>
    <row r="2463" spans="2:2">
      <c r="B2463"/>
    </row>
    <row r="2464" spans="2:2">
      <c r="B2464"/>
    </row>
    <row r="2465" spans="2:2">
      <c r="B2465"/>
    </row>
    <row r="2466" spans="2:2">
      <c r="B2466"/>
    </row>
    <row r="2467" spans="2:2">
      <c r="B2467"/>
    </row>
    <row r="2468" spans="2:2">
      <c r="B2468"/>
    </row>
    <row r="2469" spans="2:2">
      <c r="B2469"/>
    </row>
    <row r="2470" spans="2:2">
      <c r="B2470"/>
    </row>
    <row r="2471" spans="2:2">
      <c r="B2471"/>
    </row>
    <row r="2472" spans="2:2">
      <c r="B2472"/>
    </row>
    <row r="2473" spans="2:2">
      <c r="B2473"/>
    </row>
    <row r="2474" spans="2:2">
      <c r="B2474"/>
    </row>
    <row r="2475" spans="2:2">
      <c r="B2475"/>
    </row>
    <row r="2476" spans="2:2">
      <c r="B2476"/>
    </row>
    <row r="2477" spans="2:2">
      <c r="B2477"/>
    </row>
    <row r="2478" spans="2:2">
      <c r="B2478"/>
    </row>
    <row r="2479" spans="2:2">
      <c r="B2479"/>
    </row>
    <row r="2480" spans="2:2">
      <c r="B2480"/>
    </row>
    <row r="2481" spans="2:2">
      <c r="B2481"/>
    </row>
    <row r="2482" spans="2:2">
      <c r="B2482"/>
    </row>
    <row r="2483" spans="2:2">
      <c r="B2483"/>
    </row>
    <row r="2484" spans="2:2">
      <c r="B2484"/>
    </row>
    <row r="2485" spans="2:2">
      <c r="B2485"/>
    </row>
    <row r="2486" spans="2:2">
      <c r="B2486"/>
    </row>
    <row r="2487" spans="2:2">
      <c r="B2487"/>
    </row>
    <row r="2488" spans="2:2">
      <c r="B2488"/>
    </row>
    <row r="2489" spans="2:2">
      <c r="B2489"/>
    </row>
    <row r="2490" spans="2:2">
      <c r="B2490"/>
    </row>
    <row r="2491" spans="2:2">
      <c r="B2491"/>
    </row>
    <row r="2492" spans="2:2">
      <c r="B2492"/>
    </row>
    <row r="2493" spans="2:2">
      <c r="B2493"/>
    </row>
    <row r="2494" spans="2:2">
      <c r="B2494"/>
    </row>
    <row r="2495" spans="2:2">
      <c r="B2495"/>
    </row>
    <row r="2496" spans="2:2">
      <c r="B2496"/>
    </row>
    <row r="2497" spans="2:2">
      <c r="B2497"/>
    </row>
    <row r="2498" spans="2:2">
      <c r="B2498"/>
    </row>
    <row r="2499" spans="2:2">
      <c r="B2499"/>
    </row>
    <row r="2500" spans="2:2">
      <c r="B2500"/>
    </row>
    <row r="2501" spans="2:2">
      <c r="B2501"/>
    </row>
    <row r="2502" spans="2:2">
      <c r="B2502"/>
    </row>
    <row r="2503" spans="2:2">
      <c r="B2503"/>
    </row>
    <row r="2504" spans="2:2">
      <c r="B2504"/>
    </row>
    <row r="2505" spans="2:2">
      <c r="B2505"/>
    </row>
    <row r="2506" spans="2:2">
      <c r="B2506"/>
    </row>
    <row r="2507" spans="2:2">
      <c r="B2507"/>
    </row>
    <row r="2508" spans="2:2">
      <c r="B2508"/>
    </row>
    <row r="2509" spans="2:2">
      <c r="B2509"/>
    </row>
    <row r="2510" spans="2:2">
      <c r="B2510"/>
    </row>
    <row r="2511" spans="2:2">
      <c r="B2511"/>
    </row>
    <row r="2512" spans="2:2">
      <c r="B2512"/>
    </row>
    <row r="2513" spans="2:2">
      <c r="B2513"/>
    </row>
    <row r="2514" spans="2:2">
      <c r="B2514"/>
    </row>
    <row r="2515" spans="2:2">
      <c r="B2515"/>
    </row>
    <row r="2516" spans="2:2">
      <c r="B2516"/>
    </row>
    <row r="2517" spans="2:2">
      <c r="B2517"/>
    </row>
    <row r="2518" spans="2:2">
      <c r="B2518"/>
    </row>
    <row r="2519" spans="2:2">
      <c r="B2519"/>
    </row>
    <row r="2520" spans="2:2">
      <c r="B2520"/>
    </row>
    <row r="2521" spans="2:2">
      <c r="B2521"/>
    </row>
    <row r="2522" spans="2:2">
      <c r="B2522"/>
    </row>
    <row r="2523" spans="2:2">
      <c r="B2523"/>
    </row>
    <row r="2524" spans="2:2">
      <c r="B2524"/>
    </row>
    <row r="2525" spans="2:2">
      <c r="B2525"/>
    </row>
    <row r="2526" spans="2:2">
      <c r="B2526"/>
    </row>
    <row r="2527" spans="2:2">
      <c r="B2527"/>
    </row>
    <row r="2528" spans="2:2">
      <c r="B2528"/>
    </row>
    <row r="2529" spans="2:2">
      <c r="B2529"/>
    </row>
    <row r="2530" spans="2:2">
      <c r="B2530"/>
    </row>
    <row r="2531" spans="2:2">
      <c r="B2531"/>
    </row>
    <row r="2532" spans="2:2">
      <c r="B2532"/>
    </row>
    <row r="2533" spans="2:2">
      <c r="B2533"/>
    </row>
    <row r="2534" spans="2:2">
      <c r="B2534"/>
    </row>
    <row r="2535" spans="2:2">
      <c r="B2535"/>
    </row>
    <row r="2536" spans="2:2">
      <c r="B2536"/>
    </row>
    <row r="2537" spans="2:2">
      <c r="B2537"/>
    </row>
    <row r="2538" spans="2:2">
      <c r="B2538"/>
    </row>
    <row r="2539" spans="2:2">
      <c r="B2539"/>
    </row>
    <row r="2540" spans="2:2">
      <c r="B2540"/>
    </row>
    <row r="2541" spans="2:2">
      <c r="B2541"/>
    </row>
    <row r="2542" spans="2:2">
      <c r="B2542"/>
    </row>
    <row r="2543" spans="2:2">
      <c r="B2543"/>
    </row>
    <row r="2544" spans="2:2">
      <c r="B2544"/>
    </row>
    <row r="2545" spans="2:2">
      <c r="B2545"/>
    </row>
    <row r="2546" spans="2:2">
      <c r="B2546"/>
    </row>
    <row r="2547" spans="2:2">
      <c r="B2547"/>
    </row>
    <row r="2548" spans="2:2">
      <c r="B2548"/>
    </row>
    <row r="2549" spans="2:2">
      <c r="B2549"/>
    </row>
    <row r="2550" spans="2:2">
      <c r="B2550"/>
    </row>
    <row r="2551" spans="2:2">
      <c r="B2551"/>
    </row>
    <row r="2552" spans="2:2">
      <c r="B2552"/>
    </row>
    <row r="2553" spans="2:2">
      <c r="B2553"/>
    </row>
    <row r="2554" spans="2:2">
      <c r="B2554"/>
    </row>
    <row r="2555" spans="2:2">
      <c r="B2555"/>
    </row>
    <row r="2556" spans="2:2">
      <c r="B2556"/>
    </row>
    <row r="2557" spans="2:2">
      <c r="B2557"/>
    </row>
    <row r="2558" spans="2:2">
      <c r="B2558"/>
    </row>
    <row r="2559" spans="2:2">
      <c r="B2559"/>
    </row>
    <row r="2560" spans="2:2">
      <c r="B2560"/>
    </row>
    <row r="2561" spans="2:2">
      <c r="B2561"/>
    </row>
    <row r="2562" spans="2:2">
      <c r="B2562"/>
    </row>
    <row r="2563" spans="2:2">
      <c r="B2563"/>
    </row>
    <row r="2564" spans="2:2">
      <c r="B2564"/>
    </row>
    <row r="2565" spans="2:2">
      <c r="B2565"/>
    </row>
    <row r="2566" spans="2:2">
      <c r="B2566"/>
    </row>
    <row r="2567" spans="2:2">
      <c r="B2567"/>
    </row>
    <row r="2568" spans="2:2">
      <c r="B2568"/>
    </row>
    <row r="2569" spans="2:2">
      <c r="B2569"/>
    </row>
    <row r="2570" spans="2:2">
      <c r="B2570"/>
    </row>
    <row r="2571" spans="2:2">
      <c r="B2571"/>
    </row>
    <row r="2572" spans="2:2">
      <c r="B2572"/>
    </row>
    <row r="2573" spans="2:2">
      <c r="B2573"/>
    </row>
    <row r="2574" spans="2:2">
      <c r="B2574"/>
    </row>
    <row r="2575" spans="2:2">
      <c r="B2575"/>
    </row>
    <row r="2576" spans="2:2">
      <c r="B2576"/>
    </row>
    <row r="2577" spans="2:2">
      <c r="B2577"/>
    </row>
    <row r="2578" spans="2:2">
      <c r="B2578"/>
    </row>
    <row r="2579" spans="2:2">
      <c r="B2579"/>
    </row>
    <row r="2580" spans="2:2">
      <c r="B2580"/>
    </row>
    <row r="2581" spans="2:2">
      <c r="B2581"/>
    </row>
    <row r="2582" spans="2:2">
      <c r="B2582"/>
    </row>
    <row r="2583" spans="2:2">
      <c r="B2583"/>
    </row>
    <row r="2584" spans="2:2">
      <c r="B2584"/>
    </row>
    <row r="2585" spans="2:2">
      <c r="B2585"/>
    </row>
    <row r="2586" spans="2:2">
      <c r="B2586"/>
    </row>
    <row r="2587" spans="2:2">
      <c r="B2587"/>
    </row>
    <row r="2588" spans="2:2">
      <c r="B2588"/>
    </row>
    <row r="2589" spans="2:2">
      <c r="B2589"/>
    </row>
    <row r="2590" spans="2:2">
      <c r="B2590"/>
    </row>
    <row r="2591" spans="2:2">
      <c r="B2591"/>
    </row>
    <row r="2592" spans="2:2">
      <c r="B2592"/>
    </row>
    <row r="2593" spans="2:2">
      <c r="B2593"/>
    </row>
    <row r="2594" spans="2:2">
      <c r="B2594"/>
    </row>
    <row r="2595" spans="2:2">
      <c r="B2595"/>
    </row>
    <row r="2596" spans="2:2">
      <c r="B2596"/>
    </row>
    <row r="2597" spans="2:2">
      <c r="B2597"/>
    </row>
    <row r="2598" spans="2:2">
      <c r="B2598"/>
    </row>
    <row r="2599" spans="2:2">
      <c r="B2599"/>
    </row>
    <row r="2600" spans="2:2">
      <c r="B2600"/>
    </row>
    <row r="2601" spans="2:2">
      <c r="B2601"/>
    </row>
    <row r="2602" spans="2:2">
      <c r="B2602"/>
    </row>
    <row r="2603" spans="2:2">
      <c r="B2603"/>
    </row>
    <row r="2604" spans="2:2">
      <c r="B2604"/>
    </row>
    <row r="2605" spans="2:2">
      <c r="B2605"/>
    </row>
    <row r="2606" spans="2:2">
      <c r="B2606"/>
    </row>
    <row r="2607" spans="2:2">
      <c r="B2607"/>
    </row>
    <row r="2608" spans="2:2">
      <c r="B2608"/>
    </row>
    <row r="2609" spans="2:2">
      <c r="B2609"/>
    </row>
    <row r="2610" spans="2:2">
      <c r="B2610"/>
    </row>
    <row r="2611" spans="2:2">
      <c r="B2611"/>
    </row>
    <row r="2612" spans="2:2">
      <c r="B2612"/>
    </row>
    <row r="2613" spans="2:2">
      <c r="B2613"/>
    </row>
    <row r="2614" spans="2:2">
      <c r="B2614"/>
    </row>
    <row r="2615" spans="2:2">
      <c r="B2615"/>
    </row>
    <row r="2616" spans="2:2">
      <c r="B2616"/>
    </row>
    <row r="2617" spans="2:2">
      <c r="B2617"/>
    </row>
    <row r="2618" spans="2:2">
      <c r="B2618"/>
    </row>
    <row r="2619" spans="2:2">
      <c r="B2619"/>
    </row>
    <row r="2620" spans="2:2">
      <c r="B2620"/>
    </row>
    <row r="2621" spans="2:2">
      <c r="B2621"/>
    </row>
    <row r="2622" spans="2:2">
      <c r="B2622"/>
    </row>
    <row r="2623" spans="2:2">
      <c r="B2623"/>
    </row>
    <row r="2624" spans="2:2">
      <c r="B2624"/>
    </row>
    <row r="2625" spans="2:2">
      <c r="B2625"/>
    </row>
    <row r="2626" spans="2:2">
      <c r="B2626"/>
    </row>
    <row r="2627" spans="2:2">
      <c r="B2627"/>
    </row>
    <row r="2628" spans="2:2">
      <c r="B2628"/>
    </row>
    <row r="2629" spans="2:2">
      <c r="B2629"/>
    </row>
    <row r="2630" spans="2:2">
      <c r="B2630"/>
    </row>
    <row r="2631" spans="2:2">
      <c r="B2631"/>
    </row>
    <row r="2632" spans="2:2">
      <c r="B2632"/>
    </row>
    <row r="2633" spans="2:2">
      <c r="B2633"/>
    </row>
    <row r="2634" spans="2:2">
      <c r="B2634"/>
    </row>
  </sheetData>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dimension ref="A1:W363"/>
  <sheetViews>
    <sheetView zoomScale="85" zoomScaleNormal="85" workbookViewId="0">
      <pane xSplit="5" ySplit="2" topLeftCell="F209" activePane="bottomRight" state="frozen"/>
      <selection pane="topRight" activeCell="F1" sqref="F1"/>
      <selection pane="bottomLeft" activeCell="A2" sqref="A2"/>
      <selection pane="bottomRight" activeCell="A2" sqref="A2"/>
    </sheetView>
  </sheetViews>
  <sheetFormatPr defaultColWidth="9" defaultRowHeight="15.75"/>
  <cols>
    <col min="1" max="1" width="15.375" style="185" bestFit="1" customWidth="1"/>
    <col min="2" max="2" width="8.5" style="185" bestFit="1" customWidth="1"/>
    <col min="3" max="3" width="11.625" style="185" bestFit="1" customWidth="1"/>
    <col min="4" max="4" width="7" style="185" bestFit="1" customWidth="1"/>
    <col min="5" max="5" width="9.625" style="185" bestFit="1" customWidth="1"/>
    <col min="6" max="9" width="9" style="209"/>
    <col min="10" max="10" width="21.375" style="186" customWidth="1"/>
    <col min="11" max="11" width="19.375" style="186" customWidth="1"/>
    <col min="12" max="12" width="20.5" style="186" customWidth="1"/>
    <col min="13" max="14" width="19" style="186" bestFit="1" customWidth="1"/>
    <col min="15" max="18" width="9" style="209"/>
    <col min="19" max="19" width="36.125" style="187" bestFit="1" customWidth="1"/>
    <col min="20" max="20" width="4.125" style="187" bestFit="1" customWidth="1"/>
    <col min="21" max="21" width="10.5" style="32" bestFit="1" customWidth="1"/>
    <col min="22" max="23" width="9" style="187"/>
    <col min="24" max="26" width="9" style="185"/>
    <col min="27" max="27" width="10.25" style="185" bestFit="1" customWidth="1"/>
    <col min="28" max="28" width="5.5" style="185" bestFit="1" customWidth="1"/>
    <col min="29" max="29" width="11.625" style="185" bestFit="1" customWidth="1"/>
    <col min="30" max="16384" width="9" style="185"/>
  </cols>
  <sheetData>
    <row r="1" spans="1:23">
      <c r="F1" s="405">
        <v>44835</v>
      </c>
      <c r="G1" s="406"/>
      <c r="H1" s="406"/>
      <c r="I1" s="406"/>
      <c r="O1" s="405">
        <v>40725</v>
      </c>
      <c r="P1" s="406"/>
      <c r="Q1" s="406"/>
      <c r="R1" s="406"/>
    </row>
    <row r="2" spans="1:23" ht="20.25">
      <c r="A2" s="185" t="s">
        <v>1807</v>
      </c>
      <c r="B2" s="185" t="s">
        <v>38</v>
      </c>
      <c r="C2" s="185" t="s">
        <v>1596</v>
      </c>
      <c r="D2" s="188" t="s">
        <v>1597</v>
      </c>
      <c r="E2" s="189" t="s">
        <v>1598</v>
      </c>
      <c r="F2" s="187" t="s">
        <v>1599</v>
      </c>
      <c r="G2" s="187" t="s">
        <v>1600</v>
      </c>
      <c r="H2" s="187" t="s">
        <v>1601</v>
      </c>
      <c r="I2" s="187" t="s">
        <v>1602</v>
      </c>
      <c r="J2" s="186" t="s">
        <v>1798</v>
      </c>
      <c r="K2" s="186" t="s">
        <v>1799</v>
      </c>
      <c r="L2" s="186" t="s">
        <v>1800</v>
      </c>
      <c r="M2" s="186" t="s">
        <v>1801</v>
      </c>
      <c r="N2" s="186" t="s">
        <v>1802</v>
      </c>
      <c r="O2" s="187" t="s">
        <v>1599</v>
      </c>
      <c r="P2" s="187" t="s">
        <v>1600</v>
      </c>
      <c r="Q2" s="187" t="s">
        <v>1601</v>
      </c>
      <c r="R2" s="187" t="s">
        <v>1602</v>
      </c>
      <c r="S2" s="187" t="s">
        <v>40</v>
      </c>
      <c r="U2" s="187" t="s">
        <v>41</v>
      </c>
      <c r="V2" s="187" t="s">
        <v>38</v>
      </c>
      <c r="W2" s="187" t="s">
        <v>39</v>
      </c>
    </row>
    <row r="3" spans="1:23">
      <c r="A3" s="222" t="str">
        <f t="shared" ref="A3:A7" si="0">B3&amp;C3</f>
        <v>臺北市文山區</v>
      </c>
      <c r="B3" s="190" t="s">
        <v>873</v>
      </c>
      <c r="C3" s="185" t="s">
        <v>874</v>
      </c>
      <c r="D3" s="191">
        <v>42.5</v>
      </c>
      <c r="E3" s="189">
        <v>116</v>
      </c>
      <c r="F3" s="192">
        <v>0.6</v>
      </c>
      <c r="G3" s="192">
        <v>0.35</v>
      </c>
      <c r="H3" s="192">
        <v>0.8</v>
      </c>
      <c r="I3" s="192">
        <v>0.5</v>
      </c>
      <c r="O3" s="192">
        <v>0.6</v>
      </c>
      <c r="P3" s="192">
        <v>0.35</v>
      </c>
      <c r="Q3" s="192">
        <v>0.8</v>
      </c>
      <c r="R3" s="192">
        <v>0.5</v>
      </c>
      <c r="T3" s="187">
        <v>0</v>
      </c>
      <c r="U3" s="187"/>
    </row>
    <row r="4" spans="1:23">
      <c r="A4" s="222" t="str">
        <f t="shared" si="0"/>
        <v>臺北市南港區</v>
      </c>
      <c r="B4" s="190" t="s">
        <v>873</v>
      </c>
      <c r="C4" s="185" t="s">
        <v>875</v>
      </c>
      <c r="D4" s="191">
        <v>42.5</v>
      </c>
      <c r="E4" s="189">
        <v>115</v>
      </c>
      <c r="F4" s="192">
        <v>0.6</v>
      </c>
      <c r="G4" s="192">
        <v>0.35</v>
      </c>
      <c r="H4" s="192">
        <v>0.8</v>
      </c>
      <c r="I4" s="192">
        <v>0.5</v>
      </c>
      <c r="O4" s="192">
        <v>0.6</v>
      </c>
      <c r="P4" s="192">
        <v>0.35</v>
      </c>
      <c r="Q4" s="192">
        <v>0.8</v>
      </c>
      <c r="R4" s="192">
        <v>0.5</v>
      </c>
      <c r="T4" s="187">
        <v>0</v>
      </c>
      <c r="U4" s="187"/>
    </row>
    <row r="5" spans="1:23">
      <c r="A5" s="222" t="str">
        <f t="shared" si="0"/>
        <v>臺北市內湖區</v>
      </c>
      <c r="B5" s="190" t="s">
        <v>873</v>
      </c>
      <c r="C5" s="185" t="s">
        <v>876</v>
      </c>
      <c r="D5" s="191">
        <v>42.5</v>
      </c>
      <c r="E5" s="189">
        <v>114</v>
      </c>
      <c r="F5" s="192">
        <v>0.6</v>
      </c>
      <c r="G5" s="192">
        <v>0.35</v>
      </c>
      <c r="H5" s="192">
        <v>0.7</v>
      </c>
      <c r="I5" s="192">
        <v>0.45</v>
      </c>
      <c r="O5" s="192">
        <v>0.6</v>
      </c>
      <c r="P5" s="192">
        <v>0.35</v>
      </c>
      <c r="Q5" s="192">
        <v>0.7</v>
      </c>
      <c r="R5" s="192">
        <v>0.45</v>
      </c>
      <c r="T5" s="187">
        <v>0</v>
      </c>
      <c r="U5" s="187"/>
    </row>
    <row r="6" spans="1:23">
      <c r="A6" s="222" t="str">
        <f t="shared" si="0"/>
        <v>臺北市士林區</v>
      </c>
      <c r="B6" s="190" t="s">
        <v>873</v>
      </c>
      <c r="C6" s="185" t="s">
        <v>877</v>
      </c>
      <c r="D6" s="191">
        <v>42.5</v>
      </c>
      <c r="E6" s="189">
        <v>111</v>
      </c>
      <c r="F6" s="192">
        <v>0.5</v>
      </c>
      <c r="G6" s="192">
        <v>0.3</v>
      </c>
      <c r="H6" s="192">
        <v>0.8</v>
      </c>
      <c r="I6" s="192">
        <v>0.5</v>
      </c>
      <c r="O6" s="192">
        <v>0.5</v>
      </c>
      <c r="P6" s="192">
        <v>0.3</v>
      </c>
      <c r="Q6" s="192">
        <v>0.8</v>
      </c>
      <c r="R6" s="192">
        <v>0.5</v>
      </c>
      <c r="T6" s="187">
        <v>0</v>
      </c>
      <c r="U6" s="187"/>
    </row>
    <row r="7" spans="1:23">
      <c r="A7" s="222" t="str">
        <f t="shared" si="0"/>
        <v>臺北市北投區</v>
      </c>
      <c r="B7" s="190" t="s">
        <v>873</v>
      </c>
      <c r="C7" s="185" t="s">
        <v>878</v>
      </c>
      <c r="D7" s="191">
        <v>42.5</v>
      </c>
      <c r="E7" s="189">
        <v>112</v>
      </c>
      <c r="F7" s="192">
        <v>0.5</v>
      </c>
      <c r="G7" s="192">
        <v>0.3</v>
      </c>
      <c r="H7" s="192">
        <v>0.7</v>
      </c>
      <c r="I7" s="192">
        <v>0.45</v>
      </c>
      <c r="O7" s="192">
        <v>0.5</v>
      </c>
      <c r="P7" s="192">
        <v>0.3</v>
      </c>
      <c r="Q7" s="192">
        <v>0.7</v>
      </c>
      <c r="R7" s="192">
        <v>0.45</v>
      </c>
      <c r="T7" s="187">
        <v>0</v>
      </c>
      <c r="U7" s="187"/>
    </row>
    <row r="8" spans="1:23">
      <c r="A8" s="222" t="str">
        <f t="shared" ref="A8:A10" si="1">B8&amp;C8</f>
        <v>基隆市中正區</v>
      </c>
      <c r="B8" s="190" t="s">
        <v>42</v>
      </c>
      <c r="C8" s="190" t="s">
        <v>43</v>
      </c>
      <c r="D8" s="191">
        <v>42.5</v>
      </c>
      <c r="E8" s="189">
        <v>202</v>
      </c>
      <c r="F8" s="192">
        <v>0.6</v>
      </c>
      <c r="G8" s="192">
        <v>0.35</v>
      </c>
      <c r="H8" s="192">
        <v>0.8</v>
      </c>
      <c r="I8" s="192">
        <v>0.5</v>
      </c>
      <c r="O8" s="192">
        <v>0.6</v>
      </c>
      <c r="P8" s="192">
        <v>0.35</v>
      </c>
      <c r="Q8" s="192">
        <v>0.8</v>
      </c>
      <c r="R8" s="192">
        <v>0.5</v>
      </c>
      <c r="T8" s="187">
        <v>0</v>
      </c>
      <c r="U8" s="193">
        <v>0.8</v>
      </c>
      <c r="V8" s="187" t="s">
        <v>42</v>
      </c>
      <c r="W8" s="187" t="s">
        <v>43</v>
      </c>
    </row>
    <row r="9" spans="1:23">
      <c r="A9" s="222" t="str">
        <f t="shared" si="1"/>
        <v>基隆市七堵區</v>
      </c>
      <c r="B9" s="190" t="s">
        <v>42</v>
      </c>
      <c r="C9" s="190" t="s">
        <v>44</v>
      </c>
      <c r="D9" s="191">
        <v>42.5</v>
      </c>
      <c r="E9" s="189">
        <v>206</v>
      </c>
      <c r="F9" s="192">
        <v>0.6</v>
      </c>
      <c r="G9" s="192">
        <v>0.3</v>
      </c>
      <c r="H9" s="192">
        <v>0.8</v>
      </c>
      <c r="I9" s="192">
        <v>0.45</v>
      </c>
      <c r="O9" s="192">
        <v>0.6</v>
      </c>
      <c r="P9" s="192">
        <v>0.3</v>
      </c>
      <c r="Q9" s="192">
        <v>0.8</v>
      </c>
      <c r="R9" s="192">
        <v>0.45</v>
      </c>
      <c r="T9" s="187">
        <v>0</v>
      </c>
      <c r="U9" s="193">
        <v>0.8</v>
      </c>
      <c r="V9" s="187" t="s">
        <v>42</v>
      </c>
      <c r="W9" s="187" t="s">
        <v>44</v>
      </c>
    </row>
    <row r="10" spans="1:23">
      <c r="A10" s="222" t="str">
        <f t="shared" si="1"/>
        <v>基隆市暖暖區</v>
      </c>
      <c r="B10" s="190" t="s">
        <v>42</v>
      </c>
      <c r="C10" s="190" t="s">
        <v>45</v>
      </c>
      <c r="D10" s="191">
        <v>42.5</v>
      </c>
      <c r="E10" s="189">
        <v>205</v>
      </c>
      <c r="F10" s="192">
        <v>0.6</v>
      </c>
      <c r="G10" s="192">
        <v>0.35</v>
      </c>
      <c r="H10" s="192">
        <v>0.8</v>
      </c>
      <c r="I10" s="192">
        <v>0.5</v>
      </c>
      <c r="O10" s="192">
        <v>0.6</v>
      </c>
      <c r="P10" s="192">
        <v>0.35</v>
      </c>
      <c r="Q10" s="192">
        <v>0.8</v>
      </c>
      <c r="R10" s="192">
        <v>0.5</v>
      </c>
      <c r="T10" s="187">
        <v>0</v>
      </c>
      <c r="U10" s="193">
        <v>0.8</v>
      </c>
      <c r="V10" s="187" t="s">
        <v>42</v>
      </c>
      <c r="W10" s="187" t="s">
        <v>45</v>
      </c>
    </row>
    <row r="11" spans="1:23" ht="16.149999999999999" customHeight="1">
      <c r="A11" s="222" t="str">
        <f t="shared" ref="A11:A52" si="2">B11&amp;C11</f>
        <v>基隆市仁愛區</v>
      </c>
      <c r="B11" s="190" t="s">
        <v>42</v>
      </c>
      <c r="C11" s="190" t="s">
        <v>46</v>
      </c>
      <c r="D11" s="191">
        <v>42.5</v>
      </c>
      <c r="E11" s="189">
        <v>200</v>
      </c>
      <c r="F11" s="192">
        <v>0.6</v>
      </c>
      <c r="G11" s="192">
        <v>0.35</v>
      </c>
      <c r="H11" s="192">
        <v>0.8</v>
      </c>
      <c r="I11" s="192">
        <v>0.5</v>
      </c>
      <c r="O11" s="192">
        <v>0.6</v>
      </c>
      <c r="P11" s="192">
        <v>0.35</v>
      </c>
      <c r="Q11" s="192">
        <v>0.8</v>
      </c>
      <c r="R11" s="192">
        <v>0.5</v>
      </c>
      <c r="T11" s="187">
        <v>0</v>
      </c>
      <c r="U11" s="193">
        <v>0.8</v>
      </c>
      <c r="V11" s="187" t="s">
        <v>42</v>
      </c>
      <c r="W11" s="187" t="s">
        <v>46</v>
      </c>
    </row>
    <row r="12" spans="1:23">
      <c r="A12" s="222" t="str">
        <f t="shared" ref="A12:A13" si="3">B12&amp;C12</f>
        <v>基隆市中山區</v>
      </c>
      <c r="B12" s="190" t="s">
        <v>42</v>
      </c>
      <c r="C12" s="190" t="s">
        <v>47</v>
      </c>
      <c r="D12" s="191">
        <v>42.5</v>
      </c>
      <c r="E12" s="189">
        <v>203</v>
      </c>
      <c r="F12" s="192">
        <v>0.6</v>
      </c>
      <c r="G12" s="192">
        <v>0.35</v>
      </c>
      <c r="H12" s="192">
        <v>0.8</v>
      </c>
      <c r="I12" s="192">
        <v>0.5</v>
      </c>
      <c r="O12" s="192">
        <v>0.6</v>
      </c>
      <c r="P12" s="192">
        <v>0.35</v>
      </c>
      <c r="Q12" s="192">
        <v>0.8</v>
      </c>
      <c r="R12" s="192">
        <v>0.5</v>
      </c>
      <c r="T12" s="187">
        <v>0</v>
      </c>
      <c r="U12" s="193">
        <v>0.8</v>
      </c>
      <c r="V12" s="187" t="s">
        <v>42</v>
      </c>
      <c r="W12" s="187" t="s">
        <v>47</v>
      </c>
    </row>
    <row r="13" spans="1:23">
      <c r="A13" s="222" t="str">
        <f t="shared" si="3"/>
        <v>基隆市安樂區</v>
      </c>
      <c r="B13" s="190" t="s">
        <v>42</v>
      </c>
      <c r="C13" s="190" t="s">
        <v>48</v>
      </c>
      <c r="D13" s="191">
        <v>42.5</v>
      </c>
      <c r="E13" s="189">
        <v>204</v>
      </c>
      <c r="F13" s="192">
        <v>0.6</v>
      </c>
      <c r="G13" s="192">
        <v>0.3</v>
      </c>
      <c r="H13" s="192">
        <v>0.8</v>
      </c>
      <c r="I13" s="192">
        <v>0.5</v>
      </c>
      <c r="O13" s="192">
        <v>0.6</v>
      </c>
      <c r="P13" s="192">
        <v>0.3</v>
      </c>
      <c r="Q13" s="192">
        <v>0.8</v>
      </c>
      <c r="R13" s="192">
        <v>0.5</v>
      </c>
      <c r="T13" s="187">
        <v>0</v>
      </c>
      <c r="U13" s="193">
        <v>0.8</v>
      </c>
      <c r="V13" s="187" t="s">
        <v>42</v>
      </c>
      <c r="W13" s="187" t="s">
        <v>48</v>
      </c>
    </row>
    <row r="14" spans="1:23">
      <c r="A14" s="222" t="str">
        <f t="shared" ref="A14:A39" si="4">B14&amp;C14</f>
        <v>基隆市信義區</v>
      </c>
      <c r="B14" s="190" t="s">
        <v>42</v>
      </c>
      <c r="C14" s="190" t="s">
        <v>49</v>
      </c>
      <c r="D14" s="191">
        <v>42.5</v>
      </c>
      <c r="E14" s="189">
        <v>201</v>
      </c>
      <c r="F14" s="192">
        <v>0.6</v>
      </c>
      <c r="G14" s="192">
        <v>0.35</v>
      </c>
      <c r="H14" s="192">
        <v>0.8</v>
      </c>
      <c r="I14" s="192">
        <v>0.5</v>
      </c>
      <c r="O14" s="192">
        <v>0.6</v>
      </c>
      <c r="P14" s="192">
        <v>0.35</v>
      </c>
      <c r="Q14" s="192">
        <v>0.8</v>
      </c>
      <c r="R14" s="192">
        <v>0.5</v>
      </c>
      <c r="T14" s="187">
        <v>0</v>
      </c>
      <c r="U14" s="193">
        <v>0.8</v>
      </c>
      <c r="V14" s="187" t="s">
        <v>42</v>
      </c>
      <c r="W14" s="187" t="s">
        <v>49</v>
      </c>
    </row>
    <row r="15" spans="1:23" s="229" customFormat="1" ht="17.25" thickBot="1">
      <c r="A15" s="223" t="str">
        <f t="shared" si="2"/>
        <v>基隆市彭佳嶼</v>
      </c>
      <c r="B15" s="204" t="s">
        <v>42</v>
      </c>
      <c r="C15" s="204" t="s">
        <v>1606</v>
      </c>
      <c r="D15" s="224">
        <v>57</v>
      </c>
      <c r="E15" s="225">
        <v>202</v>
      </c>
      <c r="F15" s="221">
        <v>0.6</v>
      </c>
      <c r="G15" s="221">
        <v>0.35</v>
      </c>
      <c r="H15" s="221">
        <v>0.8</v>
      </c>
      <c r="I15" s="221">
        <v>0.5</v>
      </c>
      <c r="J15" s="208"/>
      <c r="K15" s="208"/>
      <c r="L15" s="208"/>
      <c r="M15" s="208"/>
      <c r="N15" s="208"/>
      <c r="O15" s="221">
        <v>0.6</v>
      </c>
      <c r="P15" s="221">
        <v>0.35</v>
      </c>
      <c r="Q15" s="221">
        <v>0.8</v>
      </c>
      <c r="R15" s="221">
        <v>0.5</v>
      </c>
      <c r="S15" s="226"/>
      <c r="T15" s="187">
        <v>0</v>
      </c>
      <c r="U15" s="227">
        <v>0.8</v>
      </c>
      <c r="V15" s="228" t="s">
        <v>42</v>
      </c>
      <c r="W15" s="228" t="s">
        <v>1606</v>
      </c>
    </row>
    <row r="16" spans="1:23">
      <c r="A16" s="222" t="str">
        <f t="shared" si="4"/>
        <v>新北市中和區</v>
      </c>
      <c r="B16" s="190" t="s">
        <v>729</v>
      </c>
      <c r="C16" s="190" t="s">
        <v>879</v>
      </c>
      <c r="D16" s="191">
        <v>37.5</v>
      </c>
      <c r="E16" s="189">
        <v>235</v>
      </c>
      <c r="F16" s="192">
        <v>0.6</v>
      </c>
      <c r="G16" s="192">
        <v>0.35</v>
      </c>
      <c r="H16" s="192">
        <v>0.8</v>
      </c>
      <c r="I16" s="192">
        <v>0.5</v>
      </c>
      <c r="O16" s="192">
        <v>0.6</v>
      </c>
      <c r="P16" s="192">
        <v>0.35</v>
      </c>
      <c r="Q16" s="192">
        <v>0.8</v>
      </c>
      <c r="R16" s="192">
        <v>0.5</v>
      </c>
      <c r="T16" s="187">
        <v>0</v>
      </c>
      <c r="U16" s="195">
        <v>0.8</v>
      </c>
      <c r="V16" s="190" t="s">
        <v>729</v>
      </c>
      <c r="W16" s="190" t="s">
        <v>879</v>
      </c>
    </row>
    <row r="17" spans="1:23">
      <c r="A17" s="222" t="str">
        <f t="shared" si="4"/>
        <v>新北市新店區</v>
      </c>
      <c r="B17" s="190" t="s">
        <v>729</v>
      </c>
      <c r="C17" s="190" t="s">
        <v>880</v>
      </c>
      <c r="D17" s="191">
        <v>37.5</v>
      </c>
      <c r="E17" s="189">
        <v>231</v>
      </c>
      <c r="F17" s="192">
        <v>0.6</v>
      </c>
      <c r="G17" s="192">
        <v>0.35</v>
      </c>
      <c r="H17" s="192">
        <v>0.8</v>
      </c>
      <c r="I17" s="192">
        <v>0.5</v>
      </c>
      <c r="O17" s="192">
        <v>0.6</v>
      </c>
      <c r="P17" s="192">
        <v>0.35</v>
      </c>
      <c r="Q17" s="192">
        <v>0.8</v>
      </c>
      <c r="R17" s="192">
        <v>0.5</v>
      </c>
      <c r="T17" s="187">
        <v>0</v>
      </c>
      <c r="U17" s="196">
        <v>0.8</v>
      </c>
      <c r="V17" s="190" t="s">
        <v>729</v>
      </c>
      <c r="W17" s="190" t="s">
        <v>880</v>
      </c>
    </row>
    <row r="18" spans="1:23">
      <c r="A18" s="222" t="str">
        <f t="shared" si="4"/>
        <v>新北市樹林區</v>
      </c>
      <c r="B18" s="190" t="s">
        <v>729</v>
      </c>
      <c r="C18" s="190" t="s">
        <v>882</v>
      </c>
      <c r="D18" s="191">
        <v>37.5</v>
      </c>
      <c r="E18" s="189">
        <v>238</v>
      </c>
      <c r="F18" s="192">
        <v>0.6</v>
      </c>
      <c r="G18" s="192">
        <v>0.35</v>
      </c>
      <c r="H18" s="192">
        <v>0.8</v>
      </c>
      <c r="I18" s="192">
        <v>0.5</v>
      </c>
      <c r="O18" s="192">
        <v>0.6</v>
      </c>
      <c r="P18" s="192">
        <v>0.35</v>
      </c>
      <c r="Q18" s="192">
        <v>0.8</v>
      </c>
      <c r="R18" s="192">
        <v>0.5</v>
      </c>
      <c r="T18" s="187">
        <v>0</v>
      </c>
      <c r="U18" s="196">
        <v>0.8</v>
      </c>
      <c r="V18" s="190" t="s">
        <v>729</v>
      </c>
      <c r="W18" s="190" t="s">
        <v>882</v>
      </c>
    </row>
    <row r="19" spans="1:23">
      <c r="A19" s="222" t="str">
        <f t="shared" si="4"/>
        <v>新北市土城區</v>
      </c>
      <c r="B19" s="190" t="s">
        <v>729</v>
      </c>
      <c r="C19" s="190" t="s">
        <v>881</v>
      </c>
      <c r="D19" s="191">
        <v>37.5</v>
      </c>
      <c r="E19" s="189">
        <v>236</v>
      </c>
      <c r="F19" s="192">
        <v>0.6</v>
      </c>
      <c r="G19" s="192">
        <v>0.35</v>
      </c>
      <c r="H19" s="192">
        <v>0.8</v>
      </c>
      <c r="I19" s="192">
        <v>0.5</v>
      </c>
      <c r="O19" s="192">
        <v>0.6</v>
      </c>
      <c r="P19" s="192">
        <v>0.35</v>
      </c>
      <c r="Q19" s="192">
        <v>0.8</v>
      </c>
      <c r="R19" s="192">
        <v>0.5</v>
      </c>
      <c r="T19" s="187">
        <v>0</v>
      </c>
      <c r="U19" s="196">
        <v>0.8</v>
      </c>
      <c r="V19" s="190" t="s">
        <v>729</v>
      </c>
      <c r="W19" s="190" t="s">
        <v>881</v>
      </c>
    </row>
    <row r="20" spans="1:23">
      <c r="A20" s="222" t="str">
        <f t="shared" si="4"/>
        <v>新北市五股區</v>
      </c>
      <c r="B20" s="190" t="s">
        <v>729</v>
      </c>
      <c r="C20" s="190" t="s">
        <v>883</v>
      </c>
      <c r="D20" s="191">
        <v>37.5</v>
      </c>
      <c r="E20" s="189">
        <v>248</v>
      </c>
      <c r="F20" s="192">
        <v>0.5</v>
      </c>
      <c r="G20" s="192">
        <v>0.3</v>
      </c>
      <c r="H20" s="192">
        <v>0.7</v>
      </c>
      <c r="I20" s="192">
        <v>0.45</v>
      </c>
      <c r="O20" s="192">
        <v>0.5</v>
      </c>
      <c r="P20" s="192">
        <v>0.3</v>
      </c>
      <c r="Q20" s="192">
        <v>0.7</v>
      </c>
      <c r="R20" s="192">
        <v>0.45</v>
      </c>
      <c r="T20" s="187">
        <v>0</v>
      </c>
      <c r="U20" s="196">
        <v>0.8</v>
      </c>
      <c r="V20" s="190" t="s">
        <v>729</v>
      </c>
      <c r="W20" s="190" t="s">
        <v>883</v>
      </c>
    </row>
    <row r="21" spans="1:23" ht="16.5" thickBot="1">
      <c r="A21" s="222" t="str">
        <f t="shared" si="4"/>
        <v>新北市泰山區</v>
      </c>
      <c r="B21" s="190" t="s">
        <v>729</v>
      </c>
      <c r="C21" s="190" t="s">
        <v>884</v>
      </c>
      <c r="D21" s="191">
        <v>37.5</v>
      </c>
      <c r="E21" s="189">
        <v>243</v>
      </c>
      <c r="F21" s="192">
        <v>0.5</v>
      </c>
      <c r="G21" s="192">
        <v>0.3</v>
      </c>
      <c r="H21" s="192">
        <v>0.7</v>
      </c>
      <c r="I21" s="192">
        <v>0.45</v>
      </c>
      <c r="O21" s="192">
        <v>0.5</v>
      </c>
      <c r="P21" s="192">
        <v>0.3</v>
      </c>
      <c r="Q21" s="192">
        <v>0.7</v>
      </c>
      <c r="R21" s="192">
        <v>0.45</v>
      </c>
      <c r="T21" s="187">
        <v>0</v>
      </c>
      <c r="U21" s="197">
        <v>0.8</v>
      </c>
      <c r="V21" s="190" t="s">
        <v>729</v>
      </c>
      <c r="W21" s="190" t="s">
        <v>884</v>
      </c>
    </row>
    <row r="22" spans="1:23" ht="16.5">
      <c r="A22" s="222" t="str">
        <f t="shared" si="4"/>
        <v>新北市淡水區</v>
      </c>
      <c r="B22" s="190" t="s">
        <v>729</v>
      </c>
      <c r="C22" s="190" t="s">
        <v>1036</v>
      </c>
      <c r="D22" s="191">
        <v>42.5</v>
      </c>
      <c r="E22" s="189">
        <v>251</v>
      </c>
      <c r="F22" s="192">
        <v>0.5</v>
      </c>
      <c r="G22" s="192">
        <v>0.3</v>
      </c>
      <c r="H22" s="192">
        <v>0.7</v>
      </c>
      <c r="I22" s="198">
        <v>0.45</v>
      </c>
      <c r="O22" s="192">
        <v>0.5</v>
      </c>
      <c r="P22" s="192">
        <v>0.3</v>
      </c>
      <c r="Q22" s="192">
        <v>0.7</v>
      </c>
      <c r="R22" s="198">
        <v>0.45</v>
      </c>
      <c r="T22" s="187">
        <v>0</v>
      </c>
      <c r="U22" s="193">
        <v>0.8</v>
      </c>
      <c r="V22" s="194" t="s">
        <v>729</v>
      </c>
      <c r="W22" s="199" t="s">
        <v>1036</v>
      </c>
    </row>
    <row r="23" spans="1:23" ht="16.5">
      <c r="A23" s="222" t="str">
        <f t="shared" si="4"/>
        <v>新北市汐止區</v>
      </c>
      <c r="B23" s="190" t="s">
        <v>729</v>
      </c>
      <c r="C23" s="190" t="s">
        <v>1038</v>
      </c>
      <c r="D23" s="191">
        <v>42.5</v>
      </c>
      <c r="E23" s="189">
        <v>221</v>
      </c>
      <c r="F23" s="192">
        <v>0.6</v>
      </c>
      <c r="G23" s="198">
        <v>0.35</v>
      </c>
      <c r="H23" s="192">
        <v>0.8</v>
      </c>
      <c r="I23" s="198">
        <v>0.5</v>
      </c>
      <c r="O23" s="192">
        <v>0.6</v>
      </c>
      <c r="P23" s="198">
        <v>0.35</v>
      </c>
      <c r="Q23" s="192">
        <v>0.8</v>
      </c>
      <c r="R23" s="198">
        <v>0.5</v>
      </c>
      <c r="T23" s="187">
        <v>0</v>
      </c>
      <c r="U23" s="193">
        <v>0.8</v>
      </c>
      <c r="V23" s="194" t="s">
        <v>729</v>
      </c>
      <c r="W23" s="199" t="s">
        <v>1038</v>
      </c>
    </row>
    <row r="24" spans="1:23" ht="16.5">
      <c r="A24" s="222" t="str">
        <f t="shared" si="4"/>
        <v>新北市八里區</v>
      </c>
      <c r="B24" s="190" t="s">
        <v>729</v>
      </c>
      <c r="C24" s="190" t="s">
        <v>1037</v>
      </c>
      <c r="D24" s="191">
        <v>37.5</v>
      </c>
      <c r="E24" s="189">
        <v>249</v>
      </c>
      <c r="F24" s="192">
        <v>0.5</v>
      </c>
      <c r="G24" s="192">
        <v>0.3</v>
      </c>
      <c r="H24" s="192">
        <v>0.7</v>
      </c>
      <c r="I24" s="198">
        <v>0.45</v>
      </c>
      <c r="O24" s="192">
        <v>0.5</v>
      </c>
      <c r="P24" s="192">
        <v>0.3</v>
      </c>
      <c r="Q24" s="192">
        <v>0.7</v>
      </c>
      <c r="R24" s="198">
        <v>0.45</v>
      </c>
      <c r="T24" s="187">
        <v>0</v>
      </c>
      <c r="U24" s="200">
        <v>0.6</v>
      </c>
      <c r="V24" s="194" t="s">
        <v>729</v>
      </c>
      <c r="W24" s="199" t="s">
        <v>1037</v>
      </c>
    </row>
    <row r="25" spans="1:23" ht="16.5">
      <c r="A25" s="222" t="str">
        <f t="shared" si="4"/>
        <v>新北市鶯歌區</v>
      </c>
      <c r="B25" s="190" t="s">
        <v>729</v>
      </c>
      <c r="C25" s="190" t="s">
        <v>1610</v>
      </c>
      <c r="D25" s="191">
        <v>37.5</v>
      </c>
      <c r="E25" s="189">
        <v>239</v>
      </c>
      <c r="F25" s="192">
        <v>0.6</v>
      </c>
      <c r="G25" s="198">
        <v>0.35</v>
      </c>
      <c r="H25" s="192">
        <v>0.8</v>
      </c>
      <c r="I25" s="198">
        <v>0.5</v>
      </c>
      <c r="O25" s="192">
        <v>0.6</v>
      </c>
      <c r="P25" s="198">
        <v>0.35</v>
      </c>
      <c r="Q25" s="192">
        <v>0.8</v>
      </c>
      <c r="R25" s="198">
        <v>0.5</v>
      </c>
      <c r="T25" s="187">
        <v>0</v>
      </c>
      <c r="U25" s="193">
        <v>0.8</v>
      </c>
      <c r="V25" s="194" t="s">
        <v>729</v>
      </c>
      <c r="W25" s="199" t="s">
        <v>1610</v>
      </c>
    </row>
    <row r="26" spans="1:23" ht="16.5">
      <c r="A26" s="222" t="str">
        <f t="shared" si="4"/>
        <v>新北市三峽區</v>
      </c>
      <c r="B26" s="190" t="s">
        <v>729</v>
      </c>
      <c r="C26" s="190" t="s">
        <v>1611</v>
      </c>
      <c r="D26" s="191">
        <v>37.5</v>
      </c>
      <c r="E26" s="189">
        <v>237</v>
      </c>
      <c r="F26" s="192">
        <v>0.7</v>
      </c>
      <c r="G26" s="198">
        <v>0.4</v>
      </c>
      <c r="H26" s="192">
        <v>0.8</v>
      </c>
      <c r="I26" s="192">
        <v>0.5</v>
      </c>
      <c r="O26" s="192">
        <v>0.7</v>
      </c>
      <c r="P26" s="198">
        <v>0.4</v>
      </c>
      <c r="Q26" s="192">
        <v>0.8</v>
      </c>
      <c r="R26" s="192">
        <v>0.5</v>
      </c>
      <c r="T26" s="187">
        <v>0</v>
      </c>
      <c r="U26" s="193">
        <v>0.8</v>
      </c>
      <c r="V26" s="194" t="s">
        <v>729</v>
      </c>
      <c r="W26" s="199" t="s">
        <v>1611</v>
      </c>
    </row>
    <row r="27" spans="1:23" ht="16.5">
      <c r="A27" s="222" t="str">
        <f t="shared" si="4"/>
        <v>新北市瑞芳區</v>
      </c>
      <c r="B27" s="190" t="s">
        <v>729</v>
      </c>
      <c r="C27" s="190" t="s">
        <v>1612</v>
      </c>
      <c r="D27" s="191">
        <v>42.5</v>
      </c>
      <c r="E27" s="189">
        <v>224</v>
      </c>
      <c r="F27" s="192">
        <v>0.6</v>
      </c>
      <c r="G27" s="192">
        <v>0.35</v>
      </c>
      <c r="H27" s="192">
        <v>0.9</v>
      </c>
      <c r="I27" s="192">
        <v>0.55000000000000004</v>
      </c>
      <c r="O27" s="192">
        <v>0.6</v>
      </c>
      <c r="P27" s="192">
        <v>0.35</v>
      </c>
      <c r="Q27" s="192">
        <v>0.9</v>
      </c>
      <c r="R27" s="192">
        <v>0.55000000000000004</v>
      </c>
      <c r="T27" s="187">
        <v>0</v>
      </c>
      <c r="U27" s="193">
        <v>0.8</v>
      </c>
      <c r="V27" s="194" t="s">
        <v>729</v>
      </c>
      <c r="W27" s="199" t="s">
        <v>1612</v>
      </c>
    </row>
    <row r="28" spans="1:23" ht="16.5">
      <c r="A28" s="222" t="str">
        <f t="shared" si="4"/>
        <v>新北市林口區</v>
      </c>
      <c r="B28" s="190" t="s">
        <v>729</v>
      </c>
      <c r="C28" s="190" t="s">
        <v>1613</v>
      </c>
      <c r="D28" s="191">
        <v>37.5</v>
      </c>
      <c r="E28" s="189">
        <v>244</v>
      </c>
      <c r="F28" s="192">
        <v>0.5</v>
      </c>
      <c r="G28" s="192">
        <v>0.3</v>
      </c>
      <c r="H28" s="192">
        <v>0.7</v>
      </c>
      <c r="I28" s="198">
        <v>0.45</v>
      </c>
      <c r="O28" s="192">
        <v>0.5</v>
      </c>
      <c r="P28" s="192">
        <v>0.3</v>
      </c>
      <c r="Q28" s="192">
        <v>0.7</v>
      </c>
      <c r="R28" s="198">
        <v>0.45</v>
      </c>
      <c r="T28" s="187">
        <v>0</v>
      </c>
      <c r="U28" s="200">
        <v>0.6</v>
      </c>
      <c r="V28" s="194" t="s">
        <v>729</v>
      </c>
      <c r="W28" s="199" t="s">
        <v>1613</v>
      </c>
    </row>
    <row r="29" spans="1:23" ht="16.5">
      <c r="A29" s="222" t="str">
        <f t="shared" si="4"/>
        <v>新北市深坑區</v>
      </c>
      <c r="B29" s="190" t="s">
        <v>729</v>
      </c>
      <c r="C29" s="190" t="s">
        <v>1614</v>
      </c>
      <c r="D29" s="191">
        <v>42.5</v>
      </c>
      <c r="E29" s="189">
        <v>222</v>
      </c>
      <c r="F29" s="192">
        <v>0.6</v>
      </c>
      <c r="G29" s="192">
        <v>0.35</v>
      </c>
      <c r="H29" s="192">
        <v>0.8</v>
      </c>
      <c r="I29" s="198">
        <v>0.5</v>
      </c>
      <c r="O29" s="192">
        <v>0.6</v>
      </c>
      <c r="P29" s="192">
        <v>0.35</v>
      </c>
      <c r="Q29" s="192">
        <v>0.8</v>
      </c>
      <c r="R29" s="198">
        <v>0.5</v>
      </c>
      <c r="T29" s="187">
        <v>0</v>
      </c>
      <c r="U29" s="193">
        <v>0.8</v>
      </c>
      <c r="V29" s="194" t="s">
        <v>729</v>
      </c>
      <c r="W29" s="199" t="s">
        <v>1614</v>
      </c>
    </row>
    <row r="30" spans="1:23" ht="16.5">
      <c r="A30" s="222" t="str">
        <f t="shared" si="4"/>
        <v>新北市石碇區</v>
      </c>
      <c r="B30" s="190" t="s">
        <v>729</v>
      </c>
      <c r="C30" s="190" t="s">
        <v>1615</v>
      </c>
      <c r="D30" s="191">
        <v>42.5</v>
      </c>
      <c r="E30" s="189">
        <v>223</v>
      </c>
      <c r="F30" s="192">
        <v>0.7</v>
      </c>
      <c r="G30" s="221">
        <v>0.4</v>
      </c>
      <c r="H30" s="192">
        <v>0.9</v>
      </c>
      <c r="I30" s="198">
        <v>0.55000000000000004</v>
      </c>
      <c r="O30" s="192">
        <v>0.7</v>
      </c>
      <c r="P30" s="192">
        <v>0.35</v>
      </c>
      <c r="Q30" s="192">
        <v>0.9</v>
      </c>
      <c r="R30" s="198">
        <v>0.55000000000000004</v>
      </c>
      <c r="T30" s="187">
        <v>0</v>
      </c>
      <c r="U30" s="193">
        <v>0.8</v>
      </c>
      <c r="V30" s="194" t="s">
        <v>729</v>
      </c>
      <c r="W30" s="199" t="s">
        <v>1615</v>
      </c>
    </row>
    <row r="31" spans="1:23" ht="16.5">
      <c r="A31" s="222" t="str">
        <f t="shared" si="4"/>
        <v>新北市坪林區</v>
      </c>
      <c r="B31" s="190" t="s">
        <v>729</v>
      </c>
      <c r="C31" s="190" t="s">
        <v>1616</v>
      </c>
      <c r="D31" s="191">
        <v>42.5</v>
      </c>
      <c r="E31" s="189">
        <v>232</v>
      </c>
      <c r="F31" s="192">
        <v>0.7</v>
      </c>
      <c r="G31" s="192">
        <v>0.4</v>
      </c>
      <c r="H31" s="192">
        <v>0.9</v>
      </c>
      <c r="I31" s="192">
        <v>0.55000000000000004</v>
      </c>
      <c r="O31" s="192">
        <v>0.7</v>
      </c>
      <c r="P31" s="192">
        <v>0.4</v>
      </c>
      <c r="Q31" s="192">
        <v>0.9</v>
      </c>
      <c r="R31" s="192">
        <v>0.55000000000000004</v>
      </c>
      <c r="T31" s="187">
        <v>0</v>
      </c>
      <c r="U31" s="193">
        <v>0.8</v>
      </c>
      <c r="V31" s="194" t="s">
        <v>729</v>
      </c>
      <c r="W31" s="199" t="s">
        <v>1616</v>
      </c>
    </row>
    <row r="32" spans="1:23" ht="16.5">
      <c r="A32" s="222" t="str">
        <f t="shared" si="4"/>
        <v>新北市三芝區</v>
      </c>
      <c r="B32" s="190" t="s">
        <v>729</v>
      </c>
      <c r="C32" s="190" t="s">
        <v>1617</v>
      </c>
      <c r="D32" s="191">
        <v>42.5</v>
      </c>
      <c r="E32" s="189">
        <v>252</v>
      </c>
      <c r="F32" s="192">
        <v>0.5</v>
      </c>
      <c r="G32" s="192">
        <v>0.3</v>
      </c>
      <c r="H32" s="192">
        <v>0.7</v>
      </c>
      <c r="I32" s="198">
        <v>0.45</v>
      </c>
      <c r="O32" s="192">
        <v>0.5</v>
      </c>
      <c r="P32" s="192">
        <v>0.3</v>
      </c>
      <c r="Q32" s="192">
        <v>0.7</v>
      </c>
      <c r="R32" s="198">
        <v>0.45</v>
      </c>
      <c r="T32" s="187">
        <v>0</v>
      </c>
      <c r="U32" s="193">
        <v>0.8</v>
      </c>
      <c r="V32" s="194" t="s">
        <v>729</v>
      </c>
      <c r="W32" s="199" t="s">
        <v>1617</v>
      </c>
    </row>
    <row r="33" spans="1:23" ht="16.5">
      <c r="A33" s="222" t="str">
        <f t="shared" si="4"/>
        <v>新北市石門區</v>
      </c>
      <c r="B33" s="190" t="s">
        <v>729</v>
      </c>
      <c r="C33" s="190" t="s">
        <v>1618</v>
      </c>
      <c r="D33" s="191">
        <v>42.5</v>
      </c>
      <c r="E33" s="189">
        <v>253</v>
      </c>
      <c r="F33" s="192">
        <v>0.5</v>
      </c>
      <c r="G33" s="192">
        <v>0.3</v>
      </c>
      <c r="H33" s="192">
        <v>0.7</v>
      </c>
      <c r="I33" s="198">
        <v>0.45</v>
      </c>
      <c r="O33" s="192">
        <v>0.5</v>
      </c>
      <c r="P33" s="192">
        <v>0.3</v>
      </c>
      <c r="Q33" s="192">
        <v>0.7</v>
      </c>
      <c r="R33" s="198">
        <v>0.45</v>
      </c>
      <c r="T33" s="187">
        <v>0</v>
      </c>
      <c r="U33" s="193">
        <v>0.8</v>
      </c>
      <c r="V33" s="194" t="s">
        <v>729</v>
      </c>
      <c r="W33" s="199" t="s">
        <v>1618</v>
      </c>
    </row>
    <row r="34" spans="1:23" ht="16.5">
      <c r="A34" s="222" t="str">
        <f t="shared" si="4"/>
        <v>新北市平溪區</v>
      </c>
      <c r="B34" s="190" t="s">
        <v>729</v>
      </c>
      <c r="C34" s="190" t="s">
        <v>1619</v>
      </c>
      <c r="D34" s="191">
        <v>42.5</v>
      </c>
      <c r="E34" s="189">
        <v>226</v>
      </c>
      <c r="F34" s="192">
        <v>0.6</v>
      </c>
      <c r="G34" s="192">
        <v>0.35</v>
      </c>
      <c r="H34" s="192">
        <v>0.9</v>
      </c>
      <c r="I34" s="198">
        <v>0.55000000000000004</v>
      </c>
      <c r="O34" s="192">
        <v>0.6</v>
      </c>
      <c r="P34" s="192">
        <v>0.35</v>
      </c>
      <c r="Q34" s="192">
        <v>0.9</v>
      </c>
      <c r="R34" s="198">
        <v>0.55000000000000004</v>
      </c>
      <c r="T34" s="187">
        <v>0</v>
      </c>
      <c r="U34" s="193">
        <v>0.8</v>
      </c>
      <c r="V34" s="194" t="s">
        <v>729</v>
      </c>
      <c r="W34" s="199" t="s">
        <v>1619</v>
      </c>
    </row>
    <row r="35" spans="1:23" ht="16.5">
      <c r="A35" s="222" t="str">
        <f t="shared" si="4"/>
        <v>新北市雙溪區</v>
      </c>
      <c r="B35" s="190" t="s">
        <v>729</v>
      </c>
      <c r="C35" s="190" t="s">
        <v>1620</v>
      </c>
      <c r="D35" s="191">
        <v>42.5</v>
      </c>
      <c r="E35" s="189">
        <v>227</v>
      </c>
      <c r="F35" s="192">
        <v>0.7</v>
      </c>
      <c r="G35" s="192">
        <v>0.4</v>
      </c>
      <c r="H35" s="192">
        <v>0.9</v>
      </c>
      <c r="I35" s="192">
        <v>0.55000000000000004</v>
      </c>
      <c r="O35" s="192">
        <v>0.7</v>
      </c>
      <c r="P35" s="192">
        <v>0.4</v>
      </c>
      <c r="Q35" s="192">
        <v>0.9</v>
      </c>
      <c r="R35" s="192">
        <v>0.55000000000000004</v>
      </c>
      <c r="T35" s="187">
        <v>0</v>
      </c>
      <c r="U35" s="193">
        <v>0.8</v>
      </c>
      <c r="V35" s="194" t="s">
        <v>729</v>
      </c>
      <c r="W35" s="199" t="s">
        <v>1620</v>
      </c>
    </row>
    <row r="36" spans="1:23" ht="16.5">
      <c r="A36" s="222" t="str">
        <f t="shared" si="4"/>
        <v>新北市貢寮區</v>
      </c>
      <c r="B36" s="190" t="s">
        <v>729</v>
      </c>
      <c r="C36" s="190" t="s">
        <v>1621</v>
      </c>
      <c r="D36" s="191">
        <v>42.5</v>
      </c>
      <c r="E36" s="189">
        <v>228</v>
      </c>
      <c r="F36" s="192">
        <v>0.7</v>
      </c>
      <c r="G36" s="192">
        <v>0.4</v>
      </c>
      <c r="H36" s="192">
        <v>0.9</v>
      </c>
      <c r="I36" s="192">
        <v>0.55000000000000004</v>
      </c>
      <c r="O36" s="192">
        <v>0.7</v>
      </c>
      <c r="P36" s="192">
        <v>0.4</v>
      </c>
      <c r="Q36" s="192">
        <v>0.9</v>
      </c>
      <c r="R36" s="192">
        <v>0.55000000000000004</v>
      </c>
      <c r="T36" s="187">
        <v>0</v>
      </c>
      <c r="U36" s="193">
        <v>0.8</v>
      </c>
      <c r="V36" s="194" t="s">
        <v>729</v>
      </c>
      <c r="W36" s="199" t="s">
        <v>1621</v>
      </c>
    </row>
    <row r="37" spans="1:23" ht="16.5">
      <c r="A37" s="222" t="str">
        <f t="shared" si="4"/>
        <v>新北市金山區</v>
      </c>
      <c r="B37" s="190" t="s">
        <v>729</v>
      </c>
      <c r="C37" s="190" t="s">
        <v>1622</v>
      </c>
      <c r="D37" s="191">
        <v>42.5</v>
      </c>
      <c r="E37" s="189">
        <v>208</v>
      </c>
      <c r="F37" s="192">
        <v>0.5</v>
      </c>
      <c r="G37" s="192">
        <v>0.3</v>
      </c>
      <c r="H37" s="192">
        <v>0.7</v>
      </c>
      <c r="I37" s="198">
        <v>0.45</v>
      </c>
      <c r="O37" s="192">
        <v>0.5</v>
      </c>
      <c r="P37" s="192">
        <v>0.3</v>
      </c>
      <c r="Q37" s="192">
        <v>0.7</v>
      </c>
      <c r="R37" s="198">
        <v>0.45</v>
      </c>
      <c r="T37" s="187">
        <v>0</v>
      </c>
      <c r="U37" s="193">
        <v>0.8</v>
      </c>
      <c r="V37" s="194" t="s">
        <v>729</v>
      </c>
      <c r="W37" s="199" t="s">
        <v>1622</v>
      </c>
    </row>
    <row r="38" spans="1:23" ht="16.5">
      <c r="A38" s="222" t="str">
        <f t="shared" si="4"/>
        <v>新北市萬里區</v>
      </c>
      <c r="B38" s="190" t="s">
        <v>729</v>
      </c>
      <c r="C38" s="190" t="s">
        <v>1623</v>
      </c>
      <c r="D38" s="191">
        <v>42.5</v>
      </c>
      <c r="E38" s="189">
        <v>207</v>
      </c>
      <c r="F38" s="192">
        <v>0.5</v>
      </c>
      <c r="G38" s="192">
        <v>0.3</v>
      </c>
      <c r="H38" s="192">
        <v>0.8</v>
      </c>
      <c r="I38" s="198">
        <v>0.5</v>
      </c>
      <c r="O38" s="192">
        <v>0.5</v>
      </c>
      <c r="P38" s="192">
        <v>0.3</v>
      </c>
      <c r="Q38" s="192">
        <v>0.8</v>
      </c>
      <c r="R38" s="198">
        <v>0.5</v>
      </c>
      <c r="T38" s="187">
        <v>0</v>
      </c>
      <c r="U38" s="193">
        <v>0.8</v>
      </c>
      <c r="V38" s="194" t="s">
        <v>729</v>
      </c>
      <c r="W38" s="199" t="s">
        <v>1623</v>
      </c>
    </row>
    <row r="39" spans="1:23" ht="16.5">
      <c r="A39" s="222" t="str">
        <f t="shared" si="4"/>
        <v>新北市烏來區</v>
      </c>
      <c r="B39" s="190" t="s">
        <v>729</v>
      </c>
      <c r="C39" s="190" t="s">
        <v>1624</v>
      </c>
      <c r="D39" s="191">
        <v>37.5</v>
      </c>
      <c r="E39" s="189">
        <v>233</v>
      </c>
      <c r="F39" s="192">
        <v>0.7</v>
      </c>
      <c r="G39" s="192">
        <v>0.4</v>
      </c>
      <c r="H39" s="192">
        <v>0.9</v>
      </c>
      <c r="I39" s="198">
        <v>0.55000000000000004</v>
      </c>
      <c r="O39" s="192">
        <v>0.7</v>
      </c>
      <c r="P39" s="192">
        <v>0.4</v>
      </c>
      <c r="Q39" s="192">
        <v>0.9</v>
      </c>
      <c r="R39" s="198">
        <v>0.55000000000000004</v>
      </c>
      <c r="T39" s="187">
        <v>0</v>
      </c>
      <c r="U39" s="193">
        <v>0.8</v>
      </c>
      <c r="V39" s="194" t="s">
        <v>729</v>
      </c>
      <c r="W39" s="199" t="s">
        <v>1624</v>
      </c>
    </row>
    <row r="40" spans="1:23">
      <c r="A40" s="222" t="str">
        <f t="shared" si="2"/>
        <v>宜蘭縣宜蘭市</v>
      </c>
      <c r="B40" s="190" t="s">
        <v>50</v>
      </c>
      <c r="C40" s="190" t="s">
        <v>51</v>
      </c>
      <c r="D40" s="191">
        <v>37.5</v>
      </c>
      <c r="E40" s="189">
        <v>260</v>
      </c>
      <c r="F40" s="192">
        <v>0.8</v>
      </c>
      <c r="G40" s="192">
        <v>0.45</v>
      </c>
      <c r="H40" s="192">
        <v>0.9</v>
      </c>
      <c r="I40" s="192">
        <v>0.55000000000000004</v>
      </c>
      <c r="O40" s="192">
        <v>0.8</v>
      </c>
      <c r="P40" s="192">
        <v>0.45</v>
      </c>
      <c r="Q40" s="192">
        <v>0.9</v>
      </c>
      <c r="R40" s="192">
        <v>0.55000000000000004</v>
      </c>
      <c r="T40" s="187">
        <v>0</v>
      </c>
      <c r="U40" s="193">
        <v>0.8</v>
      </c>
      <c r="V40" s="187" t="s">
        <v>50</v>
      </c>
      <c r="W40" s="187" t="s">
        <v>51</v>
      </c>
    </row>
    <row r="41" spans="1:23">
      <c r="A41" s="222" t="str">
        <f t="shared" si="2"/>
        <v>宜蘭縣頭城鎮</v>
      </c>
      <c r="B41" s="190" t="s">
        <v>50</v>
      </c>
      <c r="C41" s="190" t="s">
        <v>54</v>
      </c>
      <c r="D41" s="191">
        <v>42.5</v>
      </c>
      <c r="E41" s="189">
        <v>261</v>
      </c>
      <c r="F41" s="192">
        <v>0.8</v>
      </c>
      <c r="G41" s="192">
        <v>0.45</v>
      </c>
      <c r="H41" s="192">
        <v>0.9</v>
      </c>
      <c r="I41" s="192">
        <v>0.55000000000000004</v>
      </c>
      <c r="O41" s="192">
        <v>0.8</v>
      </c>
      <c r="P41" s="192">
        <v>0.45</v>
      </c>
      <c r="Q41" s="192">
        <v>0.9</v>
      </c>
      <c r="R41" s="192">
        <v>0.55000000000000004</v>
      </c>
      <c r="T41" s="187">
        <v>0</v>
      </c>
      <c r="U41" s="193">
        <v>0.8</v>
      </c>
      <c r="V41" s="187" t="s">
        <v>50</v>
      </c>
      <c r="W41" s="187" t="s">
        <v>54</v>
      </c>
    </row>
    <row r="42" spans="1:23">
      <c r="A42" s="222" t="str">
        <f t="shared" si="2"/>
        <v>宜蘭縣礁溪鎮</v>
      </c>
      <c r="B42" s="190" t="s">
        <v>50</v>
      </c>
      <c r="C42" s="190" t="s">
        <v>55</v>
      </c>
      <c r="D42" s="191">
        <v>37.5</v>
      </c>
      <c r="E42" s="189">
        <v>262</v>
      </c>
      <c r="F42" s="192">
        <v>0.8</v>
      </c>
      <c r="G42" s="192">
        <v>0.45</v>
      </c>
      <c r="H42" s="192">
        <v>0.9</v>
      </c>
      <c r="I42" s="192">
        <v>0.55000000000000004</v>
      </c>
      <c r="O42" s="192">
        <v>0.8</v>
      </c>
      <c r="P42" s="192">
        <v>0.45</v>
      </c>
      <c r="Q42" s="192">
        <v>0.9</v>
      </c>
      <c r="R42" s="192">
        <v>0.55000000000000004</v>
      </c>
      <c r="T42" s="187">
        <v>0</v>
      </c>
      <c r="U42" s="193">
        <v>0.8</v>
      </c>
      <c r="V42" s="187" t="s">
        <v>50</v>
      </c>
      <c r="W42" s="187" t="s">
        <v>55</v>
      </c>
    </row>
    <row r="43" spans="1:23">
      <c r="A43" s="222" t="str">
        <f t="shared" si="2"/>
        <v>宜蘭縣壯圍鄉</v>
      </c>
      <c r="B43" s="190" t="s">
        <v>50</v>
      </c>
      <c r="C43" s="190" t="s">
        <v>56</v>
      </c>
      <c r="D43" s="191">
        <v>42.5</v>
      </c>
      <c r="E43" s="189">
        <v>263</v>
      </c>
      <c r="F43" s="192">
        <v>0.8</v>
      </c>
      <c r="G43" s="192">
        <v>0.45</v>
      </c>
      <c r="H43" s="192">
        <v>0.9</v>
      </c>
      <c r="I43" s="192">
        <v>0.55000000000000004</v>
      </c>
      <c r="O43" s="192">
        <v>0.8</v>
      </c>
      <c r="P43" s="192">
        <v>0.45</v>
      </c>
      <c r="Q43" s="192">
        <v>0.9</v>
      </c>
      <c r="R43" s="192">
        <v>0.55000000000000004</v>
      </c>
      <c r="T43" s="187">
        <v>0</v>
      </c>
      <c r="U43" s="193">
        <v>0.8</v>
      </c>
      <c r="V43" s="187" t="s">
        <v>50</v>
      </c>
      <c r="W43" s="187" t="s">
        <v>56</v>
      </c>
    </row>
    <row r="44" spans="1:23">
      <c r="A44" s="222" t="str">
        <f t="shared" si="2"/>
        <v>宜蘭縣員山鄉</v>
      </c>
      <c r="B44" s="190" t="s">
        <v>50</v>
      </c>
      <c r="C44" s="190" t="s">
        <v>57</v>
      </c>
      <c r="D44" s="191">
        <v>37.5</v>
      </c>
      <c r="E44" s="189">
        <v>264</v>
      </c>
      <c r="F44" s="192">
        <v>0.8</v>
      </c>
      <c r="G44" s="192">
        <v>0.45</v>
      </c>
      <c r="H44" s="192">
        <v>0.9</v>
      </c>
      <c r="I44" s="192">
        <v>0.55000000000000004</v>
      </c>
      <c r="O44" s="192">
        <v>0.8</v>
      </c>
      <c r="P44" s="192">
        <v>0.45</v>
      </c>
      <c r="Q44" s="192">
        <v>0.9</v>
      </c>
      <c r="R44" s="192">
        <v>0.55000000000000004</v>
      </c>
      <c r="T44" s="187">
        <v>0</v>
      </c>
      <c r="U44" s="193">
        <v>0.8</v>
      </c>
      <c r="V44" s="187" t="s">
        <v>50</v>
      </c>
      <c r="W44" s="187" t="s">
        <v>57</v>
      </c>
    </row>
    <row r="45" spans="1:23">
      <c r="A45" s="222" t="str">
        <f t="shared" si="2"/>
        <v>宜蘭縣羅東鎮</v>
      </c>
      <c r="B45" s="190" t="s">
        <v>50</v>
      </c>
      <c r="C45" s="190" t="s">
        <v>52</v>
      </c>
      <c r="D45" s="191">
        <v>37.5</v>
      </c>
      <c r="E45" s="189">
        <v>265</v>
      </c>
      <c r="F45" s="192">
        <v>0.8</v>
      </c>
      <c r="G45" s="192">
        <v>0.45</v>
      </c>
      <c r="H45" s="192">
        <v>0.9</v>
      </c>
      <c r="I45" s="192">
        <v>0.55000000000000004</v>
      </c>
      <c r="O45" s="192">
        <v>0.8</v>
      </c>
      <c r="P45" s="192">
        <v>0.45</v>
      </c>
      <c r="Q45" s="192">
        <v>0.9</v>
      </c>
      <c r="R45" s="192">
        <v>0.55000000000000004</v>
      </c>
      <c r="T45" s="187">
        <v>0</v>
      </c>
      <c r="U45" s="193">
        <v>0.8</v>
      </c>
      <c r="V45" s="187" t="s">
        <v>50</v>
      </c>
      <c r="W45" s="187" t="s">
        <v>52</v>
      </c>
    </row>
    <row r="46" spans="1:23">
      <c r="A46" s="222" t="str">
        <f t="shared" ref="A46:A48" si="5">B46&amp;C46</f>
        <v>宜蘭縣五結鄉</v>
      </c>
      <c r="B46" s="190" t="s">
        <v>50</v>
      </c>
      <c r="C46" s="190" t="s">
        <v>59</v>
      </c>
      <c r="D46" s="191">
        <v>42.5</v>
      </c>
      <c r="E46" s="189">
        <v>268</v>
      </c>
      <c r="F46" s="192">
        <v>0.8</v>
      </c>
      <c r="G46" s="192">
        <v>0.45</v>
      </c>
      <c r="H46" s="192">
        <v>0.9</v>
      </c>
      <c r="I46" s="192">
        <v>0.55000000000000004</v>
      </c>
      <c r="O46" s="192">
        <v>0.8</v>
      </c>
      <c r="P46" s="192">
        <v>0.45</v>
      </c>
      <c r="Q46" s="192">
        <v>0.9</v>
      </c>
      <c r="R46" s="192">
        <v>0.55000000000000004</v>
      </c>
      <c r="T46" s="187">
        <v>0</v>
      </c>
      <c r="U46" s="193">
        <v>0.8</v>
      </c>
      <c r="V46" s="187" t="s">
        <v>50</v>
      </c>
      <c r="W46" s="187" t="s">
        <v>59</v>
      </c>
    </row>
    <row r="47" spans="1:23">
      <c r="A47" s="222" t="str">
        <f t="shared" si="5"/>
        <v>宜蘭縣冬山鄉</v>
      </c>
      <c r="B47" s="190" t="s">
        <v>50</v>
      </c>
      <c r="C47" s="190" t="s">
        <v>58</v>
      </c>
      <c r="D47" s="191">
        <v>42.5</v>
      </c>
      <c r="E47" s="189">
        <v>269</v>
      </c>
      <c r="F47" s="192">
        <v>0.8</v>
      </c>
      <c r="G47" s="192">
        <v>0.45</v>
      </c>
      <c r="H47" s="192">
        <v>0.9</v>
      </c>
      <c r="I47" s="192">
        <v>0.55000000000000004</v>
      </c>
      <c r="O47" s="192">
        <v>0.8</v>
      </c>
      <c r="P47" s="192">
        <v>0.45</v>
      </c>
      <c r="Q47" s="192">
        <v>0.9</v>
      </c>
      <c r="R47" s="192">
        <v>0.55000000000000004</v>
      </c>
      <c r="T47" s="187">
        <v>0</v>
      </c>
      <c r="U47" s="193">
        <v>0.8</v>
      </c>
      <c r="V47" s="187" t="s">
        <v>50</v>
      </c>
      <c r="W47" s="187" t="s">
        <v>58</v>
      </c>
    </row>
    <row r="48" spans="1:23">
      <c r="A48" s="222" t="str">
        <f t="shared" si="5"/>
        <v>宜蘭縣蘇澳鎮</v>
      </c>
      <c r="B48" s="190" t="s">
        <v>50</v>
      </c>
      <c r="C48" s="190" t="s">
        <v>53</v>
      </c>
      <c r="D48" s="191">
        <v>42.5</v>
      </c>
      <c r="E48" s="189">
        <v>270</v>
      </c>
      <c r="F48" s="192">
        <v>0.8</v>
      </c>
      <c r="G48" s="192">
        <v>0.45</v>
      </c>
      <c r="H48" s="192">
        <v>1</v>
      </c>
      <c r="I48" s="192">
        <v>0.55000000000000004</v>
      </c>
      <c r="O48" s="192">
        <v>0.8</v>
      </c>
      <c r="P48" s="192">
        <v>0.45</v>
      </c>
      <c r="Q48" s="192">
        <v>1</v>
      </c>
      <c r="R48" s="192">
        <v>0.55000000000000004</v>
      </c>
      <c r="T48" s="187">
        <v>0</v>
      </c>
      <c r="U48" s="193">
        <v>0.8</v>
      </c>
      <c r="V48" s="187" t="s">
        <v>50</v>
      </c>
      <c r="W48" s="187" t="s">
        <v>53</v>
      </c>
    </row>
    <row r="49" spans="1:23">
      <c r="A49" s="222" t="str">
        <f t="shared" si="2"/>
        <v>宜蘭縣三星鄉</v>
      </c>
      <c r="B49" s="190" t="s">
        <v>50</v>
      </c>
      <c r="C49" s="190" t="s">
        <v>60</v>
      </c>
      <c r="D49" s="191">
        <v>37.5</v>
      </c>
      <c r="E49" s="189">
        <v>266</v>
      </c>
      <c r="F49" s="192">
        <v>0.8</v>
      </c>
      <c r="G49" s="192">
        <v>0.45</v>
      </c>
      <c r="H49" s="192">
        <v>0.9</v>
      </c>
      <c r="I49" s="192">
        <v>0.55000000000000004</v>
      </c>
      <c r="O49" s="192">
        <v>0.8</v>
      </c>
      <c r="P49" s="192">
        <v>0.45</v>
      </c>
      <c r="Q49" s="192">
        <v>0.9</v>
      </c>
      <c r="R49" s="192">
        <v>0.55000000000000004</v>
      </c>
      <c r="T49" s="187">
        <v>0</v>
      </c>
      <c r="U49" s="193">
        <v>0.8</v>
      </c>
      <c r="V49" s="187" t="s">
        <v>50</v>
      </c>
      <c r="W49" s="187" t="s">
        <v>60</v>
      </c>
    </row>
    <row r="50" spans="1:23">
      <c r="A50" s="222" t="str">
        <f t="shared" si="2"/>
        <v>宜蘭縣大同鄉</v>
      </c>
      <c r="B50" s="190" t="s">
        <v>50</v>
      </c>
      <c r="C50" s="190" t="s">
        <v>61</v>
      </c>
      <c r="D50" s="191">
        <v>37.5</v>
      </c>
      <c r="E50" s="189">
        <v>267</v>
      </c>
      <c r="F50" s="192">
        <v>0.8</v>
      </c>
      <c r="G50" s="192">
        <v>0.45</v>
      </c>
      <c r="H50" s="192">
        <v>0.9</v>
      </c>
      <c r="I50" s="192">
        <v>0.5</v>
      </c>
      <c r="O50" s="192">
        <v>0.8</v>
      </c>
      <c r="P50" s="192">
        <v>0.45</v>
      </c>
      <c r="Q50" s="192">
        <v>0.9</v>
      </c>
      <c r="R50" s="192">
        <v>0.5</v>
      </c>
      <c r="T50" s="187">
        <v>0</v>
      </c>
      <c r="U50" s="193">
        <v>0.8</v>
      </c>
      <c r="V50" s="187" t="s">
        <v>50</v>
      </c>
      <c r="W50" s="187" t="s">
        <v>61</v>
      </c>
    </row>
    <row r="51" spans="1:23">
      <c r="A51" s="222" t="str">
        <f t="shared" si="2"/>
        <v>宜蘭縣南澳鄉</v>
      </c>
      <c r="B51" s="190" t="s">
        <v>50</v>
      </c>
      <c r="C51" s="190" t="s">
        <v>62</v>
      </c>
      <c r="D51" s="191">
        <v>42.5</v>
      </c>
      <c r="E51" s="189">
        <v>272</v>
      </c>
      <c r="F51" s="192">
        <v>0.8</v>
      </c>
      <c r="G51" s="192">
        <v>0.45</v>
      </c>
      <c r="H51" s="192">
        <v>1</v>
      </c>
      <c r="I51" s="192">
        <v>0.55000000000000004</v>
      </c>
      <c r="O51" s="192">
        <v>0.8</v>
      </c>
      <c r="P51" s="192">
        <v>0.45</v>
      </c>
      <c r="Q51" s="192">
        <v>1</v>
      </c>
      <c r="R51" s="192">
        <v>0.55000000000000004</v>
      </c>
      <c r="T51" s="187">
        <v>0</v>
      </c>
      <c r="U51" s="193">
        <v>0.8</v>
      </c>
      <c r="V51" s="187" t="s">
        <v>50</v>
      </c>
      <c r="W51" s="187" t="s">
        <v>62</v>
      </c>
    </row>
    <row r="52" spans="1:23" s="229" customFormat="1" ht="16.5">
      <c r="A52" s="223" t="str">
        <f t="shared" si="2"/>
        <v>宜蘭縣釣魚臺列嶼</v>
      </c>
      <c r="B52" s="204" t="s">
        <v>50</v>
      </c>
      <c r="C52" s="204" t="s">
        <v>1625</v>
      </c>
      <c r="D52" s="224">
        <v>42.5</v>
      </c>
      <c r="E52" s="225">
        <v>290</v>
      </c>
      <c r="F52" s="221">
        <v>0.8</v>
      </c>
      <c r="G52" s="221">
        <v>0.45</v>
      </c>
      <c r="H52" s="221">
        <v>1</v>
      </c>
      <c r="I52" s="221">
        <v>0.55000000000000004</v>
      </c>
      <c r="J52" s="208"/>
      <c r="K52" s="208"/>
      <c r="L52" s="208"/>
      <c r="M52" s="208"/>
      <c r="N52" s="208"/>
      <c r="O52" s="221">
        <v>0.8</v>
      </c>
      <c r="P52" s="221">
        <v>0.45</v>
      </c>
      <c r="Q52" s="221">
        <v>1</v>
      </c>
      <c r="R52" s="221">
        <v>0.55000000000000004</v>
      </c>
      <c r="S52" s="226"/>
      <c r="T52" s="187">
        <v>0</v>
      </c>
      <c r="U52" s="227">
        <v>0.8</v>
      </c>
      <c r="V52" s="226" t="s">
        <v>50</v>
      </c>
      <c r="W52" s="228" t="s">
        <v>1625</v>
      </c>
    </row>
    <row r="53" spans="1:23">
      <c r="A53" s="222" t="str">
        <f t="shared" ref="A53:A65" si="6">B53&amp;C53</f>
        <v>新竹縣竹北市</v>
      </c>
      <c r="B53" s="190" t="s">
        <v>63</v>
      </c>
      <c r="C53" s="190" t="s">
        <v>64</v>
      </c>
      <c r="D53" s="191">
        <v>32.5</v>
      </c>
      <c r="E53" s="189">
        <v>302</v>
      </c>
      <c r="F53" s="221">
        <v>0.8</v>
      </c>
      <c r="G53" s="221">
        <v>0.45</v>
      </c>
      <c r="H53" s="221">
        <v>1</v>
      </c>
      <c r="I53" s="221">
        <v>0.55000000000000004</v>
      </c>
      <c r="J53" s="208" t="s">
        <v>1678</v>
      </c>
      <c r="O53" s="192">
        <v>0.7</v>
      </c>
      <c r="P53" s="192">
        <v>0.35</v>
      </c>
      <c r="Q53" s="192">
        <v>0.9</v>
      </c>
      <c r="R53" s="192">
        <v>0.5</v>
      </c>
      <c r="T53" s="187">
        <v>0</v>
      </c>
      <c r="U53" s="193">
        <v>0.8</v>
      </c>
      <c r="V53" s="187" t="s">
        <v>63</v>
      </c>
      <c r="W53" s="187" t="s">
        <v>64</v>
      </c>
    </row>
    <row r="54" spans="1:23">
      <c r="A54" s="222" t="str">
        <f t="shared" si="6"/>
        <v>新竹縣竹東鎮</v>
      </c>
      <c r="B54" s="190" t="s">
        <v>63</v>
      </c>
      <c r="C54" s="190" t="s">
        <v>65</v>
      </c>
      <c r="D54" s="191">
        <v>32.5</v>
      </c>
      <c r="E54" s="189">
        <v>310</v>
      </c>
      <c r="F54" s="221">
        <v>0.8</v>
      </c>
      <c r="G54" s="221">
        <v>0.45</v>
      </c>
      <c r="H54" s="221">
        <v>1</v>
      </c>
      <c r="I54" s="221">
        <v>0.55000000000000004</v>
      </c>
      <c r="J54" s="208" t="s">
        <v>1678</v>
      </c>
      <c r="O54" s="192">
        <v>0.7</v>
      </c>
      <c r="P54" s="192">
        <v>0.4</v>
      </c>
      <c r="Q54" s="192">
        <v>0.9</v>
      </c>
      <c r="R54" s="192">
        <v>0.5</v>
      </c>
      <c r="T54" s="187">
        <v>0</v>
      </c>
      <c r="U54" s="193">
        <v>0.8</v>
      </c>
      <c r="V54" s="187" t="s">
        <v>63</v>
      </c>
      <c r="W54" s="187" t="s">
        <v>65</v>
      </c>
    </row>
    <row r="55" spans="1:23">
      <c r="A55" s="222" t="str">
        <f t="shared" si="6"/>
        <v>新竹縣新埔鎮</v>
      </c>
      <c r="B55" s="190" t="s">
        <v>63</v>
      </c>
      <c r="C55" s="190" t="s">
        <v>66</v>
      </c>
      <c r="D55" s="191">
        <v>37.5</v>
      </c>
      <c r="E55" s="189">
        <v>305</v>
      </c>
      <c r="F55" s="221">
        <v>0.8</v>
      </c>
      <c r="G55" s="221">
        <v>0.45</v>
      </c>
      <c r="H55" s="221">
        <v>1</v>
      </c>
      <c r="I55" s="221">
        <v>0.55000000000000004</v>
      </c>
      <c r="J55" s="208" t="s">
        <v>1678</v>
      </c>
      <c r="O55" s="192">
        <v>0.7</v>
      </c>
      <c r="P55" s="192">
        <v>0.35</v>
      </c>
      <c r="Q55" s="192">
        <v>0.8</v>
      </c>
      <c r="R55" s="192">
        <v>0.5</v>
      </c>
      <c r="T55" s="187">
        <v>0</v>
      </c>
      <c r="U55" s="200">
        <v>0.6</v>
      </c>
      <c r="V55" s="187" t="s">
        <v>63</v>
      </c>
      <c r="W55" s="187" t="s">
        <v>66</v>
      </c>
    </row>
    <row r="56" spans="1:23">
      <c r="A56" s="222" t="str">
        <f t="shared" si="6"/>
        <v>新竹縣關西鎮</v>
      </c>
      <c r="B56" s="190" t="s">
        <v>63</v>
      </c>
      <c r="C56" s="190" t="s">
        <v>67</v>
      </c>
      <c r="D56" s="191">
        <v>37.5</v>
      </c>
      <c r="E56" s="189">
        <v>306</v>
      </c>
      <c r="F56" s="221">
        <v>0.8</v>
      </c>
      <c r="G56" s="221">
        <v>0.45</v>
      </c>
      <c r="H56" s="221">
        <v>1</v>
      </c>
      <c r="I56" s="221">
        <v>0.55000000000000004</v>
      </c>
      <c r="J56" s="208" t="s">
        <v>1678</v>
      </c>
      <c r="O56" s="192">
        <v>0.7</v>
      </c>
      <c r="P56" s="192">
        <v>0.4</v>
      </c>
      <c r="Q56" s="192">
        <v>0.9</v>
      </c>
      <c r="R56" s="192">
        <v>0.5</v>
      </c>
      <c r="T56" s="187">
        <v>0</v>
      </c>
      <c r="U56" s="200">
        <v>0.6</v>
      </c>
      <c r="V56" s="187" t="s">
        <v>63</v>
      </c>
      <c r="W56" s="187" t="s">
        <v>67</v>
      </c>
    </row>
    <row r="57" spans="1:23">
      <c r="A57" s="222" t="str">
        <f t="shared" si="6"/>
        <v>新竹縣湖口鄉</v>
      </c>
      <c r="B57" s="190" t="s">
        <v>63</v>
      </c>
      <c r="C57" s="190" t="s">
        <v>68</v>
      </c>
      <c r="D57" s="191">
        <v>37.5</v>
      </c>
      <c r="E57" s="189">
        <v>303</v>
      </c>
      <c r="F57" s="221">
        <v>0.7</v>
      </c>
      <c r="G57" s="221">
        <v>0.4</v>
      </c>
      <c r="H57" s="221">
        <v>0.9</v>
      </c>
      <c r="I57" s="192">
        <v>0.5</v>
      </c>
      <c r="O57" s="192">
        <v>0.6</v>
      </c>
      <c r="P57" s="192">
        <v>0.35</v>
      </c>
      <c r="Q57" s="192">
        <v>0.8</v>
      </c>
      <c r="R57" s="192">
        <v>0.5</v>
      </c>
      <c r="T57" s="187">
        <v>0</v>
      </c>
      <c r="U57" s="200">
        <v>0.6</v>
      </c>
      <c r="V57" s="187" t="s">
        <v>63</v>
      </c>
      <c r="W57" s="187" t="s">
        <v>68</v>
      </c>
    </row>
    <row r="58" spans="1:23">
      <c r="A58" s="222" t="str">
        <f t="shared" si="6"/>
        <v>新竹縣新豐鄉</v>
      </c>
      <c r="B58" s="190" t="s">
        <v>63</v>
      </c>
      <c r="C58" s="190" t="s">
        <v>69</v>
      </c>
      <c r="D58" s="191">
        <v>37.5</v>
      </c>
      <c r="E58" s="189">
        <v>304</v>
      </c>
      <c r="F58" s="221">
        <v>0.7</v>
      </c>
      <c r="G58" s="221">
        <v>0.4</v>
      </c>
      <c r="H58" s="221">
        <v>0.9</v>
      </c>
      <c r="I58" s="221">
        <v>0.5</v>
      </c>
      <c r="O58" s="192">
        <v>0.6</v>
      </c>
      <c r="P58" s="192">
        <v>0.35</v>
      </c>
      <c r="Q58" s="192">
        <v>0.8</v>
      </c>
      <c r="R58" s="192">
        <v>0.45</v>
      </c>
      <c r="T58" s="187">
        <v>0</v>
      </c>
      <c r="U58" s="200">
        <v>0.6</v>
      </c>
      <c r="V58" s="187" t="s">
        <v>63</v>
      </c>
      <c r="W58" s="187" t="s">
        <v>69</v>
      </c>
    </row>
    <row r="59" spans="1:23">
      <c r="A59" s="222" t="str">
        <f t="shared" si="6"/>
        <v>新竹縣芎林鄉</v>
      </c>
      <c r="B59" s="190" t="s">
        <v>63</v>
      </c>
      <c r="C59" s="190" t="s">
        <v>70</v>
      </c>
      <c r="D59" s="191">
        <v>32.5</v>
      </c>
      <c r="E59" s="189">
        <v>307</v>
      </c>
      <c r="F59" s="221">
        <v>0.8</v>
      </c>
      <c r="G59" s="221">
        <v>0.45</v>
      </c>
      <c r="H59" s="221">
        <v>1</v>
      </c>
      <c r="I59" s="221">
        <v>0.55000000000000004</v>
      </c>
      <c r="J59" s="208" t="s">
        <v>1678</v>
      </c>
      <c r="O59" s="192">
        <v>0.7</v>
      </c>
      <c r="P59" s="192">
        <v>0.35</v>
      </c>
      <c r="Q59" s="192">
        <v>0.9</v>
      </c>
      <c r="R59" s="192">
        <v>0.5</v>
      </c>
      <c r="T59" s="187">
        <v>0</v>
      </c>
      <c r="U59" s="193">
        <v>0.8</v>
      </c>
      <c r="V59" s="187" t="s">
        <v>63</v>
      </c>
      <c r="W59" s="187" t="s">
        <v>70</v>
      </c>
    </row>
    <row r="60" spans="1:23">
      <c r="A60" s="222" t="str">
        <f t="shared" si="6"/>
        <v>新竹縣橫山鄉</v>
      </c>
      <c r="B60" s="190" t="s">
        <v>63</v>
      </c>
      <c r="C60" s="190" t="s">
        <v>71</v>
      </c>
      <c r="D60" s="191">
        <v>37.5</v>
      </c>
      <c r="E60" s="189">
        <v>312</v>
      </c>
      <c r="F60" s="221">
        <v>0.8</v>
      </c>
      <c r="G60" s="221">
        <v>0.45</v>
      </c>
      <c r="H60" s="221">
        <v>1</v>
      </c>
      <c r="I60" s="221">
        <v>0.55000000000000004</v>
      </c>
      <c r="J60" s="208" t="s">
        <v>1678</v>
      </c>
      <c r="O60" s="192">
        <v>0.7</v>
      </c>
      <c r="P60" s="192">
        <v>0.4</v>
      </c>
      <c r="Q60" s="192">
        <v>0.9</v>
      </c>
      <c r="R60" s="192">
        <v>0.5</v>
      </c>
      <c r="T60" s="187">
        <v>0</v>
      </c>
      <c r="U60" s="193">
        <v>0.8</v>
      </c>
      <c r="V60" s="187" t="s">
        <v>63</v>
      </c>
      <c r="W60" s="187" t="s">
        <v>71</v>
      </c>
    </row>
    <row r="61" spans="1:23">
      <c r="A61" s="222" t="str">
        <f t="shared" si="6"/>
        <v>新竹縣北埔鄉</v>
      </c>
      <c r="B61" s="190" t="s">
        <v>63</v>
      </c>
      <c r="C61" s="190" t="s">
        <v>72</v>
      </c>
      <c r="D61" s="191">
        <v>32.5</v>
      </c>
      <c r="E61" s="189">
        <v>314</v>
      </c>
      <c r="F61" s="221">
        <v>0.8</v>
      </c>
      <c r="G61" s="221">
        <v>0.45</v>
      </c>
      <c r="H61" s="221">
        <v>1</v>
      </c>
      <c r="I61" s="192">
        <v>0.55000000000000004</v>
      </c>
      <c r="J61" s="208" t="s">
        <v>1678</v>
      </c>
      <c r="K61" s="186" t="s">
        <v>371</v>
      </c>
      <c r="O61" s="192">
        <v>0.7</v>
      </c>
      <c r="P61" s="192">
        <v>0.4</v>
      </c>
      <c r="Q61" s="192">
        <v>0.9</v>
      </c>
      <c r="R61" s="192">
        <v>0.55000000000000004</v>
      </c>
      <c r="S61" s="187" t="s">
        <v>73</v>
      </c>
      <c r="T61" s="187">
        <v>1</v>
      </c>
      <c r="U61" s="193">
        <v>0.8</v>
      </c>
      <c r="V61" s="187" t="s">
        <v>63</v>
      </c>
      <c r="W61" s="187" t="s">
        <v>72</v>
      </c>
    </row>
    <row r="62" spans="1:23">
      <c r="A62" s="222" t="str">
        <f t="shared" si="6"/>
        <v>新竹縣寶山鄉</v>
      </c>
      <c r="B62" s="190" t="s">
        <v>63</v>
      </c>
      <c r="C62" s="190" t="s">
        <v>74</v>
      </c>
      <c r="D62" s="191">
        <v>32.5</v>
      </c>
      <c r="E62" s="189">
        <v>308</v>
      </c>
      <c r="F62" s="221">
        <v>0.8</v>
      </c>
      <c r="G62" s="221">
        <v>0.45</v>
      </c>
      <c r="H62" s="221">
        <v>1</v>
      </c>
      <c r="I62" s="221">
        <v>0.55000000000000004</v>
      </c>
      <c r="J62" s="208" t="s">
        <v>1678</v>
      </c>
      <c r="K62" s="186" t="s">
        <v>371</v>
      </c>
      <c r="O62" s="192">
        <v>0.7</v>
      </c>
      <c r="P62" s="192">
        <v>0.4</v>
      </c>
      <c r="Q62" s="192">
        <v>0.9</v>
      </c>
      <c r="R62" s="192">
        <v>0.5</v>
      </c>
      <c r="S62" s="187" t="s">
        <v>73</v>
      </c>
      <c r="T62" s="187">
        <v>1</v>
      </c>
      <c r="U62" s="193">
        <v>0.8</v>
      </c>
      <c r="V62" s="187" t="s">
        <v>63</v>
      </c>
      <c r="W62" s="187" t="s">
        <v>74</v>
      </c>
    </row>
    <row r="63" spans="1:23">
      <c r="A63" s="222" t="str">
        <f t="shared" si="6"/>
        <v>新竹縣峨嵋鄉</v>
      </c>
      <c r="B63" s="190" t="s">
        <v>63</v>
      </c>
      <c r="C63" s="190" t="s">
        <v>75</v>
      </c>
      <c r="D63" s="191">
        <v>32.5</v>
      </c>
      <c r="E63" s="189">
        <v>315</v>
      </c>
      <c r="F63" s="192">
        <v>0.8</v>
      </c>
      <c r="G63" s="192">
        <v>0.45</v>
      </c>
      <c r="H63" s="192">
        <v>1</v>
      </c>
      <c r="I63" s="192">
        <v>0.55000000000000004</v>
      </c>
      <c r="J63" s="208" t="s">
        <v>1678</v>
      </c>
      <c r="K63" s="186" t="s">
        <v>371</v>
      </c>
      <c r="O63" s="192">
        <v>0.8</v>
      </c>
      <c r="P63" s="192">
        <v>0.45</v>
      </c>
      <c r="Q63" s="192">
        <v>1</v>
      </c>
      <c r="R63" s="192">
        <v>0.55000000000000004</v>
      </c>
      <c r="S63" s="187" t="s">
        <v>73</v>
      </c>
      <c r="T63" s="187">
        <v>1</v>
      </c>
      <c r="U63" s="193">
        <v>0.8</v>
      </c>
      <c r="V63" s="187" t="s">
        <v>63</v>
      </c>
      <c r="W63" s="187" t="s">
        <v>75</v>
      </c>
    </row>
    <row r="64" spans="1:23">
      <c r="A64" s="222" t="str">
        <f t="shared" si="6"/>
        <v>新竹縣尖石鄉</v>
      </c>
      <c r="B64" s="190" t="s">
        <v>63</v>
      </c>
      <c r="C64" s="190" t="s">
        <v>76</v>
      </c>
      <c r="D64" s="191">
        <v>37.5</v>
      </c>
      <c r="E64" s="189">
        <v>313</v>
      </c>
      <c r="F64" s="192">
        <v>0.7</v>
      </c>
      <c r="G64" s="192">
        <v>0.4</v>
      </c>
      <c r="H64" s="192">
        <v>0.9</v>
      </c>
      <c r="I64" s="192">
        <v>0.5</v>
      </c>
      <c r="O64" s="192">
        <v>0.7</v>
      </c>
      <c r="P64" s="192">
        <v>0.4</v>
      </c>
      <c r="Q64" s="192">
        <v>0.9</v>
      </c>
      <c r="R64" s="192">
        <v>0.5</v>
      </c>
      <c r="T64" s="187">
        <v>0</v>
      </c>
      <c r="U64" s="193">
        <v>0.8</v>
      </c>
      <c r="V64" s="187" t="s">
        <v>63</v>
      </c>
      <c r="W64" s="187" t="s">
        <v>76</v>
      </c>
    </row>
    <row r="65" spans="1:23">
      <c r="A65" s="222" t="str">
        <f t="shared" si="6"/>
        <v>新竹縣五峰鄉</v>
      </c>
      <c r="B65" s="190" t="s">
        <v>63</v>
      </c>
      <c r="C65" s="190" t="s">
        <v>77</v>
      </c>
      <c r="D65" s="191">
        <v>32.5</v>
      </c>
      <c r="E65" s="189">
        <v>311</v>
      </c>
      <c r="F65" s="192">
        <v>0.7</v>
      </c>
      <c r="G65" s="192">
        <v>0.4</v>
      </c>
      <c r="H65" s="192">
        <v>0.9</v>
      </c>
      <c r="I65" s="192">
        <v>0.5</v>
      </c>
      <c r="J65" s="186" t="s">
        <v>371</v>
      </c>
      <c r="O65" s="192">
        <v>0.7</v>
      </c>
      <c r="P65" s="192">
        <v>0.4</v>
      </c>
      <c r="Q65" s="192">
        <v>0.9</v>
      </c>
      <c r="R65" s="192">
        <v>0.5</v>
      </c>
      <c r="S65" s="187" t="s">
        <v>73</v>
      </c>
      <c r="T65" s="187">
        <v>1</v>
      </c>
      <c r="U65" s="193">
        <v>0.8</v>
      </c>
      <c r="V65" s="187" t="s">
        <v>63</v>
      </c>
      <c r="W65" s="187" t="s">
        <v>77</v>
      </c>
    </row>
    <row r="66" spans="1:23" ht="16.5">
      <c r="A66" s="222" t="str">
        <f t="shared" ref="A66:A68" si="7">B66&amp;C66</f>
        <v>新竹市東區</v>
      </c>
      <c r="B66" s="190" t="s">
        <v>1603</v>
      </c>
      <c r="C66" s="190" t="s">
        <v>1626</v>
      </c>
      <c r="D66" s="191">
        <v>32.5</v>
      </c>
      <c r="E66" s="189">
        <v>300</v>
      </c>
      <c r="F66" s="221">
        <v>0.8</v>
      </c>
      <c r="G66" s="221">
        <v>0.45</v>
      </c>
      <c r="H66" s="221">
        <v>1</v>
      </c>
      <c r="I66" s="221">
        <v>0.55000000000000004</v>
      </c>
      <c r="J66" s="208" t="s">
        <v>1678</v>
      </c>
      <c r="O66" s="192">
        <v>0.7</v>
      </c>
      <c r="P66" s="192">
        <v>0.4</v>
      </c>
      <c r="Q66" s="192">
        <v>0.9</v>
      </c>
      <c r="R66" s="192">
        <v>0.5</v>
      </c>
      <c r="T66" s="187">
        <v>0</v>
      </c>
      <c r="U66" s="193">
        <v>0.8</v>
      </c>
      <c r="V66" s="194" t="s">
        <v>1603</v>
      </c>
      <c r="W66" s="199" t="s">
        <v>1626</v>
      </c>
    </row>
    <row r="67" spans="1:23" ht="16.5">
      <c r="A67" s="222" t="str">
        <f t="shared" si="7"/>
        <v>新竹市北區</v>
      </c>
      <c r="B67" s="190" t="s">
        <v>1603</v>
      </c>
      <c r="C67" s="190" t="s">
        <v>1627</v>
      </c>
      <c r="D67" s="191">
        <v>32.5</v>
      </c>
      <c r="E67" s="189">
        <v>300</v>
      </c>
      <c r="F67" s="221">
        <v>0.8</v>
      </c>
      <c r="G67" s="221">
        <v>0.45</v>
      </c>
      <c r="H67" s="221">
        <v>1</v>
      </c>
      <c r="I67" s="221">
        <v>0.55000000000000004</v>
      </c>
      <c r="J67" s="208" t="s">
        <v>1678</v>
      </c>
      <c r="O67" s="192">
        <v>0.7</v>
      </c>
      <c r="P67" s="192">
        <v>0.35</v>
      </c>
      <c r="Q67" s="192">
        <v>0.9</v>
      </c>
      <c r="R67" s="192">
        <v>0.5</v>
      </c>
      <c r="T67" s="187">
        <v>0</v>
      </c>
      <c r="U67" s="193">
        <v>0.8</v>
      </c>
      <c r="V67" s="194" t="s">
        <v>1603</v>
      </c>
      <c r="W67" s="199" t="s">
        <v>1627</v>
      </c>
    </row>
    <row r="68" spans="1:23" ht="16.5">
      <c r="A68" s="222" t="str">
        <f t="shared" si="7"/>
        <v>新竹市香山區</v>
      </c>
      <c r="B68" s="190" t="s">
        <v>1603</v>
      </c>
      <c r="C68" s="190" t="s">
        <v>1628</v>
      </c>
      <c r="D68" s="191">
        <v>32.5</v>
      </c>
      <c r="E68" s="189">
        <v>300</v>
      </c>
      <c r="F68" s="221">
        <v>0.8</v>
      </c>
      <c r="G68" s="221">
        <v>0.45</v>
      </c>
      <c r="H68" s="221">
        <v>1</v>
      </c>
      <c r="I68" s="221">
        <v>0.55000000000000004</v>
      </c>
      <c r="J68" s="208" t="s">
        <v>1678</v>
      </c>
      <c r="O68" s="192">
        <v>0.7</v>
      </c>
      <c r="P68" s="192">
        <v>0.4</v>
      </c>
      <c r="Q68" s="192">
        <v>0.9</v>
      </c>
      <c r="R68" s="192">
        <v>0.5</v>
      </c>
      <c r="T68" s="187">
        <v>0</v>
      </c>
      <c r="U68" s="193">
        <v>0.8</v>
      </c>
      <c r="V68" s="194" t="s">
        <v>1603</v>
      </c>
      <c r="W68" s="199" t="s">
        <v>1628</v>
      </c>
    </row>
    <row r="69" spans="1:23" ht="16.5">
      <c r="A69" s="222" t="str">
        <f t="shared" ref="A69:A77" si="8">B69&amp;C69</f>
        <v>桃園市桃園區</v>
      </c>
      <c r="B69" s="190" t="s">
        <v>1604</v>
      </c>
      <c r="C69" s="190" t="s">
        <v>1635</v>
      </c>
      <c r="D69" s="191">
        <v>37.5</v>
      </c>
      <c r="E69" s="189">
        <v>330</v>
      </c>
      <c r="F69" s="192">
        <v>0.5</v>
      </c>
      <c r="G69" s="192">
        <v>0.3</v>
      </c>
      <c r="H69" s="192">
        <v>0.8</v>
      </c>
      <c r="I69" s="192">
        <v>0.4</v>
      </c>
      <c r="O69" s="192">
        <v>0.5</v>
      </c>
      <c r="P69" s="192">
        <v>0.3</v>
      </c>
      <c r="Q69" s="192">
        <v>0.8</v>
      </c>
      <c r="R69" s="192">
        <v>0.4</v>
      </c>
      <c r="T69" s="187">
        <v>0</v>
      </c>
      <c r="U69" s="200">
        <v>0.6</v>
      </c>
      <c r="V69" s="194" t="s">
        <v>1604</v>
      </c>
      <c r="W69" s="199" t="s">
        <v>1635</v>
      </c>
    </row>
    <row r="70" spans="1:23" ht="16.5">
      <c r="A70" s="222" t="str">
        <f t="shared" si="8"/>
        <v>桃園市中壢區</v>
      </c>
      <c r="B70" s="190" t="s">
        <v>1604</v>
      </c>
      <c r="C70" s="190" t="s">
        <v>1629</v>
      </c>
      <c r="D70" s="191">
        <v>37.5</v>
      </c>
      <c r="E70" s="189">
        <v>320</v>
      </c>
      <c r="F70" s="192">
        <v>0.6</v>
      </c>
      <c r="G70" s="192">
        <v>0.3</v>
      </c>
      <c r="H70" s="192">
        <v>0.8</v>
      </c>
      <c r="I70" s="192">
        <v>0.45</v>
      </c>
      <c r="O70" s="192">
        <v>0.6</v>
      </c>
      <c r="P70" s="192">
        <v>0.3</v>
      </c>
      <c r="Q70" s="192">
        <v>0.8</v>
      </c>
      <c r="R70" s="192">
        <v>0.45</v>
      </c>
      <c r="T70" s="187">
        <v>0</v>
      </c>
      <c r="U70" s="200">
        <v>0.6</v>
      </c>
      <c r="V70" s="194" t="s">
        <v>1604</v>
      </c>
      <c r="W70" s="199" t="s">
        <v>1629</v>
      </c>
    </row>
    <row r="71" spans="1:23" ht="16.5">
      <c r="A71" s="222" t="str">
        <f t="shared" si="8"/>
        <v>桃園市大溪區</v>
      </c>
      <c r="B71" s="190" t="s">
        <v>1604</v>
      </c>
      <c r="C71" s="190" t="s">
        <v>1638</v>
      </c>
      <c r="D71" s="191">
        <v>37.5</v>
      </c>
      <c r="E71" s="189">
        <v>335</v>
      </c>
      <c r="F71" s="192">
        <v>0.7</v>
      </c>
      <c r="G71" s="192">
        <v>0.35</v>
      </c>
      <c r="H71" s="221">
        <v>0.9</v>
      </c>
      <c r="I71" s="192">
        <v>0.5</v>
      </c>
      <c r="O71" s="192">
        <v>0.7</v>
      </c>
      <c r="P71" s="192">
        <v>0.35</v>
      </c>
      <c r="Q71" s="192">
        <v>0.8</v>
      </c>
      <c r="R71" s="192">
        <v>0.5</v>
      </c>
      <c r="T71" s="187">
        <v>0</v>
      </c>
      <c r="U71" s="200">
        <v>0.6</v>
      </c>
      <c r="V71" s="194" t="s">
        <v>1604</v>
      </c>
      <c r="W71" s="199" t="s">
        <v>1638</v>
      </c>
    </row>
    <row r="72" spans="1:23" ht="16.5">
      <c r="A72" s="222" t="str">
        <f t="shared" si="8"/>
        <v>桃園市楊梅區</v>
      </c>
      <c r="B72" s="190" t="s">
        <v>1604</v>
      </c>
      <c r="C72" s="190" t="s">
        <v>1632</v>
      </c>
      <c r="D72" s="191">
        <v>37.5</v>
      </c>
      <c r="E72" s="189">
        <v>326</v>
      </c>
      <c r="F72" s="221">
        <v>0.7</v>
      </c>
      <c r="G72" s="221">
        <v>0.4</v>
      </c>
      <c r="H72" s="221">
        <v>0.9</v>
      </c>
      <c r="I72" s="221">
        <v>0.5</v>
      </c>
      <c r="O72" s="192">
        <v>0.6</v>
      </c>
      <c r="P72" s="192">
        <v>0.35</v>
      </c>
      <c r="Q72" s="192">
        <v>0.8</v>
      </c>
      <c r="R72" s="192">
        <v>0.45</v>
      </c>
      <c r="T72" s="187">
        <v>0</v>
      </c>
      <c r="U72" s="200">
        <v>0.6</v>
      </c>
      <c r="V72" s="194" t="s">
        <v>1604</v>
      </c>
      <c r="W72" s="199" t="s">
        <v>1632</v>
      </c>
    </row>
    <row r="73" spans="1:23" ht="16.5">
      <c r="A73" s="222" t="str">
        <f t="shared" si="8"/>
        <v>桃園市蘆竹區</v>
      </c>
      <c r="B73" s="190" t="s">
        <v>1604</v>
      </c>
      <c r="C73" s="190" t="s">
        <v>1641</v>
      </c>
      <c r="D73" s="191">
        <v>37.5</v>
      </c>
      <c r="E73" s="189">
        <v>338</v>
      </c>
      <c r="F73" s="192">
        <v>0.5</v>
      </c>
      <c r="G73" s="192">
        <v>0.3</v>
      </c>
      <c r="H73" s="192">
        <v>0.7</v>
      </c>
      <c r="I73" s="192">
        <v>0.4</v>
      </c>
      <c r="O73" s="192">
        <v>0.5</v>
      </c>
      <c r="P73" s="192">
        <v>0.3</v>
      </c>
      <c r="Q73" s="192">
        <v>0.7</v>
      </c>
      <c r="R73" s="192">
        <v>0.4</v>
      </c>
      <c r="T73" s="187">
        <v>0</v>
      </c>
      <c r="U73" s="200">
        <v>0.6</v>
      </c>
      <c r="V73" s="194" t="s">
        <v>1604</v>
      </c>
      <c r="W73" s="199" t="s">
        <v>1641</v>
      </c>
    </row>
    <row r="74" spans="1:23" ht="16.5">
      <c r="A74" s="222" t="str">
        <f t="shared" si="8"/>
        <v>桃園市大園區</v>
      </c>
      <c r="B74" s="190" t="s">
        <v>1604</v>
      </c>
      <c r="C74" s="190" t="s">
        <v>1640</v>
      </c>
      <c r="D74" s="191">
        <v>37.5</v>
      </c>
      <c r="E74" s="189">
        <v>337</v>
      </c>
      <c r="F74" s="192">
        <v>0.5</v>
      </c>
      <c r="G74" s="192">
        <v>0.3</v>
      </c>
      <c r="H74" s="192">
        <v>0.7</v>
      </c>
      <c r="I74" s="192">
        <v>0.4</v>
      </c>
      <c r="O74" s="192">
        <v>0.5</v>
      </c>
      <c r="P74" s="192">
        <v>0.3</v>
      </c>
      <c r="Q74" s="192">
        <v>0.7</v>
      </c>
      <c r="R74" s="192">
        <v>0.4</v>
      </c>
      <c r="T74" s="187">
        <v>0</v>
      </c>
      <c r="U74" s="200">
        <v>0.6</v>
      </c>
      <c r="V74" s="194" t="s">
        <v>1604</v>
      </c>
      <c r="W74" s="199" t="s">
        <v>1640</v>
      </c>
    </row>
    <row r="75" spans="1:23" ht="16.5">
      <c r="A75" s="222" t="str">
        <f t="shared" si="8"/>
        <v>桃園市龜山區</v>
      </c>
      <c r="B75" s="190" t="s">
        <v>1604</v>
      </c>
      <c r="C75" s="190" t="s">
        <v>1636</v>
      </c>
      <c r="D75" s="191">
        <v>37.5</v>
      </c>
      <c r="E75" s="189">
        <v>333</v>
      </c>
      <c r="F75" s="192">
        <v>0.5</v>
      </c>
      <c r="G75" s="192">
        <v>0.3</v>
      </c>
      <c r="H75" s="192">
        <v>0.7</v>
      </c>
      <c r="I75" s="192">
        <v>0.4</v>
      </c>
      <c r="O75" s="192">
        <v>0.5</v>
      </c>
      <c r="P75" s="192">
        <v>0.3</v>
      </c>
      <c r="Q75" s="192">
        <v>0.7</v>
      </c>
      <c r="R75" s="192">
        <v>0.4</v>
      </c>
      <c r="T75" s="187">
        <v>0</v>
      </c>
      <c r="U75" s="200">
        <v>0.6</v>
      </c>
      <c r="V75" s="194" t="s">
        <v>1604</v>
      </c>
      <c r="W75" s="199" t="s">
        <v>1636</v>
      </c>
    </row>
    <row r="76" spans="1:23" ht="16.5">
      <c r="A76" s="222" t="str">
        <f t="shared" si="8"/>
        <v>桃園市八德區</v>
      </c>
      <c r="B76" s="190" t="s">
        <v>1604</v>
      </c>
      <c r="C76" s="190" t="s">
        <v>1637</v>
      </c>
      <c r="D76" s="191">
        <v>37.5</v>
      </c>
      <c r="E76" s="189">
        <v>334</v>
      </c>
      <c r="F76" s="192">
        <v>0.6</v>
      </c>
      <c r="G76" s="192">
        <v>0.3</v>
      </c>
      <c r="H76" s="192">
        <v>0.8</v>
      </c>
      <c r="I76" s="192">
        <v>0.45</v>
      </c>
      <c r="O76" s="192">
        <v>0.6</v>
      </c>
      <c r="P76" s="192">
        <v>0.3</v>
      </c>
      <c r="Q76" s="192">
        <v>0.8</v>
      </c>
      <c r="R76" s="192">
        <v>0.45</v>
      </c>
      <c r="T76" s="187">
        <v>0</v>
      </c>
      <c r="U76" s="200">
        <v>0.6</v>
      </c>
      <c r="V76" s="194" t="s">
        <v>1604</v>
      </c>
      <c r="W76" s="199" t="s">
        <v>1637</v>
      </c>
    </row>
    <row r="77" spans="1:23" ht="16.5">
      <c r="A77" s="222" t="str">
        <f t="shared" si="8"/>
        <v>桃園市龍潭區</v>
      </c>
      <c r="B77" s="190" t="s">
        <v>1604</v>
      </c>
      <c r="C77" s="190" t="s">
        <v>1631</v>
      </c>
      <c r="D77" s="191">
        <v>37.5</v>
      </c>
      <c r="E77" s="189">
        <v>325</v>
      </c>
      <c r="F77" s="192">
        <v>0.7</v>
      </c>
      <c r="G77" s="221">
        <v>0.4</v>
      </c>
      <c r="H77" s="221">
        <v>0.9</v>
      </c>
      <c r="I77" s="192">
        <v>0.5</v>
      </c>
      <c r="J77" s="208" t="s">
        <v>1678</v>
      </c>
      <c r="O77" s="192">
        <v>0.7</v>
      </c>
      <c r="P77" s="192">
        <v>0.35</v>
      </c>
      <c r="Q77" s="192">
        <v>0.8</v>
      </c>
      <c r="R77" s="192">
        <v>0.5</v>
      </c>
      <c r="T77" s="187">
        <v>0</v>
      </c>
      <c r="U77" s="200">
        <v>0.6</v>
      </c>
      <c r="V77" s="194" t="s">
        <v>1604</v>
      </c>
      <c r="W77" s="199" t="s">
        <v>1631</v>
      </c>
    </row>
    <row r="78" spans="1:23" ht="16.5">
      <c r="A78" s="222" t="str">
        <f t="shared" ref="A78:A81" si="9">B78&amp;C78</f>
        <v>桃園市平鎮區</v>
      </c>
      <c r="B78" s="190" t="s">
        <v>1604</v>
      </c>
      <c r="C78" s="190" t="s">
        <v>1630</v>
      </c>
      <c r="D78" s="191">
        <v>37.5</v>
      </c>
      <c r="E78" s="189">
        <v>324</v>
      </c>
      <c r="F78" s="192">
        <v>0.6</v>
      </c>
      <c r="G78" s="192">
        <v>0.35</v>
      </c>
      <c r="H78" s="192">
        <v>0.8</v>
      </c>
      <c r="I78" s="192">
        <v>0.45</v>
      </c>
      <c r="O78" s="192">
        <v>0.6</v>
      </c>
      <c r="P78" s="192">
        <v>0.35</v>
      </c>
      <c r="Q78" s="192">
        <v>0.8</v>
      </c>
      <c r="R78" s="192">
        <v>0.45</v>
      </c>
      <c r="T78" s="187">
        <v>0</v>
      </c>
      <c r="U78" s="200">
        <v>0.6</v>
      </c>
      <c r="V78" s="194" t="s">
        <v>1604</v>
      </c>
      <c r="W78" s="199" t="s">
        <v>1630</v>
      </c>
    </row>
    <row r="79" spans="1:23" ht="16.5">
      <c r="A79" s="222" t="str">
        <f t="shared" ref="A79" si="10">B79&amp;C79</f>
        <v>桃園市新屋區</v>
      </c>
      <c r="B79" s="190" t="s">
        <v>1604</v>
      </c>
      <c r="C79" s="190" t="s">
        <v>1633</v>
      </c>
      <c r="D79" s="191">
        <v>37.5</v>
      </c>
      <c r="E79" s="189">
        <v>327</v>
      </c>
      <c r="F79" s="192">
        <v>0.6</v>
      </c>
      <c r="G79" s="221">
        <v>0.35</v>
      </c>
      <c r="H79" s="192">
        <v>0.8</v>
      </c>
      <c r="I79" s="192">
        <v>0.45</v>
      </c>
      <c r="O79" s="192">
        <v>0.6</v>
      </c>
      <c r="P79" s="192">
        <v>0.3</v>
      </c>
      <c r="Q79" s="192">
        <v>0.8</v>
      </c>
      <c r="R79" s="192">
        <v>0.45</v>
      </c>
      <c r="T79" s="187">
        <v>0</v>
      </c>
      <c r="U79" s="200">
        <v>0.6</v>
      </c>
      <c r="V79" s="194" t="s">
        <v>1604</v>
      </c>
      <c r="W79" s="199" t="s">
        <v>1633</v>
      </c>
    </row>
    <row r="80" spans="1:23" ht="16.5">
      <c r="A80" s="222" t="str">
        <f t="shared" si="9"/>
        <v>桃園市觀音區</v>
      </c>
      <c r="B80" s="190" t="s">
        <v>1604</v>
      </c>
      <c r="C80" s="190" t="s">
        <v>1634</v>
      </c>
      <c r="D80" s="191">
        <v>37.5</v>
      </c>
      <c r="E80" s="189">
        <v>328</v>
      </c>
      <c r="F80" s="192">
        <v>0.5</v>
      </c>
      <c r="G80" s="192">
        <v>0.3</v>
      </c>
      <c r="H80" s="192">
        <v>0.7</v>
      </c>
      <c r="I80" s="192">
        <v>0.4</v>
      </c>
      <c r="O80" s="192">
        <v>0.5</v>
      </c>
      <c r="P80" s="192">
        <v>0.3</v>
      </c>
      <c r="Q80" s="192">
        <v>0.7</v>
      </c>
      <c r="R80" s="192">
        <v>0.4</v>
      </c>
      <c r="T80" s="187">
        <v>0</v>
      </c>
      <c r="U80" s="200">
        <v>0.6</v>
      </c>
      <c r="V80" s="194" t="s">
        <v>1604</v>
      </c>
      <c r="W80" s="199" t="s">
        <v>1634</v>
      </c>
    </row>
    <row r="81" spans="1:23" ht="16.5">
      <c r="A81" s="222" t="str">
        <f t="shared" si="9"/>
        <v>桃園市復興區</v>
      </c>
      <c r="B81" s="190" t="s">
        <v>1604</v>
      </c>
      <c r="C81" s="190" t="s">
        <v>1639</v>
      </c>
      <c r="D81" s="191">
        <v>37.5</v>
      </c>
      <c r="E81" s="189">
        <v>336</v>
      </c>
      <c r="F81" s="192">
        <v>0.7</v>
      </c>
      <c r="G81" s="192">
        <v>0.4</v>
      </c>
      <c r="H81" s="192">
        <v>0.9</v>
      </c>
      <c r="I81" s="192">
        <v>0.5</v>
      </c>
      <c r="O81" s="192">
        <v>0.7</v>
      </c>
      <c r="P81" s="192">
        <v>0.4</v>
      </c>
      <c r="Q81" s="192">
        <v>0.9</v>
      </c>
      <c r="R81" s="192">
        <v>0.5</v>
      </c>
      <c r="T81" s="187">
        <v>0</v>
      </c>
      <c r="U81" s="193">
        <v>0.8</v>
      </c>
      <c r="V81" s="194" t="s">
        <v>1604</v>
      </c>
      <c r="W81" s="199" t="s">
        <v>1639</v>
      </c>
    </row>
    <row r="82" spans="1:23">
      <c r="A82" s="222" t="str">
        <f>B82&amp;C82</f>
        <v>苗栗縣苗栗市</v>
      </c>
      <c r="B82" s="190" t="s">
        <v>78</v>
      </c>
      <c r="C82" s="190" t="s">
        <v>79</v>
      </c>
      <c r="D82" s="191">
        <v>32.5</v>
      </c>
      <c r="E82" s="189">
        <v>360</v>
      </c>
      <c r="F82" s="192">
        <v>0.7</v>
      </c>
      <c r="G82" s="192">
        <v>0.4</v>
      </c>
      <c r="H82" s="192">
        <v>0.9</v>
      </c>
      <c r="I82" s="192">
        <v>0.5</v>
      </c>
      <c r="J82" s="208" t="s">
        <v>371</v>
      </c>
      <c r="O82" s="192">
        <v>0.7</v>
      </c>
      <c r="P82" s="192">
        <v>0.4</v>
      </c>
      <c r="Q82" s="192">
        <v>0.9</v>
      </c>
      <c r="R82" s="192">
        <v>0.5</v>
      </c>
      <c r="S82" s="187" t="s">
        <v>73</v>
      </c>
      <c r="T82" s="187">
        <v>1</v>
      </c>
      <c r="U82" s="203">
        <v>1</v>
      </c>
      <c r="V82" s="187" t="s">
        <v>78</v>
      </c>
      <c r="W82" s="187" t="s">
        <v>79</v>
      </c>
    </row>
    <row r="83" spans="1:23" ht="31.5">
      <c r="A83" s="222" t="str">
        <f>B83&amp;C83</f>
        <v>苗栗縣苑裡鎮</v>
      </c>
      <c r="B83" s="190" t="s">
        <v>78</v>
      </c>
      <c r="C83" s="190" t="s">
        <v>80</v>
      </c>
      <c r="D83" s="191">
        <v>32.5</v>
      </c>
      <c r="E83" s="189">
        <v>358</v>
      </c>
      <c r="F83" s="221">
        <v>0.8</v>
      </c>
      <c r="G83" s="221">
        <v>0.45</v>
      </c>
      <c r="H83" s="221">
        <v>1</v>
      </c>
      <c r="I83" s="221">
        <v>0.55000000000000004</v>
      </c>
      <c r="J83" s="208" t="s">
        <v>360</v>
      </c>
      <c r="K83" s="208" t="s">
        <v>1307</v>
      </c>
      <c r="L83" s="208" t="s">
        <v>1669</v>
      </c>
      <c r="M83" s="375" t="s">
        <v>1803</v>
      </c>
      <c r="O83" s="192">
        <v>0.7</v>
      </c>
      <c r="P83" s="192">
        <v>0.4</v>
      </c>
      <c r="Q83" s="192">
        <v>0.9</v>
      </c>
      <c r="R83" s="192">
        <v>0.5</v>
      </c>
      <c r="S83" s="187" t="s">
        <v>359</v>
      </c>
      <c r="T83" s="187">
        <v>2</v>
      </c>
      <c r="U83" s="193">
        <v>0.8</v>
      </c>
      <c r="V83" s="187" t="s">
        <v>78</v>
      </c>
      <c r="W83" s="187" t="s">
        <v>80</v>
      </c>
    </row>
    <row r="84" spans="1:23" ht="31.5">
      <c r="A84" s="222" t="str">
        <f t="shared" ref="A84:A99" si="11">B84&amp;C84</f>
        <v>苗栗縣通霄鎮</v>
      </c>
      <c r="B84" s="190" t="s">
        <v>78</v>
      </c>
      <c r="C84" s="190" t="s">
        <v>1642</v>
      </c>
      <c r="D84" s="191">
        <v>32.5</v>
      </c>
      <c r="E84" s="189">
        <v>357</v>
      </c>
      <c r="F84" s="192">
        <v>0.7</v>
      </c>
      <c r="G84" s="192">
        <v>0.4</v>
      </c>
      <c r="H84" s="192">
        <v>0.9</v>
      </c>
      <c r="I84" s="192">
        <v>0.5</v>
      </c>
      <c r="J84" s="208" t="s">
        <v>360</v>
      </c>
      <c r="K84" s="208" t="s">
        <v>1307</v>
      </c>
      <c r="L84" s="208" t="s">
        <v>1669</v>
      </c>
      <c r="O84" s="192">
        <v>0.7</v>
      </c>
      <c r="P84" s="192">
        <v>0.4</v>
      </c>
      <c r="Q84" s="192">
        <v>0.9</v>
      </c>
      <c r="R84" s="192">
        <v>0.5</v>
      </c>
      <c r="S84" s="187" t="s">
        <v>360</v>
      </c>
      <c r="T84" s="187">
        <v>3</v>
      </c>
      <c r="U84" s="193">
        <v>0.8</v>
      </c>
      <c r="V84" s="187" t="s">
        <v>78</v>
      </c>
      <c r="W84" s="187" t="s">
        <v>82</v>
      </c>
    </row>
    <row r="85" spans="1:23">
      <c r="A85" s="222" t="str">
        <f t="shared" si="11"/>
        <v>苗栗縣竹南鎮</v>
      </c>
      <c r="B85" s="190" t="s">
        <v>78</v>
      </c>
      <c r="C85" s="190" t="s">
        <v>83</v>
      </c>
      <c r="D85" s="191">
        <v>32.5</v>
      </c>
      <c r="E85" s="189">
        <v>350</v>
      </c>
      <c r="F85" s="221">
        <v>0.8</v>
      </c>
      <c r="G85" s="221">
        <v>0.45</v>
      </c>
      <c r="H85" s="221">
        <v>1</v>
      </c>
      <c r="I85" s="221">
        <v>0.55000000000000004</v>
      </c>
      <c r="J85" s="208" t="s">
        <v>1678</v>
      </c>
      <c r="O85" s="192">
        <v>0.7</v>
      </c>
      <c r="P85" s="192">
        <v>0.4</v>
      </c>
      <c r="Q85" s="192">
        <v>0.9</v>
      </c>
      <c r="R85" s="192">
        <v>0.5</v>
      </c>
      <c r="T85" s="187">
        <v>0</v>
      </c>
      <c r="U85" s="193">
        <v>0.8</v>
      </c>
      <c r="V85" s="187" t="s">
        <v>78</v>
      </c>
      <c r="W85" s="187" t="s">
        <v>83</v>
      </c>
    </row>
    <row r="86" spans="1:23">
      <c r="A86" s="222" t="str">
        <f t="shared" si="11"/>
        <v>苗栗縣頭份市</v>
      </c>
      <c r="B86" s="190" t="s">
        <v>78</v>
      </c>
      <c r="C86" s="190" t="s">
        <v>1782</v>
      </c>
      <c r="D86" s="191">
        <v>32.5</v>
      </c>
      <c r="E86" s="189">
        <v>351</v>
      </c>
      <c r="F86" s="221">
        <v>0.8</v>
      </c>
      <c r="G86" s="221">
        <v>0.45</v>
      </c>
      <c r="H86" s="221">
        <v>1</v>
      </c>
      <c r="I86" s="221">
        <v>0.55000000000000004</v>
      </c>
      <c r="J86" s="208" t="s">
        <v>1679</v>
      </c>
      <c r="K86" s="208" t="s">
        <v>1677</v>
      </c>
      <c r="O86" s="192">
        <v>0.7</v>
      </c>
      <c r="P86" s="192">
        <v>0.4</v>
      </c>
      <c r="Q86" s="192">
        <v>0.9</v>
      </c>
      <c r="R86" s="192">
        <v>0.5</v>
      </c>
      <c r="S86" s="187" t="s">
        <v>73</v>
      </c>
      <c r="T86" s="187">
        <v>1</v>
      </c>
      <c r="U86" s="193">
        <v>0.8</v>
      </c>
      <c r="V86" s="187" t="s">
        <v>78</v>
      </c>
      <c r="W86" s="187" t="s">
        <v>84</v>
      </c>
    </row>
    <row r="87" spans="1:23">
      <c r="A87" s="222" t="str">
        <f t="shared" si="11"/>
        <v>苗栗縣後龍鎮</v>
      </c>
      <c r="B87" s="190" t="s">
        <v>78</v>
      </c>
      <c r="C87" s="190" t="s">
        <v>85</v>
      </c>
      <c r="D87" s="191">
        <v>32.5</v>
      </c>
      <c r="E87" s="189">
        <v>356</v>
      </c>
      <c r="F87" s="192">
        <v>0.7</v>
      </c>
      <c r="G87" s="192">
        <v>0.4</v>
      </c>
      <c r="H87" s="192">
        <v>0.9</v>
      </c>
      <c r="I87" s="192">
        <v>0.5</v>
      </c>
      <c r="O87" s="192">
        <v>0.7</v>
      </c>
      <c r="P87" s="192">
        <v>0.4</v>
      </c>
      <c r="Q87" s="192">
        <v>0.9</v>
      </c>
      <c r="R87" s="192">
        <v>0.5</v>
      </c>
      <c r="T87" s="187">
        <v>0</v>
      </c>
      <c r="U87" s="193">
        <v>0.8</v>
      </c>
      <c r="V87" s="187" t="s">
        <v>78</v>
      </c>
      <c r="W87" s="187" t="s">
        <v>85</v>
      </c>
    </row>
    <row r="88" spans="1:23">
      <c r="A88" s="222" t="str">
        <f t="shared" si="11"/>
        <v>苗栗縣卓蘭鎮</v>
      </c>
      <c r="B88" s="190" t="s">
        <v>78</v>
      </c>
      <c r="C88" s="190" t="s">
        <v>86</v>
      </c>
      <c r="D88" s="191">
        <v>32.5</v>
      </c>
      <c r="E88" s="189">
        <v>369</v>
      </c>
      <c r="F88" s="192">
        <v>0.8</v>
      </c>
      <c r="G88" s="192">
        <v>0.45</v>
      </c>
      <c r="H88" s="192">
        <v>1</v>
      </c>
      <c r="I88" s="192">
        <v>0.55000000000000004</v>
      </c>
      <c r="J88" s="208" t="s">
        <v>372</v>
      </c>
      <c r="K88" s="208" t="s">
        <v>1307</v>
      </c>
      <c r="L88" s="375" t="s">
        <v>1803</v>
      </c>
      <c r="M88" s="376" t="s">
        <v>1804</v>
      </c>
      <c r="O88" s="192">
        <v>0.8</v>
      </c>
      <c r="P88" s="192">
        <v>0.45</v>
      </c>
      <c r="Q88" s="192">
        <v>1</v>
      </c>
      <c r="R88" s="192">
        <v>0.55000000000000004</v>
      </c>
      <c r="S88" s="187" t="s">
        <v>362</v>
      </c>
      <c r="T88" s="187">
        <v>2</v>
      </c>
      <c r="U88" s="203">
        <v>1</v>
      </c>
      <c r="V88" s="187" t="s">
        <v>78</v>
      </c>
      <c r="W88" s="187" t="s">
        <v>86</v>
      </c>
    </row>
    <row r="89" spans="1:23">
      <c r="A89" s="222" t="str">
        <f t="shared" si="11"/>
        <v>苗栗縣大湖鄉</v>
      </c>
      <c r="B89" s="190" t="s">
        <v>78</v>
      </c>
      <c r="C89" s="190" t="s">
        <v>87</v>
      </c>
      <c r="D89" s="191">
        <v>32.5</v>
      </c>
      <c r="E89" s="189">
        <v>364</v>
      </c>
      <c r="F89" s="192">
        <v>0.8</v>
      </c>
      <c r="G89" s="192">
        <v>0.45</v>
      </c>
      <c r="H89" s="192">
        <v>1</v>
      </c>
      <c r="I89" s="192">
        <v>0.55000000000000004</v>
      </c>
      <c r="J89" s="208" t="s">
        <v>371</v>
      </c>
      <c r="K89" s="208" t="s">
        <v>1309</v>
      </c>
      <c r="L89" s="208" t="s">
        <v>1307</v>
      </c>
      <c r="M89" s="375" t="s">
        <v>1803</v>
      </c>
      <c r="N89" s="376" t="s">
        <v>1804</v>
      </c>
      <c r="O89" s="192">
        <v>0.8</v>
      </c>
      <c r="P89" s="192">
        <v>0.45</v>
      </c>
      <c r="Q89" s="192">
        <v>1</v>
      </c>
      <c r="R89" s="192">
        <v>0.55000000000000004</v>
      </c>
      <c r="S89" s="187" t="s">
        <v>361</v>
      </c>
      <c r="T89" s="187">
        <v>4</v>
      </c>
      <c r="U89" s="203">
        <v>1</v>
      </c>
      <c r="V89" s="187" t="s">
        <v>78</v>
      </c>
      <c r="W89" s="187" t="s">
        <v>87</v>
      </c>
    </row>
    <row r="90" spans="1:23">
      <c r="A90" s="222" t="str">
        <f t="shared" si="11"/>
        <v>苗栗縣公館鄉</v>
      </c>
      <c r="B90" s="190" t="s">
        <v>78</v>
      </c>
      <c r="C90" s="190" t="s">
        <v>88</v>
      </c>
      <c r="D90" s="191">
        <v>32.5</v>
      </c>
      <c r="E90" s="189">
        <v>363</v>
      </c>
      <c r="F90" s="192">
        <v>0.8</v>
      </c>
      <c r="G90" s="192">
        <v>0.45</v>
      </c>
      <c r="H90" s="192">
        <v>1</v>
      </c>
      <c r="I90" s="192">
        <v>0.55000000000000004</v>
      </c>
      <c r="J90" s="208" t="s">
        <v>371</v>
      </c>
      <c r="K90" s="208" t="s">
        <v>1805</v>
      </c>
      <c r="O90" s="192">
        <v>0.8</v>
      </c>
      <c r="P90" s="192">
        <v>0.45</v>
      </c>
      <c r="Q90" s="192">
        <v>1</v>
      </c>
      <c r="R90" s="192">
        <v>0.55000000000000004</v>
      </c>
      <c r="S90" s="187" t="s">
        <v>73</v>
      </c>
      <c r="T90" s="187">
        <v>1</v>
      </c>
      <c r="U90" s="203">
        <v>1</v>
      </c>
      <c r="V90" s="187" t="s">
        <v>78</v>
      </c>
      <c r="W90" s="187" t="s">
        <v>88</v>
      </c>
    </row>
    <row r="91" spans="1:23">
      <c r="A91" s="222" t="str">
        <f t="shared" si="11"/>
        <v>苗栗縣銅鑼鄉</v>
      </c>
      <c r="B91" s="190" t="s">
        <v>78</v>
      </c>
      <c r="C91" s="190" t="s">
        <v>89</v>
      </c>
      <c r="D91" s="191">
        <v>32.5</v>
      </c>
      <c r="E91" s="189">
        <v>366</v>
      </c>
      <c r="F91" s="192">
        <v>0.8</v>
      </c>
      <c r="G91" s="192">
        <v>0.45</v>
      </c>
      <c r="H91" s="192">
        <v>1</v>
      </c>
      <c r="I91" s="192">
        <v>0.55000000000000004</v>
      </c>
      <c r="J91" s="208" t="s">
        <v>1680</v>
      </c>
      <c r="K91" s="208" t="s">
        <v>1309</v>
      </c>
      <c r="L91" s="208" t="s">
        <v>1307</v>
      </c>
      <c r="M91" s="375" t="s">
        <v>1803</v>
      </c>
      <c r="O91" s="192">
        <v>0.8</v>
      </c>
      <c r="P91" s="192">
        <v>0.45</v>
      </c>
      <c r="Q91" s="192">
        <v>1</v>
      </c>
      <c r="R91" s="192">
        <v>0.55000000000000004</v>
      </c>
      <c r="S91" s="187" t="s">
        <v>1691</v>
      </c>
      <c r="T91" s="187">
        <v>3</v>
      </c>
      <c r="U91" s="203">
        <v>1</v>
      </c>
      <c r="V91" s="187" t="s">
        <v>78</v>
      </c>
      <c r="W91" s="187" t="s">
        <v>89</v>
      </c>
    </row>
    <row r="92" spans="1:23">
      <c r="A92" s="222" t="str">
        <f t="shared" si="11"/>
        <v>苗栗縣南庄鄉</v>
      </c>
      <c r="B92" s="190" t="s">
        <v>78</v>
      </c>
      <c r="C92" s="190" t="s">
        <v>90</v>
      </c>
      <c r="D92" s="191">
        <v>32.5</v>
      </c>
      <c r="E92" s="189">
        <v>353</v>
      </c>
      <c r="F92" s="192">
        <v>0.8</v>
      </c>
      <c r="G92" s="192">
        <v>0.45</v>
      </c>
      <c r="H92" s="192">
        <v>1</v>
      </c>
      <c r="I92" s="192">
        <v>0.55000000000000004</v>
      </c>
      <c r="J92" s="186" t="s">
        <v>371</v>
      </c>
      <c r="O92" s="192">
        <v>0.8</v>
      </c>
      <c r="P92" s="192">
        <v>0.45</v>
      </c>
      <c r="Q92" s="192">
        <v>1</v>
      </c>
      <c r="R92" s="192">
        <v>0.55000000000000004</v>
      </c>
      <c r="S92" s="187" t="s">
        <v>73</v>
      </c>
      <c r="T92" s="187">
        <v>1</v>
      </c>
      <c r="U92" s="193">
        <v>0.8</v>
      </c>
      <c r="V92" s="187" t="s">
        <v>78</v>
      </c>
      <c r="W92" s="187" t="s">
        <v>90</v>
      </c>
    </row>
    <row r="93" spans="1:23">
      <c r="A93" s="222" t="str">
        <f t="shared" si="11"/>
        <v>苗栗縣頭屋鄉</v>
      </c>
      <c r="B93" s="190" t="s">
        <v>78</v>
      </c>
      <c r="C93" s="190" t="s">
        <v>91</v>
      </c>
      <c r="D93" s="191">
        <v>32.5</v>
      </c>
      <c r="E93" s="189">
        <v>362</v>
      </c>
      <c r="F93" s="192">
        <v>0.8</v>
      </c>
      <c r="G93" s="192">
        <v>0.45</v>
      </c>
      <c r="H93" s="192">
        <v>1</v>
      </c>
      <c r="I93" s="192">
        <v>0.55000000000000004</v>
      </c>
      <c r="J93" s="186" t="s">
        <v>371</v>
      </c>
      <c r="O93" s="192">
        <v>0.8</v>
      </c>
      <c r="P93" s="192">
        <v>0.45</v>
      </c>
      <c r="Q93" s="192">
        <v>1</v>
      </c>
      <c r="R93" s="192">
        <v>0.55000000000000004</v>
      </c>
      <c r="S93" s="187" t="s">
        <v>73</v>
      </c>
      <c r="T93" s="187">
        <v>1</v>
      </c>
      <c r="U93" s="203">
        <v>1</v>
      </c>
      <c r="V93" s="187" t="s">
        <v>78</v>
      </c>
      <c r="W93" s="187" t="s">
        <v>91</v>
      </c>
    </row>
    <row r="94" spans="1:23" ht="31.5">
      <c r="A94" s="222" t="str">
        <f t="shared" si="11"/>
        <v>苗栗縣三義鄉</v>
      </c>
      <c r="B94" s="190" t="s">
        <v>78</v>
      </c>
      <c r="C94" s="190" t="s">
        <v>92</v>
      </c>
      <c r="D94" s="191">
        <v>32.5</v>
      </c>
      <c r="E94" s="189">
        <v>367</v>
      </c>
      <c r="F94" s="192">
        <v>0.8</v>
      </c>
      <c r="G94" s="192">
        <v>0.45</v>
      </c>
      <c r="H94" s="192">
        <v>1</v>
      </c>
      <c r="I94" s="192">
        <v>0.55000000000000004</v>
      </c>
      <c r="J94" s="208" t="s">
        <v>1672</v>
      </c>
      <c r="K94" s="208" t="s">
        <v>1805</v>
      </c>
      <c r="L94" s="208" t="s">
        <v>1669</v>
      </c>
      <c r="M94" s="375" t="s">
        <v>1803</v>
      </c>
      <c r="O94" s="192">
        <v>0.8</v>
      </c>
      <c r="P94" s="192">
        <v>0.45</v>
      </c>
      <c r="Q94" s="192">
        <v>1</v>
      </c>
      <c r="R94" s="192">
        <v>0.55000000000000004</v>
      </c>
      <c r="S94" s="187" t="s">
        <v>359</v>
      </c>
      <c r="T94" s="187">
        <v>2</v>
      </c>
      <c r="U94" s="203">
        <v>1</v>
      </c>
      <c r="V94" s="187" t="s">
        <v>78</v>
      </c>
      <c r="W94" s="187" t="s">
        <v>92</v>
      </c>
    </row>
    <row r="95" spans="1:23">
      <c r="A95" s="222" t="str">
        <f t="shared" si="11"/>
        <v>苗栗縣西湖鄉</v>
      </c>
      <c r="B95" s="190" t="s">
        <v>78</v>
      </c>
      <c r="C95" s="190" t="s">
        <v>93</v>
      </c>
      <c r="D95" s="191">
        <v>32.5</v>
      </c>
      <c r="E95" s="189">
        <v>368</v>
      </c>
      <c r="F95" s="192">
        <v>0.7</v>
      </c>
      <c r="G95" s="192">
        <v>0.4</v>
      </c>
      <c r="H95" s="192">
        <v>0.9</v>
      </c>
      <c r="I95" s="192">
        <v>0.5</v>
      </c>
      <c r="O95" s="192">
        <v>0.7</v>
      </c>
      <c r="P95" s="192">
        <v>0.4</v>
      </c>
      <c r="Q95" s="192">
        <v>0.9</v>
      </c>
      <c r="R95" s="192">
        <v>0.5</v>
      </c>
      <c r="T95" s="187">
        <v>0</v>
      </c>
      <c r="U95" s="193">
        <v>0.8</v>
      </c>
      <c r="V95" s="187" t="s">
        <v>78</v>
      </c>
      <c r="W95" s="187" t="s">
        <v>93</v>
      </c>
    </row>
    <row r="96" spans="1:23">
      <c r="A96" s="222" t="str">
        <f t="shared" si="11"/>
        <v>苗栗縣造橋鄉</v>
      </c>
      <c r="B96" s="190" t="s">
        <v>78</v>
      </c>
      <c r="C96" s="190" t="s">
        <v>94</v>
      </c>
      <c r="D96" s="191">
        <v>32.5</v>
      </c>
      <c r="E96" s="189">
        <v>361</v>
      </c>
      <c r="F96" s="192">
        <v>0.8</v>
      </c>
      <c r="G96" s="192">
        <v>0.45</v>
      </c>
      <c r="H96" s="192">
        <v>1</v>
      </c>
      <c r="I96" s="192">
        <v>0.55000000000000004</v>
      </c>
      <c r="J96" s="186" t="s">
        <v>371</v>
      </c>
      <c r="O96" s="192">
        <v>0.8</v>
      </c>
      <c r="P96" s="192">
        <v>0.45</v>
      </c>
      <c r="Q96" s="192">
        <v>1</v>
      </c>
      <c r="R96" s="192">
        <v>0.55000000000000004</v>
      </c>
      <c r="S96" s="187" t="s">
        <v>73</v>
      </c>
      <c r="T96" s="187">
        <v>1</v>
      </c>
      <c r="U96" s="193">
        <v>0.8</v>
      </c>
      <c r="V96" s="187" t="s">
        <v>78</v>
      </c>
      <c r="W96" s="187" t="s">
        <v>94</v>
      </c>
    </row>
    <row r="97" spans="1:23">
      <c r="A97" s="222" t="str">
        <f t="shared" si="11"/>
        <v>苗栗縣三灣鄉</v>
      </c>
      <c r="B97" s="190" t="s">
        <v>78</v>
      </c>
      <c r="C97" s="190" t="s">
        <v>95</v>
      </c>
      <c r="D97" s="191">
        <v>32.5</v>
      </c>
      <c r="E97" s="189">
        <v>352</v>
      </c>
      <c r="F97" s="192">
        <v>0.8</v>
      </c>
      <c r="G97" s="192">
        <v>0.45</v>
      </c>
      <c r="H97" s="192">
        <v>1</v>
      </c>
      <c r="I97" s="192">
        <v>0.55000000000000004</v>
      </c>
      <c r="J97" s="208" t="s">
        <v>1679</v>
      </c>
      <c r="K97" s="208" t="s">
        <v>1677</v>
      </c>
      <c r="O97" s="192">
        <v>0.8</v>
      </c>
      <c r="P97" s="192">
        <v>0.45</v>
      </c>
      <c r="Q97" s="192">
        <v>1</v>
      </c>
      <c r="R97" s="192">
        <v>0.55000000000000004</v>
      </c>
      <c r="S97" s="187" t="s">
        <v>73</v>
      </c>
      <c r="T97" s="187">
        <v>1</v>
      </c>
      <c r="U97" s="203">
        <v>1</v>
      </c>
      <c r="V97" s="187" t="s">
        <v>78</v>
      </c>
      <c r="W97" s="187" t="s">
        <v>95</v>
      </c>
    </row>
    <row r="98" spans="1:23">
      <c r="A98" s="222" t="str">
        <f t="shared" si="11"/>
        <v>苗栗縣獅潭鄉</v>
      </c>
      <c r="B98" s="190" t="s">
        <v>78</v>
      </c>
      <c r="C98" s="190" t="s">
        <v>96</v>
      </c>
      <c r="D98" s="191">
        <v>32.5</v>
      </c>
      <c r="E98" s="189">
        <v>354</v>
      </c>
      <c r="F98" s="192">
        <v>0.8</v>
      </c>
      <c r="G98" s="192">
        <v>0.45</v>
      </c>
      <c r="H98" s="192">
        <v>1</v>
      </c>
      <c r="I98" s="192">
        <v>0.55000000000000004</v>
      </c>
      <c r="J98" s="186" t="s">
        <v>371</v>
      </c>
      <c r="O98" s="192">
        <v>0.8</v>
      </c>
      <c r="P98" s="192">
        <v>0.45</v>
      </c>
      <c r="Q98" s="192">
        <v>1</v>
      </c>
      <c r="R98" s="192">
        <v>0.55000000000000004</v>
      </c>
      <c r="S98" s="187" t="s">
        <v>73</v>
      </c>
      <c r="T98" s="187">
        <v>1</v>
      </c>
      <c r="U98" s="203">
        <v>1</v>
      </c>
      <c r="V98" s="187" t="s">
        <v>78</v>
      </c>
      <c r="W98" s="187" t="s">
        <v>96</v>
      </c>
    </row>
    <row r="99" spans="1:23">
      <c r="A99" s="222" t="str">
        <f t="shared" si="11"/>
        <v>苗栗縣泰安鄉</v>
      </c>
      <c r="B99" s="190" t="s">
        <v>78</v>
      </c>
      <c r="C99" s="190" t="s">
        <v>97</v>
      </c>
      <c r="D99" s="191">
        <v>32.5</v>
      </c>
      <c r="E99" s="189">
        <v>365</v>
      </c>
      <c r="F99" s="192">
        <v>0.7</v>
      </c>
      <c r="G99" s="192">
        <v>0.4</v>
      </c>
      <c r="H99" s="192">
        <v>0.9</v>
      </c>
      <c r="I99" s="192">
        <v>0.5</v>
      </c>
      <c r="J99" s="208" t="s">
        <v>371</v>
      </c>
      <c r="K99" s="375" t="s">
        <v>1803</v>
      </c>
      <c r="L99" s="376" t="s">
        <v>1804</v>
      </c>
      <c r="O99" s="192">
        <v>0.7</v>
      </c>
      <c r="P99" s="192">
        <v>0.4</v>
      </c>
      <c r="Q99" s="192">
        <v>0.9</v>
      </c>
      <c r="R99" s="192">
        <v>0.5</v>
      </c>
      <c r="S99" s="187" t="s">
        <v>363</v>
      </c>
      <c r="T99" s="187">
        <v>5</v>
      </c>
      <c r="U99" s="193">
        <v>0.8</v>
      </c>
      <c r="V99" s="187" t="s">
        <v>78</v>
      </c>
      <c r="W99" s="187" t="s">
        <v>97</v>
      </c>
    </row>
    <row r="100" spans="1:23" ht="31.5">
      <c r="A100" s="202" t="str">
        <f t="shared" ref="A100:A106" si="12">B100&amp;C100</f>
        <v>臺中市豐原區</v>
      </c>
      <c r="B100" s="190" t="s">
        <v>1605</v>
      </c>
      <c r="C100" s="190" t="s">
        <v>99</v>
      </c>
      <c r="D100" s="191">
        <v>32.5</v>
      </c>
      <c r="E100" s="189">
        <v>420</v>
      </c>
      <c r="F100" s="192">
        <v>0.8</v>
      </c>
      <c r="G100" s="192">
        <v>0.45</v>
      </c>
      <c r="H100" s="192">
        <v>1</v>
      </c>
      <c r="I100" s="192">
        <v>0.55000000000000004</v>
      </c>
      <c r="J100" s="208" t="s">
        <v>1309</v>
      </c>
      <c r="K100" s="208" t="s">
        <v>1805</v>
      </c>
      <c r="L100" s="208" t="s">
        <v>1592</v>
      </c>
      <c r="M100" s="375" t="s">
        <v>1803</v>
      </c>
      <c r="N100" s="376" t="s">
        <v>1804</v>
      </c>
      <c r="O100" s="192">
        <v>0.8</v>
      </c>
      <c r="P100" s="192">
        <v>0.45</v>
      </c>
      <c r="Q100" s="192">
        <v>1</v>
      </c>
      <c r="R100" s="192">
        <v>0.55000000000000004</v>
      </c>
      <c r="S100" s="187" t="s">
        <v>362</v>
      </c>
      <c r="T100" s="187">
        <v>2</v>
      </c>
      <c r="U100" s="203">
        <v>1</v>
      </c>
      <c r="V100" s="187" t="s">
        <v>98</v>
      </c>
      <c r="W100" s="187" t="s">
        <v>99</v>
      </c>
    </row>
    <row r="101" spans="1:23">
      <c r="A101" s="202" t="str">
        <f t="shared" si="12"/>
        <v>臺中市東勢區</v>
      </c>
      <c r="B101" s="190" t="s">
        <v>1605</v>
      </c>
      <c r="C101" s="190" t="s">
        <v>100</v>
      </c>
      <c r="D101" s="191">
        <v>32.5</v>
      </c>
      <c r="E101" s="189">
        <v>423</v>
      </c>
      <c r="F101" s="192">
        <v>0.8</v>
      </c>
      <c r="G101" s="192">
        <v>0.45</v>
      </c>
      <c r="H101" s="192">
        <v>1</v>
      </c>
      <c r="I101" s="192">
        <v>0.55000000000000004</v>
      </c>
      <c r="J101" s="208" t="s">
        <v>1309</v>
      </c>
      <c r="K101" s="208" t="s">
        <v>1307</v>
      </c>
      <c r="L101" s="375" t="s">
        <v>1803</v>
      </c>
      <c r="M101" s="376" t="s">
        <v>1804</v>
      </c>
      <c r="O101" s="192">
        <v>0.8</v>
      </c>
      <c r="P101" s="192">
        <v>0.45</v>
      </c>
      <c r="Q101" s="192">
        <v>1</v>
      </c>
      <c r="R101" s="192">
        <v>0.55000000000000004</v>
      </c>
      <c r="S101" s="187" t="s">
        <v>362</v>
      </c>
      <c r="T101" s="187">
        <v>2</v>
      </c>
      <c r="U101" s="203">
        <v>1</v>
      </c>
      <c r="V101" s="187" t="s">
        <v>98</v>
      </c>
      <c r="W101" s="187" t="s">
        <v>100</v>
      </c>
    </row>
    <row r="102" spans="1:23" ht="31.5">
      <c r="A102" s="202" t="str">
        <f t="shared" si="12"/>
        <v>臺中市大甲區</v>
      </c>
      <c r="B102" s="190" t="s">
        <v>1605</v>
      </c>
      <c r="C102" s="190" t="s">
        <v>101</v>
      </c>
      <c r="D102" s="191">
        <v>32.5</v>
      </c>
      <c r="E102" s="189">
        <v>437</v>
      </c>
      <c r="F102" s="221">
        <v>0.8</v>
      </c>
      <c r="G102" s="221">
        <v>0.45</v>
      </c>
      <c r="H102" s="221">
        <v>1</v>
      </c>
      <c r="I102" s="221">
        <v>0.55000000000000004</v>
      </c>
      <c r="J102" s="208" t="s">
        <v>1309</v>
      </c>
      <c r="K102" s="208" t="s">
        <v>1307</v>
      </c>
      <c r="L102" s="208" t="s">
        <v>1592</v>
      </c>
      <c r="O102" s="192">
        <v>0.7</v>
      </c>
      <c r="P102" s="192">
        <v>0.4</v>
      </c>
      <c r="Q102" s="192">
        <v>0.9</v>
      </c>
      <c r="R102" s="192">
        <v>0.5</v>
      </c>
      <c r="S102" s="187" t="s">
        <v>362</v>
      </c>
      <c r="T102" s="187">
        <v>2</v>
      </c>
      <c r="U102" s="193">
        <v>0.8</v>
      </c>
      <c r="V102" s="187" t="s">
        <v>98</v>
      </c>
      <c r="W102" s="187" t="s">
        <v>101</v>
      </c>
    </row>
    <row r="103" spans="1:23" ht="31.5">
      <c r="A103" s="202" t="str">
        <f t="shared" si="12"/>
        <v>臺中市清水區</v>
      </c>
      <c r="B103" s="190" t="s">
        <v>1605</v>
      </c>
      <c r="C103" s="190" t="s">
        <v>102</v>
      </c>
      <c r="D103" s="191">
        <v>32.5</v>
      </c>
      <c r="E103" s="189">
        <v>436</v>
      </c>
      <c r="F103" s="192">
        <v>0.8</v>
      </c>
      <c r="G103" s="192">
        <v>0.45</v>
      </c>
      <c r="H103" s="192">
        <v>1</v>
      </c>
      <c r="I103" s="192">
        <v>0.55000000000000004</v>
      </c>
      <c r="J103" s="208" t="s">
        <v>1309</v>
      </c>
      <c r="K103" s="208" t="s">
        <v>1592</v>
      </c>
      <c r="L103" s="375" t="s">
        <v>1803</v>
      </c>
      <c r="O103" s="192">
        <v>0.8</v>
      </c>
      <c r="P103" s="192">
        <v>0.45</v>
      </c>
      <c r="Q103" s="192">
        <v>1</v>
      </c>
      <c r="R103" s="192">
        <v>0.55000000000000004</v>
      </c>
      <c r="S103" s="187" t="s">
        <v>362</v>
      </c>
      <c r="T103" s="187">
        <v>2</v>
      </c>
      <c r="U103" s="203">
        <v>1</v>
      </c>
      <c r="V103" s="187" t="s">
        <v>98</v>
      </c>
      <c r="W103" s="187" t="s">
        <v>102</v>
      </c>
    </row>
    <row r="104" spans="1:23" ht="31.5">
      <c r="A104" s="202" t="str">
        <f t="shared" si="12"/>
        <v>臺中市沙鹿區</v>
      </c>
      <c r="B104" s="190" t="s">
        <v>1605</v>
      </c>
      <c r="C104" s="190" t="s">
        <v>103</v>
      </c>
      <c r="D104" s="191">
        <v>32.5</v>
      </c>
      <c r="E104" s="189">
        <v>433</v>
      </c>
      <c r="F104" s="192">
        <v>0.8</v>
      </c>
      <c r="G104" s="192">
        <v>0.45</v>
      </c>
      <c r="H104" s="192">
        <v>1</v>
      </c>
      <c r="I104" s="192">
        <v>0.55000000000000004</v>
      </c>
      <c r="J104" s="208" t="s">
        <v>1309</v>
      </c>
      <c r="K104" s="208" t="s">
        <v>1592</v>
      </c>
      <c r="L104" s="375" t="s">
        <v>1803</v>
      </c>
      <c r="O104" s="192">
        <v>0.8</v>
      </c>
      <c r="P104" s="192">
        <v>0.45</v>
      </c>
      <c r="Q104" s="192">
        <v>1</v>
      </c>
      <c r="R104" s="192">
        <v>0.55000000000000004</v>
      </c>
      <c r="S104" s="187" t="s">
        <v>362</v>
      </c>
      <c r="T104" s="187">
        <v>2</v>
      </c>
      <c r="U104" s="203">
        <v>1</v>
      </c>
      <c r="V104" s="187" t="s">
        <v>98</v>
      </c>
      <c r="W104" s="187" t="s">
        <v>103</v>
      </c>
    </row>
    <row r="105" spans="1:23" ht="31.5">
      <c r="A105" s="202" t="str">
        <f t="shared" si="12"/>
        <v>臺中市梧棲區</v>
      </c>
      <c r="B105" s="190" t="s">
        <v>1605</v>
      </c>
      <c r="C105" s="190" t="s">
        <v>104</v>
      </c>
      <c r="D105" s="191">
        <v>32.5</v>
      </c>
      <c r="E105" s="189">
        <v>435</v>
      </c>
      <c r="F105" s="221">
        <v>0.8</v>
      </c>
      <c r="G105" s="221">
        <v>0.45</v>
      </c>
      <c r="H105" s="221">
        <v>1</v>
      </c>
      <c r="I105" s="221">
        <v>0.55000000000000004</v>
      </c>
      <c r="J105" s="208" t="s">
        <v>1309</v>
      </c>
      <c r="K105" s="208" t="s">
        <v>1592</v>
      </c>
      <c r="O105" s="192">
        <v>0.7</v>
      </c>
      <c r="P105" s="192">
        <v>0.4</v>
      </c>
      <c r="Q105" s="192">
        <v>0.9</v>
      </c>
      <c r="R105" s="192">
        <v>0.5</v>
      </c>
      <c r="S105" s="187" t="s">
        <v>362</v>
      </c>
      <c r="T105" s="187">
        <v>2</v>
      </c>
      <c r="U105" s="203">
        <v>1</v>
      </c>
      <c r="V105" s="187" t="s">
        <v>98</v>
      </c>
      <c r="W105" s="187" t="s">
        <v>104</v>
      </c>
    </row>
    <row r="106" spans="1:23" ht="31.9" customHeight="1">
      <c r="A106" s="202" t="str">
        <f t="shared" si="12"/>
        <v>臺中市后里區</v>
      </c>
      <c r="B106" s="190" t="s">
        <v>1605</v>
      </c>
      <c r="C106" s="190" t="s">
        <v>105</v>
      </c>
      <c r="D106" s="191">
        <v>32.5</v>
      </c>
      <c r="E106" s="189">
        <v>421</v>
      </c>
      <c r="F106" s="192">
        <v>0.8</v>
      </c>
      <c r="G106" s="192">
        <v>0.45</v>
      </c>
      <c r="H106" s="192">
        <v>1</v>
      </c>
      <c r="I106" s="192">
        <v>0.55000000000000004</v>
      </c>
      <c r="J106" s="208" t="s">
        <v>1309</v>
      </c>
      <c r="K106" s="208" t="s">
        <v>1307</v>
      </c>
      <c r="L106" s="208" t="s">
        <v>1592</v>
      </c>
      <c r="M106" s="375" t="s">
        <v>1803</v>
      </c>
      <c r="O106" s="192">
        <v>0.8</v>
      </c>
      <c r="P106" s="192">
        <v>0.45</v>
      </c>
      <c r="Q106" s="192">
        <v>1</v>
      </c>
      <c r="R106" s="192">
        <v>0.55000000000000004</v>
      </c>
      <c r="S106" s="187" t="s">
        <v>362</v>
      </c>
      <c r="T106" s="187">
        <v>2</v>
      </c>
      <c r="U106" s="203">
        <v>1</v>
      </c>
      <c r="V106" s="187" t="s">
        <v>98</v>
      </c>
      <c r="W106" s="187" t="s">
        <v>105</v>
      </c>
    </row>
    <row r="107" spans="1:23" ht="31.5">
      <c r="A107" s="202" t="str">
        <f t="shared" ref="A107:A116" si="13">B107&amp;C107</f>
        <v>臺中市神岡區</v>
      </c>
      <c r="B107" s="190" t="s">
        <v>1605</v>
      </c>
      <c r="C107" s="190" t="s">
        <v>1676</v>
      </c>
      <c r="D107" s="191">
        <v>32.5</v>
      </c>
      <c r="E107" s="189">
        <v>429</v>
      </c>
      <c r="F107" s="192">
        <v>0.8</v>
      </c>
      <c r="G107" s="192">
        <v>0.45</v>
      </c>
      <c r="H107" s="192">
        <v>1</v>
      </c>
      <c r="I107" s="192">
        <v>0.55000000000000004</v>
      </c>
      <c r="J107" s="208" t="s">
        <v>1672</v>
      </c>
      <c r="K107" s="208" t="s">
        <v>1673</v>
      </c>
      <c r="L107" s="208" t="s">
        <v>1592</v>
      </c>
      <c r="M107" s="375" t="s">
        <v>1803</v>
      </c>
      <c r="N107" s="208"/>
      <c r="O107" s="192">
        <v>0.8</v>
      </c>
      <c r="P107" s="192">
        <v>0.45</v>
      </c>
      <c r="Q107" s="192">
        <v>1</v>
      </c>
      <c r="R107" s="192">
        <v>0.55000000000000004</v>
      </c>
      <c r="S107" s="187" t="s">
        <v>362</v>
      </c>
      <c r="T107" s="187">
        <v>2</v>
      </c>
      <c r="U107" s="203">
        <v>1</v>
      </c>
      <c r="V107" s="187" t="s">
        <v>98</v>
      </c>
      <c r="W107" s="187" t="s">
        <v>106</v>
      </c>
    </row>
    <row r="108" spans="1:23" ht="31.5">
      <c r="A108" s="202" t="str">
        <f t="shared" si="13"/>
        <v>臺中市潭子區</v>
      </c>
      <c r="B108" s="190" t="s">
        <v>1605</v>
      </c>
      <c r="C108" s="190" t="s">
        <v>107</v>
      </c>
      <c r="D108" s="191">
        <v>32.5</v>
      </c>
      <c r="E108" s="189">
        <v>427</v>
      </c>
      <c r="F108" s="192">
        <v>0.8</v>
      </c>
      <c r="G108" s="192">
        <v>0.45</v>
      </c>
      <c r="H108" s="192">
        <v>1</v>
      </c>
      <c r="I108" s="192">
        <v>0.55000000000000004</v>
      </c>
      <c r="J108" s="208" t="s">
        <v>1309</v>
      </c>
      <c r="K108" s="208" t="s">
        <v>1307</v>
      </c>
      <c r="L108" s="208" t="s">
        <v>1592</v>
      </c>
      <c r="M108" s="375" t="s">
        <v>1803</v>
      </c>
      <c r="N108" s="376" t="s">
        <v>1804</v>
      </c>
      <c r="O108" s="192">
        <v>0.8</v>
      </c>
      <c r="P108" s="192">
        <v>0.45</v>
      </c>
      <c r="Q108" s="192">
        <v>1</v>
      </c>
      <c r="R108" s="192">
        <v>0.55000000000000004</v>
      </c>
      <c r="S108" s="187" t="s">
        <v>362</v>
      </c>
      <c r="T108" s="187">
        <v>2</v>
      </c>
      <c r="U108" s="193">
        <v>0.8</v>
      </c>
      <c r="V108" s="187" t="s">
        <v>98</v>
      </c>
      <c r="W108" s="187" t="s">
        <v>107</v>
      </c>
    </row>
    <row r="109" spans="1:23" ht="31.5">
      <c r="A109" s="202" t="str">
        <f t="shared" si="13"/>
        <v>臺中市大雅區</v>
      </c>
      <c r="B109" s="190" t="s">
        <v>1605</v>
      </c>
      <c r="C109" s="190" t="s">
        <v>108</v>
      </c>
      <c r="D109" s="191">
        <v>32.5</v>
      </c>
      <c r="E109" s="189">
        <v>428</v>
      </c>
      <c r="F109" s="192">
        <v>0.8</v>
      </c>
      <c r="G109" s="192">
        <v>0.45</v>
      </c>
      <c r="H109" s="192">
        <v>1</v>
      </c>
      <c r="I109" s="192">
        <v>0.55000000000000004</v>
      </c>
      <c r="J109" s="208" t="s">
        <v>1309</v>
      </c>
      <c r="K109" s="208" t="s">
        <v>1307</v>
      </c>
      <c r="L109" s="208" t="s">
        <v>1592</v>
      </c>
      <c r="M109" s="375" t="s">
        <v>1803</v>
      </c>
      <c r="O109" s="192">
        <v>0.8</v>
      </c>
      <c r="P109" s="192">
        <v>0.45</v>
      </c>
      <c r="Q109" s="192">
        <v>1</v>
      </c>
      <c r="R109" s="192">
        <v>0.55000000000000004</v>
      </c>
      <c r="S109" s="187" t="s">
        <v>362</v>
      </c>
      <c r="T109" s="187">
        <v>2</v>
      </c>
      <c r="U109" s="193">
        <v>0.8</v>
      </c>
      <c r="V109" s="187" t="s">
        <v>98</v>
      </c>
      <c r="W109" s="187" t="s">
        <v>108</v>
      </c>
    </row>
    <row r="110" spans="1:23">
      <c r="A110" s="202" t="str">
        <f t="shared" si="13"/>
        <v>臺中市新社區</v>
      </c>
      <c r="B110" s="190" t="s">
        <v>1605</v>
      </c>
      <c r="C110" s="190" t="s">
        <v>109</v>
      </c>
      <c r="D110" s="191">
        <v>32.5</v>
      </c>
      <c r="E110" s="189">
        <v>426</v>
      </c>
      <c r="F110" s="192">
        <v>0.8</v>
      </c>
      <c r="G110" s="192">
        <v>0.45</v>
      </c>
      <c r="H110" s="192">
        <v>1</v>
      </c>
      <c r="I110" s="192">
        <v>0.55000000000000004</v>
      </c>
      <c r="J110" s="208" t="s">
        <v>1309</v>
      </c>
      <c r="K110" s="208" t="s">
        <v>1307</v>
      </c>
      <c r="L110" s="375" t="s">
        <v>1803</v>
      </c>
      <c r="M110" s="376" t="s">
        <v>1804</v>
      </c>
      <c r="O110" s="192">
        <v>0.8</v>
      </c>
      <c r="P110" s="192">
        <v>0.45</v>
      </c>
      <c r="Q110" s="192">
        <v>1</v>
      </c>
      <c r="R110" s="192">
        <v>0.55000000000000004</v>
      </c>
      <c r="S110" s="187" t="s">
        <v>362</v>
      </c>
      <c r="T110" s="187">
        <v>2</v>
      </c>
      <c r="U110" s="193">
        <v>0.8</v>
      </c>
      <c r="V110" s="187" t="s">
        <v>98</v>
      </c>
      <c r="W110" s="187" t="s">
        <v>109</v>
      </c>
    </row>
    <row r="111" spans="1:23">
      <c r="A111" s="202" t="str">
        <f t="shared" si="13"/>
        <v>臺中市石岡區</v>
      </c>
      <c r="B111" s="190" t="s">
        <v>1605</v>
      </c>
      <c r="C111" s="190" t="s">
        <v>110</v>
      </c>
      <c r="D111" s="191">
        <v>32.5</v>
      </c>
      <c r="E111" s="189">
        <v>422</v>
      </c>
      <c r="F111" s="192">
        <v>0.8</v>
      </c>
      <c r="G111" s="192">
        <v>0.45</v>
      </c>
      <c r="H111" s="192">
        <v>1</v>
      </c>
      <c r="I111" s="192">
        <v>0.55000000000000004</v>
      </c>
      <c r="J111" s="208" t="s">
        <v>1309</v>
      </c>
      <c r="K111" s="208" t="s">
        <v>1307</v>
      </c>
      <c r="L111" s="375" t="s">
        <v>1803</v>
      </c>
      <c r="M111" s="376" t="s">
        <v>1804</v>
      </c>
      <c r="O111" s="192">
        <v>0.8</v>
      </c>
      <c r="P111" s="192">
        <v>0.45</v>
      </c>
      <c r="Q111" s="192">
        <v>1</v>
      </c>
      <c r="R111" s="192">
        <v>0.55000000000000004</v>
      </c>
      <c r="S111" s="187" t="s">
        <v>362</v>
      </c>
      <c r="T111" s="187">
        <v>2</v>
      </c>
      <c r="U111" s="203">
        <v>1</v>
      </c>
      <c r="V111" s="187" t="s">
        <v>98</v>
      </c>
      <c r="W111" s="187" t="s">
        <v>110</v>
      </c>
    </row>
    <row r="112" spans="1:23" ht="31.5">
      <c r="A112" s="202" t="str">
        <f t="shared" si="13"/>
        <v>臺中市外埔區</v>
      </c>
      <c r="B112" s="190" t="s">
        <v>1605</v>
      </c>
      <c r="C112" s="190" t="s">
        <v>111</v>
      </c>
      <c r="D112" s="191">
        <v>32.5</v>
      </c>
      <c r="E112" s="189">
        <v>438</v>
      </c>
      <c r="F112" s="221">
        <v>0.8</v>
      </c>
      <c r="G112" s="221">
        <v>0.45</v>
      </c>
      <c r="H112" s="221">
        <v>1</v>
      </c>
      <c r="I112" s="221">
        <v>0.55000000000000004</v>
      </c>
      <c r="J112" s="208" t="s">
        <v>1309</v>
      </c>
      <c r="K112" s="208" t="s">
        <v>1307</v>
      </c>
      <c r="L112" s="208" t="s">
        <v>1592</v>
      </c>
      <c r="M112" s="375" t="s">
        <v>1803</v>
      </c>
      <c r="O112" s="192">
        <v>0.7</v>
      </c>
      <c r="P112" s="192">
        <v>0.4</v>
      </c>
      <c r="Q112" s="192">
        <v>0.9</v>
      </c>
      <c r="R112" s="192">
        <v>0.5</v>
      </c>
      <c r="S112" s="187" t="s">
        <v>362</v>
      </c>
      <c r="T112" s="187">
        <v>2</v>
      </c>
      <c r="U112" s="193">
        <v>0.8</v>
      </c>
      <c r="V112" s="187" t="s">
        <v>98</v>
      </c>
      <c r="W112" s="187" t="s">
        <v>111</v>
      </c>
    </row>
    <row r="113" spans="1:23" ht="31.5">
      <c r="A113" s="202" t="str">
        <f t="shared" si="13"/>
        <v>臺中市大安區</v>
      </c>
      <c r="B113" s="190" t="s">
        <v>1605</v>
      </c>
      <c r="C113" s="190" t="s">
        <v>112</v>
      </c>
      <c r="D113" s="191">
        <v>32.5</v>
      </c>
      <c r="E113" s="189">
        <v>439</v>
      </c>
      <c r="F113" s="221">
        <v>0.8</v>
      </c>
      <c r="G113" s="221">
        <v>0.45</v>
      </c>
      <c r="H113" s="221">
        <v>1</v>
      </c>
      <c r="I113" s="221">
        <v>0.55000000000000004</v>
      </c>
      <c r="J113" s="208" t="s">
        <v>1309</v>
      </c>
      <c r="K113" s="208" t="s">
        <v>1592</v>
      </c>
      <c r="O113" s="192">
        <v>0.7</v>
      </c>
      <c r="P113" s="192">
        <v>0.4</v>
      </c>
      <c r="Q113" s="192">
        <v>0.9</v>
      </c>
      <c r="R113" s="192">
        <v>0.5</v>
      </c>
      <c r="S113" s="187" t="s">
        <v>362</v>
      </c>
      <c r="T113" s="187">
        <v>2</v>
      </c>
      <c r="U113" s="193">
        <v>0.8</v>
      </c>
      <c r="V113" s="187" t="s">
        <v>98</v>
      </c>
      <c r="W113" s="187" t="s">
        <v>112</v>
      </c>
    </row>
    <row r="114" spans="1:23" ht="31.5">
      <c r="A114" s="202" t="str">
        <f t="shared" si="13"/>
        <v>臺中市烏日區</v>
      </c>
      <c r="B114" s="190" t="s">
        <v>1605</v>
      </c>
      <c r="C114" s="190" t="s">
        <v>113</v>
      </c>
      <c r="D114" s="191">
        <v>27.5</v>
      </c>
      <c r="E114" s="189">
        <v>414</v>
      </c>
      <c r="F114" s="221">
        <v>0.8</v>
      </c>
      <c r="G114" s="221">
        <v>0.45</v>
      </c>
      <c r="H114" s="221">
        <v>1</v>
      </c>
      <c r="I114" s="221">
        <v>0.55000000000000004</v>
      </c>
      <c r="J114" s="208" t="s">
        <v>1592</v>
      </c>
      <c r="K114" s="375" t="s">
        <v>1803</v>
      </c>
      <c r="O114" s="192">
        <v>0.7</v>
      </c>
      <c r="P114" s="192">
        <v>0.4</v>
      </c>
      <c r="Q114" s="192">
        <v>0.9</v>
      </c>
      <c r="R114" s="192">
        <v>0.5</v>
      </c>
      <c r="S114" s="187" t="s">
        <v>81</v>
      </c>
      <c r="T114" s="187">
        <v>6</v>
      </c>
      <c r="U114" s="193">
        <v>0.8</v>
      </c>
      <c r="V114" s="187" t="s">
        <v>98</v>
      </c>
      <c r="W114" s="187" t="s">
        <v>113</v>
      </c>
    </row>
    <row r="115" spans="1:23" ht="31.5">
      <c r="A115" s="202" t="str">
        <f t="shared" si="13"/>
        <v>臺中市大肚區</v>
      </c>
      <c r="B115" s="190" t="s">
        <v>1605</v>
      </c>
      <c r="C115" s="190" t="s">
        <v>114</v>
      </c>
      <c r="D115" s="191">
        <v>32.5</v>
      </c>
      <c r="E115" s="189">
        <v>432</v>
      </c>
      <c r="F115" s="221">
        <v>0.8</v>
      </c>
      <c r="G115" s="221">
        <v>0.45</v>
      </c>
      <c r="H115" s="221">
        <v>1</v>
      </c>
      <c r="I115" s="221">
        <v>0.55000000000000004</v>
      </c>
      <c r="J115" s="208" t="s">
        <v>1592</v>
      </c>
      <c r="O115" s="192">
        <v>0.7</v>
      </c>
      <c r="P115" s="192">
        <v>0.4</v>
      </c>
      <c r="Q115" s="192">
        <v>0.9</v>
      </c>
      <c r="R115" s="192">
        <v>0.5</v>
      </c>
      <c r="T115" s="187">
        <v>0</v>
      </c>
      <c r="U115" s="193">
        <v>0.8</v>
      </c>
      <c r="V115" s="187" t="s">
        <v>98</v>
      </c>
      <c r="W115" s="187" t="s">
        <v>114</v>
      </c>
    </row>
    <row r="116" spans="1:23" ht="31.5">
      <c r="A116" s="202" t="str">
        <f t="shared" si="13"/>
        <v>臺中市龍井區</v>
      </c>
      <c r="B116" s="190" t="s">
        <v>1605</v>
      </c>
      <c r="C116" s="190" t="s">
        <v>115</v>
      </c>
      <c r="D116" s="191">
        <v>32.5</v>
      </c>
      <c r="E116" s="189">
        <v>434</v>
      </c>
      <c r="F116" s="221">
        <v>0.8</v>
      </c>
      <c r="G116" s="221">
        <v>0.45</v>
      </c>
      <c r="H116" s="221">
        <v>1</v>
      </c>
      <c r="I116" s="221">
        <v>0.55000000000000004</v>
      </c>
      <c r="J116" s="208" t="s">
        <v>1309</v>
      </c>
      <c r="K116" s="208" t="s">
        <v>1592</v>
      </c>
      <c r="O116" s="192">
        <v>0.7</v>
      </c>
      <c r="P116" s="192">
        <v>0.4</v>
      </c>
      <c r="Q116" s="192">
        <v>0.9</v>
      </c>
      <c r="R116" s="192">
        <v>0.5</v>
      </c>
      <c r="S116" s="187" t="s">
        <v>362</v>
      </c>
      <c r="T116" s="187">
        <v>2</v>
      </c>
      <c r="U116" s="193">
        <v>0.8</v>
      </c>
      <c r="V116" s="187" t="s">
        <v>98</v>
      </c>
      <c r="W116" s="187" t="s">
        <v>115</v>
      </c>
    </row>
    <row r="117" spans="1:23" ht="31.5">
      <c r="A117" s="202" t="str">
        <f t="shared" ref="A117:A128" si="14">B117&amp;C117</f>
        <v>臺中市霧峰區</v>
      </c>
      <c r="B117" s="190" t="s">
        <v>1605</v>
      </c>
      <c r="C117" s="190" t="s">
        <v>116</v>
      </c>
      <c r="D117" s="191">
        <v>27.5</v>
      </c>
      <c r="E117" s="189">
        <v>413</v>
      </c>
      <c r="F117" s="192">
        <v>0.8</v>
      </c>
      <c r="G117" s="192">
        <v>0.45</v>
      </c>
      <c r="H117" s="192">
        <v>1</v>
      </c>
      <c r="I117" s="192">
        <v>0.55000000000000004</v>
      </c>
      <c r="J117" s="208" t="s">
        <v>1592</v>
      </c>
      <c r="K117" s="375" t="s">
        <v>1803</v>
      </c>
      <c r="L117" s="376" t="s">
        <v>1804</v>
      </c>
      <c r="O117" s="192">
        <v>0.8</v>
      </c>
      <c r="P117" s="192">
        <v>0.45</v>
      </c>
      <c r="Q117" s="192">
        <v>1</v>
      </c>
      <c r="R117" s="192">
        <v>0.55000000000000004</v>
      </c>
      <c r="S117" s="187" t="s">
        <v>81</v>
      </c>
      <c r="T117" s="187">
        <v>6</v>
      </c>
      <c r="U117" s="193">
        <v>0.8</v>
      </c>
      <c r="V117" s="187" t="s">
        <v>98</v>
      </c>
      <c r="W117" s="187" t="s">
        <v>116</v>
      </c>
    </row>
    <row r="118" spans="1:23">
      <c r="A118" s="202" t="str">
        <f t="shared" si="14"/>
        <v>臺中市太平區</v>
      </c>
      <c r="B118" s="190" t="s">
        <v>1605</v>
      </c>
      <c r="C118" s="190" t="s">
        <v>117</v>
      </c>
      <c r="D118" s="191">
        <v>32.5</v>
      </c>
      <c r="E118" s="189">
        <v>411</v>
      </c>
      <c r="F118" s="192">
        <v>0.8</v>
      </c>
      <c r="G118" s="192">
        <v>0.45</v>
      </c>
      <c r="H118" s="192">
        <v>1</v>
      </c>
      <c r="I118" s="192">
        <v>0.55000000000000004</v>
      </c>
      <c r="J118" s="208" t="s">
        <v>1307</v>
      </c>
      <c r="K118" s="375" t="s">
        <v>1803</v>
      </c>
      <c r="L118" s="376" t="s">
        <v>1804</v>
      </c>
      <c r="O118" s="192">
        <v>0.8</v>
      </c>
      <c r="P118" s="192">
        <v>0.45</v>
      </c>
      <c r="Q118" s="192">
        <v>1</v>
      </c>
      <c r="R118" s="192">
        <v>0.55000000000000004</v>
      </c>
      <c r="S118" s="187" t="s">
        <v>81</v>
      </c>
      <c r="T118" s="187">
        <v>6</v>
      </c>
      <c r="U118" s="193">
        <v>0.8</v>
      </c>
      <c r="V118" s="187" t="s">
        <v>98</v>
      </c>
      <c r="W118" s="187" t="s">
        <v>117</v>
      </c>
    </row>
    <row r="119" spans="1:23" ht="31.5">
      <c r="A119" s="202" t="str">
        <f t="shared" si="14"/>
        <v>臺中市大里區</v>
      </c>
      <c r="B119" s="190" t="s">
        <v>1605</v>
      </c>
      <c r="C119" s="190" t="s">
        <v>118</v>
      </c>
      <c r="D119" s="191">
        <v>27.5</v>
      </c>
      <c r="E119" s="189">
        <v>412</v>
      </c>
      <c r="F119" s="192">
        <v>0.8</v>
      </c>
      <c r="G119" s="192">
        <v>0.45</v>
      </c>
      <c r="H119" s="192">
        <v>1</v>
      </c>
      <c r="I119" s="192">
        <v>0.55000000000000004</v>
      </c>
      <c r="J119" s="208" t="s">
        <v>1592</v>
      </c>
      <c r="K119" s="375" t="s">
        <v>1803</v>
      </c>
      <c r="L119" s="376" t="s">
        <v>1804</v>
      </c>
      <c r="O119" s="192">
        <v>0.8</v>
      </c>
      <c r="P119" s="192">
        <v>0.45</v>
      </c>
      <c r="Q119" s="192">
        <v>1</v>
      </c>
      <c r="R119" s="192">
        <v>0.55000000000000004</v>
      </c>
      <c r="S119" s="187" t="s">
        <v>81</v>
      </c>
      <c r="T119" s="187">
        <v>6</v>
      </c>
      <c r="U119" s="193">
        <v>0.8</v>
      </c>
      <c r="V119" s="187" t="s">
        <v>98</v>
      </c>
      <c r="W119" s="187" t="s">
        <v>118</v>
      </c>
    </row>
    <row r="120" spans="1:23">
      <c r="A120" s="202" t="str">
        <f t="shared" si="14"/>
        <v>臺中市和平區</v>
      </c>
      <c r="B120" s="190" t="s">
        <v>1605</v>
      </c>
      <c r="C120" s="190" t="s">
        <v>119</v>
      </c>
      <c r="D120" s="191">
        <v>37.5</v>
      </c>
      <c r="E120" s="189">
        <v>424</v>
      </c>
      <c r="F120" s="192">
        <v>0.7</v>
      </c>
      <c r="G120" s="192">
        <v>0.4</v>
      </c>
      <c r="H120" s="192">
        <v>0.9</v>
      </c>
      <c r="I120" s="192">
        <v>0.5</v>
      </c>
      <c r="J120" s="208" t="s">
        <v>1657</v>
      </c>
      <c r="K120" s="376" t="s">
        <v>1804</v>
      </c>
      <c r="O120" s="192">
        <v>0.7</v>
      </c>
      <c r="P120" s="192">
        <v>0.4</v>
      </c>
      <c r="Q120" s="192">
        <v>0.9</v>
      </c>
      <c r="R120" s="192">
        <v>0.5</v>
      </c>
      <c r="S120" s="187" t="s">
        <v>81</v>
      </c>
      <c r="T120" s="187">
        <v>6</v>
      </c>
      <c r="U120" s="193">
        <v>0.8</v>
      </c>
      <c r="V120" s="187" t="s">
        <v>98</v>
      </c>
      <c r="W120" s="187" t="s">
        <v>119</v>
      </c>
    </row>
    <row r="121" spans="1:23" ht="31.5">
      <c r="A121" s="202" t="str">
        <f t="shared" si="14"/>
        <v>臺中市中區</v>
      </c>
      <c r="B121" s="190" t="s">
        <v>1605</v>
      </c>
      <c r="C121" s="190" t="s">
        <v>120</v>
      </c>
      <c r="D121" s="191">
        <v>32.5</v>
      </c>
      <c r="E121" s="189">
        <v>400</v>
      </c>
      <c r="F121" s="192">
        <v>0.8</v>
      </c>
      <c r="G121" s="192">
        <v>0.45</v>
      </c>
      <c r="H121" s="221">
        <v>1</v>
      </c>
      <c r="I121" s="221">
        <v>0.55000000000000004</v>
      </c>
      <c r="J121" s="208" t="s">
        <v>1307</v>
      </c>
      <c r="K121" s="208" t="s">
        <v>1592</v>
      </c>
      <c r="L121" s="375" t="s">
        <v>1803</v>
      </c>
      <c r="M121" s="376" t="s">
        <v>1804</v>
      </c>
      <c r="O121" s="192">
        <v>0.8</v>
      </c>
      <c r="P121" s="192">
        <v>0.45</v>
      </c>
      <c r="Q121" s="192">
        <v>0.9</v>
      </c>
      <c r="R121" s="192">
        <v>0.5</v>
      </c>
      <c r="S121" s="187" t="s">
        <v>81</v>
      </c>
      <c r="T121" s="187">
        <v>6</v>
      </c>
      <c r="U121" s="193">
        <v>0.8</v>
      </c>
      <c r="V121" s="187" t="s">
        <v>98</v>
      </c>
      <c r="W121" s="187" t="s">
        <v>120</v>
      </c>
    </row>
    <row r="122" spans="1:23" ht="16.5">
      <c r="A122" s="202" t="str">
        <f t="shared" si="14"/>
        <v>臺中市東區</v>
      </c>
      <c r="B122" s="190" t="s">
        <v>1605</v>
      </c>
      <c r="C122" s="190" t="s">
        <v>1626</v>
      </c>
      <c r="D122" s="191">
        <v>32.5</v>
      </c>
      <c r="E122" s="189">
        <v>401</v>
      </c>
      <c r="F122" s="192">
        <v>0.8</v>
      </c>
      <c r="G122" s="192">
        <v>0.45</v>
      </c>
      <c r="H122" s="192">
        <v>1</v>
      </c>
      <c r="I122" s="192">
        <v>0.55000000000000004</v>
      </c>
      <c r="J122" s="208" t="s">
        <v>1307</v>
      </c>
      <c r="K122" s="375" t="s">
        <v>1803</v>
      </c>
      <c r="L122" s="376" t="s">
        <v>1804</v>
      </c>
      <c r="O122" s="192">
        <v>0.8</v>
      </c>
      <c r="P122" s="192">
        <v>0.45</v>
      </c>
      <c r="Q122" s="192">
        <v>1</v>
      </c>
      <c r="R122" s="192">
        <v>0.55000000000000004</v>
      </c>
      <c r="S122" s="187" t="s">
        <v>81</v>
      </c>
      <c r="T122" s="187">
        <v>6</v>
      </c>
      <c r="U122" s="193">
        <v>0.8</v>
      </c>
      <c r="V122" s="187" t="s">
        <v>98</v>
      </c>
      <c r="W122" s="199" t="s">
        <v>1626</v>
      </c>
    </row>
    <row r="123" spans="1:23" ht="31.5">
      <c r="A123" s="202" t="str">
        <f t="shared" si="14"/>
        <v>臺中市南區</v>
      </c>
      <c r="B123" s="190" t="s">
        <v>1605</v>
      </c>
      <c r="C123" s="190" t="s">
        <v>1643</v>
      </c>
      <c r="D123" s="191">
        <v>32.5</v>
      </c>
      <c r="E123" s="189">
        <v>402</v>
      </c>
      <c r="F123" s="221">
        <v>0.8</v>
      </c>
      <c r="G123" s="192">
        <v>0.45</v>
      </c>
      <c r="H123" s="192">
        <v>1</v>
      </c>
      <c r="I123" s="221">
        <v>0.55000000000000004</v>
      </c>
      <c r="J123" s="208" t="s">
        <v>1592</v>
      </c>
      <c r="K123" s="375" t="s">
        <v>1803</v>
      </c>
      <c r="L123" s="376" t="s">
        <v>1804</v>
      </c>
      <c r="O123" s="192">
        <v>0.7</v>
      </c>
      <c r="P123" s="192">
        <v>0.45</v>
      </c>
      <c r="Q123" s="192">
        <v>1</v>
      </c>
      <c r="R123" s="192">
        <v>0.5</v>
      </c>
      <c r="S123" s="187" t="s">
        <v>81</v>
      </c>
      <c r="T123" s="187">
        <v>6</v>
      </c>
      <c r="U123" s="193">
        <v>0.8</v>
      </c>
      <c r="V123" s="187" t="s">
        <v>98</v>
      </c>
      <c r="W123" s="199" t="s">
        <v>1643</v>
      </c>
    </row>
    <row r="124" spans="1:23" ht="31.5">
      <c r="A124" s="202" t="str">
        <f t="shared" si="14"/>
        <v>臺中市西區</v>
      </c>
      <c r="B124" s="190" t="s">
        <v>1605</v>
      </c>
      <c r="C124" s="190" t="s">
        <v>1644</v>
      </c>
      <c r="D124" s="191">
        <v>32.5</v>
      </c>
      <c r="E124" s="189">
        <v>403</v>
      </c>
      <c r="F124" s="192">
        <v>0.8</v>
      </c>
      <c r="G124" s="192">
        <v>0.45</v>
      </c>
      <c r="H124" s="192">
        <v>1</v>
      </c>
      <c r="I124" s="221">
        <v>0.55000000000000004</v>
      </c>
      <c r="J124" s="208" t="s">
        <v>1307</v>
      </c>
      <c r="K124" s="208" t="s">
        <v>1592</v>
      </c>
      <c r="L124" s="375" t="s">
        <v>1803</v>
      </c>
      <c r="M124" s="376" t="s">
        <v>1804</v>
      </c>
      <c r="O124" s="192">
        <v>0.8</v>
      </c>
      <c r="P124" s="192">
        <v>0.45</v>
      </c>
      <c r="Q124" s="192">
        <v>1</v>
      </c>
      <c r="R124" s="192">
        <v>0.5</v>
      </c>
      <c r="S124" s="187" t="s">
        <v>81</v>
      </c>
      <c r="T124" s="187">
        <v>6</v>
      </c>
      <c r="U124" s="193">
        <v>0.8</v>
      </c>
      <c r="V124" s="187" t="s">
        <v>98</v>
      </c>
      <c r="W124" s="199" t="s">
        <v>1644</v>
      </c>
    </row>
    <row r="125" spans="1:23" ht="31.5">
      <c r="A125" s="202" t="str">
        <f>B125&amp;C125</f>
        <v>臺中市北區</v>
      </c>
      <c r="B125" s="190" t="s">
        <v>1605</v>
      </c>
      <c r="C125" s="190" t="s">
        <v>1627</v>
      </c>
      <c r="D125" s="191">
        <v>32.5</v>
      </c>
      <c r="E125" s="189">
        <v>404</v>
      </c>
      <c r="F125" s="192">
        <v>0.8</v>
      </c>
      <c r="G125" s="192">
        <v>0.45</v>
      </c>
      <c r="H125" s="192">
        <v>1</v>
      </c>
      <c r="I125" s="221">
        <v>0.55000000000000004</v>
      </c>
      <c r="J125" s="208" t="s">
        <v>1307</v>
      </c>
      <c r="K125" s="208" t="s">
        <v>1592</v>
      </c>
      <c r="L125" s="375" t="s">
        <v>1803</v>
      </c>
      <c r="M125" s="376" t="s">
        <v>1804</v>
      </c>
      <c r="O125" s="192">
        <v>0.8</v>
      </c>
      <c r="P125" s="192">
        <v>0.45</v>
      </c>
      <c r="Q125" s="192">
        <v>1</v>
      </c>
      <c r="R125" s="192">
        <v>0.5</v>
      </c>
      <c r="S125" s="187" t="s">
        <v>81</v>
      </c>
      <c r="T125" s="187">
        <v>6</v>
      </c>
      <c r="U125" s="193">
        <v>0.8</v>
      </c>
      <c r="V125" s="187" t="s">
        <v>98</v>
      </c>
      <c r="W125" s="199" t="s">
        <v>1627</v>
      </c>
    </row>
    <row r="126" spans="1:23" ht="31.5">
      <c r="A126" s="202" t="str">
        <f t="shared" si="14"/>
        <v>臺中市西屯區</v>
      </c>
      <c r="B126" s="190" t="s">
        <v>1605</v>
      </c>
      <c r="C126" s="190" t="s">
        <v>121</v>
      </c>
      <c r="D126" s="191">
        <v>32.5</v>
      </c>
      <c r="E126" s="189">
        <v>407</v>
      </c>
      <c r="F126" s="221">
        <v>0.8</v>
      </c>
      <c r="G126" s="221">
        <v>0.45</v>
      </c>
      <c r="H126" s="221">
        <v>1</v>
      </c>
      <c r="I126" s="221">
        <v>0.55000000000000004</v>
      </c>
      <c r="J126" s="377" t="s">
        <v>1309</v>
      </c>
      <c r="K126" s="377" t="s">
        <v>1307</v>
      </c>
      <c r="L126" s="377" t="s">
        <v>1592</v>
      </c>
      <c r="M126" s="377" t="s">
        <v>1803</v>
      </c>
      <c r="O126" s="192">
        <v>0.7</v>
      </c>
      <c r="P126" s="192">
        <v>0.4</v>
      </c>
      <c r="Q126" s="192">
        <v>0.9</v>
      </c>
      <c r="R126" s="192">
        <v>0.5</v>
      </c>
      <c r="S126" s="187" t="s">
        <v>362</v>
      </c>
      <c r="T126" s="187">
        <v>2</v>
      </c>
      <c r="U126" s="193">
        <v>0.8</v>
      </c>
      <c r="V126" s="187" t="s">
        <v>98</v>
      </c>
      <c r="W126" s="187" t="s">
        <v>121</v>
      </c>
    </row>
    <row r="127" spans="1:23" ht="31.5">
      <c r="A127" s="202" t="str">
        <f t="shared" si="14"/>
        <v>臺中市南屯區</v>
      </c>
      <c r="B127" s="190" t="s">
        <v>1605</v>
      </c>
      <c r="C127" s="190" t="s">
        <v>122</v>
      </c>
      <c r="D127" s="191">
        <v>32.5</v>
      </c>
      <c r="E127" s="189">
        <v>408</v>
      </c>
      <c r="F127" s="221">
        <v>0.8</v>
      </c>
      <c r="G127" s="221">
        <v>0.45</v>
      </c>
      <c r="H127" s="221">
        <v>1</v>
      </c>
      <c r="I127" s="221">
        <v>0.55000000000000004</v>
      </c>
      <c r="J127" s="208" t="s">
        <v>1592</v>
      </c>
      <c r="K127" s="375" t="s">
        <v>1803</v>
      </c>
      <c r="O127" s="192">
        <v>0.7</v>
      </c>
      <c r="P127" s="192">
        <v>0.4</v>
      </c>
      <c r="Q127" s="192">
        <v>0.9</v>
      </c>
      <c r="R127" s="192">
        <v>0.5</v>
      </c>
      <c r="S127" s="187" t="s">
        <v>81</v>
      </c>
      <c r="T127" s="187">
        <v>6</v>
      </c>
      <c r="U127" s="193">
        <v>0.8</v>
      </c>
      <c r="V127" s="187" t="s">
        <v>98</v>
      </c>
      <c r="W127" s="187" t="s">
        <v>122</v>
      </c>
    </row>
    <row r="128" spans="1:23" ht="31.5">
      <c r="A128" s="202" t="str">
        <f t="shared" si="14"/>
        <v>臺中市北屯區</v>
      </c>
      <c r="B128" s="190" t="s">
        <v>1605</v>
      </c>
      <c r="C128" s="190" t="s">
        <v>123</v>
      </c>
      <c r="D128" s="191">
        <v>32.5</v>
      </c>
      <c r="E128" s="189">
        <v>406</v>
      </c>
      <c r="F128" s="192">
        <v>0.8</v>
      </c>
      <c r="G128" s="192">
        <v>0.45</v>
      </c>
      <c r="H128" s="192">
        <v>1</v>
      </c>
      <c r="I128" s="192">
        <v>0.55000000000000004</v>
      </c>
      <c r="J128" s="208" t="s">
        <v>1309</v>
      </c>
      <c r="K128" s="375" t="s">
        <v>1805</v>
      </c>
      <c r="L128" s="208" t="s">
        <v>1592</v>
      </c>
      <c r="M128" s="377" t="s">
        <v>1803</v>
      </c>
      <c r="N128" s="376" t="s">
        <v>1804</v>
      </c>
      <c r="O128" s="192">
        <v>0.8</v>
      </c>
      <c r="P128" s="192">
        <v>0.45</v>
      </c>
      <c r="Q128" s="192">
        <v>1</v>
      </c>
      <c r="R128" s="192">
        <v>0.55000000000000004</v>
      </c>
      <c r="S128" s="187" t="s">
        <v>362</v>
      </c>
      <c r="T128" s="187">
        <v>2</v>
      </c>
      <c r="U128" s="193">
        <v>0.8</v>
      </c>
      <c r="V128" s="187" t="s">
        <v>98</v>
      </c>
      <c r="W128" s="187" t="s">
        <v>123</v>
      </c>
    </row>
    <row r="129" spans="1:23" ht="31.5">
      <c r="A129" s="202" t="str">
        <f t="shared" ref="A129:A154" si="15">B129&amp;C129</f>
        <v>彰化縣彰化市</v>
      </c>
      <c r="B129" s="190" t="s">
        <v>124</v>
      </c>
      <c r="C129" s="190" t="s">
        <v>125</v>
      </c>
      <c r="D129" s="191">
        <v>27.5</v>
      </c>
      <c r="E129" s="189">
        <v>500</v>
      </c>
      <c r="F129" s="206">
        <v>0.8</v>
      </c>
      <c r="G129" s="206">
        <v>0.45</v>
      </c>
      <c r="H129" s="206">
        <v>1</v>
      </c>
      <c r="I129" s="206">
        <v>0.55000000000000004</v>
      </c>
      <c r="J129" s="208" t="s">
        <v>1669</v>
      </c>
      <c r="K129" s="375" t="s">
        <v>1803</v>
      </c>
      <c r="O129" s="192">
        <v>0.7</v>
      </c>
      <c r="P129" s="192">
        <v>0.4</v>
      </c>
      <c r="Q129" s="192">
        <v>0.9</v>
      </c>
      <c r="R129" s="192">
        <v>0.5</v>
      </c>
      <c r="S129" s="187" t="s">
        <v>81</v>
      </c>
      <c r="T129" s="187">
        <v>6</v>
      </c>
      <c r="U129" s="193">
        <v>0.8</v>
      </c>
      <c r="V129" s="187" t="s">
        <v>124</v>
      </c>
      <c r="W129" s="187" t="s">
        <v>125</v>
      </c>
    </row>
    <row r="130" spans="1:23" ht="31.5">
      <c r="A130" s="202" t="str">
        <f t="shared" si="15"/>
        <v>彰化縣鹿港鎮</v>
      </c>
      <c r="B130" s="190" t="s">
        <v>124</v>
      </c>
      <c r="C130" s="190" t="s">
        <v>126</v>
      </c>
      <c r="D130" s="191">
        <v>27.5</v>
      </c>
      <c r="E130" s="189">
        <v>505</v>
      </c>
      <c r="F130" s="192">
        <v>0.7</v>
      </c>
      <c r="G130" s="192">
        <v>0.4</v>
      </c>
      <c r="H130" s="192">
        <v>0.9</v>
      </c>
      <c r="I130" s="192">
        <v>0.5</v>
      </c>
      <c r="J130" s="208" t="s">
        <v>1669</v>
      </c>
      <c r="O130" s="192">
        <v>0.7</v>
      </c>
      <c r="P130" s="192">
        <v>0.4</v>
      </c>
      <c r="Q130" s="192">
        <v>0.9</v>
      </c>
      <c r="R130" s="192">
        <v>0.5</v>
      </c>
      <c r="T130" s="187">
        <v>0</v>
      </c>
      <c r="U130" s="193">
        <v>0.8</v>
      </c>
      <c r="V130" s="187" t="s">
        <v>124</v>
      </c>
      <c r="W130" s="187" t="s">
        <v>126</v>
      </c>
    </row>
    <row r="131" spans="1:23" ht="31.5">
      <c r="A131" s="202" t="str">
        <f t="shared" si="15"/>
        <v>彰化縣和美鎮</v>
      </c>
      <c r="B131" s="190" t="s">
        <v>124</v>
      </c>
      <c r="C131" s="190" t="s">
        <v>127</v>
      </c>
      <c r="D131" s="191">
        <v>32.5</v>
      </c>
      <c r="E131" s="189">
        <v>508</v>
      </c>
      <c r="F131" s="206">
        <v>0.8</v>
      </c>
      <c r="G131" s="206">
        <v>0.45</v>
      </c>
      <c r="H131" s="206">
        <v>1</v>
      </c>
      <c r="I131" s="206">
        <v>0.55000000000000004</v>
      </c>
      <c r="J131" s="208" t="s">
        <v>1669</v>
      </c>
      <c r="O131" s="192">
        <v>0.7</v>
      </c>
      <c r="P131" s="192">
        <v>0.4</v>
      </c>
      <c r="Q131" s="192">
        <v>0.9</v>
      </c>
      <c r="R131" s="192">
        <v>0.5</v>
      </c>
      <c r="T131" s="187">
        <v>0</v>
      </c>
      <c r="U131" s="193">
        <v>0.8</v>
      </c>
      <c r="V131" s="187" t="s">
        <v>124</v>
      </c>
      <c r="W131" s="187" t="s">
        <v>127</v>
      </c>
    </row>
    <row r="132" spans="1:23" ht="31.5">
      <c r="A132" s="202" t="str">
        <f t="shared" si="15"/>
        <v>彰化縣線西鄉</v>
      </c>
      <c r="B132" s="190" t="s">
        <v>124</v>
      </c>
      <c r="C132" s="190" t="s">
        <v>128</v>
      </c>
      <c r="D132" s="191">
        <v>32.5</v>
      </c>
      <c r="E132" s="189">
        <v>507</v>
      </c>
      <c r="F132" s="206">
        <v>0.8</v>
      </c>
      <c r="G132" s="206">
        <v>0.45</v>
      </c>
      <c r="H132" s="206">
        <v>1</v>
      </c>
      <c r="I132" s="206">
        <v>0.55000000000000004</v>
      </c>
      <c r="J132" s="208" t="s">
        <v>1669</v>
      </c>
      <c r="O132" s="192">
        <v>0.7</v>
      </c>
      <c r="P132" s="192">
        <v>0.4</v>
      </c>
      <c r="Q132" s="192">
        <v>0.9</v>
      </c>
      <c r="R132" s="192">
        <v>0.5</v>
      </c>
      <c r="T132" s="187">
        <v>0</v>
      </c>
      <c r="U132" s="193">
        <v>0.8</v>
      </c>
      <c r="V132" s="187" t="s">
        <v>124</v>
      </c>
      <c r="W132" s="187" t="s">
        <v>128</v>
      </c>
    </row>
    <row r="133" spans="1:23" ht="31.5">
      <c r="A133" s="202" t="str">
        <f t="shared" si="15"/>
        <v>彰化縣伸港鄉</v>
      </c>
      <c r="B133" s="190" t="s">
        <v>124</v>
      </c>
      <c r="C133" s="190" t="s">
        <v>129</v>
      </c>
      <c r="D133" s="191">
        <v>32.5</v>
      </c>
      <c r="E133" s="189">
        <v>509</v>
      </c>
      <c r="F133" s="206">
        <v>0.8</v>
      </c>
      <c r="G133" s="206">
        <v>0.45</v>
      </c>
      <c r="H133" s="206">
        <v>1</v>
      </c>
      <c r="I133" s="206">
        <v>0.55000000000000004</v>
      </c>
      <c r="J133" s="208" t="s">
        <v>1669</v>
      </c>
      <c r="O133" s="192">
        <v>0.7</v>
      </c>
      <c r="P133" s="192">
        <v>0.4</v>
      </c>
      <c r="Q133" s="192">
        <v>0.9</v>
      </c>
      <c r="R133" s="192">
        <v>0.5</v>
      </c>
      <c r="T133" s="187">
        <v>0</v>
      </c>
      <c r="U133" s="193">
        <v>0.8</v>
      </c>
      <c r="V133" s="187" t="s">
        <v>124</v>
      </c>
      <c r="W133" s="187" t="s">
        <v>129</v>
      </c>
    </row>
    <row r="134" spans="1:23" ht="31.5">
      <c r="A134" s="202" t="str">
        <f t="shared" si="15"/>
        <v>彰化縣福興鄉</v>
      </c>
      <c r="B134" s="190" t="s">
        <v>124</v>
      </c>
      <c r="C134" s="190" t="s">
        <v>130</v>
      </c>
      <c r="D134" s="191">
        <v>27.5</v>
      </c>
      <c r="E134" s="189">
        <v>506</v>
      </c>
      <c r="F134" s="192">
        <v>0.7</v>
      </c>
      <c r="G134" s="192">
        <v>0.4</v>
      </c>
      <c r="H134" s="192">
        <v>0.9</v>
      </c>
      <c r="I134" s="192">
        <v>0.5</v>
      </c>
      <c r="J134" s="208" t="s">
        <v>1669</v>
      </c>
      <c r="O134" s="192">
        <v>0.7</v>
      </c>
      <c r="P134" s="192">
        <v>0.4</v>
      </c>
      <c r="Q134" s="192">
        <v>0.9</v>
      </c>
      <c r="R134" s="192">
        <v>0.5</v>
      </c>
      <c r="T134" s="187">
        <v>0</v>
      </c>
      <c r="U134" s="193">
        <v>0.8</v>
      </c>
      <c r="V134" s="187" t="s">
        <v>124</v>
      </c>
      <c r="W134" s="187" t="s">
        <v>130</v>
      </c>
    </row>
    <row r="135" spans="1:23" ht="31.5">
      <c r="A135" s="202" t="str">
        <f t="shared" si="15"/>
        <v>彰化縣秀水鄉</v>
      </c>
      <c r="B135" s="190" t="s">
        <v>124</v>
      </c>
      <c r="C135" s="190" t="s">
        <v>131</v>
      </c>
      <c r="D135" s="191">
        <v>27.5</v>
      </c>
      <c r="E135" s="189">
        <v>504</v>
      </c>
      <c r="F135" s="206">
        <v>0.8</v>
      </c>
      <c r="G135" s="206">
        <v>0.45</v>
      </c>
      <c r="H135" s="206">
        <v>1</v>
      </c>
      <c r="I135" s="206">
        <v>0.55000000000000004</v>
      </c>
      <c r="J135" s="208" t="s">
        <v>1669</v>
      </c>
      <c r="O135" s="192">
        <v>0.7</v>
      </c>
      <c r="P135" s="192">
        <v>0.4</v>
      </c>
      <c r="Q135" s="192">
        <v>0.9</v>
      </c>
      <c r="R135" s="192">
        <v>0.5</v>
      </c>
      <c r="T135" s="187">
        <v>0</v>
      </c>
      <c r="U135" s="193">
        <v>0.8</v>
      </c>
      <c r="V135" s="187" t="s">
        <v>124</v>
      </c>
      <c r="W135" s="187" t="s">
        <v>131</v>
      </c>
    </row>
    <row r="136" spans="1:23" ht="31.5">
      <c r="A136" s="202" t="str">
        <f t="shared" si="15"/>
        <v>彰化縣花壇鄉</v>
      </c>
      <c r="B136" s="190" t="s">
        <v>124</v>
      </c>
      <c r="C136" s="190" t="s">
        <v>132</v>
      </c>
      <c r="D136" s="191">
        <v>27.5</v>
      </c>
      <c r="E136" s="189">
        <v>503</v>
      </c>
      <c r="F136" s="206">
        <v>0.8</v>
      </c>
      <c r="G136" s="206">
        <v>0.45</v>
      </c>
      <c r="H136" s="206">
        <v>1</v>
      </c>
      <c r="I136" s="206">
        <v>0.55000000000000004</v>
      </c>
      <c r="J136" s="208" t="s">
        <v>1669</v>
      </c>
      <c r="K136" s="375" t="s">
        <v>1803</v>
      </c>
      <c r="O136" s="192">
        <v>0.7</v>
      </c>
      <c r="P136" s="192">
        <v>0.4</v>
      </c>
      <c r="Q136" s="192">
        <v>0.9</v>
      </c>
      <c r="R136" s="192">
        <v>0.5</v>
      </c>
      <c r="S136" s="187" t="s">
        <v>81</v>
      </c>
      <c r="T136" s="187">
        <v>6</v>
      </c>
      <c r="U136" s="193">
        <v>0.8</v>
      </c>
      <c r="V136" s="187" t="s">
        <v>124</v>
      </c>
      <c r="W136" s="187" t="s">
        <v>132</v>
      </c>
    </row>
    <row r="137" spans="1:23" ht="31.5">
      <c r="A137" s="202" t="str">
        <f t="shared" si="15"/>
        <v>彰化縣芬園鄉</v>
      </c>
      <c r="B137" s="190" t="s">
        <v>124</v>
      </c>
      <c r="C137" s="190" t="s">
        <v>133</v>
      </c>
      <c r="D137" s="191">
        <v>27.5</v>
      </c>
      <c r="E137" s="189">
        <v>502</v>
      </c>
      <c r="F137" s="206">
        <v>0.8</v>
      </c>
      <c r="G137" s="206">
        <v>0.45</v>
      </c>
      <c r="H137" s="206">
        <v>1</v>
      </c>
      <c r="I137" s="206">
        <v>0.55000000000000004</v>
      </c>
      <c r="J137" s="208" t="s">
        <v>1669</v>
      </c>
      <c r="K137" s="375" t="s">
        <v>1803</v>
      </c>
      <c r="O137" s="192">
        <v>0.7</v>
      </c>
      <c r="P137" s="192">
        <v>0.4</v>
      </c>
      <c r="Q137" s="192">
        <v>0.9</v>
      </c>
      <c r="R137" s="192">
        <v>0.5</v>
      </c>
      <c r="S137" s="187" t="s">
        <v>81</v>
      </c>
      <c r="T137" s="187">
        <v>6</v>
      </c>
      <c r="U137" s="193">
        <v>0.8</v>
      </c>
      <c r="V137" s="187" t="s">
        <v>124</v>
      </c>
      <c r="W137" s="187" t="s">
        <v>133</v>
      </c>
    </row>
    <row r="138" spans="1:23" ht="31.5">
      <c r="A138" s="202" t="str">
        <f t="shared" si="15"/>
        <v>彰化縣員林市</v>
      </c>
      <c r="B138" s="190" t="s">
        <v>124</v>
      </c>
      <c r="C138" s="370" t="s">
        <v>1758</v>
      </c>
      <c r="D138" s="191">
        <v>27.5</v>
      </c>
      <c r="E138" s="189">
        <v>510</v>
      </c>
      <c r="F138" s="206">
        <v>0.8</v>
      </c>
      <c r="G138" s="206">
        <v>0.45</v>
      </c>
      <c r="H138" s="206">
        <v>1</v>
      </c>
      <c r="I138" s="206">
        <v>0.55000000000000004</v>
      </c>
      <c r="J138" s="208" t="s">
        <v>1669</v>
      </c>
      <c r="K138" s="375" t="s">
        <v>1803</v>
      </c>
      <c r="O138" s="192">
        <v>0.7</v>
      </c>
      <c r="P138" s="192">
        <v>0.4</v>
      </c>
      <c r="Q138" s="192">
        <v>0.9</v>
      </c>
      <c r="R138" s="192">
        <v>0.5</v>
      </c>
      <c r="S138" s="187" t="s">
        <v>81</v>
      </c>
      <c r="T138" s="187">
        <v>6</v>
      </c>
      <c r="U138" s="193">
        <v>0.8</v>
      </c>
      <c r="V138" s="187" t="s">
        <v>124</v>
      </c>
      <c r="W138" s="187" t="s">
        <v>134</v>
      </c>
    </row>
    <row r="139" spans="1:23" ht="31.5">
      <c r="A139" s="202" t="str">
        <f t="shared" si="15"/>
        <v>彰化縣溪湖鎮</v>
      </c>
      <c r="B139" s="190" t="s">
        <v>124</v>
      </c>
      <c r="C139" s="190" t="s">
        <v>135</v>
      </c>
      <c r="D139" s="191">
        <v>27.5</v>
      </c>
      <c r="E139" s="189">
        <v>514</v>
      </c>
      <c r="F139" s="192">
        <v>0.7</v>
      </c>
      <c r="G139" s="192">
        <v>0.4</v>
      </c>
      <c r="H139" s="192">
        <v>0.9</v>
      </c>
      <c r="I139" s="192">
        <v>0.5</v>
      </c>
      <c r="J139" s="208" t="s">
        <v>1669</v>
      </c>
      <c r="O139" s="192">
        <v>0.7</v>
      </c>
      <c r="P139" s="192">
        <v>0.4</v>
      </c>
      <c r="Q139" s="192">
        <v>0.9</v>
      </c>
      <c r="R139" s="192">
        <v>0.5</v>
      </c>
      <c r="T139" s="187">
        <v>0</v>
      </c>
      <c r="U139" s="193">
        <v>0.8</v>
      </c>
      <c r="V139" s="187" t="s">
        <v>124</v>
      </c>
      <c r="W139" s="187" t="s">
        <v>135</v>
      </c>
    </row>
    <row r="140" spans="1:23" ht="31.5">
      <c r="A140" s="202" t="str">
        <f t="shared" si="15"/>
        <v>彰化縣田中鎮</v>
      </c>
      <c r="B140" s="190" t="s">
        <v>124</v>
      </c>
      <c r="C140" s="190" t="s">
        <v>136</v>
      </c>
      <c r="D140" s="191">
        <v>27.5</v>
      </c>
      <c r="E140" s="189">
        <v>520</v>
      </c>
      <c r="F140" s="206">
        <v>0.8</v>
      </c>
      <c r="G140" s="206">
        <v>0.45</v>
      </c>
      <c r="H140" s="206">
        <v>1</v>
      </c>
      <c r="I140" s="206">
        <v>0.55000000000000004</v>
      </c>
      <c r="J140" s="208" t="s">
        <v>1669</v>
      </c>
      <c r="K140" s="375" t="s">
        <v>1803</v>
      </c>
      <c r="O140" s="192">
        <v>0.7</v>
      </c>
      <c r="P140" s="192">
        <v>0.4</v>
      </c>
      <c r="Q140" s="192">
        <v>0.9</v>
      </c>
      <c r="R140" s="192">
        <v>0.5</v>
      </c>
      <c r="S140" s="187" t="s">
        <v>81</v>
      </c>
      <c r="T140" s="187">
        <v>6</v>
      </c>
      <c r="U140" s="193">
        <v>0.8</v>
      </c>
      <c r="V140" s="187" t="s">
        <v>124</v>
      </c>
      <c r="W140" s="187" t="s">
        <v>136</v>
      </c>
    </row>
    <row r="141" spans="1:23" ht="31.5">
      <c r="A141" s="202" t="str">
        <f t="shared" si="15"/>
        <v>彰化縣大村鄉</v>
      </c>
      <c r="B141" s="190" t="s">
        <v>124</v>
      </c>
      <c r="C141" s="190" t="s">
        <v>137</v>
      </c>
      <c r="D141" s="191">
        <v>27.5</v>
      </c>
      <c r="E141" s="189">
        <v>515</v>
      </c>
      <c r="F141" s="206">
        <v>0.8</v>
      </c>
      <c r="G141" s="206">
        <v>0.45</v>
      </c>
      <c r="H141" s="206">
        <v>1</v>
      </c>
      <c r="I141" s="206">
        <v>0.55000000000000004</v>
      </c>
      <c r="J141" s="208" t="s">
        <v>1669</v>
      </c>
      <c r="K141" s="375" t="s">
        <v>1803</v>
      </c>
      <c r="O141" s="192">
        <v>0.7</v>
      </c>
      <c r="P141" s="192">
        <v>0.4</v>
      </c>
      <c r="Q141" s="192">
        <v>0.9</v>
      </c>
      <c r="R141" s="192">
        <v>0.5</v>
      </c>
      <c r="S141" s="187" t="s">
        <v>81</v>
      </c>
      <c r="T141" s="187">
        <v>6</v>
      </c>
      <c r="U141" s="193">
        <v>0.8</v>
      </c>
      <c r="V141" s="187" t="s">
        <v>124</v>
      </c>
      <c r="W141" s="187" t="s">
        <v>137</v>
      </c>
    </row>
    <row r="142" spans="1:23" ht="31.5">
      <c r="A142" s="202" t="str">
        <f t="shared" si="15"/>
        <v>彰化縣埔鹽鄉</v>
      </c>
      <c r="B142" s="190" t="s">
        <v>124</v>
      </c>
      <c r="C142" s="190" t="s">
        <v>138</v>
      </c>
      <c r="D142" s="191">
        <v>27.5</v>
      </c>
      <c r="E142" s="189">
        <v>516</v>
      </c>
      <c r="F142" s="192">
        <v>0.7</v>
      </c>
      <c r="G142" s="192">
        <v>0.4</v>
      </c>
      <c r="H142" s="192">
        <v>0.9</v>
      </c>
      <c r="I142" s="192">
        <v>0.5</v>
      </c>
      <c r="J142" s="208" t="s">
        <v>1669</v>
      </c>
      <c r="O142" s="192">
        <v>0.7</v>
      </c>
      <c r="P142" s="192">
        <v>0.4</v>
      </c>
      <c r="Q142" s="192">
        <v>0.9</v>
      </c>
      <c r="R142" s="192">
        <v>0.5</v>
      </c>
      <c r="T142" s="187">
        <v>0</v>
      </c>
      <c r="U142" s="193">
        <v>0.8</v>
      </c>
      <c r="V142" s="187" t="s">
        <v>124</v>
      </c>
      <c r="W142" s="187" t="s">
        <v>138</v>
      </c>
    </row>
    <row r="143" spans="1:23" ht="31.5">
      <c r="A143" s="202" t="str">
        <f t="shared" si="15"/>
        <v>彰化縣埔心鄉</v>
      </c>
      <c r="B143" s="190" t="s">
        <v>124</v>
      </c>
      <c r="C143" s="190" t="s">
        <v>139</v>
      </c>
      <c r="D143" s="191">
        <v>27.5</v>
      </c>
      <c r="E143" s="189">
        <v>513</v>
      </c>
      <c r="F143" s="206">
        <v>0.8</v>
      </c>
      <c r="G143" s="206">
        <v>0.45</v>
      </c>
      <c r="H143" s="206">
        <v>1</v>
      </c>
      <c r="I143" s="206">
        <v>0.55000000000000004</v>
      </c>
      <c r="J143" s="208" t="s">
        <v>1669</v>
      </c>
      <c r="K143" s="208"/>
      <c r="O143" s="192">
        <v>0.7</v>
      </c>
      <c r="P143" s="192">
        <v>0.4</v>
      </c>
      <c r="Q143" s="192">
        <v>0.9</v>
      </c>
      <c r="R143" s="192">
        <v>0.5</v>
      </c>
      <c r="T143" s="187">
        <v>0</v>
      </c>
      <c r="U143" s="193">
        <v>0.8</v>
      </c>
      <c r="V143" s="187" t="s">
        <v>124</v>
      </c>
      <c r="W143" s="187" t="s">
        <v>139</v>
      </c>
    </row>
    <row r="144" spans="1:23" ht="31.5">
      <c r="A144" s="202" t="str">
        <f t="shared" si="15"/>
        <v>彰化縣永靖鄉</v>
      </c>
      <c r="B144" s="190" t="s">
        <v>124</v>
      </c>
      <c r="C144" s="190" t="s">
        <v>140</v>
      </c>
      <c r="D144" s="191">
        <v>27.5</v>
      </c>
      <c r="E144" s="189">
        <v>512</v>
      </c>
      <c r="F144" s="206">
        <v>0.8</v>
      </c>
      <c r="G144" s="206">
        <v>0.45</v>
      </c>
      <c r="H144" s="206">
        <v>1</v>
      </c>
      <c r="I144" s="206">
        <v>0.55000000000000004</v>
      </c>
      <c r="J144" s="208" t="s">
        <v>1669</v>
      </c>
      <c r="O144" s="192">
        <v>0.7</v>
      </c>
      <c r="P144" s="192">
        <v>0.4</v>
      </c>
      <c r="Q144" s="192">
        <v>0.9</v>
      </c>
      <c r="R144" s="192">
        <v>0.5</v>
      </c>
      <c r="T144" s="187">
        <v>0</v>
      </c>
      <c r="U144" s="193">
        <v>0.8</v>
      </c>
      <c r="V144" s="187" t="s">
        <v>124</v>
      </c>
      <c r="W144" s="187" t="s">
        <v>140</v>
      </c>
    </row>
    <row r="145" spans="1:23" ht="31.5">
      <c r="A145" s="202" t="str">
        <f t="shared" si="15"/>
        <v>彰化縣社頭鄉</v>
      </c>
      <c r="B145" s="190" t="s">
        <v>124</v>
      </c>
      <c r="C145" s="190" t="s">
        <v>141</v>
      </c>
      <c r="D145" s="191">
        <v>27.5</v>
      </c>
      <c r="E145" s="189">
        <v>511</v>
      </c>
      <c r="F145" s="206">
        <v>0.8</v>
      </c>
      <c r="G145" s="206">
        <v>0.45</v>
      </c>
      <c r="H145" s="206">
        <v>1</v>
      </c>
      <c r="I145" s="206">
        <v>0.55000000000000004</v>
      </c>
      <c r="J145" s="208" t="s">
        <v>1669</v>
      </c>
      <c r="K145" s="375" t="s">
        <v>1803</v>
      </c>
      <c r="O145" s="192">
        <v>0.7</v>
      </c>
      <c r="P145" s="192">
        <v>0.4</v>
      </c>
      <c r="Q145" s="192">
        <v>0.9</v>
      </c>
      <c r="R145" s="192">
        <v>0.5</v>
      </c>
      <c r="S145" s="187" t="s">
        <v>81</v>
      </c>
      <c r="T145" s="187">
        <v>6</v>
      </c>
      <c r="U145" s="193">
        <v>0.8</v>
      </c>
      <c r="V145" s="187" t="s">
        <v>124</v>
      </c>
      <c r="W145" s="187" t="s">
        <v>141</v>
      </c>
    </row>
    <row r="146" spans="1:23" ht="31.5">
      <c r="A146" s="202" t="str">
        <f t="shared" si="15"/>
        <v>彰化縣二水鄉</v>
      </c>
      <c r="B146" s="190" t="s">
        <v>124</v>
      </c>
      <c r="C146" s="190" t="s">
        <v>142</v>
      </c>
      <c r="D146" s="191">
        <v>27.5</v>
      </c>
      <c r="E146" s="189">
        <v>530</v>
      </c>
      <c r="F146" s="192">
        <v>0.8</v>
      </c>
      <c r="G146" s="192">
        <v>0.45</v>
      </c>
      <c r="H146" s="192">
        <v>1</v>
      </c>
      <c r="I146" s="192">
        <v>0.55000000000000004</v>
      </c>
      <c r="J146" s="208" t="s">
        <v>1669</v>
      </c>
      <c r="K146" s="375" t="s">
        <v>1803</v>
      </c>
      <c r="O146" s="192">
        <v>0.8</v>
      </c>
      <c r="P146" s="192">
        <v>0.45</v>
      </c>
      <c r="Q146" s="192">
        <v>1</v>
      </c>
      <c r="R146" s="192">
        <v>0.55000000000000004</v>
      </c>
      <c r="S146" s="187" t="s">
        <v>81</v>
      </c>
      <c r="T146" s="187">
        <v>6</v>
      </c>
      <c r="U146" s="193">
        <v>0.8</v>
      </c>
      <c r="V146" s="187" t="s">
        <v>124</v>
      </c>
      <c r="W146" s="187" t="s">
        <v>142</v>
      </c>
    </row>
    <row r="147" spans="1:23" ht="31.5">
      <c r="A147" s="202" t="str">
        <f t="shared" si="15"/>
        <v>彰化縣北斗鎮</v>
      </c>
      <c r="B147" s="190" t="s">
        <v>124</v>
      </c>
      <c r="C147" s="190" t="s">
        <v>143</v>
      </c>
      <c r="D147" s="191">
        <v>27.5</v>
      </c>
      <c r="E147" s="189">
        <v>521</v>
      </c>
      <c r="F147" s="206">
        <v>0.8</v>
      </c>
      <c r="G147" s="206">
        <v>0.45</v>
      </c>
      <c r="H147" s="206">
        <v>1</v>
      </c>
      <c r="I147" s="206">
        <v>0.55000000000000004</v>
      </c>
      <c r="J147" s="208" t="s">
        <v>1669</v>
      </c>
      <c r="O147" s="192">
        <v>0.7</v>
      </c>
      <c r="P147" s="192">
        <v>0.4</v>
      </c>
      <c r="Q147" s="192">
        <v>0.9</v>
      </c>
      <c r="R147" s="192">
        <v>0.5</v>
      </c>
      <c r="T147" s="187">
        <v>0</v>
      </c>
      <c r="U147" s="193">
        <v>0.8</v>
      </c>
      <c r="V147" s="187" t="s">
        <v>124</v>
      </c>
      <c r="W147" s="187" t="s">
        <v>143</v>
      </c>
    </row>
    <row r="148" spans="1:23">
      <c r="A148" s="202" t="str">
        <f t="shared" si="15"/>
        <v>彰化縣二林鎮</v>
      </c>
      <c r="B148" s="190" t="s">
        <v>124</v>
      </c>
      <c r="C148" s="190" t="s">
        <v>144</v>
      </c>
      <c r="D148" s="191">
        <v>27.5</v>
      </c>
      <c r="E148" s="189">
        <v>526</v>
      </c>
      <c r="F148" s="192">
        <v>0.7</v>
      </c>
      <c r="G148" s="192">
        <v>0.4</v>
      </c>
      <c r="H148" s="192">
        <v>0.9</v>
      </c>
      <c r="I148" s="192">
        <v>0.5</v>
      </c>
      <c r="O148" s="192">
        <v>0.7</v>
      </c>
      <c r="P148" s="192">
        <v>0.4</v>
      </c>
      <c r="Q148" s="192">
        <v>0.9</v>
      </c>
      <c r="R148" s="192">
        <v>0.5</v>
      </c>
      <c r="T148" s="187">
        <v>0</v>
      </c>
      <c r="U148" s="193">
        <v>0.8</v>
      </c>
      <c r="V148" s="187" t="s">
        <v>124</v>
      </c>
      <c r="W148" s="187" t="s">
        <v>144</v>
      </c>
    </row>
    <row r="149" spans="1:23" ht="31.5">
      <c r="A149" s="202" t="str">
        <f t="shared" si="15"/>
        <v>彰化縣田尾鄉</v>
      </c>
      <c r="B149" s="190" t="s">
        <v>124</v>
      </c>
      <c r="C149" s="190" t="s">
        <v>145</v>
      </c>
      <c r="D149" s="191">
        <v>27.5</v>
      </c>
      <c r="E149" s="189">
        <v>522</v>
      </c>
      <c r="F149" s="206">
        <v>0.8</v>
      </c>
      <c r="G149" s="206">
        <v>0.45</v>
      </c>
      <c r="H149" s="206">
        <v>1</v>
      </c>
      <c r="I149" s="206">
        <v>0.55000000000000004</v>
      </c>
      <c r="J149" s="208" t="s">
        <v>1669</v>
      </c>
      <c r="O149" s="192">
        <v>0.7</v>
      </c>
      <c r="P149" s="192">
        <v>0.4</v>
      </c>
      <c r="Q149" s="192">
        <v>0.9</v>
      </c>
      <c r="R149" s="192">
        <v>0.5</v>
      </c>
      <c r="T149" s="187">
        <v>0</v>
      </c>
      <c r="U149" s="193">
        <v>0.8</v>
      </c>
      <c r="V149" s="187" t="s">
        <v>124</v>
      </c>
      <c r="W149" s="187" t="s">
        <v>145</v>
      </c>
    </row>
    <row r="150" spans="1:23" ht="31.5">
      <c r="A150" s="202" t="str">
        <f t="shared" si="15"/>
        <v>彰化縣埤頭鄉</v>
      </c>
      <c r="B150" s="190" t="s">
        <v>124</v>
      </c>
      <c r="C150" s="190" t="s">
        <v>146</v>
      </c>
      <c r="D150" s="191">
        <v>27.5</v>
      </c>
      <c r="E150" s="189">
        <v>523</v>
      </c>
      <c r="F150" s="192">
        <v>0.7</v>
      </c>
      <c r="G150" s="192">
        <v>0.4</v>
      </c>
      <c r="H150" s="192">
        <v>0.9</v>
      </c>
      <c r="I150" s="192">
        <v>0.5</v>
      </c>
      <c r="J150" s="208" t="s">
        <v>1669</v>
      </c>
      <c r="O150" s="192">
        <v>0.7</v>
      </c>
      <c r="P150" s="192">
        <v>0.4</v>
      </c>
      <c r="Q150" s="192">
        <v>0.9</v>
      </c>
      <c r="R150" s="192">
        <v>0.5</v>
      </c>
      <c r="T150" s="187">
        <v>0</v>
      </c>
      <c r="U150" s="193">
        <v>0.8</v>
      </c>
      <c r="V150" s="187" t="s">
        <v>124</v>
      </c>
      <c r="W150" s="187" t="s">
        <v>146</v>
      </c>
    </row>
    <row r="151" spans="1:23">
      <c r="A151" s="202" t="str">
        <f t="shared" si="15"/>
        <v>彰化縣芳苑鄉</v>
      </c>
      <c r="B151" s="190" t="s">
        <v>124</v>
      </c>
      <c r="C151" s="190" t="s">
        <v>147</v>
      </c>
      <c r="D151" s="191">
        <v>27.5</v>
      </c>
      <c r="E151" s="189">
        <v>528</v>
      </c>
      <c r="F151" s="192">
        <v>0.7</v>
      </c>
      <c r="G151" s="192">
        <v>0.4</v>
      </c>
      <c r="H151" s="192">
        <v>0.9</v>
      </c>
      <c r="I151" s="192">
        <v>0.5</v>
      </c>
      <c r="O151" s="192">
        <v>0.7</v>
      </c>
      <c r="P151" s="192">
        <v>0.4</v>
      </c>
      <c r="Q151" s="192">
        <v>0.9</v>
      </c>
      <c r="R151" s="192">
        <v>0.5</v>
      </c>
      <c r="T151" s="187">
        <v>0</v>
      </c>
      <c r="U151" s="193">
        <v>0.8</v>
      </c>
      <c r="V151" s="187" t="s">
        <v>124</v>
      </c>
      <c r="W151" s="187" t="s">
        <v>147</v>
      </c>
    </row>
    <row r="152" spans="1:23">
      <c r="A152" s="202" t="str">
        <f t="shared" si="15"/>
        <v>彰化縣大城鄉</v>
      </c>
      <c r="B152" s="190" t="s">
        <v>124</v>
      </c>
      <c r="C152" s="190" t="s">
        <v>148</v>
      </c>
      <c r="D152" s="191">
        <v>27.5</v>
      </c>
      <c r="E152" s="189">
        <v>527</v>
      </c>
      <c r="F152" s="192">
        <v>0.7</v>
      </c>
      <c r="G152" s="192">
        <v>0.4</v>
      </c>
      <c r="H152" s="192">
        <v>0.9</v>
      </c>
      <c r="I152" s="192">
        <v>0.5</v>
      </c>
      <c r="O152" s="192">
        <v>0.7</v>
      </c>
      <c r="P152" s="192">
        <v>0.4</v>
      </c>
      <c r="Q152" s="192">
        <v>0.9</v>
      </c>
      <c r="R152" s="192">
        <v>0.5</v>
      </c>
      <c r="T152" s="187">
        <v>0</v>
      </c>
      <c r="U152" s="193">
        <v>0.8</v>
      </c>
      <c r="V152" s="187" t="s">
        <v>124</v>
      </c>
      <c r="W152" s="187" t="s">
        <v>148</v>
      </c>
    </row>
    <row r="153" spans="1:23">
      <c r="A153" s="202" t="str">
        <f t="shared" si="15"/>
        <v>彰化縣竹塘鄉</v>
      </c>
      <c r="B153" s="190" t="s">
        <v>124</v>
      </c>
      <c r="C153" s="190" t="s">
        <v>149</v>
      </c>
      <c r="D153" s="191">
        <v>27.5</v>
      </c>
      <c r="E153" s="189">
        <v>525</v>
      </c>
      <c r="F153" s="192">
        <v>0.7</v>
      </c>
      <c r="G153" s="192">
        <v>0.4</v>
      </c>
      <c r="H153" s="192">
        <v>0.9</v>
      </c>
      <c r="I153" s="192">
        <v>0.5</v>
      </c>
      <c r="O153" s="192">
        <v>0.7</v>
      </c>
      <c r="P153" s="192">
        <v>0.4</v>
      </c>
      <c r="Q153" s="192">
        <v>0.9</v>
      </c>
      <c r="R153" s="192">
        <v>0.5</v>
      </c>
      <c r="T153" s="187">
        <v>0</v>
      </c>
      <c r="U153" s="193">
        <v>0.8</v>
      </c>
      <c r="V153" s="187" t="s">
        <v>124</v>
      </c>
      <c r="W153" s="187" t="s">
        <v>149</v>
      </c>
    </row>
    <row r="154" spans="1:23" ht="31.5">
      <c r="A154" s="202" t="str">
        <f t="shared" si="15"/>
        <v>彰化縣溪州鄉</v>
      </c>
      <c r="B154" s="190" t="s">
        <v>124</v>
      </c>
      <c r="C154" s="190" t="s">
        <v>150</v>
      </c>
      <c r="D154" s="191">
        <v>27.5</v>
      </c>
      <c r="E154" s="189">
        <v>524</v>
      </c>
      <c r="F154" s="206">
        <v>0.8</v>
      </c>
      <c r="G154" s="206">
        <v>0.45</v>
      </c>
      <c r="H154" s="206">
        <v>1</v>
      </c>
      <c r="I154" s="206">
        <v>0.55000000000000004</v>
      </c>
      <c r="J154" s="208" t="s">
        <v>1669</v>
      </c>
      <c r="O154" s="192">
        <v>0.7</v>
      </c>
      <c r="P154" s="192">
        <v>0.4</v>
      </c>
      <c r="Q154" s="192">
        <v>0.9</v>
      </c>
      <c r="R154" s="192">
        <v>0.5</v>
      </c>
      <c r="T154" s="187">
        <v>0</v>
      </c>
      <c r="U154" s="193">
        <v>0.8</v>
      </c>
      <c r="V154" s="187" t="s">
        <v>124</v>
      </c>
      <c r="W154" s="187" t="s">
        <v>150</v>
      </c>
    </row>
    <row r="155" spans="1:23" ht="31.5">
      <c r="A155" s="202" t="str">
        <f t="shared" ref="A155:A158" si="16">B155&amp;C155</f>
        <v>南投縣南投市</v>
      </c>
      <c r="B155" s="190" t="s">
        <v>151</v>
      </c>
      <c r="C155" s="190" t="s">
        <v>152</v>
      </c>
      <c r="D155" s="191">
        <v>27.5</v>
      </c>
      <c r="E155" s="189">
        <v>540</v>
      </c>
      <c r="F155" s="198">
        <v>0.8</v>
      </c>
      <c r="G155" s="198">
        <v>0.45</v>
      </c>
      <c r="H155" s="198">
        <v>1</v>
      </c>
      <c r="I155" s="198">
        <v>0.55000000000000004</v>
      </c>
      <c r="J155" s="208" t="s">
        <v>1592</v>
      </c>
      <c r="K155" s="375" t="s">
        <v>1803</v>
      </c>
      <c r="L155" s="376" t="s">
        <v>1804</v>
      </c>
      <c r="O155" s="192">
        <v>0.8</v>
      </c>
      <c r="P155" s="192">
        <v>0.45</v>
      </c>
      <c r="Q155" s="192">
        <v>1</v>
      </c>
      <c r="R155" s="192">
        <v>0.55000000000000004</v>
      </c>
      <c r="S155" s="187" t="s">
        <v>81</v>
      </c>
      <c r="T155" s="187">
        <v>6</v>
      </c>
      <c r="U155" s="193">
        <v>0.8</v>
      </c>
      <c r="V155" s="187" t="s">
        <v>151</v>
      </c>
      <c r="W155" s="187" t="s">
        <v>152</v>
      </c>
    </row>
    <row r="156" spans="1:23" ht="16.5">
      <c r="A156" s="202" t="str">
        <f t="shared" si="16"/>
        <v>南投縣埔里鎮</v>
      </c>
      <c r="B156" s="190" t="s">
        <v>151</v>
      </c>
      <c r="C156" s="190" t="s">
        <v>153</v>
      </c>
      <c r="D156" s="191">
        <v>27.5</v>
      </c>
      <c r="E156" s="189">
        <v>545</v>
      </c>
      <c r="F156" s="198">
        <v>0.7</v>
      </c>
      <c r="G156" s="198">
        <v>0.4</v>
      </c>
      <c r="H156" s="198">
        <v>0.9</v>
      </c>
      <c r="I156" s="198">
        <v>0.5</v>
      </c>
      <c r="J156" s="376" t="s">
        <v>1804</v>
      </c>
      <c r="O156" s="192">
        <v>0.7</v>
      </c>
      <c r="P156" s="192">
        <v>0.4</v>
      </c>
      <c r="Q156" s="192">
        <v>0.9</v>
      </c>
      <c r="R156" s="192">
        <v>0.5</v>
      </c>
      <c r="T156" s="187">
        <v>0</v>
      </c>
      <c r="U156" s="193">
        <v>0.8</v>
      </c>
      <c r="V156" s="187" t="s">
        <v>151</v>
      </c>
      <c r="W156" s="187" t="s">
        <v>153</v>
      </c>
    </row>
    <row r="157" spans="1:23" ht="31.5">
      <c r="A157" s="202" t="str">
        <f t="shared" si="16"/>
        <v>南投縣草屯鎮</v>
      </c>
      <c r="B157" s="190" t="s">
        <v>151</v>
      </c>
      <c r="C157" s="190" t="s">
        <v>154</v>
      </c>
      <c r="D157" s="191">
        <v>27.5</v>
      </c>
      <c r="E157" s="189">
        <v>542</v>
      </c>
      <c r="F157" s="198">
        <v>0.8</v>
      </c>
      <c r="G157" s="198">
        <v>0.45</v>
      </c>
      <c r="H157" s="198">
        <v>1</v>
      </c>
      <c r="I157" s="198">
        <v>0.55000000000000004</v>
      </c>
      <c r="J157" s="208" t="s">
        <v>1592</v>
      </c>
      <c r="K157" s="375" t="s">
        <v>1803</v>
      </c>
      <c r="L157" s="376" t="s">
        <v>1804</v>
      </c>
      <c r="O157" s="192">
        <v>0.8</v>
      </c>
      <c r="P157" s="192">
        <v>0.45</v>
      </c>
      <c r="Q157" s="192">
        <v>1</v>
      </c>
      <c r="R157" s="192">
        <v>0.55000000000000004</v>
      </c>
      <c r="S157" s="187" t="s">
        <v>81</v>
      </c>
      <c r="T157" s="187">
        <v>6</v>
      </c>
      <c r="U157" s="193">
        <v>0.8</v>
      </c>
      <c r="V157" s="187" t="s">
        <v>151</v>
      </c>
      <c r="W157" s="187" t="s">
        <v>154</v>
      </c>
    </row>
    <row r="158" spans="1:23" ht="31.5">
      <c r="A158" s="202" t="str">
        <f t="shared" si="16"/>
        <v>南投縣竹山鎮</v>
      </c>
      <c r="B158" s="190" t="s">
        <v>151</v>
      </c>
      <c r="C158" s="190" t="s">
        <v>155</v>
      </c>
      <c r="D158" s="191">
        <v>22.5</v>
      </c>
      <c r="E158" s="189">
        <v>557</v>
      </c>
      <c r="F158" s="198">
        <v>0.8</v>
      </c>
      <c r="G158" s="198">
        <v>0.45</v>
      </c>
      <c r="H158" s="198">
        <v>1</v>
      </c>
      <c r="I158" s="198">
        <v>0.55000000000000004</v>
      </c>
      <c r="J158" s="208" t="s">
        <v>1592</v>
      </c>
      <c r="K158" s="375" t="s">
        <v>1803</v>
      </c>
      <c r="L158" s="376" t="s">
        <v>1804</v>
      </c>
      <c r="M158" s="186" t="s">
        <v>1595</v>
      </c>
      <c r="O158" s="192">
        <v>0.8</v>
      </c>
      <c r="P158" s="192">
        <v>0.45</v>
      </c>
      <c r="Q158" s="192">
        <v>1</v>
      </c>
      <c r="R158" s="192">
        <v>0.55000000000000004</v>
      </c>
      <c r="S158" s="187" t="s">
        <v>364</v>
      </c>
      <c r="T158" s="187">
        <v>7</v>
      </c>
      <c r="U158" s="193">
        <v>0.8</v>
      </c>
      <c r="V158" s="187" t="s">
        <v>151</v>
      </c>
      <c r="W158" s="187" t="s">
        <v>155</v>
      </c>
    </row>
    <row r="159" spans="1:23" ht="16.5">
      <c r="A159" s="202" t="str">
        <f t="shared" ref="A159:A163" si="17">B159&amp;C159</f>
        <v>南投縣集集鎮</v>
      </c>
      <c r="B159" s="190" t="s">
        <v>151</v>
      </c>
      <c r="C159" s="190" t="s">
        <v>157</v>
      </c>
      <c r="D159" s="191">
        <v>22.5</v>
      </c>
      <c r="E159" s="189">
        <v>552</v>
      </c>
      <c r="F159" s="206">
        <v>0.8</v>
      </c>
      <c r="G159" s="206">
        <v>0.45</v>
      </c>
      <c r="H159" s="206">
        <v>1</v>
      </c>
      <c r="I159" s="206">
        <v>0.55000000000000004</v>
      </c>
      <c r="J159" s="375" t="s">
        <v>1803</v>
      </c>
      <c r="K159" s="376" t="s">
        <v>1804</v>
      </c>
      <c r="L159" s="208"/>
      <c r="O159" s="192">
        <v>0.8</v>
      </c>
      <c r="P159" s="192">
        <v>0.45</v>
      </c>
      <c r="Q159" s="192">
        <v>1</v>
      </c>
      <c r="R159" s="192">
        <v>0.5</v>
      </c>
      <c r="S159" s="187" t="s">
        <v>81</v>
      </c>
      <c r="T159" s="187">
        <v>6</v>
      </c>
      <c r="U159" s="193">
        <v>0.8</v>
      </c>
      <c r="V159" s="187" t="s">
        <v>151</v>
      </c>
      <c r="W159" s="187" t="s">
        <v>157</v>
      </c>
    </row>
    <row r="160" spans="1:23" ht="31.5">
      <c r="A160" s="202" t="str">
        <f t="shared" si="17"/>
        <v>南投縣名間鄉</v>
      </c>
      <c r="B160" s="190" t="s">
        <v>151</v>
      </c>
      <c r="C160" s="190" t="s">
        <v>158</v>
      </c>
      <c r="D160" s="191">
        <v>27.5</v>
      </c>
      <c r="E160" s="189">
        <v>551</v>
      </c>
      <c r="F160" s="206">
        <v>0.8</v>
      </c>
      <c r="G160" s="206">
        <v>0.45</v>
      </c>
      <c r="H160" s="206">
        <v>1</v>
      </c>
      <c r="I160" s="206">
        <v>0.55000000000000004</v>
      </c>
      <c r="J160" s="208" t="s">
        <v>1592</v>
      </c>
      <c r="K160" s="375" t="s">
        <v>1803</v>
      </c>
      <c r="L160" s="376" t="s">
        <v>1804</v>
      </c>
      <c r="O160" s="192">
        <v>0.8</v>
      </c>
      <c r="P160" s="192">
        <v>0.45</v>
      </c>
      <c r="Q160" s="192">
        <v>1</v>
      </c>
      <c r="R160" s="192">
        <v>0.55000000000000004</v>
      </c>
      <c r="S160" s="187" t="s">
        <v>81</v>
      </c>
      <c r="T160" s="187">
        <v>6</v>
      </c>
      <c r="U160" s="193">
        <v>0.8</v>
      </c>
      <c r="V160" s="187" t="s">
        <v>151</v>
      </c>
      <c r="W160" s="187" t="s">
        <v>158</v>
      </c>
    </row>
    <row r="161" spans="1:23" ht="31.5">
      <c r="A161" s="202" t="str">
        <f t="shared" si="17"/>
        <v>南投縣鹿谷鄉</v>
      </c>
      <c r="B161" s="190" t="s">
        <v>151</v>
      </c>
      <c r="C161" s="190" t="s">
        <v>159</v>
      </c>
      <c r="D161" s="191">
        <v>22.5</v>
      </c>
      <c r="E161" s="189">
        <v>558</v>
      </c>
      <c r="F161" s="206">
        <v>0.8</v>
      </c>
      <c r="G161" s="206">
        <v>0.45</v>
      </c>
      <c r="H161" s="206">
        <v>1</v>
      </c>
      <c r="I161" s="206">
        <v>0.55000000000000004</v>
      </c>
      <c r="J161" s="375" t="s">
        <v>1803</v>
      </c>
      <c r="K161" s="376" t="s">
        <v>1804</v>
      </c>
      <c r="L161" s="186" t="s">
        <v>1595</v>
      </c>
      <c r="O161" s="192">
        <v>0.8</v>
      </c>
      <c r="P161" s="192">
        <v>0.45</v>
      </c>
      <c r="Q161" s="192">
        <v>1</v>
      </c>
      <c r="R161" s="192">
        <v>0.5</v>
      </c>
      <c r="S161" s="187" t="s">
        <v>156</v>
      </c>
      <c r="T161" s="187">
        <v>8</v>
      </c>
      <c r="U161" s="193">
        <v>0.8</v>
      </c>
      <c r="V161" s="187" t="s">
        <v>151</v>
      </c>
      <c r="W161" s="187" t="s">
        <v>159</v>
      </c>
    </row>
    <row r="162" spans="1:23" ht="31.5">
      <c r="A162" s="202" t="str">
        <f t="shared" si="17"/>
        <v>南投縣中寮鄉</v>
      </c>
      <c r="B162" s="190" t="s">
        <v>151</v>
      </c>
      <c r="C162" s="190" t="s">
        <v>160</v>
      </c>
      <c r="D162" s="191">
        <v>27.5</v>
      </c>
      <c r="E162" s="189">
        <v>541</v>
      </c>
      <c r="F162" s="206">
        <v>0.8</v>
      </c>
      <c r="G162" s="206">
        <v>0.45</v>
      </c>
      <c r="H162" s="206">
        <v>1</v>
      </c>
      <c r="I162" s="206">
        <v>0.55000000000000004</v>
      </c>
      <c r="J162" s="208" t="s">
        <v>1592</v>
      </c>
      <c r="K162" s="375" t="s">
        <v>1803</v>
      </c>
      <c r="L162" s="376" t="s">
        <v>1804</v>
      </c>
      <c r="O162" s="192">
        <v>0.8</v>
      </c>
      <c r="P162" s="192">
        <v>0.45</v>
      </c>
      <c r="Q162" s="192">
        <v>1</v>
      </c>
      <c r="R162" s="192">
        <v>0.55000000000000004</v>
      </c>
      <c r="S162" s="187" t="s">
        <v>81</v>
      </c>
      <c r="T162" s="187">
        <v>6</v>
      </c>
      <c r="U162" s="193">
        <v>0.8</v>
      </c>
      <c r="V162" s="187" t="s">
        <v>151</v>
      </c>
      <c r="W162" s="187" t="s">
        <v>160</v>
      </c>
    </row>
    <row r="163" spans="1:23" ht="16.5">
      <c r="A163" s="202" t="str">
        <f t="shared" si="17"/>
        <v>南投縣魚池鄉</v>
      </c>
      <c r="B163" s="190" t="s">
        <v>151</v>
      </c>
      <c r="C163" s="190" t="s">
        <v>161</v>
      </c>
      <c r="D163" s="191">
        <v>27.5</v>
      </c>
      <c r="E163" s="189">
        <v>555</v>
      </c>
      <c r="F163" s="198">
        <v>0.7</v>
      </c>
      <c r="G163" s="198">
        <v>0.4</v>
      </c>
      <c r="H163" s="198">
        <v>0.9</v>
      </c>
      <c r="I163" s="198">
        <v>0.5</v>
      </c>
      <c r="J163" s="376" t="s">
        <v>1804</v>
      </c>
      <c r="O163" s="192">
        <v>0.7</v>
      </c>
      <c r="P163" s="192">
        <v>0.4</v>
      </c>
      <c r="Q163" s="192">
        <v>0.9</v>
      </c>
      <c r="R163" s="192">
        <v>0.5</v>
      </c>
      <c r="T163" s="187">
        <v>0</v>
      </c>
      <c r="U163" s="193">
        <v>0.8</v>
      </c>
      <c r="V163" s="187" t="s">
        <v>151</v>
      </c>
      <c r="W163" s="187" t="s">
        <v>161</v>
      </c>
    </row>
    <row r="164" spans="1:23" ht="16.5">
      <c r="A164" s="202" t="str">
        <f t="shared" ref="A164:A167" si="18">B164&amp;C164</f>
        <v>南投縣國姓鄉</v>
      </c>
      <c r="B164" s="190" t="s">
        <v>151</v>
      </c>
      <c r="C164" s="190" t="s">
        <v>162</v>
      </c>
      <c r="D164" s="191">
        <v>27.5</v>
      </c>
      <c r="E164" s="189">
        <v>544</v>
      </c>
      <c r="F164" s="206">
        <v>0.8</v>
      </c>
      <c r="G164" s="206">
        <v>0.45</v>
      </c>
      <c r="H164" s="206">
        <v>1</v>
      </c>
      <c r="I164" s="206">
        <v>0.55000000000000004</v>
      </c>
      <c r="J164" s="375" t="s">
        <v>1803</v>
      </c>
      <c r="K164" s="376" t="s">
        <v>1804</v>
      </c>
      <c r="O164" s="192">
        <v>0.7</v>
      </c>
      <c r="P164" s="192">
        <v>0.4</v>
      </c>
      <c r="Q164" s="192">
        <v>0.9</v>
      </c>
      <c r="R164" s="192">
        <v>0.5</v>
      </c>
      <c r="S164" s="187" t="s">
        <v>81</v>
      </c>
      <c r="T164" s="187">
        <v>6</v>
      </c>
      <c r="U164" s="193">
        <v>0.8</v>
      </c>
      <c r="V164" s="187" t="s">
        <v>151</v>
      </c>
      <c r="W164" s="187" t="s">
        <v>162</v>
      </c>
    </row>
    <row r="165" spans="1:23" ht="16.5">
      <c r="A165" s="202" t="str">
        <f t="shared" si="18"/>
        <v>南投縣水里鄉</v>
      </c>
      <c r="B165" s="190" t="s">
        <v>151</v>
      </c>
      <c r="C165" s="190" t="s">
        <v>163</v>
      </c>
      <c r="D165" s="191">
        <v>22.5</v>
      </c>
      <c r="E165" s="189">
        <v>553</v>
      </c>
      <c r="F165" s="206">
        <v>0.8</v>
      </c>
      <c r="G165" s="206">
        <v>0.45</v>
      </c>
      <c r="H165" s="206">
        <v>1</v>
      </c>
      <c r="I165" s="206">
        <v>0.55000000000000004</v>
      </c>
      <c r="J165" s="375" t="s">
        <v>1803</v>
      </c>
      <c r="K165" s="376" t="s">
        <v>1804</v>
      </c>
      <c r="O165" s="192">
        <v>0.7</v>
      </c>
      <c r="P165" s="192">
        <v>0.4</v>
      </c>
      <c r="Q165" s="192">
        <v>0.9</v>
      </c>
      <c r="R165" s="192">
        <v>0.5</v>
      </c>
      <c r="S165" s="187" t="s">
        <v>81</v>
      </c>
      <c r="T165" s="187">
        <v>6</v>
      </c>
      <c r="U165" s="193">
        <v>0.8</v>
      </c>
      <c r="V165" s="187" t="s">
        <v>151</v>
      </c>
      <c r="W165" s="187" t="s">
        <v>163</v>
      </c>
    </row>
    <row r="166" spans="1:23" ht="16.5">
      <c r="A166" s="202" t="str">
        <f t="shared" si="18"/>
        <v>南投縣信義鄉</v>
      </c>
      <c r="B166" s="190" t="s">
        <v>151</v>
      </c>
      <c r="C166" s="190" t="s">
        <v>164</v>
      </c>
      <c r="D166" s="191">
        <v>37.5</v>
      </c>
      <c r="E166" s="189">
        <v>556</v>
      </c>
      <c r="F166" s="198">
        <v>0.7</v>
      </c>
      <c r="G166" s="198">
        <v>0.4</v>
      </c>
      <c r="H166" s="198">
        <v>0.9</v>
      </c>
      <c r="I166" s="198">
        <v>0.5</v>
      </c>
      <c r="J166" s="376" t="s">
        <v>1804</v>
      </c>
      <c r="O166" s="192">
        <v>0.7</v>
      </c>
      <c r="P166" s="192">
        <v>0.4</v>
      </c>
      <c r="Q166" s="192">
        <v>0.9</v>
      </c>
      <c r="R166" s="192">
        <v>0.5</v>
      </c>
      <c r="T166" s="187">
        <v>0</v>
      </c>
      <c r="U166" s="193">
        <v>0.8</v>
      </c>
      <c r="V166" s="187" t="s">
        <v>151</v>
      </c>
      <c r="W166" s="187" t="s">
        <v>164</v>
      </c>
    </row>
    <row r="167" spans="1:23" ht="16.5">
      <c r="A167" s="202" t="str">
        <f t="shared" si="18"/>
        <v>南投縣仁愛鄉</v>
      </c>
      <c r="B167" s="190" t="s">
        <v>151</v>
      </c>
      <c r="C167" s="190" t="s">
        <v>165</v>
      </c>
      <c r="D167" s="191">
        <v>32.5</v>
      </c>
      <c r="E167" s="189">
        <v>546</v>
      </c>
      <c r="F167" s="198">
        <v>0.7</v>
      </c>
      <c r="G167" s="198">
        <v>0.4</v>
      </c>
      <c r="H167" s="198">
        <v>0.9</v>
      </c>
      <c r="I167" s="198">
        <v>0.5</v>
      </c>
      <c r="O167" s="192">
        <v>0.7</v>
      </c>
      <c r="P167" s="192">
        <v>0.4</v>
      </c>
      <c r="Q167" s="192">
        <v>0.9</v>
      </c>
      <c r="R167" s="192">
        <v>0.5</v>
      </c>
      <c r="T167" s="187">
        <v>0</v>
      </c>
      <c r="U167" s="193">
        <v>0.8</v>
      </c>
      <c r="V167" s="187" t="s">
        <v>151</v>
      </c>
      <c r="W167" s="187" t="s">
        <v>165</v>
      </c>
    </row>
    <row r="168" spans="1:23" ht="31.5">
      <c r="A168" s="202" t="str">
        <f>B168&amp;C168</f>
        <v>雲林縣斗六市</v>
      </c>
      <c r="B168" s="190" t="s">
        <v>166</v>
      </c>
      <c r="C168" s="190" t="s">
        <v>167</v>
      </c>
      <c r="D168" s="191">
        <v>27.5</v>
      </c>
      <c r="E168" s="189">
        <v>640</v>
      </c>
      <c r="F168" s="198">
        <v>0.8</v>
      </c>
      <c r="G168" s="198">
        <v>0.45</v>
      </c>
      <c r="H168" s="198">
        <v>1</v>
      </c>
      <c r="I168" s="198">
        <v>0.55000000000000004</v>
      </c>
      <c r="J168" s="208" t="s">
        <v>1592</v>
      </c>
      <c r="K168" s="375" t="s">
        <v>1803</v>
      </c>
      <c r="L168" s="186" t="s">
        <v>1508</v>
      </c>
      <c r="M168" s="186" t="s">
        <v>1595</v>
      </c>
      <c r="O168" s="192">
        <v>0.8</v>
      </c>
      <c r="P168" s="192">
        <v>0.45</v>
      </c>
      <c r="Q168" s="192">
        <v>1</v>
      </c>
      <c r="R168" s="192">
        <v>0.55000000000000004</v>
      </c>
      <c r="S168" s="187" t="s">
        <v>367</v>
      </c>
      <c r="T168" s="187">
        <v>7</v>
      </c>
      <c r="U168" s="203">
        <v>1</v>
      </c>
      <c r="V168" s="187" t="s">
        <v>166</v>
      </c>
      <c r="W168" s="187" t="s">
        <v>167</v>
      </c>
    </row>
    <row r="169" spans="1:23" ht="16.5">
      <c r="A169" s="202" t="str">
        <f t="shared" ref="A169:A232" si="19">B169&amp;C169</f>
        <v>雲林縣斗南鎮</v>
      </c>
      <c r="B169" s="190" t="s">
        <v>166</v>
      </c>
      <c r="C169" s="190" t="s">
        <v>168</v>
      </c>
      <c r="D169" s="191">
        <v>27.5</v>
      </c>
      <c r="E169" s="189">
        <v>630</v>
      </c>
      <c r="F169" s="198">
        <v>0.7</v>
      </c>
      <c r="G169" s="198">
        <v>0.4</v>
      </c>
      <c r="H169" s="198">
        <v>0.9</v>
      </c>
      <c r="I169" s="198">
        <v>0.5</v>
      </c>
      <c r="J169" s="186" t="s">
        <v>169</v>
      </c>
      <c r="O169" s="192">
        <v>0.7</v>
      </c>
      <c r="P169" s="192">
        <v>0.4</v>
      </c>
      <c r="Q169" s="192">
        <v>0.9</v>
      </c>
      <c r="R169" s="192">
        <v>0.5</v>
      </c>
      <c r="S169" s="187" t="s">
        <v>169</v>
      </c>
      <c r="T169" s="187">
        <v>9</v>
      </c>
      <c r="U169" s="203">
        <v>1</v>
      </c>
      <c r="V169" s="187" t="s">
        <v>166</v>
      </c>
      <c r="W169" s="187" t="s">
        <v>168</v>
      </c>
    </row>
    <row r="170" spans="1:23" ht="16.5">
      <c r="A170" s="202" t="str">
        <f t="shared" si="19"/>
        <v>雲林縣虎尾鎮</v>
      </c>
      <c r="B170" s="190" t="s">
        <v>166</v>
      </c>
      <c r="C170" s="190" t="s">
        <v>170</v>
      </c>
      <c r="D170" s="191">
        <v>27.5</v>
      </c>
      <c r="E170" s="189">
        <v>632</v>
      </c>
      <c r="F170" s="198">
        <v>0.7</v>
      </c>
      <c r="G170" s="198">
        <v>0.4</v>
      </c>
      <c r="H170" s="198">
        <v>0.9</v>
      </c>
      <c r="I170" s="198">
        <v>0.5</v>
      </c>
      <c r="O170" s="192">
        <v>0.7</v>
      </c>
      <c r="P170" s="192">
        <v>0.4</v>
      </c>
      <c r="Q170" s="192">
        <v>0.9</v>
      </c>
      <c r="R170" s="192">
        <v>0.5</v>
      </c>
      <c r="T170" s="187">
        <v>0</v>
      </c>
      <c r="U170" s="193">
        <v>0.8</v>
      </c>
      <c r="V170" s="187" t="s">
        <v>166</v>
      </c>
      <c r="W170" s="187" t="s">
        <v>170</v>
      </c>
    </row>
    <row r="171" spans="1:23" ht="31.5">
      <c r="A171" s="202" t="str">
        <f t="shared" si="19"/>
        <v>雲林縣西螺鎮</v>
      </c>
      <c r="B171" s="190" t="s">
        <v>166</v>
      </c>
      <c r="C171" s="190" t="s">
        <v>171</v>
      </c>
      <c r="D171" s="191">
        <v>27.5</v>
      </c>
      <c r="E171" s="189">
        <v>648</v>
      </c>
      <c r="F171" s="198">
        <v>0.7</v>
      </c>
      <c r="G171" s="198">
        <v>0.4</v>
      </c>
      <c r="H171" s="198">
        <v>0.9</v>
      </c>
      <c r="I171" s="198">
        <v>0.5</v>
      </c>
      <c r="J171" s="208" t="s">
        <v>1592</v>
      </c>
      <c r="O171" s="192">
        <v>0.7</v>
      </c>
      <c r="P171" s="192">
        <v>0.4</v>
      </c>
      <c r="Q171" s="192">
        <v>0.9</v>
      </c>
      <c r="R171" s="192">
        <v>0.5</v>
      </c>
      <c r="T171" s="187">
        <v>0</v>
      </c>
      <c r="U171" s="193">
        <v>0.8</v>
      </c>
      <c r="V171" s="187" t="s">
        <v>166</v>
      </c>
      <c r="W171" s="187" t="s">
        <v>171</v>
      </c>
    </row>
    <row r="172" spans="1:23" ht="16.5">
      <c r="A172" s="202" t="str">
        <f t="shared" si="19"/>
        <v>雲林縣土庫鎮</v>
      </c>
      <c r="B172" s="190" t="s">
        <v>166</v>
      </c>
      <c r="C172" s="190" t="s">
        <v>172</v>
      </c>
      <c r="D172" s="191">
        <v>27.5</v>
      </c>
      <c r="E172" s="189">
        <v>633</v>
      </c>
      <c r="F172" s="198">
        <v>0.7</v>
      </c>
      <c r="G172" s="198">
        <v>0.4</v>
      </c>
      <c r="H172" s="198">
        <v>0.9</v>
      </c>
      <c r="I172" s="198">
        <v>0.5</v>
      </c>
      <c r="O172" s="192">
        <v>0.7</v>
      </c>
      <c r="P172" s="192">
        <v>0.4</v>
      </c>
      <c r="Q172" s="192">
        <v>0.9</v>
      </c>
      <c r="R172" s="192">
        <v>0.5</v>
      </c>
      <c r="T172" s="187">
        <v>0</v>
      </c>
      <c r="U172" s="193">
        <v>0.8</v>
      </c>
      <c r="V172" s="187" t="s">
        <v>166</v>
      </c>
      <c r="W172" s="187" t="s">
        <v>172</v>
      </c>
    </row>
    <row r="173" spans="1:23" ht="16.5">
      <c r="A173" s="202" t="str">
        <f t="shared" si="19"/>
        <v>雲林縣北港鎮</v>
      </c>
      <c r="B173" s="190" t="s">
        <v>166</v>
      </c>
      <c r="C173" s="190" t="s">
        <v>173</v>
      </c>
      <c r="D173" s="191">
        <v>27.5</v>
      </c>
      <c r="E173" s="189">
        <v>651</v>
      </c>
      <c r="F173" s="198">
        <v>0.7</v>
      </c>
      <c r="G173" s="198">
        <v>0.4</v>
      </c>
      <c r="H173" s="198">
        <v>0.9</v>
      </c>
      <c r="I173" s="198">
        <v>0.5</v>
      </c>
      <c r="O173" s="192">
        <v>0.7</v>
      </c>
      <c r="P173" s="192">
        <v>0.4</v>
      </c>
      <c r="Q173" s="192">
        <v>0.9</v>
      </c>
      <c r="R173" s="192">
        <v>0.5</v>
      </c>
      <c r="T173" s="187">
        <v>0</v>
      </c>
      <c r="U173" s="193">
        <v>0.8</v>
      </c>
      <c r="V173" s="187" t="s">
        <v>166</v>
      </c>
      <c r="W173" s="187" t="s">
        <v>173</v>
      </c>
    </row>
    <row r="174" spans="1:23" ht="31.5">
      <c r="A174" s="202" t="str">
        <f t="shared" si="19"/>
        <v>雲林縣古坑鄉</v>
      </c>
      <c r="B174" s="190" t="s">
        <v>166</v>
      </c>
      <c r="C174" s="190" t="s">
        <v>174</v>
      </c>
      <c r="D174" s="191">
        <v>27.5</v>
      </c>
      <c r="E174" s="189">
        <v>646</v>
      </c>
      <c r="F174" s="198">
        <v>0.8</v>
      </c>
      <c r="G174" s="198">
        <v>0.45</v>
      </c>
      <c r="H174" s="198">
        <v>1</v>
      </c>
      <c r="I174" s="198">
        <v>0.55000000000000004</v>
      </c>
      <c r="J174" s="208" t="s">
        <v>1657</v>
      </c>
      <c r="K174" s="208" t="s">
        <v>1658</v>
      </c>
      <c r="L174" s="208" t="s">
        <v>1594</v>
      </c>
      <c r="O174" s="192">
        <v>0.8</v>
      </c>
      <c r="P174" s="192">
        <v>0.45</v>
      </c>
      <c r="Q174" s="192">
        <v>1</v>
      </c>
      <c r="R174" s="192">
        <v>0.55000000000000004</v>
      </c>
      <c r="S174" s="187" t="s">
        <v>368</v>
      </c>
      <c r="T174" s="187">
        <v>10</v>
      </c>
      <c r="U174" s="203">
        <v>1</v>
      </c>
      <c r="V174" s="187" t="s">
        <v>166</v>
      </c>
      <c r="W174" s="187" t="s">
        <v>174</v>
      </c>
    </row>
    <row r="175" spans="1:23" ht="16.5">
      <c r="A175" s="202" t="str">
        <f t="shared" si="19"/>
        <v>雲林縣大埤鄉</v>
      </c>
      <c r="B175" s="190" t="s">
        <v>166</v>
      </c>
      <c r="C175" s="190" t="s">
        <v>175</v>
      </c>
      <c r="D175" s="191">
        <v>27.5</v>
      </c>
      <c r="E175" s="189">
        <v>631</v>
      </c>
      <c r="F175" s="198">
        <v>0.7</v>
      </c>
      <c r="G175" s="198">
        <v>0.4</v>
      </c>
      <c r="H175" s="198">
        <v>0.9</v>
      </c>
      <c r="I175" s="198">
        <v>0.5</v>
      </c>
      <c r="J175" s="186" t="s">
        <v>169</v>
      </c>
      <c r="O175" s="192">
        <v>0.7</v>
      </c>
      <c r="P175" s="192">
        <v>0.4</v>
      </c>
      <c r="Q175" s="192">
        <v>0.9</v>
      </c>
      <c r="R175" s="192">
        <v>0.5</v>
      </c>
      <c r="S175" s="187" t="s">
        <v>169</v>
      </c>
      <c r="T175" s="187">
        <v>9</v>
      </c>
      <c r="U175" s="193">
        <v>0.8</v>
      </c>
      <c r="V175" s="187" t="s">
        <v>166</v>
      </c>
      <c r="W175" s="187" t="s">
        <v>175</v>
      </c>
    </row>
    <row r="176" spans="1:23" ht="31.5">
      <c r="A176" s="202" t="str">
        <f t="shared" si="19"/>
        <v>雲林縣莿桐鄉</v>
      </c>
      <c r="B176" s="190" t="s">
        <v>166</v>
      </c>
      <c r="C176" s="190" t="s">
        <v>176</v>
      </c>
      <c r="D176" s="191">
        <v>27.5</v>
      </c>
      <c r="E176" s="189">
        <v>647</v>
      </c>
      <c r="F176" s="198">
        <v>0.8</v>
      </c>
      <c r="G176" s="198">
        <v>0.45</v>
      </c>
      <c r="H176" s="198">
        <v>1</v>
      </c>
      <c r="I176" s="198">
        <v>0.55000000000000004</v>
      </c>
      <c r="J176" s="208" t="s">
        <v>1592</v>
      </c>
      <c r="O176" s="192">
        <v>0.7</v>
      </c>
      <c r="P176" s="192">
        <v>0.4</v>
      </c>
      <c r="Q176" s="192">
        <v>0.9</v>
      </c>
      <c r="R176" s="192">
        <v>0.5</v>
      </c>
      <c r="T176" s="187">
        <v>0</v>
      </c>
      <c r="U176" s="193">
        <v>0.8</v>
      </c>
      <c r="V176" s="187" t="s">
        <v>166</v>
      </c>
      <c r="W176" s="187" t="s">
        <v>176</v>
      </c>
    </row>
    <row r="177" spans="1:23" ht="31.5">
      <c r="A177" s="202" t="str">
        <f t="shared" si="19"/>
        <v>雲林縣林內鄉</v>
      </c>
      <c r="B177" s="190" t="s">
        <v>166</v>
      </c>
      <c r="C177" s="190" t="s">
        <v>177</v>
      </c>
      <c r="D177" s="191">
        <v>27.5</v>
      </c>
      <c r="E177" s="189">
        <v>643</v>
      </c>
      <c r="F177" s="198">
        <v>0.8</v>
      </c>
      <c r="G177" s="198">
        <v>0.45</v>
      </c>
      <c r="H177" s="198">
        <v>1</v>
      </c>
      <c r="I177" s="198">
        <v>0.55000000000000004</v>
      </c>
      <c r="J177" s="208" t="s">
        <v>1592</v>
      </c>
      <c r="K177" s="375" t="s">
        <v>1803</v>
      </c>
      <c r="L177" s="208" t="s">
        <v>1595</v>
      </c>
      <c r="O177" s="192">
        <v>0.8</v>
      </c>
      <c r="P177" s="192">
        <v>0.45</v>
      </c>
      <c r="Q177" s="192">
        <v>1</v>
      </c>
      <c r="R177" s="192">
        <v>0.55000000000000004</v>
      </c>
      <c r="S177" s="187" t="s">
        <v>367</v>
      </c>
      <c r="T177" s="187">
        <v>7</v>
      </c>
      <c r="U177" s="193">
        <v>0.8</v>
      </c>
      <c r="V177" s="187" t="s">
        <v>166</v>
      </c>
      <c r="W177" s="187" t="s">
        <v>177</v>
      </c>
    </row>
    <row r="178" spans="1:23" ht="16.5">
      <c r="A178" s="202" t="str">
        <f t="shared" si="19"/>
        <v>雲林縣二崙鄉</v>
      </c>
      <c r="B178" s="190" t="s">
        <v>166</v>
      </c>
      <c r="C178" s="190" t="s">
        <v>178</v>
      </c>
      <c r="D178" s="191">
        <v>27.5</v>
      </c>
      <c r="E178" s="189">
        <v>649</v>
      </c>
      <c r="F178" s="198">
        <v>0.7</v>
      </c>
      <c r="G178" s="198">
        <v>0.4</v>
      </c>
      <c r="H178" s="198">
        <v>0.9</v>
      </c>
      <c r="I178" s="198">
        <v>0.5</v>
      </c>
      <c r="O178" s="192">
        <v>0.7</v>
      </c>
      <c r="P178" s="192">
        <v>0.4</v>
      </c>
      <c r="Q178" s="192">
        <v>0.9</v>
      </c>
      <c r="R178" s="192">
        <v>0.5</v>
      </c>
      <c r="T178" s="187">
        <v>0</v>
      </c>
      <c r="U178" s="193">
        <v>0.8</v>
      </c>
      <c r="V178" s="187" t="s">
        <v>166</v>
      </c>
      <c r="W178" s="187" t="s">
        <v>178</v>
      </c>
    </row>
    <row r="179" spans="1:23" ht="16.5">
      <c r="A179" s="202" t="str">
        <f t="shared" si="19"/>
        <v>雲林縣崙背鄉</v>
      </c>
      <c r="B179" s="190" t="s">
        <v>166</v>
      </c>
      <c r="C179" s="190" t="s">
        <v>179</v>
      </c>
      <c r="D179" s="191">
        <v>27.5</v>
      </c>
      <c r="E179" s="189">
        <v>637</v>
      </c>
      <c r="F179" s="198">
        <v>0.7</v>
      </c>
      <c r="G179" s="198">
        <v>0.4</v>
      </c>
      <c r="H179" s="198">
        <v>0.9</v>
      </c>
      <c r="I179" s="198">
        <v>0.5</v>
      </c>
      <c r="O179" s="192">
        <v>0.7</v>
      </c>
      <c r="P179" s="192">
        <v>0.4</v>
      </c>
      <c r="Q179" s="192">
        <v>0.9</v>
      </c>
      <c r="R179" s="192">
        <v>0.5</v>
      </c>
      <c r="T179" s="187">
        <v>0</v>
      </c>
      <c r="U179" s="193">
        <v>0.8</v>
      </c>
      <c r="V179" s="187" t="s">
        <v>166</v>
      </c>
      <c r="W179" s="187" t="s">
        <v>179</v>
      </c>
    </row>
    <row r="180" spans="1:23" ht="16.5">
      <c r="A180" s="202" t="str">
        <f t="shared" si="19"/>
        <v>雲林縣麥寮鄉</v>
      </c>
      <c r="B180" s="190" t="s">
        <v>166</v>
      </c>
      <c r="C180" s="190" t="s">
        <v>180</v>
      </c>
      <c r="D180" s="191">
        <v>27.5</v>
      </c>
      <c r="E180" s="189">
        <v>638</v>
      </c>
      <c r="F180" s="198">
        <v>0.7</v>
      </c>
      <c r="G180" s="198">
        <v>0.4</v>
      </c>
      <c r="H180" s="198">
        <v>0.9</v>
      </c>
      <c r="I180" s="198">
        <v>0.5</v>
      </c>
      <c r="O180" s="192">
        <v>0.7</v>
      </c>
      <c r="P180" s="192">
        <v>0.4</v>
      </c>
      <c r="Q180" s="192">
        <v>0.9</v>
      </c>
      <c r="R180" s="192">
        <v>0.5</v>
      </c>
      <c r="T180" s="187">
        <v>0</v>
      </c>
      <c r="U180" s="193">
        <v>0.8</v>
      </c>
      <c r="V180" s="187" t="s">
        <v>166</v>
      </c>
      <c r="W180" s="187" t="s">
        <v>180</v>
      </c>
    </row>
    <row r="181" spans="1:23" ht="16.5">
      <c r="A181" s="202" t="str">
        <f t="shared" si="19"/>
        <v>雲林縣東勢鄉</v>
      </c>
      <c r="B181" s="190" t="s">
        <v>166</v>
      </c>
      <c r="C181" s="190" t="s">
        <v>181</v>
      </c>
      <c r="D181" s="191">
        <v>27.5</v>
      </c>
      <c r="E181" s="189">
        <v>635</v>
      </c>
      <c r="F181" s="198">
        <v>0.7</v>
      </c>
      <c r="G181" s="198">
        <v>0.4</v>
      </c>
      <c r="H181" s="198">
        <v>0.9</v>
      </c>
      <c r="I181" s="198">
        <v>0.5</v>
      </c>
      <c r="O181" s="192">
        <v>0.7</v>
      </c>
      <c r="P181" s="192">
        <v>0.4</v>
      </c>
      <c r="Q181" s="192">
        <v>0.9</v>
      </c>
      <c r="R181" s="192">
        <v>0.5</v>
      </c>
      <c r="T181" s="187">
        <v>0</v>
      </c>
      <c r="U181" s="193">
        <v>0.8</v>
      </c>
      <c r="V181" s="187" t="s">
        <v>166</v>
      </c>
      <c r="W181" s="187" t="s">
        <v>181</v>
      </c>
    </row>
    <row r="182" spans="1:23" ht="16.5">
      <c r="A182" s="202" t="str">
        <f t="shared" si="19"/>
        <v>雲林縣褒忠鄉</v>
      </c>
      <c r="B182" s="190" t="s">
        <v>166</v>
      </c>
      <c r="C182" s="190" t="s">
        <v>182</v>
      </c>
      <c r="D182" s="191">
        <v>27.5</v>
      </c>
      <c r="E182" s="189">
        <v>634</v>
      </c>
      <c r="F182" s="198">
        <v>0.7</v>
      </c>
      <c r="G182" s="198">
        <v>0.4</v>
      </c>
      <c r="H182" s="198">
        <v>0.9</v>
      </c>
      <c r="I182" s="198">
        <v>0.5</v>
      </c>
      <c r="O182" s="192">
        <v>0.7</v>
      </c>
      <c r="P182" s="192">
        <v>0.4</v>
      </c>
      <c r="Q182" s="192">
        <v>0.9</v>
      </c>
      <c r="R182" s="192">
        <v>0.5</v>
      </c>
      <c r="T182" s="187">
        <v>0</v>
      </c>
      <c r="U182" s="193">
        <v>0.8</v>
      </c>
      <c r="V182" s="187" t="s">
        <v>166</v>
      </c>
      <c r="W182" s="187" t="s">
        <v>182</v>
      </c>
    </row>
    <row r="183" spans="1:23" ht="16.5">
      <c r="A183" s="202" t="str">
        <f t="shared" si="19"/>
        <v>雲林縣臺西鄉</v>
      </c>
      <c r="B183" s="190" t="s">
        <v>166</v>
      </c>
      <c r="C183" s="190" t="s">
        <v>1645</v>
      </c>
      <c r="D183" s="191">
        <v>27.5</v>
      </c>
      <c r="E183" s="189">
        <v>636</v>
      </c>
      <c r="F183" s="198">
        <v>0.7</v>
      </c>
      <c r="G183" s="198">
        <v>0.4</v>
      </c>
      <c r="H183" s="198">
        <v>0.9</v>
      </c>
      <c r="I183" s="198">
        <v>0.5</v>
      </c>
      <c r="O183" s="192">
        <v>0.7</v>
      </c>
      <c r="P183" s="192">
        <v>0.4</v>
      </c>
      <c r="Q183" s="192">
        <v>0.9</v>
      </c>
      <c r="R183" s="192">
        <v>0.5</v>
      </c>
      <c r="T183" s="187">
        <v>0</v>
      </c>
      <c r="U183" s="193">
        <v>0.8</v>
      </c>
      <c r="V183" s="187" t="s">
        <v>166</v>
      </c>
      <c r="W183" s="187" t="s">
        <v>183</v>
      </c>
    </row>
    <row r="184" spans="1:23" ht="16.5">
      <c r="A184" s="202" t="str">
        <f t="shared" si="19"/>
        <v>雲林縣元長鄉</v>
      </c>
      <c r="B184" s="190" t="s">
        <v>166</v>
      </c>
      <c r="C184" s="190" t="s">
        <v>184</v>
      </c>
      <c r="D184" s="191">
        <v>27.5</v>
      </c>
      <c r="E184" s="189">
        <v>655</v>
      </c>
      <c r="F184" s="198">
        <v>0.7</v>
      </c>
      <c r="G184" s="198">
        <v>0.4</v>
      </c>
      <c r="H184" s="198">
        <v>0.9</v>
      </c>
      <c r="I184" s="198">
        <v>0.5</v>
      </c>
      <c r="O184" s="192">
        <v>0.7</v>
      </c>
      <c r="P184" s="192">
        <v>0.4</v>
      </c>
      <c r="Q184" s="192">
        <v>0.9</v>
      </c>
      <c r="R184" s="192">
        <v>0.5</v>
      </c>
      <c r="T184" s="187">
        <v>0</v>
      </c>
      <c r="U184" s="193">
        <v>0.8</v>
      </c>
      <c r="V184" s="187" t="s">
        <v>166</v>
      </c>
      <c r="W184" s="187" t="s">
        <v>184</v>
      </c>
    </row>
    <row r="185" spans="1:23" ht="16.5">
      <c r="A185" s="202" t="str">
        <f t="shared" si="19"/>
        <v>雲林縣四湖鄉</v>
      </c>
      <c r="B185" s="190" t="s">
        <v>166</v>
      </c>
      <c r="C185" s="190" t="s">
        <v>185</v>
      </c>
      <c r="D185" s="191">
        <v>32.5</v>
      </c>
      <c r="E185" s="189">
        <v>654</v>
      </c>
      <c r="F185" s="198">
        <v>0.7</v>
      </c>
      <c r="G185" s="198">
        <v>0.4</v>
      </c>
      <c r="H185" s="198">
        <v>0.9</v>
      </c>
      <c r="I185" s="198">
        <v>0.5</v>
      </c>
      <c r="O185" s="192">
        <v>0.7</v>
      </c>
      <c r="P185" s="192">
        <v>0.4</v>
      </c>
      <c r="Q185" s="192">
        <v>0.9</v>
      </c>
      <c r="R185" s="192">
        <v>0.5</v>
      </c>
      <c r="T185" s="187">
        <v>0</v>
      </c>
      <c r="U185" s="193">
        <v>0.8</v>
      </c>
      <c r="V185" s="187" t="s">
        <v>166</v>
      </c>
      <c r="W185" s="187" t="s">
        <v>185</v>
      </c>
    </row>
    <row r="186" spans="1:23" ht="16.5">
      <c r="A186" s="202" t="str">
        <f t="shared" si="19"/>
        <v>雲林縣口湖鄉</v>
      </c>
      <c r="B186" s="190" t="s">
        <v>166</v>
      </c>
      <c r="C186" s="190" t="s">
        <v>186</v>
      </c>
      <c r="D186" s="191">
        <v>32.5</v>
      </c>
      <c r="E186" s="189">
        <v>653</v>
      </c>
      <c r="F186" s="198">
        <v>0.7</v>
      </c>
      <c r="G186" s="198">
        <v>0.4</v>
      </c>
      <c r="H186" s="198">
        <v>0.9</v>
      </c>
      <c r="I186" s="198">
        <v>0.5</v>
      </c>
      <c r="O186" s="192">
        <v>0.7</v>
      </c>
      <c r="P186" s="192">
        <v>0.4</v>
      </c>
      <c r="Q186" s="192">
        <v>0.9</v>
      </c>
      <c r="R186" s="192">
        <v>0.5</v>
      </c>
      <c r="T186" s="187">
        <v>0</v>
      </c>
      <c r="U186" s="193">
        <v>0.8</v>
      </c>
      <c r="V186" s="187" t="s">
        <v>166</v>
      </c>
      <c r="W186" s="187" t="s">
        <v>186</v>
      </c>
    </row>
    <row r="187" spans="1:23" ht="16.5">
      <c r="A187" s="202" t="str">
        <f t="shared" si="19"/>
        <v>雲林縣水林鄉</v>
      </c>
      <c r="B187" s="190" t="s">
        <v>166</v>
      </c>
      <c r="C187" s="190" t="s">
        <v>187</v>
      </c>
      <c r="D187" s="191">
        <v>32.5</v>
      </c>
      <c r="E187" s="189">
        <v>652</v>
      </c>
      <c r="F187" s="198">
        <v>0.7</v>
      </c>
      <c r="G187" s="198">
        <v>0.4</v>
      </c>
      <c r="H187" s="198">
        <v>0.9</v>
      </c>
      <c r="I187" s="198">
        <v>0.5</v>
      </c>
      <c r="O187" s="192">
        <v>0.7</v>
      </c>
      <c r="P187" s="192">
        <v>0.4</v>
      </c>
      <c r="Q187" s="192">
        <v>0.9</v>
      </c>
      <c r="R187" s="192">
        <v>0.5</v>
      </c>
      <c r="T187" s="187">
        <v>0</v>
      </c>
      <c r="U187" s="193">
        <v>0.8</v>
      </c>
      <c r="V187" s="187" t="s">
        <v>166</v>
      </c>
      <c r="W187" s="187" t="s">
        <v>187</v>
      </c>
    </row>
    <row r="188" spans="1:23" ht="16.5">
      <c r="A188" s="202" t="str">
        <f t="shared" si="19"/>
        <v>嘉義市東區</v>
      </c>
      <c r="B188" s="190" t="s">
        <v>207</v>
      </c>
      <c r="C188" s="190" t="s">
        <v>1626</v>
      </c>
      <c r="D188" s="191">
        <v>27.5</v>
      </c>
      <c r="E188" s="189">
        <v>600</v>
      </c>
      <c r="F188" s="192">
        <v>0.8</v>
      </c>
      <c r="G188" s="192">
        <v>0.45</v>
      </c>
      <c r="H188" s="192">
        <v>1</v>
      </c>
      <c r="I188" s="192">
        <v>0.55000000000000004</v>
      </c>
      <c r="J188" s="186" t="s">
        <v>169</v>
      </c>
      <c r="O188" s="192">
        <v>0.8</v>
      </c>
      <c r="P188" s="192">
        <v>0.45</v>
      </c>
      <c r="Q188" s="192">
        <v>1</v>
      </c>
      <c r="R188" s="192">
        <v>0.55000000000000004</v>
      </c>
      <c r="S188" s="187" t="s">
        <v>169</v>
      </c>
      <c r="T188" s="187">
        <v>9</v>
      </c>
      <c r="U188" s="203">
        <v>1</v>
      </c>
      <c r="V188" s="187" t="s">
        <v>207</v>
      </c>
      <c r="W188" s="199" t="s">
        <v>1626</v>
      </c>
    </row>
    <row r="189" spans="1:23" ht="16.5">
      <c r="A189" s="202" t="str">
        <f t="shared" si="19"/>
        <v>嘉義市西區</v>
      </c>
      <c r="B189" s="190" t="s">
        <v>207</v>
      </c>
      <c r="C189" s="190" t="s">
        <v>1644</v>
      </c>
      <c r="D189" s="191">
        <v>27.5</v>
      </c>
      <c r="E189" s="189">
        <v>600</v>
      </c>
      <c r="F189" s="206">
        <v>0.8</v>
      </c>
      <c r="G189" s="206">
        <v>0.45</v>
      </c>
      <c r="H189" s="206">
        <v>1</v>
      </c>
      <c r="I189" s="206">
        <v>0.55000000000000004</v>
      </c>
      <c r="J189" s="186" t="s">
        <v>169</v>
      </c>
      <c r="O189" s="192">
        <v>0.7</v>
      </c>
      <c r="P189" s="192">
        <v>0.4</v>
      </c>
      <c r="Q189" s="192">
        <v>0.9</v>
      </c>
      <c r="R189" s="192">
        <v>0.5</v>
      </c>
      <c r="S189" s="187" t="s">
        <v>169</v>
      </c>
      <c r="T189" s="187">
        <v>9</v>
      </c>
      <c r="U189" s="203">
        <v>1</v>
      </c>
      <c r="V189" s="187" t="s">
        <v>207</v>
      </c>
      <c r="W189" s="199" t="s">
        <v>1644</v>
      </c>
    </row>
    <row r="190" spans="1:23">
      <c r="A190" s="202" t="str">
        <f t="shared" si="19"/>
        <v>嘉義縣太保市</v>
      </c>
      <c r="B190" s="190" t="s">
        <v>188</v>
      </c>
      <c r="C190" s="190" t="s">
        <v>189</v>
      </c>
      <c r="D190" s="191">
        <v>32.5</v>
      </c>
      <c r="E190" s="189">
        <v>612</v>
      </c>
      <c r="F190" s="192">
        <v>0.7</v>
      </c>
      <c r="G190" s="192">
        <v>0.4</v>
      </c>
      <c r="H190" s="192">
        <v>0.9</v>
      </c>
      <c r="I190" s="192">
        <v>0.5</v>
      </c>
      <c r="J190" s="186" t="s">
        <v>169</v>
      </c>
      <c r="O190" s="192">
        <v>0.7</v>
      </c>
      <c r="P190" s="192">
        <v>0.4</v>
      </c>
      <c r="Q190" s="192">
        <v>0.9</v>
      </c>
      <c r="R190" s="192">
        <v>0.5</v>
      </c>
      <c r="S190" s="187" t="s">
        <v>169</v>
      </c>
      <c r="T190" s="187">
        <v>9</v>
      </c>
      <c r="U190" s="193">
        <v>0.8</v>
      </c>
      <c r="V190" s="187" t="s">
        <v>188</v>
      </c>
      <c r="W190" s="187" t="s">
        <v>189</v>
      </c>
    </row>
    <row r="191" spans="1:23">
      <c r="A191" s="202" t="str">
        <f t="shared" si="19"/>
        <v>嘉義縣朴子市</v>
      </c>
      <c r="B191" s="190" t="s">
        <v>188</v>
      </c>
      <c r="C191" s="190" t="s">
        <v>190</v>
      </c>
      <c r="D191" s="191">
        <v>32.5</v>
      </c>
      <c r="E191" s="189">
        <v>613</v>
      </c>
      <c r="F191" s="192">
        <v>0.7</v>
      </c>
      <c r="G191" s="192">
        <v>0.4</v>
      </c>
      <c r="H191" s="192">
        <v>0.9</v>
      </c>
      <c r="I191" s="192">
        <v>0.5</v>
      </c>
      <c r="O191" s="192">
        <v>0.7</v>
      </c>
      <c r="P191" s="192">
        <v>0.4</v>
      </c>
      <c r="Q191" s="192">
        <v>0.9</v>
      </c>
      <c r="R191" s="192">
        <v>0.5</v>
      </c>
      <c r="T191" s="187">
        <v>0</v>
      </c>
      <c r="U191" s="193">
        <v>0.8</v>
      </c>
      <c r="V191" s="187" t="s">
        <v>188</v>
      </c>
      <c r="W191" s="187" t="s">
        <v>190</v>
      </c>
    </row>
    <row r="192" spans="1:23">
      <c r="A192" s="202" t="str">
        <f t="shared" si="19"/>
        <v>嘉義縣布袋鎮</v>
      </c>
      <c r="B192" s="190" t="s">
        <v>188</v>
      </c>
      <c r="C192" s="190" t="s">
        <v>191</v>
      </c>
      <c r="D192" s="191">
        <v>32.5</v>
      </c>
      <c r="E192" s="189">
        <v>625</v>
      </c>
      <c r="F192" s="192">
        <v>0.7</v>
      </c>
      <c r="G192" s="192">
        <v>0.4</v>
      </c>
      <c r="H192" s="192">
        <v>0.9</v>
      </c>
      <c r="I192" s="192">
        <v>0.5</v>
      </c>
      <c r="O192" s="192">
        <v>0.7</v>
      </c>
      <c r="P192" s="192">
        <v>0.4</v>
      </c>
      <c r="Q192" s="192">
        <v>0.9</v>
      </c>
      <c r="R192" s="192">
        <v>0.5</v>
      </c>
      <c r="T192" s="187">
        <v>0</v>
      </c>
      <c r="U192" s="193">
        <v>0.8</v>
      </c>
      <c r="V192" s="187" t="s">
        <v>188</v>
      </c>
      <c r="W192" s="187" t="s">
        <v>191</v>
      </c>
    </row>
    <row r="193" spans="1:23" ht="31.5">
      <c r="A193" s="202" t="str">
        <f t="shared" si="19"/>
        <v>嘉義縣大林鎮</v>
      </c>
      <c r="B193" s="190" t="s">
        <v>188</v>
      </c>
      <c r="C193" s="190" t="s">
        <v>192</v>
      </c>
      <c r="D193" s="191">
        <v>27.5</v>
      </c>
      <c r="E193" s="189">
        <v>622</v>
      </c>
      <c r="F193" s="192">
        <v>0.8</v>
      </c>
      <c r="G193" s="192">
        <v>0.45</v>
      </c>
      <c r="H193" s="192">
        <v>1</v>
      </c>
      <c r="I193" s="192">
        <v>0.55000000000000004</v>
      </c>
      <c r="J193" s="375" t="s">
        <v>1803</v>
      </c>
      <c r="K193" s="186" t="s">
        <v>169</v>
      </c>
      <c r="L193" s="208" t="s">
        <v>1595</v>
      </c>
      <c r="O193" s="192">
        <v>0.8</v>
      </c>
      <c r="P193" s="192">
        <v>0.45</v>
      </c>
      <c r="Q193" s="192">
        <v>1</v>
      </c>
      <c r="R193" s="192">
        <v>0.55000000000000004</v>
      </c>
      <c r="S193" s="187" t="s">
        <v>366</v>
      </c>
      <c r="T193" s="187">
        <v>11</v>
      </c>
      <c r="U193" s="203">
        <v>1</v>
      </c>
      <c r="V193" s="187" t="s">
        <v>188</v>
      </c>
      <c r="W193" s="187" t="s">
        <v>192</v>
      </c>
    </row>
    <row r="194" spans="1:23" ht="31.5">
      <c r="A194" s="202" t="str">
        <f t="shared" si="19"/>
        <v>嘉義縣民雄鄉</v>
      </c>
      <c r="B194" s="190" t="s">
        <v>188</v>
      </c>
      <c r="C194" s="190" t="s">
        <v>193</v>
      </c>
      <c r="D194" s="191">
        <v>27.5</v>
      </c>
      <c r="E194" s="189">
        <v>621</v>
      </c>
      <c r="F194" s="192">
        <v>0.8</v>
      </c>
      <c r="G194" s="192">
        <v>0.45</v>
      </c>
      <c r="H194" s="192">
        <v>1</v>
      </c>
      <c r="I194" s="192">
        <v>0.55000000000000004</v>
      </c>
      <c r="J194" s="186" t="s">
        <v>169</v>
      </c>
      <c r="K194" s="208" t="s">
        <v>1595</v>
      </c>
      <c r="O194" s="192">
        <v>0.8</v>
      </c>
      <c r="P194" s="192">
        <v>0.45</v>
      </c>
      <c r="Q194" s="192">
        <v>1</v>
      </c>
      <c r="R194" s="192">
        <v>0.55000000000000004</v>
      </c>
      <c r="S194" s="187" t="s">
        <v>169</v>
      </c>
      <c r="T194" s="187">
        <v>9</v>
      </c>
      <c r="U194" s="203">
        <v>1</v>
      </c>
      <c r="V194" s="187" t="s">
        <v>188</v>
      </c>
      <c r="W194" s="187" t="s">
        <v>193</v>
      </c>
    </row>
    <row r="195" spans="1:23">
      <c r="A195" s="202" t="str">
        <f t="shared" si="19"/>
        <v>嘉義縣溪口鄉</v>
      </c>
      <c r="B195" s="190" t="s">
        <v>188</v>
      </c>
      <c r="C195" s="190" t="s">
        <v>194</v>
      </c>
      <c r="D195" s="191">
        <v>27.5</v>
      </c>
      <c r="E195" s="189">
        <v>623</v>
      </c>
      <c r="F195" s="192">
        <v>0.8</v>
      </c>
      <c r="G195" s="192">
        <v>0.45</v>
      </c>
      <c r="H195" s="192">
        <v>1</v>
      </c>
      <c r="I195" s="192">
        <v>0.55000000000000004</v>
      </c>
      <c r="J195" s="186" t="s">
        <v>169</v>
      </c>
      <c r="O195" s="192">
        <v>0.8</v>
      </c>
      <c r="P195" s="192">
        <v>0.45</v>
      </c>
      <c r="Q195" s="192">
        <v>1</v>
      </c>
      <c r="R195" s="192">
        <v>0.55000000000000004</v>
      </c>
      <c r="S195" s="187" t="s">
        <v>169</v>
      </c>
      <c r="T195" s="187">
        <v>9</v>
      </c>
      <c r="U195" s="193">
        <v>0.8</v>
      </c>
      <c r="V195" s="187" t="s">
        <v>188</v>
      </c>
      <c r="W195" s="187" t="s">
        <v>194</v>
      </c>
    </row>
    <row r="196" spans="1:23">
      <c r="A196" s="202" t="str">
        <f t="shared" si="19"/>
        <v>嘉義縣新港鄉</v>
      </c>
      <c r="B196" s="190" t="s">
        <v>188</v>
      </c>
      <c r="C196" s="190" t="s">
        <v>195</v>
      </c>
      <c r="D196" s="191">
        <v>27.5</v>
      </c>
      <c r="E196" s="189">
        <v>616</v>
      </c>
      <c r="F196" s="192">
        <v>0.7</v>
      </c>
      <c r="G196" s="192">
        <v>0.4</v>
      </c>
      <c r="H196" s="192">
        <v>0.9</v>
      </c>
      <c r="I196" s="192">
        <v>0.5</v>
      </c>
      <c r="J196" s="186" t="s">
        <v>169</v>
      </c>
      <c r="O196" s="192">
        <v>0.7</v>
      </c>
      <c r="P196" s="192">
        <v>0.4</v>
      </c>
      <c r="Q196" s="192">
        <v>0.9</v>
      </c>
      <c r="R196" s="192">
        <v>0.5</v>
      </c>
      <c r="S196" s="187" t="s">
        <v>169</v>
      </c>
      <c r="T196" s="187">
        <v>9</v>
      </c>
      <c r="U196" s="193">
        <v>0.8</v>
      </c>
      <c r="V196" s="187" t="s">
        <v>188</v>
      </c>
      <c r="W196" s="187" t="s">
        <v>195</v>
      </c>
    </row>
    <row r="197" spans="1:23">
      <c r="A197" s="202" t="str">
        <f t="shared" si="19"/>
        <v>嘉義縣六腳鄉</v>
      </c>
      <c r="B197" s="190" t="s">
        <v>188</v>
      </c>
      <c r="C197" s="190" t="s">
        <v>196</v>
      </c>
      <c r="D197" s="191">
        <v>32.5</v>
      </c>
      <c r="E197" s="189">
        <v>615</v>
      </c>
      <c r="F197" s="192">
        <v>0.7</v>
      </c>
      <c r="G197" s="192">
        <v>0.4</v>
      </c>
      <c r="H197" s="192">
        <v>0.9</v>
      </c>
      <c r="I197" s="192">
        <v>0.5</v>
      </c>
      <c r="O197" s="192">
        <v>0.7</v>
      </c>
      <c r="P197" s="192">
        <v>0.4</v>
      </c>
      <c r="Q197" s="192">
        <v>0.9</v>
      </c>
      <c r="R197" s="192">
        <v>0.5</v>
      </c>
      <c r="T197" s="187">
        <v>0</v>
      </c>
      <c r="U197" s="193">
        <v>0.8</v>
      </c>
      <c r="V197" s="187" t="s">
        <v>188</v>
      </c>
      <c r="W197" s="187" t="s">
        <v>196</v>
      </c>
    </row>
    <row r="198" spans="1:23">
      <c r="A198" s="202" t="str">
        <f t="shared" si="19"/>
        <v>嘉義縣東石鄉</v>
      </c>
      <c r="B198" s="190" t="s">
        <v>188</v>
      </c>
      <c r="C198" s="190" t="s">
        <v>197</v>
      </c>
      <c r="D198" s="191">
        <v>32.5</v>
      </c>
      <c r="E198" s="189">
        <v>614</v>
      </c>
      <c r="F198" s="192">
        <v>0.7</v>
      </c>
      <c r="G198" s="192">
        <v>0.4</v>
      </c>
      <c r="H198" s="192">
        <v>0.9</v>
      </c>
      <c r="I198" s="192">
        <v>0.5</v>
      </c>
      <c r="O198" s="192">
        <v>0.7</v>
      </c>
      <c r="P198" s="192">
        <v>0.4</v>
      </c>
      <c r="Q198" s="192">
        <v>0.9</v>
      </c>
      <c r="R198" s="192">
        <v>0.5</v>
      </c>
      <c r="T198" s="187">
        <v>0</v>
      </c>
      <c r="U198" s="193">
        <v>0.8</v>
      </c>
      <c r="V198" s="187" t="s">
        <v>188</v>
      </c>
      <c r="W198" s="187" t="s">
        <v>197</v>
      </c>
    </row>
    <row r="199" spans="1:23">
      <c r="A199" s="202" t="str">
        <f t="shared" si="19"/>
        <v>嘉義縣義竹鄉</v>
      </c>
      <c r="B199" s="190" t="s">
        <v>188</v>
      </c>
      <c r="C199" s="190" t="s">
        <v>198</v>
      </c>
      <c r="D199" s="191">
        <v>32.5</v>
      </c>
      <c r="E199" s="189">
        <v>624</v>
      </c>
      <c r="F199" s="192">
        <v>0.7</v>
      </c>
      <c r="G199" s="192">
        <v>0.4</v>
      </c>
      <c r="H199" s="192">
        <v>0.9</v>
      </c>
      <c r="I199" s="192">
        <v>0.5</v>
      </c>
      <c r="O199" s="192">
        <v>0.7</v>
      </c>
      <c r="P199" s="192">
        <v>0.4</v>
      </c>
      <c r="Q199" s="192">
        <v>0.9</v>
      </c>
      <c r="R199" s="192">
        <v>0.5</v>
      </c>
      <c r="T199" s="187">
        <v>0</v>
      </c>
      <c r="U199" s="193">
        <v>0.8</v>
      </c>
      <c r="V199" s="187" t="s">
        <v>188</v>
      </c>
      <c r="W199" s="187" t="s">
        <v>198</v>
      </c>
    </row>
    <row r="200" spans="1:23">
      <c r="A200" s="202" t="str">
        <f t="shared" si="19"/>
        <v>嘉義縣鹿草鄉</v>
      </c>
      <c r="B200" s="190" t="s">
        <v>188</v>
      </c>
      <c r="C200" s="190" t="s">
        <v>199</v>
      </c>
      <c r="D200" s="191">
        <v>32.5</v>
      </c>
      <c r="E200" s="189">
        <v>611</v>
      </c>
      <c r="F200" s="192">
        <v>0.7</v>
      </c>
      <c r="G200" s="192">
        <v>0.4</v>
      </c>
      <c r="H200" s="192">
        <v>0.9</v>
      </c>
      <c r="I200" s="192">
        <v>0.5</v>
      </c>
      <c r="O200" s="192">
        <v>0.7</v>
      </c>
      <c r="P200" s="192">
        <v>0.4</v>
      </c>
      <c r="Q200" s="192">
        <v>0.9</v>
      </c>
      <c r="R200" s="192">
        <v>0.5</v>
      </c>
      <c r="T200" s="187">
        <v>0</v>
      </c>
      <c r="U200" s="193">
        <v>0.8</v>
      </c>
      <c r="V200" s="187" t="s">
        <v>188</v>
      </c>
      <c r="W200" s="187" t="s">
        <v>199</v>
      </c>
    </row>
    <row r="201" spans="1:23">
      <c r="A201" s="202" t="str">
        <f t="shared" si="19"/>
        <v>嘉義縣水上鄉</v>
      </c>
      <c r="B201" s="190" t="s">
        <v>188</v>
      </c>
      <c r="C201" s="190" t="s">
        <v>200</v>
      </c>
      <c r="D201" s="191">
        <v>27.5</v>
      </c>
      <c r="E201" s="189">
        <v>608</v>
      </c>
      <c r="F201" s="192">
        <v>0.7</v>
      </c>
      <c r="G201" s="192">
        <v>0.4</v>
      </c>
      <c r="H201" s="192">
        <v>0.9</v>
      </c>
      <c r="I201" s="192">
        <v>0.5</v>
      </c>
      <c r="J201" s="208" t="s">
        <v>1595</v>
      </c>
      <c r="O201" s="192">
        <v>0.7</v>
      </c>
      <c r="P201" s="192">
        <v>0.4</v>
      </c>
      <c r="Q201" s="192">
        <v>0.9</v>
      </c>
      <c r="R201" s="192">
        <v>0.5</v>
      </c>
      <c r="S201" s="187" t="s">
        <v>156</v>
      </c>
      <c r="T201" s="187">
        <v>8</v>
      </c>
      <c r="U201" s="203">
        <v>1</v>
      </c>
      <c r="V201" s="187" t="s">
        <v>188</v>
      </c>
      <c r="W201" s="187" t="s">
        <v>200</v>
      </c>
    </row>
    <row r="202" spans="1:23">
      <c r="A202" s="202" t="str">
        <f t="shared" si="19"/>
        <v>嘉義縣中埔鄉</v>
      </c>
      <c r="B202" s="190" t="s">
        <v>188</v>
      </c>
      <c r="C202" s="190" t="s">
        <v>201</v>
      </c>
      <c r="D202" s="191">
        <v>27.5</v>
      </c>
      <c r="E202" s="189">
        <v>606</v>
      </c>
      <c r="F202" s="192">
        <v>0.8</v>
      </c>
      <c r="G202" s="192">
        <v>0.45</v>
      </c>
      <c r="H202" s="192">
        <v>1</v>
      </c>
      <c r="I202" s="192">
        <v>0.55000000000000004</v>
      </c>
      <c r="J202" s="208" t="s">
        <v>1595</v>
      </c>
      <c r="O202" s="192">
        <v>0.8</v>
      </c>
      <c r="P202" s="192">
        <v>0.45</v>
      </c>
      <c r="Q202" s="192">
        <v>1</v>
      </c>
      <c r="R202" s="192">
        <v>0.55000000000000004</v>
      </c>
      <c r="S202" s="187" t="s">
        <v>156</v>
      </c>
      <c r="T202" s="187">
        <v>8</v>
      </c>
      <c r="U202" s="203">
        <v>1</v>
      </c>
      <c r="V202" s="187" t="s">
        <v>188</v>
      </c>
      <c r="W202" s="187" t="s">
        <v>201</v>
      </c>
    </row>
    <row r="203" spans="1:23" ht="31.5">
      <c r="A203" s="202" t="str">
        <f t="shared" si="19"/>
        <v>嘉義縣竹崎鄉</v>
      </c>
      <c r="B203" s="190" t="s">
        <v>188</v>
      </c>
      <c r="C203" s="190" t="s">
        <v>202</v>
      </c>
      <c r="D203" s="191">
        <v>27.5</v>
      </c>
      <c r="E203" s="189">
        <v>604</v>
      </c>
      <c r="F203" s="192">
        <v>0.8</v>
      </c>
      <c r="G203" s="192">
        <v>0.45</v>
      </c>
      <c r="H203" s="192">
        <v>1</v>
      </c>
      <c r="I203" s="192">
        <v>0.55000000000000004</v>
      </c>
      <c r="J203" s="208" t="s">
        <v>1659</v>
      </c>
      <c r="K203" s="186" t="s">
        <v>169</v>
      </c>
      <c r="L203" s="208" t="s">
        <v>1595</v>
      </c>
      <c r="O203" s="192">
        <v>0.8</v>
      </c>
      <c r="P203" s="192">
        <v>0.45</v>
      </c>
      <c r="Q203" s="192">
        <v>1</v>
      </c>
      <c r="R203" s="192">
        <v>0.55000000000000004</v>
      </c>
      <c r="S203" s="187" t="s">
        <v>365</v>
      </c>
      <c r="T203" s="187">
        <v>11</v>
      </c>
      <c r="U203" s="203">
        <v>1</v>
      </c>
      <c r="V203" s="187" t="s">
        <v>188</v>
      </c>
      <c r="W203" s="187" t="s">
        <v>202</v>
      </c>
    </row>
    <row r="204" spans="1:23" ht="31.5">
      <c r="A204" s="202" t="str">
        <f t="shared" si="19"/>
        <v>嘉義縣梅山鄉</v>
      </c>
      <c r="B204" s="190" t="s">
        <v>188</v>
      </c>
      <c r="C204" s="190" t="s">
        <v>203</v>
      </c>
      <c r="D204" s="191">
        <v>27.5</v>
      </c>
      <c r="E204" s="189">
        <v>603</v>
      </c>
      <c r="F204" s="192">
        <v>0.8</v>
      </c>
      <c r="G204" s="192">
        <v>0.45</v>
      </c>
      <c r="H204" s="192">
        <v>1</v>
      </c>
      <c r="I204" s="192">
        <v>0.55000000000000004</v>
      </c>
      <c r="J204" s="208" t="s">
        <v>1659</v>
      </c>
      <c r="K204" s="186" t="s">
        <v>169</v>
      </c>
      <c r="L204" s="208" t="s">
        <v>1595</v>
      </c>
      <c r="O204" s="192">
        <v>0.8</v>
      </c>
      <c r="P204" s="192">
        <v>0.45</v>
      </c>
      <c r="Q204" s="192">
        <v>1</v>
      </c>
      <c r="R204" s="192">
        <v>0.55000000000000004</v>
      </c>
      <c r="S204" s="187" t="s">
        <v>365</v>
      </c>
      <c r="T204" s="187">
        <v>11</v>
      </c>
      <c r="U204" s="203">
        <v>1</v>
      </c>
      <c r="V204" s="187" t="s">
        <v>188</v>
      </c>
      <c r="W204" s="187" t="s">
        <v>203</v>
      </c>
    </row>
    <row r="205" spans="1:23">
      <c r="A205" s="202" t="str">
        <f t="shared" si="19"/>
        <v>嘉義縣番路鄉</v>
      </c>
      <c r="B205" s="190" t="s">
        <v>188</v>
      </c>
      <c r="C205" s="190" t="s">
        <v>204</v>
      </c>
      <c r="D205" s="191">
        <v>27.5</v>
      </c>
      <c r="E205" s="189">
        <v>602</v>
      </c>
      <c r="F205" s="192">
        <v>0.8</v>
      </c>
      <c r="G205" s="192">
        <v>0.45</v>
      </c>
      <c r="H205" s="192">
        <v>1</v>
      </c>
      <c r="I205" s="192">
        <v>0.55000000000000004</v>
      </c>
      <c r="J205" s="208" t="s">
        <v>1595</v>
      </c>
      <c r="O205" s="192">
        <v>0.8</v>
      </c>
      <c r="P205" s="192">
        <v>0.45</v>
      </c>
      <c r="Q205" s="192">
        <v>1</v>
      </c>
      <c r="R205" s="192">
        <v>0.55000000000000004</v>
      </c>
      <c r="S205" s="187" t="s">
        <v>156</v>
      </c>
      <c r="T205" s="187">
        <v>8</v>
      </c>
      <c r="U205" s="203">
        <v>1</v>
      </c>
      <c r="V205" s="187" t="s">
        <v>188</v>
      </c>
      <c r="W205" s="187" t="s">
        <v>204</v>
      </c>
    </row>
    <row r="206" spans="1:23">
      <c r="A206" s="202" t="str">
        <f t="shared" si="19"/>
        <v>嘉義縣大埔鄉</v>
      </c>
      <c r="B206" s="190" t="s">
        <v>188</v>
      </c>
      <c r="C206" s="190" t="s">
        <v>205</v>
      </c>
      <c r="D206" s="191">
        <v>27.5</v>
      </c>
      <c r="E206" s="189">
        <v>607</v>
      </c>
      <c r="F206" s="192">
        <v>0.8</v>
      </c>
      <c r="G206" s="192">
        <v>0.45</v>
      </c>
      <c r="H206" s="192">
        <v>1</v>
      </c>
      <c r="I206" s="192">
        <v>0.55000000000000004</v>
      </c>
      <c r="J206" s="208" t="s">
        <v>1595</v>
      </c>
      <c r="O206" s="192">
        <v>0.8</v>
      </c>
      <c r="P206" s="192">
        <v>0.45</v>
      </c>
      <c r="Q206" s="192">
        <v>1</v>
      </c>
      <c r="R206" s="192">
        <v>0.55000000000000004</v>
      </c>
      <c r="S206" s="187" t="s">
        <v>156</v>
      </c>
      <c r="T206" s="187">
        <v>8</v>
      </c>
      <c r="U206" s="203">
        <v>1</v>
      </c>
      <c r="V206" s="187" t="s">
        <v>188</v>
      </c>
      <c r="W206" s="187" t="s">
        <v>205</v>
      </c>
    </row>
    <row r="207" spans="1:23">
      <c r="A207" s="202" t="str">
        <f t="shared" si="19"/>
        <v>嘉義縣阿里山鄉</v>
      </c>
      <c r="B207" s="190" t="s">
        <v>188</v>
      </c>
      <c r="C207" s="190" t="s">
        <v>206</v>
      </c>
      <c r="D207" s="191">
        <v>27.5</v>
      </c>
      <c r="E207" s="189">
        <v>605</v>
      </c>
      <c r="F207" s="192">
        <v>0.7</v>
      </c>
      <c r="G207" s="192">
        <v>0.4</v>
      </c>
      <c r="H207" s="192">
        <v>0.9</v>
      </c>
      <c r="I207" s="192">
        <v>0.5</v>
      </c>
      <c r="J207" s="208" t="s">
        <v>1595</v>
      </c>
      <c r="O207" s="192">
        <v>0.7</v>
      </c>
      <c r="P207" s="192">
        <v>0.4</v>
      </c>
      <c r="Q207" s="192">
        <v>0.9</v>
      </c>
      <c r="R207" s="192">
        <v>0.5</v>
      </c>
      <c r="S207" s="187" t="s">
        <v>156</v>
      </c>
      <c r="T207" s="187">
        <v>8</v>
      </c>
      <c r="U207" s="193">
        <v>0.8</v>
      </c>
      <c r="V207" s="187" t="s">
        <v>188</v>
      </c>
      <c r="W207" s="187" t="s">
        <v>206</v>
      </c>
    </row>
    <row r="208" spans="1:23">
      <c r="A208" s="202" t="str">
        <f t="shared" si="19"/>
        <v>臺南市新營區</v>
      </c>
      <c r="B208" s="190" t="s">
        <v>1607</v>
      </c>
      <c r="C208" s="190" t="s">
        <v>209</v>
      </c>
      <c r="D208" s="191">
        <v>32.5</v>
      </c>
      <c r="E208" s="189">
        <v>730</v>
      </c>
      <c r="F208" s="192">
        <v>0.7</v>
      </c>
      <c r="G208" s="192">
        <v>0.4</v>
      </c>
      <c r="H208" s="192">
        <v>0.9</v>
      </c>
      <c r="I208" s="192">
        <v>0.5</v>
      </c>
      <c r="O208" s="192">
        <v>0.7</v>
      </c>
      <c r="P208" s="192">
        <v>0.4</v>
      </c>
      <c r="Q208" s="192">
        <v>0.9</v>
      </c>
      <c r="R208" s="192">
        <v>0.5</v>
      </c>
      <c r="T208" s="187">
        <v>0</v>
      </c>
      <c r="U208" s="203">
        <v>1</v>
      </c>
      <c r="V208" s="187" t="s">
        <v>208</v>
      </c>
      <c r="W208" s="187" t="s">
        <v>209</v>
      </c>
    </row>
    <row r="209" spans="1:23">
      <c r="A209" s="202" t="str">
        <f t="shared" si="19"/>
        <v>臺南市鹽水區</v>
      </c>
      <c r="B209" s="190" t="s">
        <v>1607</v>
      </c>
      <c r="C209" s="190" t="s">
        <v>210</v>
      </c>
      <c r="D209" s="191">
        <v>32.5</v>
      </c>
      <c r="E209" s="189">
        <v>737</v>
      </c>
      <c r="F209" s="192">
        <v>0.7</v>
      </c>
      <c r="G209" s="192">
        <v>0.4</v>
      </c>
      <c r="H209" s="192">
        <v>0.9</v>
      </c>
      <c r="I209" s="192">
        <v>0.5</v>
      </c>
      <c r="O209" s="192">
        <v>0.7</v>
      </c>
      <c r="P209" s="192">
        <v>0.4</v>
      </c>
      <c r="Q209" s="192">
        <v>0.9</v>
      </c>
      <c r="R209" s="192">
        <v>0.5</v>
      </c>
      <c r="T209" s="187">
        <v>0</v>
      </c>
      <c r="U209" s="203">
        <v>1</v>
      </c>
      <c r="V209" s="187" t="s">
        <v>208</v>
      </c>
      <c r="W209" s="187" t="s">
        <v>210</v>
      </c>
    </row>
    <row r="210" spans="1:23" ht="16.5">
      <c r="A210" s="202" t="str">
        <f t="shared" si="19"/>
        <v>臺南市白河區</v>
      </c>
      <c r="B210" s="190" t="s">
        <v>1607</v>
      </c>
      <c r="C210" s="204" t="s">
        <v>211</v>
      </c>
      <c r="D210" s="191">
        <v>27.5</v>
      </c>
      <c r="E210" s="189">
        <v>732</v>
      </c>
      <c r="F210" s="192">
        <v>0.8</v>
      </c>
      <c r="G210" s="192">
        <v>0.45</v>
      </c>
      <c r="H210" s="192">
        <v>1</v>
      </c>
      <c r="I210" s="192">
        <v>0.55000000000000004</v>
      </c>
      <c r="J210" s="205" t="s">
        <v>1595</v>
      </c>
      <c r="K210" s="378" t="s">
        <v>1303</v>
      </c>
      <c r="L210" s="205"/>
      <c r="M210" s="205"/>
      <c r="N210" s="205"/>
      <c r="O210" s="192">
        <v>0.8</v>
      </c>
      <c r="P210" s="192">
        <v>0.45</v>
      </c>
      <c r="Q210" s="192">
        <v>1</v>
      </c>
      <c r="R210" s="192">
        <v>0.55000000000000004</v>
      </c>
      <c r="S210" s="187" t="s">
        <v>156</v>
      </c>
      <c r="T210" s="187">
        <v>8</v>
      </c>
      <c r="U210" s="203">
        <v>1</v>
      </c>
      <c r="V210" s="187" t="s">
        <v>208</v>
      </c>
      <c r="W210" s="187" t="s">
        <v>211</v>
      </c>
    </row>
    <row r="211" spans="1:23" ht="16.5">
      <c r="A211" s="202" t="str">
        <f t="shared" si="19"/>
        <v>臺南市柳營區</v>
      </c>
      <c r="B211" s="190" t="s">
        <v>1607</v>
      </c>
      <c r="C211" s="204" t="s">
        <v>212</v>
      </c>
      <c r="D211" s="191">
        <v>32.5</v>
      </c>
      <c r="E211" s="189">
        <v>736</v>
      </c>
      <c r="F211" s="206">
        <v>0.8</v>
      </c>
      <c r="G211" s="206">
        <v>0.45</v>
      </c>
      <c r="H211" s="206">
        <v>1</v>
      </c>
      <c r="I211" s="206">
        <v>0.55000000000000004</v>
      </c>
      <c r="J211" s="378" t="s">
        <v>1303</v>
      </c>
      <c r="K211" s="207"/>
      <c r="L211" s="207"/>
      <c r="M211" s="207"/>
      <c r="N211" s="207"/>
      <c r="O211" s="192">
        <v>0.7</v>
      </c>
      <c r="P211" s="192">
        <v>0.4</v>
      </c>
      <c r="Q211" s="192">
        <v>0.9</v>
      </c>
      <c r="R211" s="192">
        <v>0.5</v>
      </c>
      <c r="T211" s="187">
        <v>0</v>
      </c>
      <c r="U211" s="203">
        <v>1</v>
      </c>
      <c r="V211" s="187" t="s">
        <v>208</v>
      </c>
      <c r="W211" s="187" t="s">
        <v>212</v>
      </c>
    </row>
    <row r="212" spans="1:23">
      <c r="A212" s="202" t="str">
        <f t="shared" si="19"/>
        <v>臺南市後壁區</v>
      </c>
      <c r="B212" s="190" t="s">
        <v>1607</v>
      </c>
      <c r="C212" s="190" t="s">
        <v>213</v>
      </c>
      <c r="D212" s="191">
        <v>32.5</v>
      </c>
      <c r="E212" s="189">
        <v>731</v>
      </c>
      <c r="F212" s="192">
        <v>0.7</v>
      </c>
      <c r="G212" s="192">
        <v>0.4</v>
      </c>
      <c r="H212" s="192">
        <v>0.9</v>
      </c>
      <c r="I212" s="192">
        <v>0.5</v>
      </c>
      <c r="O212" s="192">
        <v>0.7</v>
      </c>
      <c r="P212" s="192">
        <v>0.4</v>
      </c>
      <c r="Q212" s="192">
        <v>0.9</v>
      </c>
      <c r="R212" s="192">
        <v>0.5</v>
      </c>
      <c r="T212" s="187">
        <v>0</v>
      </c>
      <c r="U212" s="203">
        <v>1</v>
      </c>
      <c r="V212" s="187" t="s">
        <v>208</v>
      </c>
      <c r="W212" s="187" t="s">
        <v>213</v>
      </c>
    </row>
    <row r="213" spans="1:23" ht="16.5">
      <c r="A213" s="202" t="str">
        <f t="shared" si="19"/>
        <v>臺南市東山區</v>
      </c>
      <c r="B213" s="190" t="s">
        <v>1607</v>
      </c>
      <c r="C213" s="204" t="s">
        <v>214</v>
      </c>
      <c r="D213" s="191">
        <v>32.5</v>
      </c>
      <c r="E213" s="189">
        <v>733</v>
      </c>
      <c r="F213" s="206">
        <v>0.8</v>
      </c>
      <c r="G213" s="206">
        <v>0.45</v>
      </c>
      <c r="H213" s="206">
        <v>1</v>
      </c>
      <c r="I213" s="206">
        <v>0.55000000000000004</v>
      </c>
      <c r="J213" s="207" t="s">
        <v>1595</v>
      </c>
      <c r="K213" s="378" t="s">
        <v>1303</v>
      </c>
      <c r="L213" s="207"/>
      <c r="M213" s="207"/>
      <c r="N213" s="207"/>
      <c r="O213" s="192">
        <v>0.7</v>
      </c>
      <c r="P213" s="192">
        <v>0.4</v>
      </c>
      <c r="Q213" s="192">
        <v>0.9</v>
      </c>
      <c r="R213" s="192">
        <v>0.5</v>
      </c>
      <c r="S213" s="187" t="s">
        <v>156</v>
      </c>
      <c r="T213" s="187">
        <v>8</v>
      </c>
      <c r="U213" s="203">
        <v>1</v>
      </c>
      <c r="V213" s="187" t="s">
        <v>208</v>
      </c>
      <c r="W213" s="187" t="s">
        <v>214</v>
      </c>
    </row>
    <row r="214" spans="1:23">
      <c r="A214" s="202" t="str">
        <f t="shared" si="19"/>
        <v>臺南市麻豆區</v>
      </c>
      <c r="B214" s="190" t="s">
        <v>1607</v>
      </c>
      <c r="C214" s="190" t="s">
        <v>215</v>
      </c>
      <c r="D214" s="191">
        <v>32.5</v>
      </c>
      <c r="E214" s="189">
        <v>721</v>
      </c>
      <c r="F214" s="192">
        <v>0.7</v>
      </c>
      <c r="G214" s="192">
        <v>0.4</v>
      </c>
      <c r="H214" s="192">
        <v>0.9</v>
      </c>
      <c r="I214" s="192">
        <v>0.5</v>
      </c>
      <c r="O214" s="192">
        <v>0.7</v>
      </c>
      <c r="P214" s="192">
        <v>0.4</v>
      </c>
      <c r="Q214" s="192">
        <v>0.9</v>
      </c>
      <c r="R214" s="192">
        <v>0.5</v>
      </c>
      <c r="T214" s="187">
        <v>0</v>
      </c>
      <c r="U214" s="193">
        <v>0.8</v>
      </c>
      <c r="V214" s="187" t="s">
        <v>208</v>
      </c>
      <c r="W214" s="187" t="s">
        <v>215</v>
      </c>
    </row>
    <row r="215" spans="1:23">
      <c r="A215" s="202" t="str">
        <f t="shared" si="19"/>
        <v>臺南市下營區</v>
      </c>
      <c r="B215" s="190" t="s">
        <v>1607</v>
      </c>
      <c r="C215" s="190" t="s">
        <v>216</v>
      </c>
      <c r="D215" s="191">
        <v>32.5</v>
      </c>
      <c r="E215" s="189">
        <v>735</v>
      </c>
      <c r="F215" s="192">
        <v>0.7</v>
      </c>
      <c r="G215" s="192">
        <v>0.4</v>
      </c>
      <c r="H215" s="192">
        <v>0.9</v>
      </c>
      <c r="I215" s="192">
        <v>0.5</v>
      </c>
      <c r="O215" s="192">
        <v>0.7</v>
      </c>
      <c r="P215" s="192">
        <v>0.4</v>
      </c>
      <c r="Q215" s="192">
        <v>0.9</v>
      </c>
      <c r="R215" s="192">
        <v>0.5</v>
      </c>
      <c r="T215" s="187">
        <v>0</v>
      </c>
      <c r="U215" s="203">
        <v>1</v>
      </c>
      <c r="V215" s="187" t="s">
        <v>208</v>
      </c>
      <c r="W215" s="187" t="s">
        <v>216</v>
      </c>
    </row>
    <row r="216" spans="1:23" ht="16.5">
      <c r="A216" s="202" t="str">
        <f t="shared" si="19"/>
        <v>臺南市六甲區</v>
      </c>
      <c r="B216" s="190" t="s">
        <v>1607</v>
      </c>
      <c r="C216" s="204" t="s">
        <v>217</v>
      </c>
      <c r="D216" s="191">
        <v>32.5</v>
      </c>
      <c r="E216" s="189">
        <v>734</v>
      </c>
      <c r="F216" s="206">
        <v>0.8</v>
      </c>
      <c r="G216" s="206">
        <v>0.45</v>
      </c>
      <c r="H216" s="206">
        <v>1</v>
      </c>
      <c r="I216" s="206">
        <v>0.55000000000000004</v>
      </c>
      <c r="J216" s="378" t="s">
        <v>1303</v>
      </c>
      <c r="K216" s="207"/>
      <c r="L216" s="207"/>
      <c r="M216" s="207"/>
      <c r="N216" s="207"/>
      <c r="O216" s="192">
        <v>0.7</v>
      </c>
      <c r="P216" s="192">
        <v>0.4</v>
      </c>
      <c r="Q216" s="192">
        <v>0.9</v>
      </c>
      <c r="R216" s="192">
        <v>0.5</v>
      </c>
      <c r="T216" s="187">
        <v>0</v>
      </c>
      <c r="U216" s="203">
        <v>1</v>
      </c>
      <c r="V216" s="187" t="s">
        <v>208</v>
      </c>
      <c r="W216" s="187" t="s">
        <v>217</v>
      </c>
    </row>
    <row r="217" spans="1:23" ht="16.5">
      <c r="A217" s="202" t="str">
        <f t="shared" si="19"/>
        <v>臺南市官田區</v>
      </c>
      <c r="B217" s="190" t="s">
        <v>1607</v>
      </c>
      <c r="C217" s="204" t="s">
        <v>218</v>
      </c>
      <c r="D217" s="191">
        <v>32.5</v>
      </c>
      <c r="E217" s="189">
        <v>720</v>
      </c>
      <c r="F217" s="206">
        <v>0.8</v>
      </c>
      <c r="G217" s="206">
        <v>0.45</v>
      </c>
      <c r="H217" s="206">
        <v>1</v>
      </c>
      <c r="I217" s="206">
        <v>0.55000000000000004</v>
      </c>
      <c r="J217" s="378" t="s">
        <v>1303</v>
      </c>
      <c r="K217" s="207"/>
      <c r="L217" s="207"/>
      <c r="M217" s="207"/>
      <c r="N217" s="207"/>
      <c r="O217" s="192">
        <v>0.7</v>
      </c>
      <c r="P217" s="192">
        <v>0.4</v>
      </c>
      <c r="Q217" s="192">
        <v>0.9</v>
      </c>
      <c r="R217" s="192">
        <v>0.5</v>
      </c>
      <c r="T217" s="187">
        <v>0</v>
      </c>
      <c r="U217" s="203">
        <v>1</v>
      </c>
      <c r="V217" s="187" t="s">
        <v>208</v>
      </c>
      <c r="W217" s="187" t="s">
        <v>218</v>
      </c>
    </row>
    <row r="218" spans="1:23">
      <c r="A218" s="202" t="str">
        <f t="shared" si="19"/>
        <v>臺南市大內區</v>
      </c>
      <c r="B218" s="190" t="s">
        <v>1607</v>
      </c>
      <c r="C218" s="190" t="s">
        <v>219</v>
      </c>
      <c r="D218" s="191">
        <v>32.5</v>
      </c>
      <c r="E218" s="189">
        <v>742</v>
      </c>
      <c r="F218" s="192">
        <v>0.7</v>
      </c>
      <c r="G218" s="192">
        <v>0.4</v>
      </c>
      <c r="H218" s="192">
        <v>0.9</v>
      </c>
      <c r="I218" s="192">
        <v>0.5</v>
      </c>
      <c r="J218" s="186" t="s">
        <v>220</v>
      </c>
      <c r="O218" s="192">
        <v>0.7</v>
      </c>
      <c r="P218" s="192">
        <v>0.4</v>
      </c>
      <c r="Q218" s="192">
        <v>0.9</v>
      </c>
      <c r="R218" s="192">
        <v>0.5</v>
      </c>
      <c r="S218" s="187" t="s">
        <v>220</v>
      </c>
      <c r="T218" s="187">
        <v>12</v>
      </c>
      <c r="U218" s="203">
        <v>1</v>
      </c>
      <c r="V218" s="187" t="s">
        <v>208</v>
      </c>
      <c r="W218" s="187" t="s">
        <v>219</v>
      </c>
    </row>
    <row r="219" spans="1:23">
      <c r="A219" s="202" t="str">
        <f t="shared" si="19"/>
        <v>臺南市佳里區</v>
      </c>
      <c r="B219" s="190" t="s">
        <v>1607</v>
      </c>
      <c r="C219" s="190" t="s">
        <v>221</v>
      </c>
      <c r="D219" s="191">
        <v>32.5</v>
      </c>
      <c r="E219" s="189">
        <v>722</v>
      </c>
      <c r="F219" s="192">
        <v>0.7</v>
      </c>
      <c r="G219" s="192">
        <v>0.4</v>
      </c>
      <c r="H219" s="192">
        <v>0.9</v>
      </c>
      <c r="I219" s="192">
        <v>0.5</v>
      </c>
      <c r="O219" s="192">
        <v>0.7</v>
      </c>
      <c r="P219" s="192">
        <v>0.4</v>
      </c>
      <c r="Q219" s="192">
        <v>0.9</v>
      </c>
      <c r="R219" s="192">
        <v>0.5</v>
      </c>
      <c r="T219" s="187">
        <v>0</v>
      </c>
      <c r="U219" s="193">
        <v>0.8</v>
      </c>
      <c r="V219" s="187" t="s">
        <v>208</v>
      </c>
      <c r="W219" s="187" t="s">
        <v>221</v>
      </c>
    </row>
    <row r="220" spans="1:23">
      <c r="A220" s="202" t="str">
        <f t="shared" si="19"/>
        <v>臺南市學甲區</v>
      </c>
      <c r="B220" s="190" t="s">
        <v>1607</v>
      </c>
      <c r="C220" s="190" t="s">
        <v>222</v>
      </c>
      <c r="D220" s="191">
        <v>32.5</v>
      </c>
      <c r="E220" s="189">
        <v>726</v>
      </c>
      <c r="F220" s="192">
        <v>0.7</v>
      </c>
      <c r="G220" s="192">
        <v>0.4</v>
      </c>
      <c r="H220" s="192">
        <v>0.9</v>
      </c>
      <c r="I220" s="192">
        <v>0.5</v>
      </c>
      <c r="O220" s="192">
        <v>0.7</v>
      </c>
      <c r="P220" s="192">
        <v>0.4</v>
      </c>
      <c r="Q220" s="192">
        <v>0.9</v>
      </c>
      <c r="R220" s="192">
        <v>0.5</v>
      </c>
      <c r="T220" s="187">
        <v>0</v>
      </c>
      <c r="U220" s="193">
        <v>0.8</v>
      </c>
      <c r="V220" s="187" t="s">
        <v>208</v>
      </c>
      <c r="W220" s="187" t="s">
        <v>222</v>
      </c>
    </row>
    <row r="221" spans="1:23">
      <c r="A221" s="202" t="str">
        <f t="shared" si="19"/>
        <v>臺南市西港區</v>
      </c>
      <c r="B221" s="190" t="s">
        <v>1607</v>
      </c>
      <c r="C221" s="190" t="s">
        <v>223</v>
      </c>
      <c r="D221" s="191">
        <v>32.5</v>
      </c>
      <c r="E221" s="189">
        <v>723</v>
      </c>
      <c r="F221" s="192">
        <v>0.7</v>
      </c>
      <c r="G221" s="192">
        <v>0.4</v>
      </c>
      <c r="H221" s="192">
        <v>0.9</v>
      </c>
      <c r="I221" s="192">
        <v>0.5</v>
      </c>
      <c r="O221" s="192">
        <v>0.7</v>
      </c>
      <c r="P221" s="192">
        <v>0.4</v>
      </c>
      <c r="Q221" s="192">
        <v>0.9</v>
      </c>
      <c r="R221" s="192">
        <v>0.5</v>
      </c>
      <c r="T221" s="187">
        <v>0</v>
      </c>
      <c r="U221" s="193">
        <v>0.8</v>
      </c>
      <c r="V221" s="187" t="s">
        <v>208</v>
      </c>
      <c r="W221" s="187" t="s">
        <v>223</v>
      </c>
    </row>
    <row r="222" spans="1:23">
      <c r="A222" s="202" t="str">
        <f t="shared" si="19"/>
        <v>臺南市七股區</v>
      </c>
      <c r="B222" s="190" t="s">
        <v>1607</v>
      </c>
      <c r="C222" s="190" t="s">
        <v>224</v>
      </c>
      <c r="D222" s="191">
        <v>37.5</v>
      </c>
      <c r="E222" s="189">
        <v>724</v>
      </c>
      <c r="F222" s="192">
        <v>0.7</v>
      </c>
      <c r="G222" s="192">
        <v>0.4</v>
      </c>
      <c r="H222" s="192">
        <v>0.9</v>
      </c>
      <c r="I222" s="192">
        <v>0.5</v>
      </c>
      <c r="O222" s="192">
        <v>0.7</v>
      </c>
      <c r="P222" s="192">
        <v>0.4</v>
      </c>
      <c r="Q222" s="192">
        <v>0.9</v>
      </c>
      <c r="R222" s="192">
        <v>0.5</v>
      </c>
      <c r="T222" s="187">
        <v>0</v>
      </c>
      <c r="U222" s="193">
        <v>0.8</v>
      </c>
      <c r="V222" s="187" t="s">
        <v>208</v>
      </c>
      <c r="W222" s="187" t="s">
        <v>224</v>
      </c>
    </row>
    <row r="223" spans="1:23">
      <c r="A223" s="202" t="str">
        <f t="shared" si="19"/>
        <v>臺南市將軍區</v>
      </c>
      <c r="B223" s="190" t="s">
        <v>1607</v>
      </c>
      <c r="C223" s="190" t="s">
        <v>225</v>
      </c>
      <c r="D223" s="191">
        <v>32.5</v>
      </c>
      <c r="E223" s="189">
        <v>725</v>
      </c>
      <c r="F223" s="192">
        <v>0.7</v>
      </c>
      <c r="G223" s="192">
        <v>0.4</v>
      </c>
      <c r="H223" s="192">
        <v>0.9</v>
      </c>
      <c r="I223" s="192">
        <v>0.5</v>
      </c>
      <c r="O223" s="192">
        <v>0.7</v>
      </c>
      <c r="P223" s="192">
        <v>0.4</v>
      </c>
      <c r="Q223" s="192">
        <v>0.9</v>
      </c>
      <c r="R223" s="192">
        <v>0.5</v>
      </c>
      <c r="T223" s="187">
        <v>0</v>
      </c>
      <c r="U223" s="193">
        <v>0.8</v>
      </c>
      <c r="V223" s="187" t="s">
        <v>208</v>
      </c>
      <c r="W223" s="187" t="s">
        <v>225</v>
      </c>
    </row>
    <row r="224" spans="1:23">
      <c r="A224" s="202" t="str">
        <f t="shared" si="19"/>
        <v>臺南市北門區</v>
      </c>
      <c r="B224" s="190" t="s">
        <v>1607</v>
      </c>
      <c r="C224" s="190" t="s">
        <v>226</v>
      </c>
      <c r="D224" s="191">
        <v>32.5</v>
      </c>
      <c r="E224" s="189">
        <v>727</v>
      </c>
      <c r="F224" s="192">
        <v>0.7</v>
      </c>
      <c r="G224" s="192">
        <v>0.4</v>
      </c>
      <c r="H224" s="192">
        <v>0.9</v>
      </c>
      <c r="I224" s="192">
        <v>0.5</v>
      </c>
      <c r="O224" s="192">
        <v>0.7</v>
      </c>
      <c r="P224" s="192">
        <v>0.4</v>
      </c>
      <c r="Q224" s="192">
        <v>0.9</v>
      </c>
      <c r="R224" s="192">
        <v>0.5</v>
      </c>
      <c r="T224" s="187">
        <v>0</v>
      </c>
      <c r="U224" s="193">
        <v>0.8</v>
      </c>
      <c r="V224" s="187" t="s">
        <v>208</v>
      </c>
      <c r="W224" s="187" t="s">
        <v>226</v>
      </c>
    </row>
    <row r="225" spans="1:23" ht="16.5">
      <c r="A225" s="202" t="str">
        <f t="shared" si="19"/>
        <v>臺南市新化區</v>
      </c>
      <c r="B225" s="190" t="s">
        <v>1607</v>
      </c>
      <c r="C225" s="204" t="s">
        <v>227</v>
      </c>
      <c r="D225" s="191">
        <v>32.5</v>
      </c>
      <c r="E225" s="189">
        <v>712</v>
      </c>
      <c r="F225" s="192">
        <v>0.8</v>
      </c>
      <c r="G225" s="206">
        <v>0.45</v>
      </c>
      <c r="H225" s="192">
        <v>1</v>
      </c>
      <c r="I225" s="192">
        <v>0.55000000000000004</v>
      </c>
      <c r="J225" s="186" t="s">
        <v>220</v>
      </c>
      <c r="O225" s="192">
        <v>0.8</v>
      </c>
      <c r="P225" s="192">
        <v>0.4</v>
      </c>
      <c r="Q225" s="192">
        <v>1</v>
      </c>
      <c r="R225" s="192">
        <v>0.55000000000000004</v>
      </c>
      <c r="S225" s="187" t="s">
        <v>220</v>
      </c>
      <c r="T225" s="187">
        <v>12</v>
      </c>
      <c r="U225" s="193">
        <v>0.8</v>
      </c>
      <c r="V225" s="187" t="s">
        <v>208</v>
      </c>
      <c r="W225" s="187" t="s">
        <v>227</v>
      </c>
    </row>
    <row r="226" spans="1:23">
      <c r="A226" s="202" t="str">
        <f t="shared" si="19"/>
        <v>臺南市善化區</v>
      </c>
      <c r="B226" s="190" t="s">
        <v>1607</v>
      </c>
      <c r="C226" s="190" t="s">
        <v>228</v>
      </c>
      <c r="D226" s="191">
        <v>32.5</v>
      </c>
      <c r="E226" s="189">
        <v>741</v>
      </c>
      <c r="F226" s="192">
        <v>0.7</v>
      </c>
      <c r="G226" s="192">
        <v>0.4</v>
      </c>
      <c r="H226" s="192">
        <v>0.9</v>
      </c>
      <c r="I226" s="192">
        <v>0.5</v>
      </c>
      <c r="J226" s="186" t="s">
        <v>220</v>
      </c>
      <c r="O226" s="192">
        <v>0.7</v>
      </c>
      <c r="P226" s="192">
        <v>0.4</v>
      </c>
      <c r="Q226" s="192">
        <v>0.9</v>
      </c>
      <c r="R226" s="192">
        <v>0.5</v>
      </c>
      <c r="S226" s="187" t="s">
        <v>220</v>
      </c>
      <c r="T226" s="187">
        <v>12</v>
      </c>
      <c r="U226" s="193">
        <v>0.8</v>
      </c>
      <c r="V226" s="187" t="s">
        <v>208</v>
      </c>
      <c r="W226" s="187" t="s">
        <v>228</v>
      </c>
    </row>
    <row r="227" spans="1:23" ht="16.5">
      <c r="A227" s="202" t="str">
        <f t="shared" si="19"/>
        <v>臺南市新市區</v>
      </c>
      <c r="B227" s="190" t="s">
        <v>1607</v>
      </c>
      <c r="C227" s="204" t="s">
        <v>229</v>
      </c>
      <c r="D227" s="191">
        <v>32.5</v>
      </c>
      <c r="E227" s="189">
        <v>744</v>
      </c>
      <c r="F227" s="192">
        <v>0.8</v>
      </c>
      <c r="G227" s="206">
        <v>0.45</v>
      </c>
      <c r="H227" s="192">
        <v>1</v>
      </c>
      <c r="I227" s="192">
        <v>0.55000000000000004</v>
      </c>
      <c r="J227" s="186" t="s">
        <v>220</v>
      </c>
      <c r="O227" s="192">
        <v>0.8</v>
      </c>
      <c r="P227" s="192">
        <v>0.4</v>
      </c>
      <c r="Q227" s="192">
        <v>1</v>
      </c>
      <c r="R227" s="192">
        <v>0.55000000000000004</v>
      </c>
      <c r="S227" s="187" t="s">
        <v>220</v>
      </c>
      <c r="T227" s="187">
        <v>12</v>
      </c>
      <c r="U227" s="193">
        <v>0.8</v>
      </c>
      <c r="V227" s="187" t="s">
        <v>208</v>
      </c>
      <c r="W227" s="187" t="s">
        <v>229</v>
      </c>
    </row>
    <row r="228" spans="1:23">
      <c r="A228" s="202" t="str">
        <f t="shared" si="19"/>
        <v>臺南市安定區</v>
      </c>
      <c r="B228" s="190" t="s">
        <v>1607</v>
      </c>
      <c r="C228" s="204" t="s">
        <v>230</v>
      </c>
      <c r="D228" s="191">
        <v>32.5</v>
      </c>
      <c r="E228" s="189">
        <v>745</v>
      </c>
      <c r="F228" s="192">
        <v>0.7</v>
      </c>
      <c r="G228" s="192">
        <v>0.4</v>
      </c>
      <c r="H228" s="192">
        <v>0.9</v>
      </c>
      <c r="I228" s="192">
        <v>0.5</v>
      </c>
      <c r="O228" s="192">
        <v>0.7</v>
      </c>
      <c r="P228" s="192">
        <v>0.4</v>
      </c>
      <c r="Q228" s="192">
        <v>0.9</v>
      </c>
      <c r="R228" s="192">
        <v>0.5</v>
      </c>
      <c r="S228" s="187" t="s">
        <v>220</v>
      </c>
      <c r="T228" s="187">
        <v>12</v>
      </c>
      <c r="U228" s="193">
        <v>0.8</v>
      </c>
      <c r="V228" s="187" t="s">
        <v>208</v>
      </c>
      <c r="W228" s="187" t="s">
        <v>230</v>
      </c>
    </row>
    <row r="229" spans="1:23" ht="16.5">
      <c r="A229" s="202" t="str">
        <f t="shared" si="19"/>
        <v>臺南市山上區</v>
      </c>
      <c r="B229" s="190" t="s">
        <v>1607</v>
      </c>
      <c r="C229" s="204" t="s">
        <v>231</v>
      </c>
      <c r="D229" s="191">
        <v>32.5</v>
      </c>
      <c r="E229" s="189">
        <v>743</v>
      </c>
      <c r="F229" s="192">
        <v>0.8</v>
      </c>
      <c r="G229" s="206">
        <v>0.45</v>
      </c>
      <c r="H229" s="192">
        <v>1</v>
      </c>
      <c r="I229" s="192">
        <v>0.55000000000000004</v>
      </c>
      <c r="J229" s="186" t="s">
        <v>220</v>
      </c>
      <c r="O229" s="192">
        <v>0.8</v>
      </c>
      <c r="P229" s="192">
        <v>0.4</v>
      </c>
      <c r="Q229" s="192">
        <v>1</v>
      </c>
      <c r="R229" s="192">
        <v>0.55000000000000004</v>
      </c>
      <c r="S229" s="187" t="s">
        <v>220</v>
      </c>
      <c r="T229" s="187">
        <v>12</v>
      </c>
      <c r="U229" s="193">
        <v>0.8</v>
      </c>
      <c r="V229" s="187" t="s">
        <v>208</v>
      </c>
      <c r="W229" s="187" t="s">
        <v>231</v>
      </c>
    </row>
    <row r="230" spans="1:23">
      <c r="A230" s="202" t="str">
        <f t="shared" si="19"/>
        <v>臺南市玉井區</v>
      </c>
      <c r="B230" s="190" t="s">
        <v>1607</v>
      </c>
      <c r="C230" s="204" t="s">
        <v>232</v>
      </c>
      <c r="D230" s="191">
        <v>32.5</v>
      </c>
      <c r="E230" s="189">
        <v>714</v>
      </c>
      <c r="F230" s="192">
        <v>0.7</v>
      </c>
      <c r="G230" s="192">
        <v>0.4</v>
      </c>
      <c r="H230" s="192">
        <v>0.9</v>
      </c>
      <c r="I230" s="192">
        <v>0.5</v>
      </c>
      <c r="O230" s="192">
        <v>0.7</v>
      </c>
      <c r="P230" s="192">
        <v>0.4</v>
      </c>
      <c r="Q230" s="192">
        <v>0.9</v>
      </c>
      <c r="R230" s="192">
        <v>0.5</v>
      </c>
      <c r="S230" s="187" t="s">
        <v>220</v>
      </c>
      <c r="T230" s="187">
        <v>12</v>
      </c>
      <c r="U230" s="203">
        <v>1</v>
      </c>
      <c r="V230" s="187" t="s">
        <v>208</v>
      </c>
      <c r="W230" s="187" t="s">
        <v>232</v>
      </c>
    </row>
    <row r="231" spans="1:23">
      <c r="A231" s="202" t="str">
        <f t="shared" si="19"/>
        <v>臺南市楠西區</v>
      </c>
      <c r="B231" s="190" t="s">
        <v>1607</v>
      </c>
      <c r="C231" s="190" t="s">
        <v>233</v>
      </c>
      <c r="D231" s="191">
        <v>32.5</v>
      </c>
      <c r="E231" s="189">
        <v>715</v>
      </c>
      <c r="F231" s="192">
        <v>0.7</v>
      </c>
      <c r="G231" s="192">
        <v>0.4</v>
      </c>
      <c r="H231" s="192">
        <v>0.9</v>
      </c>
      <c r="I231" s="192">
        <v>0.5</v>
      </c>
      <c r="O231" s="192">
        <v>0.7</v>
      </c>
      <c r="P231" s="192">
        <v>0.4</v>
      </c>
      <c r="Q231" s="192">
        <v>0.9</v>
      </c>
      <c r="R231" s="192">
        <v>0.5</v>
      </c>
      <c r="T231" s="187">
        <v>0</v>
      </c>
      <c r="U231" s="203">
        <v>1</v>
      </c>
      <c r="V231" s="187" t="s">
        <v>208</v>
      </c>
      <c r="W231" s="187" t="s">
        <v>233</v>
      </c>
    </row>
    <row r="232" spans="1:23">
      <c r="A232" s="202" t="str">
        <f t="shared" si="19"/>
        <v>臺南市南化區</v>
      </c>
      <c r="B232" s="190" t="s">
        <v>1607</v>
      </c>
      <c r="C232" s="190" t="s">
        <v>234</v>
      </c>
      <c r="D232" s="191">
        <v>32.5</v>
      </c>
      <c r="E232" s="189">
        <v>716</v>
      </c>
      <c r="F232" s="192">
        <v>0.7</v>
      </c>
      <c r="G232" s="192">
        <v>0.4</v>
      </c>
      <c r="H232" s="192">
        <v>0.9</v>
      </c>
      <c r="I232" s="192">
        <v>0.5</v>
      </c>
      <c r="O232" s="192">
        <v>0.7</v>
      </c>
      <c r="P232" s="192">
        <v>0.4</v>
      </c>
      <c r="Q232" s="192">
        <v>0.9</v>
      </c>
      <c r="R232" s="192">
        <v>0.5</v>
      </c>
      <c r="T232" s="187">
        <v>0</v>
      </c>
      <c r="U232" s="193">
        <v>0.8</v>
      </c>
      <c r="V232" s="187" t="s">
        <v>208</v>
      </c>
      <c r="W232" s="187" t="s">
        <v>234</v>
      </c>
    </row>
    <row r="233" spans="1:23" ht="16.5">
      <c r="A233" s="202" t="str">
        <f t="shared" ref="A233" si="20">B233&amp;C233</f>
        <v>臺南市左鎮區</v>
      </c>
      <c r="B233" s="190" t="s">
        <v>1607</v>
      </c>
      <c r="C233" s="204" t="s">
        <v>235</v>
      </c>
      <c r="D233" s="191">
        <v>32.5</v>
      </c>
      <c r="E233" s="189">
        <v>713</v>
      </c>
      <c r="F233" s="192">
        <v>0.8</v>
      </c>
      <c r="G233" s="206">
        <v>0.45</v>
      </c>
      <c r="H233" s="192">
        <v>1</v>
      </c>
      <c r="I233" s="192">
        <v>0.55000000000000004</v>
      </c>
      <c r="J233" s="186" t="s">
        <v>220</v>
      </c>
      <c r="O233" s="192">
        <v>0.8</v>
      </c>
      <c r="P233" s="192">
        <v>0.4</v>
      </c>
      <c r="Q233" s="192">
        <v>1</v>
      </c>
      <c r="R233" s="192">
        <v>0.55000000000000004</v>
      </c>
      <c r="S233" s="187" t="s">
        <v>220</v>
      </c>
      <c r="T233" s="187">
        <v>12</v>
      </c>
      <c r="U233" s="193">
        <v>0.8</v>
      </c>
      <c r="V233" s="187" t="s">
        <v>208</v>
      </c>
      <c r="W233" s="187" t="s">
        <v>235</v>
      </c>
    </row>
    <row r="234" spans="1:23">
      <c r="A234" s="202" t="str">
        <f t="shared" ref="A234:A297" si="21">B234&amp;C234</f>
        <v>臺南市仁德區</v>
      </c>
      <c r="B234" s="190" t="s">
        <v>1607</v>
      </c>
      <c r="C234" s="190" t="s">
        <v>236</v>
      </c>
      <c r="D234" s="191">
        <v>32.5</v>
      </c>
      <c r="E234" s="189">
        <v>717</v>
      </c>
      <c r="F234" s="192">
        <v>0.7</v>
      </c>
      <c r="G234" s="192">
        <v>0.4</v>
      </c>
      <c r="H234" s="192">
        <v>0.9</v>
      </c>
      <c r="I234" s="192">
        <v>0.5</v>
      </c>
      <c r="O234" s="192">
        <v>0.7</v>
      </c>
      <c r="P234" s="192">
        <v>0.4</v>
      </c>
      <c r="Q234" s="192">
        <v>0.9</v>
      </c>
      <c r="R234" s="192">
        <v>0.5</v>
      </c>
      <c r="T234" s="187">
        <v>0</v>
      </c>
      <c r="U234" s="193">
        <v>0.8</v>
      </c>
      <c r="V234" s="187" t="s">
        <v>208</v>
      </c>
      <c r="W234" s="187" t="s">
        <v>236</v>
      </c>
    </row>
    <row r="235" spans="1:23">
      <c r="A235" s="202" t="str">
        <f t="shared" si="21"/>
        <v>臺南市歸仁區</v>
      </c>
      <c r="B235" s="190" t="s">
        <v>1607</v>
      </c>
      <c r="C235" s="190" t="s">
        <v>237</v>
      </c>
      <c r="D235" s="191">
        <v>32.5</v>
      </c>
      <c r="E235" s="189">
        <v>711</v>
      </c>
      <c r="F235" s="192">
        <v>0.7</v>
      </c>
      <c r="G235" s="192">
        <v>0.4</v>
      </c>
      <c r="H235" s="192">
        <v>0.9</v>
      </c>
      <c r="I235" s="192">
        <v>0.5</v>
      </c>
      <c r="J235" s="186" t="s">
        <v>220</v>
      </c>
      <c r="O235" s="192">
        <v>0.7</v>
      </c>
      <c r="P235" s="192">
        <v>0.4</v>
      </c>
      <c r="Q235" s="192">
        <v>0.9</v>
      </c>
      <c r="R235" s="192">
        <v>0.5</v>
      </c>
      <c r="S235" s="187" t="s">
        <v>220</v>
      </c>
      <c r="T235" s="187">
        <v>12</v>
      </c>
      <c r="U235" s="193">
        <v>0.8</v>
      </c>
      <c r="V235" s="187" t="s">
        <v>208</v>
      </c>
      <c r="W235" s="187" t="s">
        <v>237</v>
      </c>
    </row>
    <row r="236" spans="1:23">
      <c r="A236" s="202" t="str">
        <f t="shared" si="21"/>
        <v>臺南市關廟區</v>
      </c>
      <c r="B236" s="190" t="s">
        <v>1607</v>
      </c>
      <c r="C236" s="190" t="s">
        <v>238</v>
      </c>
      <c r="D236" s="191">
        <v>32.5</v>
      </c>
      <c r="E236" s="189">
        <v>718</v>
      </c>
      <c r="F236" s="192">
        <v>0.7</v>
      </c>
      <c r="G236" s="192">
        <v>0.4</v>
      </c>
      <c r="H236" s="192">
        <v>0.9</v>
      </c>
      <c r="I236" s="192">
        <v>0.5</v>
      </c>
      <c r="J236" s="186" t="s">
        <v>220</v>
      </c>
      <c r="O236" s="192">
        <v>0.7</v>
      </c>
      <c r="P236" s="192">
        <v>0.4</v>
      </c>
      <c r="Q236" s="192">
        <v>0.9</v>
      </c>
      <c r="R236" s="192">
        <v>0.5</v>
      </c>
      <c r="S236" s="187" t="s">
        <v>220</v>
      </c>
      <c r="T236" s="187">
        <v>12</v>
      </c>
      <c r="U236" s="193">
        <v>0.8</v>
      </c>
      <c r="V236" s="187" t="s">
        <v>208</v>
      </c>
      <c r="W236" s="187" t="s">
        <v>238</v>
      </c>
    </row>
    <row r="237" spans="1:23">
      <c r="A237" s="202" t="str">
        <f t="shared" si="21"/>
        <v>臺南市龍崎區</v>
      </c>
      <c r="B237" s="190" t="s">
        <v>1607</v>
      </c>
      <c r="C237" s="190" t="s">
        <v>239</v>
      </c>
      <c r="D237" s="191">
        <v>32.5</v>
      </c>
      <c r="E237" s="189">
        <v>719</v>
      </c>
      <c r="F237" s="192">
        <v>0.7</v>
      </c>
      <c r="G237" s="192">
        <v>0.4</v>
      </c>
      <c r="H237" s="192">
        <v>0.9</v>
      </c>
      <c r="I237" s="192">
        <v>0.5</v>
      </c>
      <c r="O237" s="192">
        <v>0.7</v>
      </c>
      <c r="P237" s="192">
        <v>0.4</v>
      </c>
      <c r="Q237" s="192">
        <v>0.9</v>
      </c>
      <c r="R237" s="192">
        <v>0.5</v>
      </c>
      <c r="S237" s="187" t="s">
        <v>220</v>
      </c>
      <c r="T237" s="187">
        <v>12</v>
      </c>
      <c r="U237" s="193">
        <v>0.8</v>
      </c>
      <c r="V237" s="187" t="s">
        <v>208</v>
      </c>
      <c r="W237" s="187" t="s">
        <v>239</v>
      </c>
    </row>
    <row r="238" spans="1:23" ht="16.5">
      <c r="A238" s="202" t="str">
        <f t="shared" si="21"/>
        <v>臺南市永康區</v>
      </c>
      <c r="B238" s="190" t="s">
        <v>1607</v>
      </c>
      <c r="C238" s="204" t="s">
        <v>240</v>
      </c>
      <c r="D238" s="191">
        <v>32.5</v>
      </c>
      <c r="E238" s="189">
        <v>710</v>
      </c>
      <c r="F238" s="192">
        <v>0.8</v>
      </c>
      <c r="G238" s="206">
        <v>0.45</v>
      </c>
      <c r="H238" s="192">
        <v>1</v>
      </c>
      <c r="I238" s="192">
        <v>0.55000000000000004</v>
      </c>
      <c r="J238" s="186" t="s">
        <v>220</v>
      </c>
      <c r="O238" s="192">
        <v>0.8</v>
      </c>
      <c r="P238" s="192">
        <v>0.4</v>
      </c>
      <c r="Q238" s="192">
        <v>1</v>
      </c>
      <c r="R238" s="192">
        <v>0.55000000000000004</v>
      </c>
      <c r="S238" s="187" t="s">
        <v>220</v>
      </c>
      <c r="T238" s="187">
        <v>12</v>
      </c>
      <c r="U238" s="193">
        <v>0.8</v>
      </c>
      <c r="V238" s="187" t="s">
        <v>208</v>
      </c>
      <c r="W238" s="187" t="s">
        <v>240</v>
      </c>
    </row>
    <row r="239" spans="1:23" ht="16.5">
      <c r="A239" s="202" t="str">
        <f t="shared" si="21"/>
        <v>臺南市東區</v>
      </c>
      <c r="B239" s="190" t="s">
        <v>1607</v>
      </c>
      <c r="C239" s="190" t="s">
        <v>1626</v>
      </c>
      <c r="D239" s="191">
        <v>37.5</v>
      </c>
      <c r="E239" s="189">
        <v>701</v>
      </c>
      <c r="F239" s="192">
        <v>0.7</v>
      </c>
      <c r="G239" s="192">
        <v>0.4</v>
      </c>
      <c r="H239" s="192">
        <v>0.9</v>
      </c>
      <c r="I239" s="192">
        <v>0.5</v>
      </c>
      <c r="O239" s="192">
        <v>0.7</v>
      </c>
      <c r="P239" s="192">
        <v>0.4</v>
      </c>
      <c r="Q239" s="192">
        <v>0.9</v>
      </c>
      <c r="R239" s="192">
        <v>0.5</v>
      </c>
      <c r="T239" s="187">
        <v>0</v>
      </c>
      <c r="U239" s="193">
        <v>0.8</v>
      </c>
      <c r="V239" s="187" t="s">
        <v>208</v>
      </c>
      <c r="W239" s="199" t="s">
        <v>1626</v>
      </c>
    </row>
    <row r="240" spans="1:23" ht="16.5">
      <c r="A240" s="202" t="str">
        <f t="shared" si="21"/>
        <v>臺南市南區</v>
      </c>
      <c r="B240" s="190" t="s">
        <v>1607</v>
      </c>
      <c r="C240" s="190" t="s">
        <v>1643</v>
      </c>
      <c r="D240" s="191">
        <v>37.5</v>
      </c>
      <c r="E240" s="189">
        <v>702</v>
      </c>
      <c r="F240" s="192">
        <v>0.7</v>
      </c>
      <c r="G240" s="192">
        <v>0.4</v>
      </c>
      <c r="H240" s="192">
        <v>0.9</v>
      </c>
      <c r="I240" s="192">
        <v>0.5</v>
      </c>
      <c r="O240" s="192">
        <v>0.7</v>
      </c>
      <c r="P240" s="192">
        <v>0.4</v>
      </c>
      <c r="Q240" s="192">
        <v>0.9</v>
      </c>
      <c r="R240" s="192">
        <v>0.5</v>
      </c>
      <c r="T240" s="187">
        <v>0</v>
      </c>
      <c r="U240" s="193">
        <v>0.8</v>
      </c>
      <c r="V240" s="187" t="s">
        <v>208</v>
      </c>
      <c r="W240" s="199" t="s">
        <v>1643</v>
      </c>
    </row>
    <row r="241" spans="1:23">
      <c r="A241" s="202" t="str">
        <f t="shared" si="21"/>
        <v>臺南市中西區</v>
      </c>
      <c r="B241" s="190" t="s">
        <v>1607</v>
      </c>
      <c r="C241" s="190" t="s">
        <v>241</v>
      </c>
      <c r="D241" s="191">
        <v>37.5</v>
      </c>
      <c r="E241" s="189">
        <v>700</v>
      </c>
      <c r="F241" s="192">
        <v>0.7</v>
      </c>
      <c r="G241" s="192">
        <v>0.4</v>
      </c>
      <c r="H241" s="192">
        <v>0.9</v>
      </c>
      <c r="I241" s="192">
        <v>0.5</v>
      </c>
      <c r="O241" s="192">
        <v>0.7</v>
      </c>
      <c r="P241" s="192">
        <v>0.4</v>
      </c>
      <c r="Q241" s="192">
        <v>0.9</v>
      </c>
      <c r="R241" s="192">
        <v>0.5</v>
      </c>
      <c r="T241" s="187">
        <v>0</v>
      </c>
      <c r="U241" s="193">
        <v>0.8</v>
      </c>
      <c r="V241" s="187" t="s">
        <v>208</v>
      </c>
      <c r="W241" s="187" t="s">
        <v>241</v>
      </c>
    </row>
    <row r="242" spans="1:23" ht="16.5">
      <c r="A242" s="202" t="str">
        <f t="shared" si="21"/>
        <v>臺南市北區</v>
      </c>
      <c r="B242" s="190" t="s">
        <v>1607</v>
      </c>
      <c r="C242" s="190" t="s">
        <v>1627</v>
      </c>
      <c r="D242" s="191">
        <v>37.5</v>
      </c>
      <c r="E242" s="189">
        <v>704</v>
      </c>
      <c r="F242" s="192">
        <v>0.7</v>
      </c>
      <c r="G242" s="192">
        <v>0.4</v>
      </c>
      <c r="H242" s="192">
        <v>0.9</v>
      </c>
      <c r="I242" s="192">
        <v>0.5</v>
      </c>
      <c r="O242" s="192">
        <v>0.7</v>
      </c>
      <c r="P242" s="192">
        <v>0.4</v>
      </c>
      <c r="Q242" s="192">
        <v>0.9</v>
      </c>
      <c r="R242" s="192">
        <v>0.5</v>
      </c>
      <c r="T242" s="187">
        <v>0</v>
      </c>
      <c r="U242" s="193">
        <v>0.8</v>
      </c>
      <c r="V242" s="187" t="s">
        <v>208</v>
      </c>
      <c r="W242" s="199" t="s">
        <v>1627</v>
      </c>
    </row>
    <row r="243" spans="1:23" ht="16.5">
      <c r="A243" s="202" t="str">
        <f t="shared" si="21"/>
        <v>臺南市安南區</v>
      </c>
      <c r="B243" s="190" t="s">
        <v>1607</v>
      </c>
      <c r="C243" s="204" t="s">
        <v>242</v>
      </c>
      <c r="D243" s="191">
        <v>37.5</v>
      </c>
      <c r="E243" s="189">
        <v>709</v>
      </c>
      <c r="F243" s="192">
        <v>0.7</v>
      </c>
      <c r="G243" s="192">
        <v>0.4</v>
      </c>
      <c r="H243" s="192">
        <v>0.9</v>
      </c>
      <c r="I243" s="206">
        <v>0.5</v>
      </c>
      <c r="O243" s="192">
        <v>0.7</v>
      </c>
      <c r="P243" s="192">
        <v>0.4</v>
      </c>
      <c r="Q243" s="192">
        <v>0.9</v>
      </c>
      <c r="R243" s="192">
        <v>0.55000000000000004</v>
      </c>
      <c r="S243" s="187" t="s">
        <v>220</v>
      </c>
      <c r="T243" s="187">
        <v>12</v>
      </c>
      <c r="U243" s="193">
        <v>0.8</v>
      </c>
      <c r="V243" s="187" t="s">
        <v>208</v>
      </c>
      <c r="W243" s="187" t="s">
        <v>242</v>
      </c>
    </row>
    <row r="244" spans="1:23">
      <c r="A244" s="202" t="str">
        <f t="shared" si="21"/>
        <v>臺南市安平區</v>
      </c>
      <c r="B244" s="190" t="s">
        <v>1607</v>
      </c>
      <c r="C244" s="190" t="s">
        <v>243</v>
      </c>
      <c r="D244" s="191">
        <v>37.5</v>
      </c>
      <c r="E244" s="189">
        <v>708</v>
      </c>
      <c r="F244" s="192">
        <v>0.7</v>
      </c>
      <c r="G244" s="192">
        <v>0.4</v>
      </c>
      <c r="H244" s="192">
        <v>0.9</v>
      </c>
      <c r="I244" s="192">
        <v>0.5</v>
      </c>
      <c r="O244" s="192">
        <v>0.7</v>
      </c>
      <c r="P244" s="192">
        <v>0.4</v>
      </c>
      <c r="Q244" s="192">
        <v>0.9</v>
      </c>
      <c r="R244" s="192">
        <v>0.5</v>
      </c>
      <c r="T244" s="187">
        <v>0</v>
      </c>
      <c r="U244" s="193">
        <v>0.8</v>
      </c>
      <c r="V244" s="187" t="s">
        <v>208</v>
      </c>
      <c r="W244" s="187" t="s">
        <v>243</v>
      </c>
    </row>
    <row r="245" spans="1:23" ht="16.5">
      <c r="A245" s="202" t="str">
        <f t="shared" si="21"/>
        <v>高雄市鳳山區</v>
      </c>
      <c r="B245" s="190" t="s">
        <v>244</v>
      </c>
      <c r="C245" s="190" t="s">
        <v>245</v>
      </c>
      <c r="D245" s="191">
        <v>37.5</v>
      </c>
      <c r="E245" s="189">
        <v>830</v>
      </c>
      <c r="F245" s="366">
        <v>0.6</v>
      </c>
      <c r="G245" s="366">
        <v>0.35</v>
      </c>
      <c r="H245" s="367">
        <v>0.8</v>
      </c>
      <c r="I245" s="366">
        <v>0.5</v>
      </c>
      <c r="O245" s="192">
        <v>0.5</v>
      </c>
      <c r="P245" s="192">
        <v>0.35</v>
      </c>
      <c r="Q245" s="192">
        <v>0.7</v>
      </c>
      <c r="R245" s="192">
        <v>0.5</v>
      </c>
      <c r="T245" s="187">
        <v>0</v>
      </c>
      <c r="U245" s="200">
        <v>0.6</v>
      </c>
      <c r="V245" s="187" t="s">
        <v>244</v>
      </c>
      <c r="W245" s="187" t="s">
        <v>245</v>
      </c>
    </row>
    <row r="246" spans="1:23" ht="16.5">
      <c r="A246" s="202" t="str">
        <f t="shared" si="21"/>
        <v>高雄市林園區</v>
      </c>
      <c r="B246" s="190" t="s">
        <v>244</v>
      </c>
      <c r="C246" s="190" t="s">
        <v>246</v>
      </c>
      <c r="D246" s="191">
        <v>37.5</v>
      </c>
      <c r="E246" s="189">
        <v>832</v>
      </c>
      <c r="F246" s="198">
        <v>0.5</v>
      </c>
      <c r="G246" s="198">
        <v>0.3</v>
      </c>
      <c r="H246" s="198">
        <v>0.7</v>
      </c>
      <c r="I246" s="198">
        <v>0.45</v>
      </c>
      <c r="O246" s="192">
        <v>0.5</v>
      </c>
      <c r="P246" s="192">
        <v>0.3</v>
      </c>
      <c r="Q246" s="192">
        <v>0.7</v>
      </c>
      <c r="R246" s="192">
        <v>0.45</v>
      </c>
      <c r="T246" s="187">
        <v>0</v>
      </c>
      <c r="U246" s="200">
        <v>0.6</v>
      </c>
      <c r="V246" s="187" t="s">
        <v>244</v>
      </c>
      <c r="W246" s="187" t="s">
        <v>246</v>
      </c>
    </row>
    <row r="247" spans="1:23" ht="16.5">
      <c r="A247" s="202" t="str">
        <f t="shared" si="21"/>
        <v>高雄市大寮區</v>
      </c>
      <c r="B247" s="190" t="s">
        <v>244</v>
      </c>
      <c r="C247" s="190" t="s">
        <v>247</v>
      </c>
      <c r="D247" s="191">
        <v>37.5</v>
      </c>
      <c r="E247" s="189">
        <v>831</v>
      </c>
      <c r="F247" s="368">
        <v>0.6</v>
      </c>
      <c r="G247" s="368">
        <v>0.35</v>
      </c>
      <c r="H247" s="367">
        <v>0.8</v>
      </c>
      <c r="I247" s="368">
        <v>0.45</v>
      </c>
      <c r="O247" s="192">
        <v>0.5</v>
      </c>
      <c r="P247" s="192">
        <v>0.35</v>
      </c>
      <c r="Q247" s="192">
        <v>0.7</v>
      </c>
      <c r="R247" s="192">
        <v>0.45</v>
      </c>
      <c r="T247" s="187">
        <v>0</v>
      </c>
      <c r="U247" s="200">
        <v>0.6</v>
      </c>
      <c r="V247" s="187" t="s">
        <v>244</v>
      </c>
      <c r="W247" s="187" t="s">
        <v>247</v>
      </c>
    </row>
    <row r="248" spans="1:23" ht="16.5">
      <c r="A248" s="202" t="str">
        <f t="shared" si="21"/>
        <v>高雄市大樹區</v>
      </c>
      <c r="B248" s="190" t="s">
        <v>244</v>
      </c>
      <c r="C248" s="190" t="s">
        <v>248</v>
      </c>
      <c r="D248" s="191">
        <v>37.5</v>
      </c>
      <c r="E248" s="189">
        <v>840</v>
      </c>
      <c r="F248" s="206">
        <v>0.7</v>
      </c>
      <c r="G248" s="206">
        <v>0.4</v>
      </c>
      <c r="H248" s="206">
        <v>0.9</v>
      </c>
      <c r="I248" s="206">
        <v>0.5</v>
      </c>
      <c r="J248" s="210" t="s">
        <v>1357</v>
      </c>
      <c r="O248" s="192">
        <v>0.6</v>
      </c>
      <c r="P248" s="192">
        <v>0.35</v>
      </c>
      <c r="Q248" s="192">
        <v>0.8</v>
      </c>
      <c r="R248" s="192">
        <v>0.5</v>
      </c>
      <c r="T248" s="187">
        <v>0</v>
      </c>
      <c r="U248" s="200">
        <v>0.6</v>
      </c>
      <c r="V248" s="187" t="s">
        <v>244</v>
      </c>
      <c r="W248" s="187" t="s">
        <v>248</v>
      </c>
    </row>
    <row r="249" spans="1:23" ht="16.5">
      <c r="A249" s="202" t="str">
        <f t="shared" si="21"/>
        <v>高雄市大社區</v>
      </c>
      <c r="B249" s="190" t="s">
        <v>244</v>
      </c>
      <c r="C249" s="190" t="s">
        <v>249</v>
      </c>
      <c r="D249" s="191">
        <v>37.5</v>
      </c>
      <c r="E249" s="189">
        <v>815</v>
      </c>
      <c r="F249" s="206">
        <v>0.8</v>
      </c>
      <c r="G249" s="206">
        <v>0.45</v>
      </c>
      <c r="H249" s="206">
        <v>1</v>
      </c>
      <c r="I249" s="206">
        <v>0.55000000000000004</v>
      </c>
      <c r="J249" s="210" t="s">
        <v>1357</v>
      </c>
      <c r="O249" s="192">
        <v>0.6</v>
      </c>
      <c r="P249" s="192">
        <v>0.35</v>
      </c>
      <c r="Q249" s="192">
        <v>0.8</v>
      </c>
      <c r="R249" s="192">
        <v>0.5</v>
      </c>
      <c r="T249" s="187">
        <v>0</v>
      </c>
      <c r="U249" s="200">
        <v>0.6</v>
      </c>
      <c r="V249" s="187" t="s">
        <v>244</v>
      </c>
      <c r="W249" s="187" t="s">
        <v>249</v>
      </c>
    </row>
    <row r="250" spans="1:23" ht="16.5">
      <c r="A250" s="202" t="str">
        <f t="shared" si="21"/>
        <v>高雄市仁武區</v>
      </c>
      <c r="B250" s="190" t="s">
        <v>244</v>
      </c>
      <c r="C250" s="190" t="s">
        <v>250</v>
      </c>
      <c r="D250" s="191">
        <v>37.5</v>
      </c>
      <c r="E250" s="189">
        <v>814</v>
      </c>
      <c r="F250" s="206">
        <v>0.8</v>
      </c>
      <c r="G250" s="206">
        <v>0.45</v>
      </c>
      <c r="H250" s="206">
        <v>1</v>
      </c>
      <c r="I250" s="206">
        <v>0.55000000000000004</v>
      </c>
      <c r="J250" s="210" t="s">
        <v>1357</v>
      </c>
      <c r="O250" s="192">
        <v>0.6</v>
      </c>
      <c r="P250" s="192">
        <v>0.35</v>
      </c>
      <c r="Q250" s="192">
        <v>0.8</v>
      </c>
      <c r="R250" s="192">
        <v>0.5</v>
      </c>
      <c r="T250" s="187">
        <v>0</v>
      </c>
      <c r="U250" s="200">
        <v>0.6</v>
      </c>
      <c r="V250" s="187" t="s">
        <v>244</v>
      </c>
      <c r="W250" s="187" t="s">
        <v>250</v>
      </c>
    </row>
    <row r="251" spans="1:23" ht="16.5">
      <c r="A251" s="202" t="str">
        <f t="shared" si="21"/>
        <v>高雄市鳥松區</v>
      </c>
      <c r="B251" s="190" t="s">
        <v>244</v>
      </c>
      <c r="C251" s="190" t="s">
        <v>251</v>
      </c>
      <c r="D251" s="191">
        <v>37.5</v>
      </c>
      <c r="E251" s="189">
        <v>833</v>
      </c>
      <c r="F251" s="206">
        <v>0.7</v>
      </c>
      <c r="G251" s="206">
        <v>0.4</v>
      </c>
      <c r="H251" s="206">
        <v>0.9</v>
      </c>
      <c r="I251" s="206">
        <v>0.5</v>
      </c>
      <c r="J251" s="210" t="s">
        <v>1357</v>
      </c>
      <c r="O251" s="192">
        <v>0.6</v>
      </c>
      <c r="P251" s="192">
        <v>0.35</v>
      </c>
      <c r="Q251" s="192">
        <v>0.8</v>
      </c>
      <c r="R251" s="192">
        <v>0.5</v>
      </c>
      <c r="T251" s="187">
        <v>0</v>
      </c>
      <c r="U251" s="200">
        <v>0.6</v>
      </c>
      <c r="V251" s="187" t="s">
        <v>244</v>
      </c>
      <c r="W251" s="187" t="s">
        <v>251</v>
      </c>
    </row>
    <row r="252" spans="1:23" ht="16.5">
      <c r="A252" s="202" t="str">
        <f t="shared" si="21"/>
        <v>高雄市岡山區</v>
      </c>
      <c r="B252" s="190" t="s">
        <v>244</v>
      </c>
      <c r="C252" s="190" t="s">
        <v>252</v>
      </c>
      <c r="D252" s="191">
        <v>37.5</v>
      </c>
      <c r="E252" s="189">
        <v>820</v>
      </c>
      <c r="F252" s="206">
        <v>0.7</v>
      </c>
      <c r="G252" s="206">
        <v>0.4</v>
      </c>
      <c r="H252" s="206">
        <v>0.9</v>
      </c>
      <c r="I252" s="206">
        <v>0.5</v>
      </c>
      <c r="J252" s="210" t="s">
        <v>1357</v>
      </c>
      <c r="O252" s="192">
        <v>0.7</v>
      </c>
      <c r="P252" s="192">
        <v>0.35</v>
      </c>
      <c r="Q252" s="192">
        <v>0.9</v>
      </c>
      <c r="R252" s="192">
        <v>0.5</v>
      </c>
      <c r="T252" s="187">
        <v>0</v>
      </c>
      <c r="U252" s="200">
        <v>0.6</v>
      </c>
      <c r="V252" s="187" t="s">
        <v>244</v>
      </c>
      <c r="W252" s="187" t="s">
        <v>252</v>
      </c>
    </row>
    <row r="253" spans="1:23" ht="16.5">
      <c r="A253" s="202" t="str">
        <f t="shared" si="21"/>
        <v>高雄市橋頭區</v>
      </c>
      <c r="B253" s="190" t="s">
        <v>244</v>
      </c>
      <c r="C253" s="190" t="s">
        <v>253</v>
      </c>
      <c r="D253" s="191">
        <v>37.5</v>
      </c>
      <c r="E253" s="189">
        <v>825</v>
      </c>
      <c r="F253" s="206">
        <v>0.8</v>
      </c>
      <c r="G253" s="206">
        <v>0.45</v>
      </c>
      <c r="H253" s="206">
        <v>1</v>
      </c>
      <c r="I253" s="206">
        <v>0.55000000000000004</v>
      </c>
      <c r="J253" s="210" t="s">
        <v>1357</v>
      </c>
      <c r="O253" s="192">
        <v>0.7</v>
      </c>
      <c r="P253" s="192">
        <v>0.35</v>
      </c>
      <c r="Q253" s="192">
        <v>0.9</v>
      </c>
      <c r="R253" s="192">
        <v>0.5</v>
      </c>
      <c r="T253" s="187">
        <v>0</v>
      </c>
      <c r="U253" s="200">
        <v>0.6</v>
      </c>
      <c r="V253" s="187" t="s">
        <v>244</v>
      </c>
      <c r="W253" s="187" t="s">
        <v>253</v>
      </c>
    </row>
    <row r="254" spans="1:23" ht="16.5">
      <c r="A254" s="202" t="str">
        <f t="shared" si="21"/>
        <v>高雄市燕巢區</v>
      </c>
      <c r="B254" s="190" t="s">
        <v>244</v>
      </c>
      <c r="C254" s="190" t="s">
        <v>254</v>
      </c>
      <c r="D254" s="191">
        <v>37.5</v>
      </c>
      <c r="E254" s="189">
        <v>824</v>
      </c>
      <c r="F254" s="206">
        <v>0.8</v>
      </c>
      <c r="G254" s="206">
        <v>0.45</v>
      </c>
      <c r="H254" s="206">
        <v>1</v>
      </c>
      <c r="I254" s="206">
        <v>0.55000000000000004</v>
      </c>
      <c r="J254" s="210" t="s">
        <v>1357</v>
      </c>
      <c r="O254" s="192">
        <v>0.7</v>
      </c>
      <c r="P254" s="192">
        <v>0.35</v>
      </c>
      <c r="Q254" s="192">
        <v>0.9</v>
      </c>
      <c r="R254" s="192">
        <v>0.5</v>
      </c>
      <c r="T254" s="187">
        <v>0</v>
      </c>
      <c r="U254" s="200">
        <v>0.6</v>
      </c>
      <c r="V254" s="187" t="s">
        <v>244</v>
      </c>
      <c r="W254" s="187" t="s">
        <v>254</v>
      </c>
    </row>
    <row r="255" spans="1:23" ht="16.5">
      <c r="A255" s="202" t="str">
        <f t="shared" si="21"/>
        <v>高雄市田寮區</v>
      </c>
      <c r="B255" s="190" t="s">
        <v>244</v>
      </c>
      <c r="C255" s="190" t="s">
        <v>255</v>
      </c>
      <c r="D255" s="191">
        <v>32.5</v>
      </c>
      <c r="E255" s="189">
        <v>823</v>
      </c>
      <c r="F255" s="206">
        <v>0.8</v>
      </c>
      <c r="G255" s="206">
        <v>0.45</v>
      </c>
      <c r="H255" s="206">
        <v>1</v>
      </c>
      <c r="I255" s="206">
        <v>0.55000000000000004</v>
      </c>
      <c r="J255" s="210" t="s">
        <v>1357</v>
      </c>
      <c r="O255" s="192">
        <v>0.7</v>
      </c>
      <c r="P255" s="192">
        <v>0.35</v>
      </c>
      <c r="Q255" s="192">
        <v>0.9</v>
      </c>
      <c r="R255" s="192">
        <v>0.5</v>
      </c>
      <c r="T255" s="187">
        <v>0</v>
      </c>
      <c r="U255" s="193">
        <v>0.8</v>
      </c>
      <c r="V255" s="187" t="s">
        <v>244</v>
      </c>
      <c r="W255" s="187" t="s">
        <v>255</v>
      </c>
    </row>
    <row r="256" spans="1:23">
      <c r="A256" s="202" t="str">
        <f>B256&amp;C256</f>
        <v>高雄市阿蓮區</v>
      </c>
      <c r="B256" s="190" t="s">
        <v>244</v>
      </c>
      <c r="C256" s="190" t="s">
        <v>256</v>
      </c>
      <c r="D256" s="191">
        <v>32.5</v>
      </c>
      <c r="E256" s="189">
        <v>822</v>
      </c>
      <c r="F256" s="193">
        <v>0.7</v>
      </c>
      <c r="G256" s="369">
        <v>0.4</v>
      </c>
      <c r="H256" s="193">
        <v>0.9</v>
      </c>
      <c r="I256" s="193">
        <v>0.5</v>
      </c>
      <c r="O256" s="192">
        <v>0.7</v>
      </c>
      <c r="P256" s="192">
        <v>0.35</v>
      </c>
      <c r="Q256" s="192">
        <v>0.9</v>
      </c>
      <c r="R256" s="192">
        <v>0.5</v>
      </c>
      <c r="T256" s="187">
        <v>0</v>
      </c>
      <c r="U256" s="200">
        <v>0.6</v>
      </c>
      <c r="V256" s="187" t="s">
        <v>244</v>
      </c>
      <c r="W256" s="187" t="s">
        <v>256</v>
      </c>
    </row>
    <row r="257" spans="1:23">
      <c r="A257" s="202" t="str">
        <f t="shared" si="21"/>
        <v>高雄市路竹區</v>
      </c>
      <c r="B257" s="190" t="s">
        <v>244</v>
      </c>
      <c r="C257" s="190" t="s">
        <v>257</v>
      </c>
      <c r="D257" s="191">
        <v>37.5</v>
      </c>
      <c r="E257" s="189">
        <v>821</v>
      </c>
      <c r="F257" s="192">
        <v>0.7</v>
      </c>
      <c r="G257" s="192">
        <v>0.35</v>
      </c>
      <c r="H257" s="192">
        <v>0.9</v>
      </c>
      <c r="I257" s="192">
        <v>0.5</v>
      </c>
      <c r="O257" s="192">
        <v>0.7</v>
      </c>
      <c r="P257" s="192">
        <v>0.35</v>
      </c>
      <c r="Q257" s="192">
        <v>0.9</v>
      </c>
      <c r="R257" s="192">
        <v>0.5</v>
      </c>
      <c r="T257" s="187">
        <v>0</v>
      </c>
      <c r="U257" s="200">
        <v>0.6</v>
      </c>
      <c r="V257" s="187" t="s">
        <v>244</v>
      </c>
      <c r="W257" s="187" t="s">
        <v>257</v>
      </c>
    </row>
    <row r="258" spans="1:23">
      <c r="A258" s="202" t="str">
        <f>B258&amp;C258</f>
        <v>高雄市湖內區</v>
      </c>
      <c r="B258" s="190" t="s">
        <v>244</v>
      </c>
      <c r="C258" s="190" t="s">
        <v>258</v>
      </c>
      <c r="D258" s="191">
        <v>37.5</v>
      </c>
      <c r="E258" s="189">
        <v>829</v>
      </c>
      <c r="F258" s="192">
        <v>0.7</v>
      </c>
      <c r="G258" s="192">
        <v>0.35</v>
      </c>
      <c r="H258" s="192">
        <v>0.9</v>
      </c>
      <c r="I258" s="192">
        <v>0.5</v>
      </c>
      <c r="O258" s="192">
        <v>0.7</v>
      </c>
      <c r="P258" s="192">
        <v>0.35</v>
      </c>
      <c r="Q258" s="192">
        <v>0.9</v>
      </c>
      <c r="R258" s="192">
        <v>0.5</v>
      </c>
      <c r="T258" s="187">
        <v>0</v>
      </c>
      <c r="U258" s="200">
        <v>0.6</v>
      </c>
      <c r="V258" s="187" t="s">
        <v>244</v>
      </c>
      <c r="W258" s="187" t="s">
        <v>258</v>
      </c>
    </row>
    <row r="259" spans="1:23">
      <c r="A259" s="202" t="str">
        <f>B259&amp;C259</f>
        <v>高雄市茄萣區</v>
      </c>
      <c r="B259" s="190" t="s">
        <v>244</v>
      </c>
      <c r="C259" s="190" t="s">
        <v>259</v>
      </c>
      <c r="D259" s="191">
        <v>37.5</v>
      </c>
      <c r="E259" s="189">
        <v>852</v>
      </c>
      <c r="F259" s="192">
        <v>0.7</v>
      </c>
      <c r="G259" s="192">
        <v>0.35</v>
      </c>
      <c r="H259" s="192">
        <v>0.9</v>
      </c>
      <c r="I259" s="192">
        <v>0.5</v>
      </c>
      <c r="O259" s="192">
        <v>0.7</v>
      </c>
      <c r="P259" s="192">
        <v>0.35</v>
      </c>
      <c r="Q259" s="192">
        <v>0.9</v>
      </c>
      <c r="R259" s="192">
        <v>0.5</v>
      </c>
      <c r="T259" s="187">
        <v>0</v>
      </c>
      <c r="U259" s="200">
        <v>0.6</v>
      </c>
      <c r="V259" s="187" t="s">
        <v>244</v>
      </c>
      <c r="W259" s="187" t="s">
        <v>259</v>
      </c>
    </row>
    <row r="260" spans="1:23">
      <c r="A260" s="202" t="str">
        <f>B260&amp;C260</f>
        <v>高雄市永安區</v>
      </c>
      <c r="B260" s="190" t="s">
        <v>244</v>
      </c>
      <c r="C260" s="190" t="s">
        <v>260</v>
      </c>
      <c r="D260" s="191">
        <v>37.5</v>
      </c>
      <c r="E260" s="189">
        <v>828</v>
      </c>
      <c r="F260" s="192">
        <v>0.7</v>
      </c>
      <c r="G260" s="192">
        <v>0.35</v>
      </c>
      <c r="H260" s="192">
        <v>0.9</v>
      </c>
      <c r="I260" s="192">
        <v>0.5</v>
      </c>
      <c r="O260" s="192">
        <v>0.7</v>
      </c>
      <c r="P260" s="192">
        <v>0.35</v>
      </c>
      <c r="Q260" s="192">
        <v>0.9</v>
      </c>
      <c r="R260" s="192">
        <v>0.5</v>
      </c>
      <c r="T260" s="187">
        <v>0</v>
      </c>
      <c r="U260" s="200">
        <v>0.6</v>
      </c>
      <c r="V260" s="187" t="s">
        <v>244</v>
      </c>
      <c r="W260" s="187" t="s">
        <v>260</v>
      </c>
    </row>
    <row r="261" spans="1:23">
      <c r="A261" s="202" t="str">
        <f>B261&amp;C261</f>
        <v>高雄市彌陀區</v>
      </c>
      <c r="B261" s="190" t="s">
        <v>244</v>
      </c>
      <c r="C261" s="190" t="s">
        <v>261</v>
      </c>
      <c r="D261" s="191">
        <v>37.5</v>
      </c>
      <c r="E261" s="189">
        <v>827</v>
      </c>
      <c r="F261" s="192">
        <v>0.7</v>
      </c>
      <c r="G261" s="192">
        <v>0.35</v>
      </c>
      <c r="H261" s="192">
        <v>0.9</v>
      </c>
      <c r="I261" s="192">
        <v>0.5</v>
      </c>
      <c r="O261" s="192">
        <v>0.7</v>
      </c>
      <c r="P261" s="192">
        <v>0.35</v>
      </c>
      <c r="Q261" s="192">
        <v>0.9</v>
      </c>
      <c r="R261" s="192">
        <v>0.5</v>
      </c>
      <c r="T261" s="187">
        <v>0</v>
      </c>
      <c r="U261" s="200">
        <v>0.6</v>
      </c>
      <c r="V261" s="187" t="s">
        <v>244</v>
      </c>
      <c r="W261" s="187" t="s">
        <v>261</v>
      </c>
    </row>
    <row r="262" spans="1:23" ht="16.5">
      <c r="A262" s="202" t="str">
        <f t="shared" si="21"/>
        <v>高雄市梓官區</v>
      </c>
      <c r="B262" s="190" t="s">
        <v>244</v>
      </c>
      <c r="C262" s="190" t="s">
        <v>262</v>
      </c>
      <c r="D262" s="191">
        <v>37.5</v>
      </c>
      <c r="E262" s="189">
        <v>826</v>
      </c>
      <c r="F262" s="192">
        <v>0.7</v>
      </c>
      <c r="G262" s="206">
        <v>0.4</v>
      </c>
      <c r="H262" s="192">
        <v>0.9</v>
      </c>
      <c r="I262" s="192">
        <v>0.5</v>
      </c>
      <c r="O262" s="192">
        <v>0.7</v>
      </c>
      <c r="P262" s="192">
        <v>0.35</v>
      </c>
      <c r="Q262" s="192">
        <v>0.9</v>
      </c>
      <c r="R262" s="192">
        <v>0.5</v>
      </c>
      <c r="T262" s="187">
        <v>0</v>
      </c>
      <c r="U262" s="200">
        <v>0.6</v>
      </c>
      <c r="V262" s="187" t="s">
        <v>244</v>
      </c>
      <c r="W262" s="187" t="s">
        <v>262</v>
      </c>
    </row>
    <row r="263" spans="1:23" ht="16.5">
      <c r="A263" s="202" t="str">
        <f t="shared" si="21"/>
        <v>高雄市旗山區</v>
      </c>
      <c r="B263" s="190" t="s">
        <v>244</v>
      </c>
      <c r="C263" s="190" t="s">
        <v>263</v>
      </c>
      <c r="D263" s="191">
        <v>32.5</v>
      </c>
      <c r="E263" s="189">
        <v>842</v>
      </c>
      <c r="F263" s="206">
        <v>0.8</v>
      </c>
      <c r="G263" s="206">
        <v>0.45</v>
      </c>
      <c r="H263" s="206">
        <v>1</v>
      </c>
      <c r="I263" s="206">
        <v>0.55000000000000004</v>
      </c>
      <c r="J263" s="210" t="s">
        <v>1357</v>
      </c>
      <c r="O263" s="192">
        <v>0.7</v>
      </c>
      <c r="P263" s="192">
        <v>0.4</v>
      </c>
      <c r="Q263" s="192">
        <v>0.9</v>
      </c>
      <c r="R263" s="192">
        <v>0.5</v>
      </c>
      <c r="T263" s="187">
        <v>0</v>
      </c>
      <c r="U263" s="193">
        <v>0.8</v>
      </c>
      <c r="V263" s="187" t="s">
        <v>244</v>
      </c>
      <c r="W263" s="187" t="s">
        <v>263</v>
      </c>
    </row>
    <row r="264" spans="1:23" ht="16.5">
      <c r="A264" s="202" t="str">
        <f t="shared" si="21"/>
        <v>高雄市美濃區</v>
      </c>
      <c r="B264" s="190" t="s">
        <v>244</v>
      </c>
      <c r="C264" s="190" t="s">
        <v>264</v>
      </c>
      <c r="D264" s="191">
        <v>32.5</v>
      </c>
      <c r="E264" s="189">
        <v>843</v>
      </c>
      <c r="F264" s="192">
        <v>0.7</v>
      </c>
      <c r="G264" s="192">
        <v>0.4</v>
      </c>
      <c r="H264" s="192">
        <v>0.9</v>
      </c>
      <c r="I264" s="192">
        <v>0.5</v>
      </c>
      <c r="J264" s="210" t="s">
        <v>1357</v>
      </c>
      <c r="O264" s="192">
        <v>0.7</v>
      </c>
      <c r="P264" s="192">
        <v>0.4</v>
      </c>
      <c r="Q264" s="192">
        <v>0.9</v>
      </c>
      <c r="R264" s="192">
        <v>0.5</v>
      </c>
      <c r="T264" s="187">
        <v>0</v>
      </c>
      <c r="U264" s="193">
        <v>0.8</v>
      </c>
      <c r="V264" s="187" t="s">
        <v>244</v>
      </c>
      <c r="W264" s="187" t="s">
        <v>264</v>
      </c>
    </row>
    <row r="265" spans="1:23">
      <c r="A265" s="202" t="str">
        <f t="shared" si="21"/>
        <v>高雄市六龜區</v>
      </c>
      <c r="B265" s="190" t="s">
        <v>244</v>
      </c>
      <c r="C265" s="190" t="s">
        <v>265</v>
      </c>
      <c r="D265" s="191">
        <v>32.5</v>
      </c>
      <c r="E265" s="189">
        <v>844</v>
      </c>
      <c r="F265" s="192">
        <v>0.7</v>
      </c>
      <c r="G265" s="192">
        <v>0.4</v>
      </c>
      <c r="H265" s="192">
        <v>0.9</v>
      </c>
      <c r="I265" s="192">
        <v>0.5</v>
      </c>
      <c r="O265" s="192">
        <v>0.7</v>
      </c>
      <c r="P265" s="192">
        <v>0.4</v>
      </c>
      <c r="Q265" s="192">
        <v>0.9</v>
      </c>
      <c r="R265" s="192">
        <v>0.5</v>
      </c>
      <c r="T265" s="187">
        <v>0</v>
      </c>
      <c r="U265" s="193">
        <v>0.8</v>
      </c>
      <c r="V265" s="187" t="s">
        <v>244</v>
      </c>
      <c r="W265" s="187" t="s">
        <v>265</v>
      </c>
    </row>
    <row r="266" spans="1:23">
      <c r="A266" s="202" t="str">
        <f>B266&amp;C266</f>
        <v>高雄市甲仙區</v>
      </c>
      <c r="B266" s="190" t="s">
        <v>244</v>
      </c>
      <c r="C266" s="190" t="s">
        <v>266</v>
      </c>
      <c r="D266" s="191">
        <v>32.5</v>
      </c>
      <c r="E266" s="189">
        <v>847</v>
      </c>
      <c r="F266" s="192">
        <v>0.7</v>
      </c>
      <c r="G266" s="192">
        <v>0.4</v>
      </c>
      <c r="H266" s="192">
        <v>0.9</v>
      </c>
      <c r="I266" s="192">
        <v>0.5</v>
      </c>
      <c r="O266" s="192">
        <v>0.7</v>
      </c>
      <c r="P266" s="192">
        <v>0.4</v>
      </c>
      <c r="Q266" s="192">
        <v>0.9</v>
      </c>
      <c r="R266" s="192">
        <v>0.5</v>
      </c>
      <c r="T266" s="187">
        <v>0</v>
      </c>
      <c r="U266" s="193">
        <v>0.8</v>
      </c>
      <c r="V266" s="187" t="s">
        <v>244</v>
      </c>
      <c r="W266" s="187" t="s">
        <v>266</v>
      </c>
    </row>
    <row r="267" spans="1:23" ht="16.5">
      <c r="A267" s="202" t="str">
        <f>B267&amp;C267</f>
        <v>高雄市杉林區</v>
      </c>
      <c r="B267" s="190" t="s">
        <v>244</v>
      </c>
      <c r="C267" s="190" t="s">
        <v>267</v>
      </c>
      <c r="D267" s="191">
        <v>32.5</v>
      </c>
      <c r="E267" s="189">
        <v>846</v>
      </c>
      <c r="F267" s="192">
        <v>0.7</v>
      </c>
      <c r="G267" s="192">
        <v>0.4</v>
      </c>
      <c r="H267" s="192">
        <v>0.9</v>
      </c>
      <c r="I267" s="192">
        <v>0.5</v>
      </c>
      <c r="J267" s="210" t="s">
        <v>1357</v>
      </c>
      <c r="O267" s="192">
        <v>0.7</v>
      </c>
      <c r="P267" s="192">
        <v>0.4</v>
      </c>
      <c r="Q267" s="192">
        <v>0.9</v>
      </c>
      <c r="R267" s="192">
        <v>0.5</v>
      </c>
      <c r="T267" s="187">
        <v>0</v>
      </c>
      <c r="U267" s="193">
        <v>0.8</v>
      </c>
      <c r="V267" s="187" t="s">
        <v>244</v>
      </c>
      <c r="W267" s="187" t="s">
        <v>267</v>
      </c>
    </row>
    <row r="268" spans="1:23" ht="16.5">
      <c r="A268" s="202" t="str">
        <f t="shared" si="21"/>
        <v>高雄市內門區</v>
      </c>
      <c r="B268" s="190" t="s">
        <v>244</v>
      </c>
      <c r="C268" s="190" t="s">
        <v>268</v>
      </c>
      <c r="D268" s="191">
        <v>32.5</v>
      </c>
      <c r="E268" s="189">
        <v>845</v>
      </c>
      <c r="F268" s="192">
        <v>0.7</v>
      </c>
      <c r="G268" s="192">
        <v>0.4</v>
      </c>
      <c r="H268" s="192">
        <v>0.9</v>
      </c>
      <c r="I268" s="192">
        <v>0.5</v>
      </c>
      <c r="J268" s="210" t="s">
        <v>1357</v>
      </c>
      <c r="O268" s="192">
        <v>0.7</v>
      </c>
      <c r="P268" s="192">
        <v>0.4</v>
      </c>
      <c r="Q268" s="192">
        <v>0.9</v>
      </c>
      <c r="R268" s="192">
        <v>0.5</v>
      </c>
      <c r="T268" s="187">
        <v>0</v>
      </c>
      <c r="U268" s="193">
        <v>0.8</v>
      </c>
      <c r="V268" s="187" t="s">
        <v>244</v>
      </c>
      <c r="W268" s="187" t="s">
        <v>268</v>
      </c>
    </row>
    <row r="269" spans="1:23">
      <c r="A269" s="202" t="str">
        <f>B269&amp;C269</f>
        <v>高雄市茂林區</v>
      </c>
      <c r="B269" s="190" t="s">
        <v>244</v>
      </c>
      <c r="C269" s="190" t="s">
        <v>269</v>
      </c>
      <c r="D269" s="191">
        <v>32.5</v>
      </c>
      <c r="E269" s="189">
        <v>851</v>
      </c>
      <c r="F269" s="192">
        <v>0.7</v>
      </c>
      <c r="G269" s="192">
        <v>0.4</v>
      </c>
      <c r="H269" s="192">
        <v>0.9</v>
      </c>
      <c r="I269" s="192">
        <v>0.5</v>
      </c>
      <c r="O269" s="192">
        <v>0.7</v>
      </c>
      <c r="P269" s="192">
        <v>0.4</v>
      </c>
      <c r="Q269" s="192">
        <v>0.9</v>
      </c>
      <c r="R269" s="192">
        <v>0.5</v>
      </c>
      <c r="T269" s="187">
        <v>0</v>
      </c>
      <c r="U269" s="193">
        <v>0.8</v>
      </c>
      <c r="V269" s="187" t="s">
        <v>244</v>
      </c>
      <c r="W269" s="187" t="s">
        <v>269</v>
      </c>
    </row>
    <row r="270" spans="1:23">
      <c r="A270" s="202" t="str">
        <f t="shared" si="21"/>
        <v>高雄市桃源區</v>
      </c>
      <c r="B270" s="190" t="s">
        <v>244</v>
      </c>
      <c r="C270" s="190" t="s">
        <v>270</v>
      </c>
      <c r="D270" s="191">
        <v>37.5</v>
      </c>
      <c r="E270" s="189">
        <v>848</v>
      </c>
      <c r="F270" s="192">
        <v>0.7</v>
      </c>
      <c r="G270" s="192">
        <v>0.4</v>
      </c>
      <c r="H270" s="192">
        <v>0.9</v>
      </c>
      <c r="I270" s="192">
        <v>0.5</v>
      </c>
      <c r="O270" s="192">
        <v>0.7</v>
      </c>
      <c r="P270" s="192">
        <v>0.4</v>
      </c>
      <c r="Q270" s="192">
        <v>0.9</v>
      </c>
      <c r="R270" s="192">
        <v>0.5</v>
      </c>
      <c r="T270" s="187">
        <v>0</v>
      </c>
      <c r="U270" s="193">
        <v>0.8</v>
      </c>
      <c r="V270" s="187" t="s">
        <v>244</v>
      </c>
      <c r="W270" s="187" t="s">
        <v>270</v>
      </c>
    </row>
    <row r="271" spans="1:23">
      <c r="A271" s="202" t="str">
        <f t="shared" si="21"/>
        <v>高雄市那瑪夏區</v>
      </c>
      <c r="B271" s="190" t="s">
        <v>244</v>
      </c>
      <c r="C271" s="190" t="s">
        <v>271</v>
      </c>
      <c r="D271" s="191">
        <v>32.5</v>
      </c>
      <c r="E271" s="189">
        <v>849</v>
      </c>
      <c r="F271" s="192">
        <v>0.7</v>
      </c>
      <c r="G271" s="192">
        <v>0.4</v>
      </c>
      <c r="H271" s="192">
        <v>0.9</v>
      </c>
      <c r="I271" s="192">
        <v>0.5</v>
      </c>
      <c r="O271" s="192">
        <v>0.7</v>
      </c>
      <c r="P271" s="192">
        <v>0.4</v>
      </c>
      <c r="Q271" s="192">
        <v>0.9</v>
      </c>
      <c r="R271" s="192">
        <v>0.5</v>
      </c>
      <c r="T271" s="187">
        <v>0</v>
      </c>
      <c r="U271" s="193">
        <v>0.8</v>
      </c>
      <c r="V271" s="187" t="s">
        <v>244</v>
      </c>
      <c r="W271" s="187" t="s">
        <v>271</v>
      </c>
    </row>
    <row r="272" spans="1:23" ht="16.5">
      <c r="A272" s="202" t="str">
        <f t="shared" si="21"/>
        <v>高雄市鹽埕區</v>
      </c>
      <c r="B272" s="190" t="s">
        <v>244</v>
      </c>
      <c r="C272" s="190" t="s">
        <v>272</v>
      </c>
      <c r="D272" s="191">
        <v>37.5</v>
      </c>
      <c r="E272" s="189">
        <v>803</v>
      </c>
      <c r="F272" s="198">
        <v>0.6</v>
      </c>
      <c r="G272" s="198">
        <v>0.35</v>
      </c>
      <c r="H272" s="198">
        <v>0.8</v>
      </c>
      <c r="I272" s="198">
        <v>0.5</v>
      </c>
      <c r="O272" s="192">
        <v>0.6</v>
      </c>
      <c r="P272" s="192">
        <v>0.35</v>
      </c>
      <c r="Q272" s="192">
        <v>0.8</v>
      </c>
      <c r="R272" s="192">
        <v>0.5</v>
      </c>
      <c r="T272" s="187">
        <v>0</v>
      </c>
      <c r="U272" s="200">
        <v>0.6</v>
      </c>
      <c r="V272" s="187" t="s">
        <v>244</v>
      </c>
      <c r="W272" s="187" t="s">
        <v>272</v>
      </c>
    </row>
    <row r="273" spans="1:23" ht="16.5">
      <c r="A273" s="202" t="str">
        <f t="shared" si="21"/>
        <v>高雄市鼓山區</v>
      </c>
      <c r="B273" s="190" t="s">
        <v>244</v>
      </c>
      <c r="C273" s="190" t="s">
        <v>273</v>
      </c>
      <c r="D273" s="191">
        <v>37.5</v>
      </c>
      <c r="E273" s="189">
        <v>804</v>
      </c>
      <c r="F273" s="198">
        <v>0.6</v>
      </c>
      <c r="G273" s="198">
        <v>0.35</v>
      </c>
      <c r="H273" s="198">
        <v>0.8</v>
      </c>
      <c r="I273" s="198">
        <v>0.5</v>
      </c>
      <c r="O273" s="192">
        <v>0.6</v>
      </c>
      <c r="P273" s="192">
        <v>0.35</v>
      </c>
      <c r="Q273" s="192">
        <v>0.8</v>
      </c>
      <c r="R273" s="192">
        <v>0.5</v>
      </c>
      <c r="T273" s="187">
        <v>0</v>
      </c>
      <c r="U273" s="200">
        <v>0.6</v>
      </c>
      <c r="V273" s="187" t="s">
        <v>244</v>
      </c>
      <c r="W273" s="187" t="s">
        <v>273</v>
      </c>
    </row>
    <row r="274" spans="1:23" ht="16.5">
      <c r="A274" s="202" t="str">
        <f t="shared" si="21"/>
        <v>高雄市左營區</v>
      </c>
      <c r="B274" s="190" t="s">
        <v>244</v>
      </c>
      <c r="C274" s="190" t="s">
        <v>274</v>
      </c>
      <c r="D274" s="191">
        <v>37.5</v>
      </c>
      <c r="E274" s="189">
        <v>813</v>
      </c>
      <c r="F274" s="206">
        <v>0.7</v>
      </c>
      <c r="G274" s="206">
        <v>0.4</v>
      </c>
      <c r="H274" s="206">
        <v>0.9</v>
      </c>
      <c r="I274" s="206">
        <v>0.5</v>
      </c>
      <c r="J274" s="210" t="s">
        <v>1357</v>
      </c>
      <c r="O274" s="192">
        <v>0.6</v>
      </c>
      <c r="P274" s="192">
        <v>0.35</v>
      </c>
      <c r="Q274" s="192">
        <v>0.8</v>
      </c>
      <c r="R274" s="192">
        <v>0.5</v>
      </c>
      <c r="T274" s="187">
        <v>0</v>
      </c>
      <c r="U274" s="200">
        <v>0.6</v>
      </c>
      <c r="V274" s="187" t="s">
        <v>244</v>
      </c>
      <c r="W274" s="187" t="s">
        <v>274</v>
      </c>
    </row>
    <row r="275" spans="1:23" ht="16.5">
      <c r="A275" s="202" t="str">
        <f t="shared" si="21"/>
        <v>高雄市楠梓區</v>
      </c>
      <c r="B275" s="190" t="s">
        <v>244</v>
      </c>
      <c r="C275" s="190" t="s">
        <v>275</v>
      </c>
      <c r="D275" s="191">
        <v>37.5</v>
      </c>
      <c r="E275" s="189">
        <v>811</v>
      </c>
      <c r="F275" s="206">
        <v>0.8</v>
      </c>
      <c r="G275" s="206">
        <v>0.45</v>
      </c>
      <c r="H275" s="206">
        <v>1</v>
      </c>
      <c r="I275" s="206">
        <v>0.55000000000000004</v>
      </c>
      <c r="J275" s="210" t="s">
        <v>1357</v>
      </c>
      <c r="O275" s="192">
        <v>0.6</v>
      </c>
      <c r="P275" s="192">
        <v>0.35</v>
      </c>
      <c r="Q275" s="192">
        <v>0.8</v>
      </c>
      <c r="R275" s="192">
        <v>0.5</v>
      </c>
      <c r="T275" s="187">
        <v>0</v>
      </c>
      <c r="U275" s="200">
        <v>0.6</v>
      </c>
      <c r="V275" s="187" t="s">
        <v>244</v>
      </c>
      <c r="W275" s="187" t="s">
        <v>275</v>
      </c>
    </row>
    <row r="276" spans="1:23" ht="16.5">
      <c r="A276" s="202" t="str">
        <f t="shared" si="21"/>
        <v>高雄市三民區</v>
      </c>
      <c r="B276" s="190" t="s">
        <v>244</v>
      </c>
      <c r="C276" s="190" t="s">
        <v>276</v>
      </c>
      <c r="D276" s="191">
        <v>37.5</v>
      </c>
      <c r="E276" s="189">
        <v>807</v>
      </c>
      <c r="F276" s="206">
        <v>0.7</v>
      </c>
      <c r="G276" s="206">
        <v>0.4</v>
      </c>
      <c r="H276" s="206">
        <v>0.9</v>
      </c>
      <c r="I276" s="206">
        <v>0.5</v>
      </c>
      <c r="J276" s="210" t="s">
        <v>1357</v>
      </c>
      <c r="O276" s="192">
        <v>0.6</v>
      </c>
      <c r="P276" s="192">
        <v>0.35</v>
      </c>
      <c r="Q276" s="192">
        <v>0.8</v>
      </c>
      <c r="R276" s="192">
        <v>0.5</v>
      </c>
      <c r="T276" s="187">
        <v>0</v>
      </c>
      <c r="U276" s="200">
        <v>0.6</v>
      </c>
      <c r="V276" s="187" t="s">
        <v>244</v>
      </c>
      <c r="W276" s="187" t="s">
        <v>276</v>
      </c>
    </row>
    <row r="277" spans="1:23" ht="16.5">
      <c r="A277" s="202" t="str">
        <f t="shared" si="21"/>
        <v>高雄市新興區</v>
      </c>
      <c r="B277" s="190" t="s">
        <v>244</v>
      </c>
      <c r="C277" s="190" t="s">
        <v>277</v>
      </c>
      <c r="D277" s="191">
        <v>37.5</v>
      </c>
      <c r="E277" s="189">
        <v>800</v>
      </c>
      <c r="F277" s="198">
        <v>0.6</v>
      </c>
      <c r="G277" s="198">
        <v>0.35</v>
      </c>
      <c r="H277" s="198">
        <v>0.8</v>
      </c>
      <c r="I277" s="198">
        <v>0.5</v>
      </c>
      <c r="O277" s="192">
        <v>0.6</v>
      </c>
      <c r="P277" s="192">
        <v>0.35</v>
      </c>
      <c r="Q277" s="192">
        <v>0.8</v>
      </c>
      <c r="R277" s="192">
        <v>0.5</v>
      </c>
      <c r="T277" s="187">
        <v>0</v>
      </c>
      <c r="U277" s="200">
        <v>0.6</v>
      </c>
      <c r="V277" s="187" t="s">
        <v>244</v>
      </c>
      <c r="W277" s="187" t="s">
        <v>277</v>
      </c>
    </row>
    <row r="278" spans="1:23" ht="16.5">
      <c r="A278" s="202" t="str">
        <f t="shared" si="21"/>
        <v>高雄市前金區</v>
      </c>
      <c r="B278" s="190" t="s">
        <v>244</v>
      </c>
      <c r="C278" s="190" t="s">
        <v>278</v>
      </c>
      <c r="D278" s="191">
        <v>37.5</v>
      </c>
      <c r="E278" s="189">
        <v>801</v>
      </c>
      <c r="F278" s="198">
        <v>0.6</v>
      </c>
      <c r="G278" s="198">
        <v>0.35</v>
      </c>
      <c r="H278" s="198">
        <v>0.8</v>
      </c>
      <c r="I278" s="198">
        <v>0.5</v>
      </c>
      <c r="O278" s="192">
        <v>0.6</v>
      </c>
      <c r="P278" s="192">
        <v>0.35</v>
      </c>
      <c r="Q278" s="192">
        <v>0.8</v>
      </c>
      <c r="R278" s="192">
        <v>0.5</v>
      </c>
      <c r="T278" s="187">
        <v>0</v>
      </c>
      <c r="U278" s="200">
        <v>0.6</v>
      </c>
      <c r="V278" s="187" t="s">
        <v>244</v>
      </c>
      <c r="W278" s="187" t="s">
        <v>278</v>
      </c>
    </row>
    <row r="279" spans="1:23" ht="16.5">
      <c r="A279" s="202" t="str">
        <f t="shared" si="21"/>
        <v>高雄市苓雅區</v>
      </c>
      <c r="B279" s="190" t="s">
        <v>244</v>
      </c>
      <c r="C279" s="190" t="s">
        <v>279</v>
      </c>
      <c r="D279" s="191">
        <v>37.5</v>
      </c>
      <c r="E279" s="189">
        <v>802</v>
      </c>
      <c r="F279" s="206">
        <v>0.6</v>
      </c>
      <c r="G279" s="206">
        <v>0.35</v>
      </c>
      <c r="H279" s="206">
        <v>0.8</v>
      </c>
      <c r="I279" s="206">
        <v>0.5</v>
      </c>
      <c r="O279" s="192">
        <v>0.5</v>
      </c>
      <c r="P279" s="192">
        <v>0.35</v>
      </c>
      <c r="Q279" s="192">
        <v>0.7</v>
      </c>
      <c r="R279" s="192">
        <v>0.5</v>
      </c>
      <c r="T279" s="187">
        <v>0</v>
      </c>
      <c r="U279" s="200">
        <v>0.6</v>
      </c>
      <c r="V279" s="187" t="s">
        <v>244</v>
      </c>
      <c r="W279" s="187" t="s">
        <v>279</v>
      </c>
    </row>
    <row r="280" spans="1:23" ht="16.5">
      <c r="A280" s="202" t="str">
        <f t="shared" si="21"/>
        <v>高雄市前鎮區</v>
      </c>
      <c r="B280" s="190" t="s">
        <v>244</v>
      </c>
      <c r="C280" s="190" t="s">
        <v>280</v>
      </c>
      <c r="D280" s="191">
        <v>37.5</v>
      </c>
      <c r="E280" s="189">
        <v>806</v>
      </c>
      <c r="F280" s="198">
        <v>0.5</v>
      </c>
      <c r="G280" s="198">
        <v>0.35</v>
      </c>
      <c r="H280" s="198">
        <v>0.7</v>
      </c>
      <c r="I280" s="198">
        <v>0.5</v>
      </c>
      <c r="O280" s="192">
        <v>0.5</v>
      </c>
      <c r="P280" s="192">
        <v>0.35</v>
      </c>
      <c r="Q280" s="192">
        <v>0.7</v>
      </c>
      <c r="R280" s="192">
        <v>0.5</v>
      </c>
      <c r="T280" s="187">
        <v>0</v>
      </c>
      <c r="U280" s="200">
        <v>0.6</v>
      </c>
      <c r="V280" s="187" t="s">
        <v>244</v>
      </c>
      <c r="W280" s="187" t="s">
        <v>280</v>
      </c>
    </row>
    <row r="281" spans="1:23" ht="16.5">
      <c r="A281" s="202" t="str">
        <f t="shared" si="21"/>
        <v>高雄市旗津區</v>
      </c>
      <c r="B281" s="190" t="s">
        <v>244</v>
      </c>
      <c r="C281" s="190" t="s">
        <v>281</v>
      </c>
      <c r="D281" s="191">
        <v>37.5</v>
      </c>
      <c r="E281" s="189">
        <v>805</v>
      </c>
      <c r="F281" s="198">
        <v>0.5</v>
      </c>
      <c r="G281" s="198">
        <v>0.35</v>
      </c>
      <c r="H281" s="198">
        <v>0.7</v>
      </c>
      <c r="I281" s="198">
        <v>0.5</v>
      </c>
      <c r="O281" s="192">
        <v>0.5</v>
      </c>
      <c r="P281" s="192">
        <v>0.35</v>
      </c>
      <c r="Q281" s="192">
        <v>0.7</v>
      </c>
      <c r="R281" s="192">
        <v>0.5</v>
      </c>
      <c r="T281" s="187">
        <v>0</v>
      </c>
      <c r="U281" s="200">
        <v>0.6</v>
      </c>
      <c r="V281" s="187" t="s">
        <v>244</v>
      </c>
      <c r="W281" s="187" t="s">
        <v>281</v>
      </c>
    </row>
    <row r="282" spans="1:23" ht="16.5">
      <c r="A282" s="202" t="str">
        <f t="shared" si="21"/>
        <v>高雄市小港區</v>
      </c>
      <c r="B282" s="190" t="s">
        <v>244</v>
      </c>
      <c r="C282" s="190" t="s">
        <v>282</v>
      </c>
      <c r="D282" s="191">
        <v>37.5</v>
      </c>
      <c r="E282" s="189">
        <v>812</v>
      </c>
      <c r="F282" s="198">
        <v>0.5</v>
      </c>
      <c r="G282" s="198">
        <v>0.35</v>
      </c>
      <c r="H282" s="198">
        <v>0.7</v>
      </c>
      <c r="I282" s="198">
        <v>0.45</v>
      </c>
      <c r="O282" s="192">
        <v>0.5</v>
      </c>
      <c r="P282" s="192">
        <v>0.35</v>
      </c>
      <c r="Q282" s="192">
        <v>0.7</v>
      </c>
      <c r="R282" s="192">
        <v>0.45</v>
      </c>
      <c r="T282" s="187">
        <v>0</v>
      </c>
      <c r="U282" s="200">
        <v>0.6</v>
      </c>
      <c r="V282" s="187" t="s">
        <v>244</v>
      </c>
      <c r="W282" s="187" t="s">
        <v>282</v>
      </c>
    </row>
    <row r="283" spans="1:23">
      <c r="A283" s="202" t="str">
        <f t="shared" si="21"/>
        <v>屏東縣屏東市</v>
      </c>
      <c r="B283" s="190" t="s">
        <v>283</v>
      </c>
      <c r="C283" s="190" t="s">
        <v>284</v>
      </c>
      <c r="D283" s="191">
        <v>37.5</v>
      </c>
      <c r="E283" s="189">
        <v>900</v>
      </c>
      <c r="F283" s="192">
        <v>0.6</v>
      </c>
      <c r="G283" s="192">
        <v>0.35</v>
      </c>
      <c r="H283" s="192">
        <v>0.8</v>
      </c>
      <c r="I283" s="192">
        <v>0.5</v>
      </c>
      <c r="O283" s="192">
        <v>0.6</v>
      </c>
      <c r="P283" s="192">
        <v>0.35</v>
      </c>
      <c r="Q283" s="192">
        <v>0.8</v>
      </c>
      <c r="R283" s="192">
        <v>0.5</v>
      </c>
      <c r="T283" s="187">
        <v>0</v>
      </c>
      <c r="U283" s="200">
        <v>0.6</v>
      </c>
      <c r="V283" s="187" t="s">
        <v>283</v>
      </c>
      <c r="W283" s="187" t="s">
        <v>284</v>
      </c>
    </row>
    <row r="284" spans="1:23" ht="16.5">
      <c r="A284" s="202" t="str">
        <f t="shared" si="21"/>
        <v>屏東縣潮州鎮</v>
      </c>
      <c r="B284" s="190" t="s">
        <v>283</v>
      </c>
      <c r="C284" s="190" t="s">
        <v>285</v>
      </c>
      <c r="D284" s="191">
        <v>37.5</v>
      </c>
      <c r="E284" s="189">
        <v>920</v>
      </c>
      <c r="F284" s="198">
        <v>0.6</v>
      </c>
      <c r="G284" s="198">
        <v>0.3</v>
      </c>
      <c r="H284" s="198">
        <v>0.8</v>
      </c>
      <c r="I284" s="198">
        <v>0.45</v>
      </c>
      <c r="O284" s="198">
        <v>0.6</v>
      </c>
      <c r="P284" s="198">
        <v>0.3</v>
      </c>
      <c r="Q284" s="198">
        <v>0.8</v>
      </c>
      <c r="R284" s="198">
        <v>0.45</v>
      </c>
      <c r="T284" s="187">
        <v>0</v>
      </c>
      <c r="U284" s="193">
        <v>0.8</v>
      </c>
      <c r="V284" s="187" t="s">
        <v>283</v>
      </c>
      <c r="W284" s="187" t="s">
        <v>294</v>
      </c>
    </row>
    <row r="285" spans="1:23">
      <c r="A285" s="202" t="str">
        <f t="shared" si="21"/>
        <v>屏東縣東港鎮</v>
      </c>
      <c r="B285" s="190" t="s">
        <v>283</v>
      </c>
      <c r="C285" s="190" t="s">
        <v>286</v>
      </c>
      <c r="D285" s="191">
        <v>37.5</v>
      </c>
      <c r="E285" s="189">
        <v>928</v>
      </c>
      <c r="F285" s="192">
        <v>0.5</v>
      </c>
      <c r="G285" s="192">
        <v>0.3</v>
      </c>
      <c r="H285" s="192">
        <v>0.7</v>
      </c>
      <c r="I285" s="192">
        <v>0.4</v>
      </c>
      <c r="O285" s="192">
        <v>0.5</v>
      </c>
      <c r="P285" s="192">
        <v>0.3</v>
      </c>
      <c r="Q285" s="192">
        <v>0.7</v>
      </c>
      <c r="R285" s="192">
        <v>0.4</v>
      </c>
      <c r="T285" s="187">
        <v>0</v>
      </c>
      <c r="U285" s="200">
        <v>0.6</v>
      </c>
      <c r="V285" s="187" t="s">
        <v>283</v>
      </c>
      <c r="W285" s="187" t="s">
        <v>302</v>
      </c>
    </row>
    <row r="286" spans="1:23">
      <c r="A286" s="202" t="str">
        <f t="shared" si="21"/>
        <v>屏東縣恆春鎮</v>
      </c>
      <c r="B286" s="190" t="s">
        <v>283</v>
      </c>
      <c r="C286" s="190" t="s">
        <v>287</v>
      </c>
      <c r="D286" s="191">
        <v>47.5</v>
      </c>
      <c r="E286" s="189">
        <v>946</v>
      </c>
      <c r="F286" s="192">
        <v>0.5</v>
      </c>
      <c r="G286" s="192">
        <v>0.3</v>
      </c>
      <c r="H286" s="192">
        <v>0.7</v>
      </c>
      <c r="I286" s="192">
        <v>0.4</v>
      </c>
      <c r="O286" s="192">
        <v>0.5</v>
      </c>
      <c r="P286" s="192">
        <v>0.3</v>
      </c>
      <c r="Q286" s="192">
        <v>0.7</v>
      </c>
      <c r="R286" s="192">
        <v>0.4</v>
      </c>
      <c r="T286" s="187">
        <v>0</v>
      </c>
      <c r="U286" s="193">
        <v>0.8</v>
      </c>
      <c r="V286" s="187" t="s">
        <v>283</v>
      </c>
      <c r="W286" s="187" t="s">
        <v>315</v>
      </c>
    </row>
    <row r="287" spans="1:23" ht="16.5">
      <c r="A287" s="202" t="str">
        <f t="shared" si="21"/>
        <v>屏東縣萬丹鄉</v>
      </c>
      <c r="B287" s="190" t="s">
        <v>283</v>
      </c>
      <c r="C287" s="190" t="s">
        <v>288</v>
      </c>
      <c r="D287" s="191">
        <v>37.5</v>
      </c>
      <c r="E287" s="189">
        <v>913</v>
      </c>
      <c r="F287" s="198">
        <v>0.6</v>
      </c>
      <c r="G287" s="198">
        <v>0.35</v>
      </c>
      <c r="H287" s="198">
        <v>0.8</v>
      </c>
      <c r="I287" s="198">
        <v>0.45</v>
      </c>
      <c r="O287" s="198">
        <v>0.6</v>
      </c>
      <c r="P287" s="198">
        <v>0.35</v>
      </c>
      <c r="Q287" s="198">
        <v>0.8</v>
      </c>
      <c r="R287" s="198">
        <v>0.45</v>
      </c>
      <c r="T287" s="187">
        <v>0</v>
      </c>
      <c r="U287" s="193">
        <v>0.8</v>
      </c>
      <c r="V287" s="187" t="s">
        <v>283</v>
      </c>
      <c r="W287" s="187" t="s">
        <v>293</v>
      </c>
    </row>
    <row r="288" spans="1:23">
      <c r="A288" s="202" t="str">
        <f t="shared" si="21"/>
        <v>屏東縣長治鄉</v>
      </c>
      <c r="B288" s="190" t="s">
        <v>283</v>
      </c>
      <c r="C288" s="190" t="s">
        <v>289</v>
      </c>
      <c r="D288" s="191">
        <v>37.5</v>
      </c>
      <c r="E288" s="189">
        <v>908</v>
      </c>
      <c r="F288" s="192">
        <v>0.6</v>
      </c>
      <c r="G288" s="192">
        <v>0.35</v>
      </c>
      <c r="H288" s="192">
        <v>0.8</v>
      </c>
      <c r="I288" s="192">
        <v>0.5</v>
      </c>
      <c r="O288" s="192">
        <v>0.6</v>
      </c>
      <c r="P288" s="192">
        <v>0.35</v>
      </c>
      <c r="Q288" s="192">
        <v>0.8</v>
      </c>
      <c r="R288" s="192">
        <v>0.5</v>
      </c>
      <c r="T288" s="187">
        <v>0</v>
      </c>
      <c r="U288" s="193">
        <v>0.8</v>
      </c>
      <c r="V288" s="187" t="s">
        <v>283</v>
      </c>
      <c r="W288" s="187" t="s">
        <v>289</v>
      </c>
    </row>
    <row r="289" spans="1:23">
      <c r="A289" s="202" t="str">
        <f t="shared" si="21"/>
        <v>屏東縣麟洛鄉</v>
      </c>
      <c r="B289" s="190" t="s">
        <v>283</v>
      </c>
      <c r="C289" s="190" t="s">
        <v>290</v>
      </c>
      <c r="D289" s="191">
        <v>37.5</v>
      </c>
      <c r="E289" s="189">
        <v>909</v>
      </c>
      <c r="F289" s="192">
        <v>0.6</v>
      </c>
      <c r="G289" s="192">
        <v>0.35</v>
      </c>
      <c r="H289" s="192">
        <v>0.8</v>
      </c>
      <c r="I289" s="192">
        <v>0.5</v>
      </c>
      <c r="O289" s="192">
        <v>0.6</v>
      </c>
      <c r="P289" s="192">
        <v>0.35</v>
      </c>
      <c r="Q289" s="192">
        <v>0.8</v>
      </c>
      <c r="R289" s="192">
        <v>0.5</v>
      </c>
      <c r="T289" s="187">
        <v>0</v>
      </c>
      <c r="U289" s="193">
        <v>0.8</v>
      </c>
      <c r="V289" s="187" t="s">
        <v>283</v>
      </c>
      <c r="W289" s="187" t="s">
        <v>290</v>
      </c>
    </row>
    <row r="290" spans="1:23">
      <c r="A290" s="202" t="str">
        <f t="shared" si="21"/>
        <v>屏東縣九如鄉</v>
      </c>
      <c r="B290" s="190" t="s">
        <v>283</v>
      </c>
      <c r="C290" s="190" t="s">
        <v>291</v>
      </c>
      <c r="D290" s="191">
        <v>37.5</v>
      </c>
      <c r="E290" s="189">
        <v>904</v>
      </c>
      <c r="F290" s="221">
        <v>0.7</v>
      </c>
      <c r="G290" s="221">
        <v>0.4</v>
      </c>
      <c r="H290" s="221">
        <v>0.9</v>
      </c>
      <c r="I290" s="221">
        <v>0.5</v>
      </c>
      <c r="O290" s="192">
        <v>0.6</v>
      </c>
      <c r="P290" s="192">
        <v>0.3</v>
      </c>
      <c r="Q290" s="192">
        <v>0.8</v>
      </c>
      <c r="R290" s="192">
        <v>0.45</v>
      </c>
      <c r="T290" s="187">
        <v>0</v>
      </c>
      <c r="U290" s="193">
        <v>0.8</v>
      </c>
      <c r="V290" s="187" t="s">
        <v>283</v>
      </c>
      <c r="W290" s="187" t="s">
        <v>285</v>
      </c>
    </row>
    <row r="291" spans="1:23">
      <c r="A291" s="202" t="str">
        <f t="shared" si="21"/>
        <v>屏東縣里港鄉</v>
      </c>
      <c r="B291" s="190" t="s">
        <v>283</v>
      </c>
      <c r="C291" s="190" t="s">
        <v>292</v>
      </c>
      <c r="D291" s="191">
        <v>37.5</v>
      </c>
      <c r="E291" s="189">
        <v>905</v>
      </c>
      <c r="F291" s="221">
        <v>0.7</v>
      </c>
      <c r="G291" s="221">
        <v>0.4</v>
      </c>
      <c r="H291" s="221">
        <v>0.9</v>
      </c>
      <c r="I291" s="221">
        <v>0.5</v>
      </c>
      <c r="J291" s="208" t="s">
        <v>1681</v>
      </c>
      <c r="O291" s="192">
        <v>0.5</v>
      </c>
      <c r="P291" s="192">
        <v>0.3</v>
      </c>
      <c r="Q291" s="192">
        <v>0.7</v>
      </c>
      <c r="R291" s="192">
        <v>0.4</v>
      </c>
      <c r="T291" s="187">
        <v>0</v>
      </c>
      <c r="U291" s="200">
        <v>0.6</v>
      </c>
      <c r="V291" s="187" t="s">
        <v>283</v>
      </c>
      <c r="W291" s="187" t="s">
        <v>286</v>
      </c>
    </row>
    <row r="292" spans="1:23">
      <c r="A292" s="202" t="str">
        <f t="shared" si="21"/>
        <v>屏東縣鹽埔鄉</v>
      </c>
      <c r="B292" s="190" t="s">
        <v>283</v>
      </c>
      <c r="C292" s="190" t="s">
        <v>293</v>
      </c>
      <c r="D292" s="191">
        <v>37.5</v>
      </c>
      <c r="E292" s="189">
        <v>907</v>
      </c>
      <c r="F292" s="192">
        <v>0.6</v>
      </c>
      <c r="G292" s="192">
        <v>0.35</v>
      </c>
      <c r="H292" s="192">
        <v>0.8</v>
      </c>
      <c r="I292" s="221">
        <v>0.5</v>
      </c>
      <c r="O292" s="192">
        <v>0.6</v>
      </c>
      <c r="P292" s="192">
        <v>0.35</v>
      </c>
      <c r="Q292" s="192">
        <v>0.8</v>
      </c>
      <c r="R292" s="192">
        <v>0.45</v>
      </c>
      <c r="T292" s="187">
        <v>0</v>
      </c>
      <c r="U292" s="200">
        <v>0.6</v>
      </c>
      <c r="V292" s="187" t="s">
        <v>283</v>
      </c>
      <c r="W292" s="187" t="s">
        <v>288</v>
      </c>
    </row>
    <row r="293" spans="1:23">
      <c r="A293" s="202" t="str">
        <f t="shared" si="21"/>
        <v>屏東縣高樹鄉</v>
      </c>
      <c r="B293" s="190" t="s">
        <v>283</v>
      </c>
      <c r="C293" s="190" t="s">
        <v>294</v>
      </c>
      <c r="D293" s="191">
        <v>37.5</v>
      </c>
      <c r="E293" s="189">
        <v>906</v>
      </c>
      <c r="F293" s="221">
        <v>0.7</v>
      </c>
      <c r="G293" s="221">
        <v>0.4</v>
      </c>
      <c r="H293" s="221">
        <v>0.9</v>
      </c>
      <c r="I293" s="221">
        <v>0.5</v>
      </c>
      <c r="O293" s="192">
        <v>0.5</v>
      </c>
      <c r="P293" s="192">
        <v>0.3</v>
      </c>
      <c r="Q293" s="192">
        <v>0.7</v>
      </c>
      <c r="R293" s="192">
        <v>0.4</v>
      </c>
      <c r="T293" s="187">
        <v>0</v>
      </c>
      <c r="U293" s="203">
        <v>1</v>
      </c>
      <c r="V293" s="187" t="s">
        <v>283</v>
      </c>
      <c r="W293" s="187" t="s">
        <v>287</v>
      </c>
    </row>
    <row r="294" spans="1:23">
      <c r="A294" s="202" t="str">
        <f t="shared" si="21"/>
        <v>屏東縣萬巒鄉</v>
      </c>
      <c r="B294" s="190" t="s">
        <v>283</v>
      </c>
      <c r="C294" s="190" t="s">
        <v>295</v>
      </c>
      <c r="D294" s="191">
        <v>37.5</v>
      </c>
      <c r="E294" s="189">
        <v>923</v>
      </c>
      <c r="F294" s="192">
        <v>0.6</v>
      </c>
      <c r="G294" s="192">
        <v>0.35</v>
      </c>
      <c r="H294" s="192">
        <v>0.8</v>
      </c>
      <c r="I294" s="192">
        <v>0.45</v>
      </c>
      <c r="O294" s="192">
        <v>0.6</v>
      </c>
      <c r="P294" s="192">
        <v>0.35</v>
      </c>
      <c r="Q294" s="192">
        <v>0.8</v>
      </c>
      <c r="R294" s="192">
        <v>0.45</v>
      </c>
      <c r="T294" s="187">
        <v>0</v>
      </c>
      <c r="U294" s="193">
        <v>0.8</v>
      </c>
      <c r="V294" s="187" t="s">
        <v>283</v>
      </c>
      <c r="W294" s="187" t="s">
        <v>297</v>
      </c>
    </row>
    <row r="295" spans="1:23" ht="16.5">
      <c r="A295" s="202" t="str">
        <f t="shared" si="21"/>
        <v>屏東縣內埔鄉</v>
      </c>
      <c r="B295" s="190" t="s">
        <v>283</v>
      </c>
      <c r="C295" s="190" t="s">
        <v>296</v>
      </c>
      <c r="D295" s="191">
        <v>37.5</v>
      </c>
      <c r="E295" s="189">
        <v>912</v>
      </c>
      <c r="F295" s="198">
        <v>0.6</v>
      </c>
      <c r="G295" s="198">
        <v>0.35</v>
      </c>
      <c r="H295" s="198">
        <v>0.8</v>
      </c>
      <c r="I295" s="198">
        <v>0.5</v>
      </c>
      <c r="O295" s="198">
        <v>0.6</v>
      </c>
      <c r="P295" s="198">
        <v>0.35</v>
      </c>
      <c r="Q295" s="198">
        <v>0.8</v>
      </c>
      <c r="R295" s="198">
        <v>0.5</v>
      </c>
      <c r="T295" s="187">
        <v>0</v>
      </c>
      <c r="U295" s="193">
        <v>0.8</v>
      </c>
      <c r="V295" s="187" t="s">
        <v>283</v>
      </c>
      <c r="W295" s="187" t="s">
        <v>292</v>
      </c>
    </row>
    <row r="296" spans="1:23">
      <c r="A296" s="202" t="str">
        <f t="shared" si="21"/>
        <v>屏東縣竹田鄉</v>
      </c>
      <c r="B296" s="190" t="s">
        <v>283</v>
      </c>
      <c r="C296" s="190" t="s">
        <v>297</v>
      </c>
      <c r="D296" s="191">
        <v>37.5</v>
      </c>
      <c r="E296" s="189">
        <v>911</v>
      </c>
      <c r="F296" s="192">
        <v>0.6</v>
      </c>
      <c r="G296" s="192">
        <v>0.35</v>
      </c>
      <c r="H296" s="192">
        <v>0.8</v>
      </c>
      <c r="I296" s="221">
        <v>0.45</v>
      </c>
      <c r="O296" s="192">
        <v>0.6</v>
      </c>
      <c r="P296" s="192">
        <v>0.35</v>
      </c>
      <c r="Q296" s="192">
        <v>0.8</v>
      </c>
      <c r="R296" s="192">
        <v>0.5</v>
      </c>
      <c r="T296" s="187">
        <v>0</v>
      </c>
      <c r="U296" s="200">
        <v>0.6</v>
      </c>
      <c r="V296" s="187" t="s">
        <v>283</v>
      </c>
      <c r="W296" s="187" t="s">
        <v>291</v>
      </c>
    </row>
    <row r="297" spans="1:23">
      <c r="A297" s="202" t="str">
        <f t="shared" si="21"/>
        <v>屏東縣新埤鄉</v>
      </c>
      <c r="B297" s="190" t="s">
        <v>283</v>
      </c>
      <c r="C297" s="190" t="s">
        <v>298</v>
      </c>
      <c r="D297" s="191">
        <v>37.5</v>
      </c>
      <c r="E297" s="189">
        <v>925</v>
      </c>
      <c r="F297" s="221">
        <v>0.6</v>
      </c>
      <c r="G297" s="192">
        <v>0.3</v>
      </c>
      <c r="H297" s="192">
        <v>0.7</v>
      </c>
      <c r="I297" s="192">
        <v>0.4</v>
      </c>
      <c r="O297" s="192">
        <v>0.5</v>
      </c>
      <c r="P297" s="192">
        <v>0.3</v>
      </c>
      <c r="Q297" s="192">
        <v>0.7</v>
      </c>
      <c r="R297" s="192">
        <v>0.4</v>
      </c>
      <c r="T297" s="187">
        <v>0</v>
      </c>
      <c r="U297" s="193">
        <v>0.8</v>
      </c>
      <c r="V297" s="187" t="s">
        <v>283</v>
      </c>
      <c r="W297" s="187" t="s">
        <v>299</v>
      </c>
    </row>
    <row r="298" spans="1:23">
      <c r="A298" s="202" t="str">
        <f t="shared" ref="A298:A344" si="22">B298&amp;C298</f>
        <v>屏東縣枋寮鄉</v>
      </c>
      <c r="B298" s="190" t="s">
        <v>283</v>
      </c>
      <c r="C298" s="190" t="s">
        <v>299</v>
      </c>
      <c r="D298" s="191">
        <v>42.5</v>
      </c>
      <c r="E298" s="189">
        <v>940</v>
      </c>
      <c r="F298" s="192">
        <v>0.5</v>
      </c>
      <c r="G298" s="192">
        <v>0.3</v>
      </c>
      <c r="H298" s="192">
        <v>0.7</v>
      </c>
      <c r="I298" s="192">
        <v>0.4</v>
      </c>
      <c r="O298" s="192">
        <v>0.5</v>
      </c>
      <c r="P298" s="192">
        <v>0.3</v>
      </c>
      <c r="Q298" s="192">
        <v>0.7</v>
      </c>
      <c r="R298" s="192">
        <v>0.4</v>
      </c>
      <c r="T298" s="187">
        <v>0</v>
      </c>
      <c r="U298" s="193">
        <v>0.8</v>
      </c>
      <c r="V298" s="187" t="s">
        <v>283</v>
      </c>
      <c r="W298" s="187" t="s">
        <v>306</v>
      </c>
    </row>
    <row r="299" spans="1:23">
      <c r="A299" s="202" t="str">
        <f t="shared" si="22"/>
        <v>屏東縣新園鄉</v>
      </c>
      <c r="B299" s="190" t="s">
        <v>283</v>
      </c>
      <c r="C299" s="190" t="s">
        <v>300</v>
      </c>
      <c r="D299" s="191">
        <v>37.5</v>
      </c>
      <c r="E299" s="189">
        <v>932</v>
      </c>
      <c r="F299" s="192">
        <v>0.5</v>
      </c>
      <c r="G299" s="192">
        <v>0.3</v>
      </c>
      <c r="H299" s="192">
        <v>0.7</v>
      </c>
      <c r="I299" s="221">
        <v>0.45</v>
      </c>
      <c r="O299" s="192">
        <v>0.5</v>
      </c>
      <c r="P299" s="192">
        <v>0.3</v>
      </c>
      <c r="Q299" s="192">
        <v>0.7</v>
      </c>
      <c r="R299" s="192">
        <v>0.4</v>
      </c>
      <c r="T299" s="187">
        <v>0</v>
      </c>
      <c r="U299" s="193">
        <v>0.8</v>
      </c>
      <c r="V299" s="187" t="s">
        <v>283</v>
      </c>
      <c r="W299" s="187" t="s">
        <v>305</v>
      </c>
    </row>
    <row r="300" spans="1:23">
      <c r="A300" s="202" t="str">
        <f t="shared" si="22"/>
        <v>屏東縣崁頂鄉</v>
      </c>
      <c r="B300" s="190" t="s">
        <v>283</v>
      </c>
      <c r="C300" s="190" t="s">
        <v>301</v>
      </c>
      <c r="D300" s="191">
        <v>37.5</v>
      </c>
      <c r="E300" s="189">
        <v>924</v>
      </c>
      <c r="F300" s="221">
        <v>0.5</v>
      </c>
      <c r="G300" s="192">
        <v>0.3</v>
      </c>
      <c r="H300" s="221">
        <v>0.8</v>
      </c>
      <c r="I300" s="221">
        <v>0.45</v>
      </c>
      <c r="O300" s="192">
        <v>0.6</v>
      </c>
      <c r="P300" s="192">
        <v>0.3</v>
      </c>
      <c r="Q300" s="192">
        <v>0.7</v>
      </c>
      <c r="R300" s="192">
        <v>0.4</v>
      </c>
      <c r="T300" s="187">
        <v>0</v>
      </c>
      <c r="U300" s="193">
        <v>0.8</v>
      </c>
      <c r="V300" s="187" t="s">
        <v>283</v>
      </c>
      <c r="W300" s="187" t="s">
        <v>298</v>
      </c>
    </row>
    <row r="301" spans="1:23">
      <c r="A301" s="202" t="str">
        <f t="shared" si="22"/>
        <v>屏東縣林邊鄉</v>
      </c>
      <c r="B301" s="190" t="s">
        <v>283</v>
      </c>
      <c r="C301" s="190" t="s">
        <v>302</v>
      </c>
      <c r="D301" s="191">
        <v>37.5</v>
      </c>
      <c r="E301" s="189">
        <v>927</v>
      </c>
      <c r="F301" s="192">
        <v>0.5</v>
      </c>
      <c r="G301" s="192">
        <v>0.3</v>
      </c>
      <c r="H301" s="221">
        <v>0.7</v>
      </c>
      <c r="I301" s="221">
        <v>0.4</v>
      </c>
      <c r="O301" s="192">
        <v>0.5</v>
      </c>
      <c r="P301" s="192">
        <v>0.3</v>
      </c>
      <c r="Q301" s="192">
        <v>0.8</v>
      </c>
      <c r="R301" s="192">
        <v>0.45</v>
      </c>
      <c r="T301" s="187">
        <v>0</v>
      </c>
      <c r="U301" s="200">
        <v>0.6</v>
      </c>
      <c r="V301" s="187" t="s">
        <v>283</v>
      </c>
      <c r="W301" s="187" t="s">
        <v>301</v>
      </c>
    </row>
    <row r="302" spans="1:23">
      <c r="A302" s="202" t="str">
        <f t="shared" si="22"/>
        <v>屏東縣南州鄉</v>
      </c>
      <c r="B302" s="190" t="s">
        <v>283</v>
      </c>
      <c r="C302" s="190" t="s">
        <v>303</v>
      </c>
      <c r="D302" s="191">
        <v>37.5</v>
      </c>
      <c r="E302" s="189">
        <v>926</v>
      </c>
      <c r="F302" s="192">
        <v>0.5</v>
      </c>
      <c r="G302" s="192">
        <v>0.3</v>
      </c>
      <c r="H302" s="192">
        <v>0.7</v>
      </c>
      <c r="I302" s="221">
        <v>0.4</v>
      </c>
      <c r="O302" s="192">
        <v>0.5</v>
      </c>
      <c r="P302" s="192">
        <v>0.3</v>
      </c>
      <c r="Q302" s="192">
        <v>0.7</v>
      </c>
      <c r="R302" s="192">
        <v>0.45</v>
      </c>
      <c r="T302" s="187">
        <v>0</v>
      </c>
      <c r="U302" s="200">
        <v>0.6</v>
      </c>
      <c r="V302" s="187" t="s">
        <v>283</v>
      </c>
      <c r="W302" s="187" t="s">
        <v>300</v>
      </c>
    </row>
    <row r="303" spans="1:23">
      <c r="A303" s="202" t="str">
        <f t="shared" si="22"/>
        <v>屏東縣佳冬鄉</v>
      </c>
      <c r="B303" s="190" t="s">
        <v>283</v>
      </c>
      <c r="C303" s="190" t="s">
        <v>304</v>
      </c>
      <c r="D303" s="191">
        <v>37.5</v>
      </c>
      <c r="E303" s="189">
        <v>931</v>
      </c>
      <c r="F303" s="192">
        <v>0.5</v>
      </c>
      <c r="G303" s="192">
        <v>0.3</v>
      </c>
      <c r="H303" s="192">
        <v>0.7</v>
      </c>
      <c r="I303" s="192">
        <v>0.4</v>
      </c>
      <c r="O303" s="192">
        <v>0.5</v>
      </c>
      <c r="P303" s="192">
        <v>0.3</v>
      </c>
      <c r="Q303" s="192">
        <v>0.7</v>
      </c>
      <c r="R303" s="192">
        <v>0.4</v>
      </c>
      <c r="T303" s="187">
        <v>0</v>
      </c>
      <c r="U303" s="200">
        <v>0.6</v>
      </c>
      <c r="V303" s="187" t="s">
        <v>283</v>
      </c>
      <c r="W303" s="187" t="s">
        <v>304</v>
      </c>
    </row>
    <row r="304" spans="1:23">
      <c r="A304" s="202" t="str">
        <f t="shared" si="22"/>
        <v>屏東縣琉球鄉</v>
      </c>
      <c r="B304" s="190" t="s">
        <v>283</v>
      </c>
      <c r="C304" s="190" t="s">
        <v>305</v>
      </c>
      <c r="D304" s="191">
        <v>40</v>
      </c>
      <c r="E304" s="189">
        <v>929</v>
      </c>
      <c r="F304" s="192">
        <v>0.5</v>
      </c>
      <c r="G304" s="192">
        <v>0.3</v>
      </c>
      <c r="H304" s="192">
        <v>0.7</v>
      </c>
      <c r="I304" s="192">
        <v>0.4</v>
      </c>
      <c r="O304" s="192">
        <v>0.5</v>
      </c>
      <c r="P304" s="192">
        <v>0.3</v>
      </c>
      <c r="Q304" s="192">
        <v>0.7</v>
      </c>
      <c r="R304" s="192">
        <v>0.4</v>
      </c>
      <c r="T304" s="187">
        <v>0</v>
      </c>
      <c r="U304" s="200">
        <v>0.6</v>
      </c>
      <c r="V304" s="187" t="s">
        <v>283</v>
      </c>
      <c r="W304" s="187" t="s">
        <v>303</v>
      </c>
    </row>
    <row r="305" spans="1:23">
      <c r="A305" s="202" t="str">
        <f t="shared" si="22"/>
        <v>屏東縣車城鄉</v>
      </c>
      <c r="B305" s="190" t="s">
        <v>283</v>
      </c>
      <c r="C305" s="190" t="s">
        <v>306</v>
      </c>
      <c r="D305" s="191">
        <v>42.5</v>
      </c>
      <c r="E305" s="189">
        <v>944</v>
      </c>
      <c r="F305" s="221">
        <v>0.5</v>
      </c>
      <c r="G305" s="192">
        <v>0.3</v>
      </c>
      <c r="H305" s="221">
        <v>0.7</v>
      </c>
      <c r="I305" s="221">
        <v>0.4</v>
      </c>
      <c r="O305" s="192">
        <v>0.6</v>
      </c>
      <c r="P305" s="192">
        <v>0.3</v>
      </c>
      <c r="Q305" s="192">
        <v>0.8</v>
      </c>
      <c r="R305" s="192">
        <v>0.45</v>
      </c>
      <c r="T305" s="187">
        <v>0</v>
      </c>
      <c r="U305" s="193">
        <v>0.8</v>
      </c>
      <c r="V305" s="187" t="s">
        <v>283</v>
      </c>
      <c r="W305" s="187" t="s">
        <v>313</v>
      </c>
    </row>
    <row r="306" spans="1:23">
      <c r="A306" s="202" t="str">
        <f t="shared" si="22"/>
        <v>屏東縣滿州鄉</v>
      </c>
      <c r="B306" s="190" t="s">
        <v>283</v>
      </c>
      <c r="C306" s="190" t="s">
        <v>307</v>
      </c>
      <c r="D306" s="191">
        <v>47.5</v>
      </c>
      <c r="E306" s="189">
        <v>947</v>
      </c>
      <c r="F306" s="192">
        <v>0.5</v>
      </c>
      <c r="G306" s="192">
        <v>0.3</v>
      </c>
      <c r="H306" s="192">
        <v>0.7</v>
      </c>
      <c r="I306" s="192">
        <v>0.4</v>
      </c>
      <c r="O306" s="192">
        <v>0.5</v>
      </c>
      <c r="P306" s="192">
        <v>0.3</v>
      </c>
      <c r="Q306" s="192">
        <v>0.7</v>
      </c>
      <c r="R306" s="192">
        <v>0.4</v>
      </c>
      <c r="T306" s="187">
        <v>0</v>
      </c>
      <c r="U306" s="193">
        <v>0.8</v>
      </c>
      <c r="V306" s="187" t="s">
        <v>283</v>
      </c>
      <c r="W306" s="187" t="s">
        <v>316</v>
      </c>
    </row>
    <row r="307" spans="1:23">
      <c r="A307" s="202" t="str">
        <f t="shared" si="22"/>
        <v>屏東縣枋山鄉</v>
      </c>
      <c r="B307" s="190" t="s">
        <v>283</v>
      </c>
      <c r="C307" s="190" t="s">
        <v>308</v>
      </c>
      <c r="D307" s="191">
        <v>42.5</v>
      </c>
      <c r="E307" s="189">
        <v>941</v>
      </c>
      <c r="F307" s="192">
        <v>0.5</v>
      </c>
      <c r="G307" s="192">
        <v>0.3</v>
      </c>
      <c r="H307" s="192">
        <v>0.7</v>
      </c>
      <c r="I307" s="192">
        <v>0.4</v>
      </c>
      <c r="O307" s="192">
        <v>0.5</v>
      </c>
      <c r="P307" s="192">
        <v>0.3</v>
      </c>
      <c r="Q307" s="192">
        <v>0.7</v>
      </c>
      <c r="R307" s="192">
        <v>0.4</v>
      </c>
      <c r="T307" s="187">
        <v>0</v>
      </c>
      <c r="U307" s="203">
        <v>1</v>
      </c>
      <c r="V307" s="187" t="s">
        <v>283</v>
      </c>
      <c r="W307" s="187" t="s">
        <v>307</v>
      </c>
    </row>
    <row r="308" spans="1:23">
      <c r="A308" s="202" t="str">
        <f t="shared" si="22"/>
        <v>屏東縣三地門鄉</v>
      </c>
      <c r="B308" s="190" t="s">
        <v>283</v>
      </c>
      <c r="C308" s="190" t="s">
        <v>309</v>
      </c>
      <c r="D308" s="191">
        <v>37.5</v>
      </c>
      <c r="E308" s="189">
        <v>901</v>
      </c>
      <c r="F308" s="192">
        <v>0.7</v>
      </c>
      <c r="G308" s="192">
        <v>0.4</v>
      </c>
      <c r="H308" s="192">
        <v>0.9</v>
      </c>
      <c r="I308" s="192">
        <v>0.5</v>
      </c>
      <c r="O308" s="192">
        <v>0.7</v>
      </c>
      <c r="P308" s="192">
        <v>0.4</v>
      </c>
      <c r="Q308" s="192">
        <v>0.9</v>
      </c>
      <c r="R308" s="192">
        <v>0.5</v>
      </c>
      <c r="T308" s="187">
        <v>0</v>
      </c>
      <c r="U308" s="193">
        <v>0.8</v>
      </c>
      <c r="V308" s="187" t="s">
        <v>283</v>
      </c>
      <c r="W308" s="187" t="s">
        <v>309</v>
      </c>
    </row>
    <row r="309" spans="1:23">
      <c r="A309" s="202" t="str">
        <f t="shared" si="22"/>
        <v>屏東縣霧台鄉</v>
      </c>
      <c r="B309" s="190" t="s">
        <v>283</v>
      </c>
      <c r="C309" s="190" t="s">
        <v>310</v>
      </c>
      <c r="D309" s="191">
        <v>37.5</v>
      </c>
      <c r="E309" s="189">
        <v>902</v>
      </c>
      <c r="F309" s="192">
        <v>0.7</v>
      </c>
      <c r="G309" s="192">
        <v>0.4</v>
      </c>
      <c r="H309" s="192">
        <v>0.9</v>
      </c>
      <c r="I309" s="192">
        <v>0.5</v>
      </c>
      <c r="O309" s="192">
        <v>0.7</v>
      </c>
      <c r="P309" s="192">
        <v>0.4</v>
      </c>
      <c r="Q309" s="192">
        <v>0.9</v>
      </c>
      <c r="R309" s="192">
        <v>0.5</v>
      </c>
      <c r="T309" s="187">
        <v>0</v>
      </c>
      <c r="U309" s="193">
        <v>0.8</v>
      </c>
      <c r="V309" s="187" t="s">
        <v>283</v>
      </c>
      <c r="W309" s="187" t="s">
        <v>310</v>
      </c>
    </row>
    <row r="310" spans="1:23">
      <c r="A310" s="202" t="str">
        <f t="shared" si="22"/>
        <v>屏東縣瑪家鄉</v>
      </c>
      <c r="B310" s="190" t="s">
        <v>283</v>
      </c>
      <c r="C310" s="190" t="s">
        <v>311</v>
      </c>
      <c r="D310" s="191">
        <v>37.5</v>
      </c>
      <c r="E310" s="189">
        <v>903</v>
      </c>
      <c r="F310" s="192">
        <v>0.7</v>
      </c>
      <c r="G310" s="192">
        <v>0.35</v>
      </c>
      <c r="H310" s="192">
        <v>0.9</v>
      </c>
      <c r="I310" s="192">
        <v>0.5</v>
      </c>
      <c r="O310" s="192">
        <v>0.7</v>
      </c>
      <c r="P310" s="192">
        <v>0.35</v>
      </c>
      <c r="Q310" s="192">
        <v>0.9</v>
      </c>
      <c r="R310" s="192">
        <v>0.5</v>
      </c>
      <c r="T310" s="187">
        <v>0</v>
      </c>
      <c r="U310" s="193">
        <v>0.8</v>
      </c>
      <c r="V310" s="187" t="s">
        <v>283</v>
      </c>
      <c r="W310" s="187" t="s">
        <v>311</v>
      </c>
    </row>
    <row r="311" spans="1:23">
      <c r="A311" s="202" t="str">
        <f t="shared" si="22"/>
        <v>屏東縣泰武鄉</v>
      </c>
      <c r="B311" s="190" t="s">
        <v>283</v>
      </c>
      <c r="C311" s="190" t="s">
        <v>312</v>
      </c>
      <c r="D311" s="191">
        <v>37.5</v>
      </c>
      <c r="E311" s="189">
        <v>921</v>
      </c>
      <c r="F311" s="221">
        <v>0.7</v>
      </c>
      <c r="G311" s="192">
        <v>0.35</v>
      </c>
      <c r="H311" s="221">
        <v>0.9</v>
      </c>
      <c r="I311" s="221">
        <v>0.5</v>
      </c>
      <c r="O311" s="192">
        <v>0.6</v>
      </c>
      <c r="P311" s="192">
        <v>0.35</v>
      </c>
      <c r="Q311" s="192">
        <v>0.8</v>
      </c>
      <c r="R311" s="192">
        <v>0.45</v>
      </c>
      <c r="T311" s="187">
        <v>0</v>
      </c>
      <c r="U311" s="193">
        <v>0.8</v>
      </c>
      <c r="V311" s="187" t="s">
        <v>283</v>
      </c>
      <c r="W311" s="187" t="s">
        <v>295</v>
      </c>
    </row>
    <row r="312" spans="1:23">
      <c r="A312" s="202" t="str">
        <f t="shared" si="22"/>
        <v>屏東縣來義鄉</v>
      </c>
      <c r="B312" s="190" t="s">
        <v>283</v>
      </c>
      <c r="C312" s="190" t="s">
        <v>313</v>
      </c>
      <c r="D312" s="191">
        <v>37.5</v>
      </c>
      <c r="E312" s="189">
        <v>922</v>
      </c>
      <c r="F312" s="192">
        <v>0.6</v>
      </c>
      <c r="G312" s="221">
        <v>0.3</v>
      </c>
      <c r="H312" s="192">
        <v>0.8</v>
      </c>
      <c r="I312" s="221">
        <v>0.45</v>
      </c>
      <c r="O312" s="192">
        <v>0.6</v>
      </c>
      <c r="P312" s="192">
        <v>0.35</v>
      </c>
      <c r="Q312" s="192">
        <v>0.8</v>
      </c>
      <c r="R312" s="192">
        <v>0.5</v>
      </c>
      <c r="T312" s="187">
        <v>0</v>
      </c>
      <c r="U312" s="193">
        <v>0.8</v>
      </c>
      <c r="V312" s="187" t="s">
        <v>283</v>
      </c>
      <c r="W312" s="187" t="s">
        <v>296</v>
      </c>
    </row>
    <row r="313" spans="1:23">
      <c r="A313" s="202" t="str">
        <f t="shared" si="22"/>
        <v>屏東縣春日鄉</v>
      </c>
      <c r="B313" s="190" t="s">
        <v>283</v>
      </c>
      <c r="C313" s="190" t="s">
        <v>314</v>
      </c>
      <c r="D313" s="191">
        <v>42.5</v>
      </c>
      <c r="E313" s="189">
        <v>942</v>
      </c>
      <c r="F313" s="192">
        <v>0.5</v>
      </c>
      <c r="G313" s="192">
        <v>0.3</v>
      </c>
      <c r="H313" s="192">
        <v>0.7</v>
      </c>
      <c r="I313" s="192">
        <v>0.4</v>
      </c>
      <c r="O313" s="192">
        <v>0.5</v>
      </c>
      <c r="P313" s="192">
        <v>0.3</v>
      </c>
      <c r="Q313" s="192">
        <v>0.7</v>
      </c>
      <c r="R313" s="192">
        <v>0.4</v>
      </c>
      <c r="T313" s="187">
        <v>0</v>
      </c>
      <c r="U313" s="193">
        <v>0.8</v>
      </c>
      <c r="V313" s="187" t="s">
        <v>283</v>
      </c>
      <c r="W313" s="187" t="s">
        <v>308</v>
      </c>
    </row>
    <row r="314" spans="1:23">
      <c r="A314" s="202" t="str">
        <f t="shared" si="22"/>
        <v>屏東縣獅子鄉</v>
      </c>
      <c r="B314" s="190" t="s">
        <v>283</v>
      </c>
      <c r="C314" s="190" t="s">
        <v>315</v>
      </c>
      <c r="D314" s="191">
        <v>42.5</v>
      </c>
      <c r="E314" s="189">
        <v>943</v>
      </c>
      <c r="F314" s="221">
        <v>0.5</v>
      </c>
      <c r="G314" s="221">
        <v>0.3</v>
      </c>
      <c r="H314" s="221">
        <v>0.7</v>
      </c>
      <c r="I314" s="221">
        <v>0.4</v>
      </c>
      <c r="O314" s="192">
        <v>0.7</v>
      </c>
      <c r="P314" s="192">
        <v>0.35</v>
      </c>
      <c r="Q314" s="192">
        <v>0.9</v>
      </c>
      <c r="R314" s="192">
        <v>0.5</v>
      </c>
      <c r="T314" s="187">
        <v>0</v>
      </c>
      <c r="U314" s="193">
        <v>0.8</v>
      </c>
      <c r="V314" s="187" t="s">
        <v>283</v>
      </c>
      <c r="W314" s="187" t="s">
        <v>312</v>
      </c>
    </row>
    <row r="315" spans="1:23">
      <c r="A315" s="202" t="str">
        <f t="shared" si="22"/>
        <v>屏東縣牡丹鄉</v>
      </c>
      <c r="B315" s="190" t="s">
        <v>283</v>
      </c>
      <c r="C315" s="190" t="s">
        <v>316</v>
      </c>
      <c r="D315" s="191">
        <v>42.5</v>
      </c>
      <c r="E315" s="189">
        <v>945</v>
      </c>
      <c r="F315" s="192">
        <v>0.5</v>
      </c>
      <c r="G315" s="192">
        <v>0.3</v>
      </c>
      <c r="H315" s="192">
        <v>0.7</v>
      </c>
      <c r="I315" s="192">
        <v>0.4</v>
      </c>
      <c r="O315" s="192">
        <v>0.5</v>
      </c>
      <c r="P315" s="192">
        <v>0.3</v>
      </c>
      <c r="Q315" s="192">
        <v>0.7</v>
      </c>
      <c r="R315" s="192">
        <v>0.4</v>
      </c>
      <c r="T315" s="187">
        <v>0</v>
      </c>
      <c r="U315" s="193">
        <v>0.8</v>
      </c>
      <c r="V315" s="187" t="s">
        <v>283</v>
      </c>
      <c r="W315" s="187" t="s">
        <v>314</v>
      </c>
    </row>
    <row r="316" spans="1:23" ht="63">
      <c r="A316" s="202" t="str">
        <f t="shared" si="22"/>
        <v>臺東縣臺東市</v>
      </c>
      <c r="B316" s="190" t="s">
        <v>1608</v>
      </c>
      <c r="C316" s="190" t="s">
        <v>1646</v>
      </c>
      <c r="D316" s="191">
        <v>37.5</v>
      </c>
      <c r="E316" s="189">
        <v>950</v>
      </c>
      <c r="F316" s="192">
        <v>0.8</v>
      </c>
      <c r="G316" s="192">
        <v>0.45</v>
      </c>
      <c r="H316" s="192">
        <v>1</v>
      </c>
      <c r="I316" s="192">
        <v>0.55000000000000004</v>
      </c>
      <c r="J316" s="379" t="s">
        <v>1806</v>
      </c>
      <c r="K316" s="208"/>
      <c r="L316" s="208"/>
      <c r="M316" s="208"/>
      <c r="N316" s="208"/>
      <c r="O316" s="192">
        <v>0.8</v>
      </c>
      <c r="P316" s="192">
        <v>0.45</v>
      </c>
      <c r="Q316" s="192">
        <v>1</v>
      </c>
      <c r="R316" s="192">
        <v>0.55000000000000004</v>
      </c>
      <c r="T316" s="187">
        <v>0</v>
      </c>
      <c r="U316" s="200">
        <v>0.6</v>
      </c>
      <c r="V316" s="187" t="s">
        <v>317</v>
      </c>
      <c r="W316" s="187" t="s">
        <v>318</v>
      </c>
    </row>
    <row r="317" spans="1:23" ht="63">
      <c r="A317" s="202" t="str">
        <f t="shared" si="22"/>
        <v>臺東縣成功鎮</v>
      </c>
      <c r="B317" s="190" t="s">
        <v>1608</v>
      </c>
      <c r="C317" s="190" t="s">
        <v>325</v>
      </c>
      <c r="D317" s="191">
        <v>37.5</v>
      </c>
      <c r="E317" s="189">
        <v>961</v>
      </c>
      <c r="F317" s="192">
        <v>0.8</v>
      </c>
      <c r="G317" s="192">
        <v>0.45</v>
      </c>
      <c r="H317" s="192">
        <v>1</v>
      </c>
      <c r="I317" s="192">
        <v>0.55000000000000004</v>
      </c>
      <c r="J317" s="379" t="s">
        <v>1806</v>
      </c>
      <c r="K317" s="208"/>
      <c r="L317" s="208"/>
      <c r="M317" s="208"/>
      <c r="N317" s="208"/>
      <c r="O317" s="192">
        <v>0.8</v>
      </c>
      <c r="P317" s="192">
        <v>0.45</v>
      </c>
      <c r="Q317" s="192">
        <v>1</v>
      </c>
      <c r="R317" s="192">
        <v>0.55000000000000004</v>
      </c>
      <c r="S317" s="187" t="s">
        <v>326</v>
      </c>
      <c r="T317" s="187">
        <v>13</v>
      </c>
      <c r="U317" s="203">
        <v>1</v>
      </c>
      <c r="V317" s="187" t="s">
        <v>323</v>
      </c>
      <c r="W317" s="187" t="s">
        <v>330</v>
      </c>
    </row>
    <row r="318" spans="1:23" ht="63">
      <c r="A318" s="202" t="str">
        <f t="shared" si="22"/>
        <v>臺東縣關山鎮</v>
      </c>
      <c r="B318" s="190" t="s">
        <v>1608</v>
      </c>
      <c r="C318" s="190" t="s">
        <v>327</v>
      </c>
      <c r="D318" s="191">
        <v>37.5</v>
      </c>
      <c r="E318" s="189">
        <v>956</v>
      </c>
      <c r="F318" s="192">
        <v>0.8</v>
      </c>
      <c r="G318" s="192">
        <v>0.45</v>
      </c>
      <c r="H318" s="192">
        <v>1</v>
      </c>
      <c r="I318" s="192">
        <v>0.55000000000000004</v>
      </c>
      <c r="J318" s="379" t="s">
        <v>1806</v>
      </c>
      <c r="K318" s="208"/>
      <c r="L318" s="208"/>
      <c r="M318" s="208"/>
      <c r="N318" s="208"/>
      <c r="O318" s="192">
        <v>0.8</v>
      </c>
      <c r="P318" s="192">
        <v>0.45</v>
      </c>
      <c r="Q318" s="192">
        <v>1</v>
      </c>
      <c r="R318" s="192">
        <v>0.55000000000000004</v>
      </c>
      <c r="S318" s="187" t="s">
        <v>326</v>
      </c>
      <c r="T318" s="187">
        <v>13</v>
      </c>
      <c r="U318" s="203">
        <v>1</v>
      </c>
      <c r="V318" s="187" t="s">
        <v>323</v>
      </c>
      <c r="W318" s="187" t="s">
        <v>325</v>
      </c>
    </row>
    <row r="319" spans="1:23" ht="63">
      <c r="A319" s="202" t="str">
        <f t="shared" si="22"/>
        <v>臺東縣卑南鄉</v>
      </c>
      <c r="B319" s="190" t="s">
        <v>1608</v>
      </c>
      <c r="C319" s="190" t="s">
        <v>328</v>
      </c>
      <c r="D319" s="191">
        <v>37.5</v>
      </c>
      <c r="E319" s="189">
        <v>954</v>
      </c>
      <c r="F319" s="192">
        <v>0.8</v>
      </c>
      <c r="G319" s="192">
        <v>0.45</v>
      </c>
      <c r="H319" s="192">
        <v>1</v>
      </c>
      <c r="I319" s="192">
        <v>0.55000000000000004</v>
      </c>
      <c r="J319" s="379" t="s">
        <v>1806</v>
      </c>
      <c r="K319" s="208"/>
      <c r="L319" s="208"/>
      <c r="M319" s="208"/>
      <c r="N319" s="208"/>
      <c r="O319" s="192">
        <v>0.8</v>
      </c>
      <c r="P319" s="192">
        <v>0.45</v>
      </c>
      <c r="Q319" s="192">
        <v>1</v>
      </c>
      <c r="R319" s="192">
        <v>0.55000000000000004</v>
      </c>
      <c r="T319" s="187">
        <v>0</v>
      </c>
      <c r="U319" s="200">
        <v>0.6</v>
      </c>
      <c r="V319" s="187" t="s">
        <v>317</v>
      </c>
      <c r="W319" s="187" t="s">
        <v>322</v>
      </c>
    </row>
    <row r="320" spans="1:23" ht="63">
      <c r="A320" s="202" t="str">
        <f t="shared" si="22"/>
        <v>臺東縣鹿野鄉</v>
      </c>
      <c r="B320" s="190" t="s">
        <v>1608</v>
      </c>
      <c r="C320" s="190" t="s">
        <v>329</v>
      </c>
      <c r="D320" s="191">
        <v>37.5</v>
      </c>
      <c r="E320" s="189">
        <v>955</v>
      </c>
      <c r="F320" s="192">
        <v>0.8</v>
      </c>
      <c r="G320" s="192">
        <v>0.45</v>
      </c>
      <c r="H320" s="192">
        <v>1</v>
      </c>
      <c r="I320" s="192">
        <v>0.55000000000000004</v>
      </c>
      <c r="J320" s="379" t="s">
        <v>1806</v>
      </c>
      <c r="K320" s="208"/>
      <c r="L320" s="208"/>
      <c r="M320" s="208"/>
      <c r="N320" s="208"/>
      <c r="O320" s="192">
        <v>0.8</v>
      </c>
      <c r="P320" s="192">
        <v>0.45</v>
      </c>
      <c r="Q320" s="192">
        <v>1</v>
      </c>
      <c r="R320" s="192">
        <v>0.55000000000000004</v>
      </c>
      <c r="S320" s="187" t="s">
        <v>326</v>
      </c>
      <c r="T320" s="187">
        <v>13</v>
      </c>
      <c r="U320" s="203">
        <v>1</v>
      </c>
      <c r="V320" s="187" t="s">
        <v>323</v>
      </c>
      <c r="W320" s="187" t="s">
        <v>324</v>
      </c>
    </row>
    <row r="321" spans="1:23" ht="63">
      <c r="A321" s="202" t="str">
        <f t="shared" si="22"/>
        <v>臺東縣池上鄉</v>
      </c>
      <c r="B321" s="190" t="s">
        <v>1608</v>
      </c>
      <c r="C321" s="190" t="s">
        <v>330</v>
      </c>
      <c r="D321" s="191">
        <v>37.5</v>
      </c>
      <c r="E321" s="189">
        <v>958</v>
      </c>
      <c r="F321" s="192">
        <v>0.8</v>
      </c>
      <c r="G321" s="192">
        <v>0.45</v>
      </c>
      <c r="H321" s="192">
        <v>1</v>
      </c>
      <c r="I321" s="192">
        <v>0.55000000000000004</v>
      </c>
      <c r="J321" s="379" t="s">
        <v>1806</v>
      </c>
      <c r="K321" s="208"/>
      <c r="L321" s="208"/>
      <c r="M321" s="208"/>
      <c r="N321" s="208"/>
      <c r="O321" s="192">
        <v>0.8</v>
      </c>
      <c r="P321" s="192">
        <v>0.45</v>
      </c>
      <c r="Q321" s="192">
        <v>1</v>
      </c>
      <c r="R321" s="192">
        <v>0.55000000000000004</v>
      </c>
      <c r="S321" s="187" t="s">
        <v>326</v>
      </c>
      <c r="T321" s="187">
        <v>13</v>
      </c>
      <c r="U321" s="203">
        <v>1</v>
      </c>
      <c r="V321" s="187" t="s">
        <v>323</v>
      </c>
      <c r="W321" s="187" t="s">
        <v>328</v>
      </c>
    </row>
    <row r="322" spans="1:23" ht="63">
      <c r="A322" s="202" t="str">
        <f t="shared" si="22"/>
        <v>臺東縣東河鄉</v>
      </c>
      <c r="B322" s="190" t="s">
        <v>1608</v>
      </c>
      <c r="C322" s="190" t="s">
        <v>331</v>
      </c>
      <c r="D322" s="191">
        <v>37.5</v>
      </c>
      <c r="E322" s="189">
        <v>959</v>
      </c>
      <c r="F322" s="192">
        <v>0.8</v>
      </c>
      <c r="G322" s="192">
        <v>0.45</v>
      </c>
      <c r="H322" s="192">
        <v>1</v>
      </c>
      <c r="I322" s="192">
        <v>0.55000000000000004</v>
      </c>
      <c r="J322" s="379" t="s">
        <v>1806</v>
      </c>
      <c r="K322" s="208"/>
      <c r="L322" s="208"/>
      <c r="M322" s="208"/>
      <c r="N322" s="208"/>
      <c r="O322" s="192">
        <v>0.8</v>
      </c>
      <c r="P322" s="192">
        <v>0.45</v>
      </c>
      <c r="Q322" s="192">
        <v>1</v>
      </c>
      <c r="R322" s="192">
        <v>0.55000000000000004</v>
      </c>
      <c r="S322" s="187" t="s">
        <v>326</v>
      </c>
      <c r="T322" s="187">
        <v>13</v>
      </c>
      <c r="U322" s="203">
        <v>1</v>
      </c>
      <c r="V322" s="187" t="s">
        <v>323</v>
      </c>
      <c r="W322" s="187" t="s">
        <v>329</v>
      </c>
    </row>
    <row r="323" spans="1:23" ht="63">
      <c r="A323" s="202" t="str">
        <f t="shared" si="22"/>
        <v>臺東縣長濱鄉</v>
      </c>
      <c r="B323" s="190" t="s">
        <v>1608</v>
      </c>
      <c r="C323" s="190" t="s">
        <v>332</v>
      </c>
      <c r="D323" s="191">
        <v>42.5</v>
      </c>
      <c r="E323" s="189">
        <v>962</v>
      </c>
      <c r="F323" s="192">
        <v>0.8</v>
      </c>
      <c r="G323" s="192">
        <v>0.45</v>
      </c>
      <c r="H323" s="192">
        <v>1</v>
      </c>
      <c r="I323" s="192">
        <v>0.55000000000000004</v>
      </c>
      <c r="J323" s="379" t="s">
        <v>1806</v>
      </c>
      <c r="K323" s="208"/>
      <c r="L323" s="208"/>
      <c r="M323" s="208"/>
      <c r="N323" s="208"/>
      <c r="O323" s="192">
        <v>0.8</v>
      </c>
      <c r="P323" s="192">
        <v>0.45</v>
      </c>
      <c r="Q323" s="192">
        <v>1</v>
      </c>
      <c r="R323" s="192">
        <v>0.55000000000000004</v>
      </c>
      <c r="S323" s="187" t="s">
        <v>326</v>
      </c>
      <c r="T323" s="187">
        <v>13</v>
      </c>
      <c r="U323" s="203">
        <v>1</v>
      </c>
      <c r="V323" s="187" t="s">
        <v>323</v>
      </c>
      <c r="W323" s="187" t="s">
        <v>331</v>
      </c>
    </row>
    <row r="324" spans="1:23" ht="16.5">
      <c r="A324" s="202" t="str">
        <f t="shared" si="22"/>
        <v>臺東縣太麻里鄉</v>
      </c>
      <c r="B324" s="190" t="s">
        <v>1608</v>
      </c>
      <c r="C324" s="204" t="s">
        <v>333</v>
      </c>
      <c r="D324" s="191">
        <v>42.5</v>
      </c>
      <c r="E324" s="189">
        <v>963</v>
      </c>
      <c r="F324" s="192">
        <v>0.7</v>
      </c>
      <c r="G324" s="192">
        <v>0.4</v>
      </c>
      <c r="H324" s="192">
        <v>0.9</v>
      </c>
      <c r="I324" s="206">
        <v>0.5</v>
      </c>
      <c r="O324" s="192">
        <v>0.7</v>
      </c>
      <c r="P324" s="192">
        <v>0.4</v>
      </c>
      <c r="Q324" s="192">
        <v>0.9</v>
      </c>
      <c r="R324" s="192">
        <v>0.55000000000000004</v>
      </c>
      <c r="T324" s="187">
        <v>0</v>
      </c>
      <c r="U324" s="203">
        <v>1</v>
      </c>
      <c r="V324" s="187" t="s">
        <v>323</v>
      </c>
      <c r="W324" s="187" t="s">
        <v>332</v>
      </c>
    </row>
    <row r="325" spans="1:23">
      <c r="A325" s="202" t="str">
        <f t="shared" si="22"/>
        <v>臺東縣大武鄉</v>
      </c>
      <c r="B325" s="190" t="s">
        <v>1608</v>
      </c>
      <c r="C325" s="190" t="s">
        <v>334</v>
      </c>
      <c r="D325" s="191">
        <v>42.5</v>
      </c>
      <c r="E325" s="189">
        <v>965</v>
      </c>
      <c r="F325" s="192">
        <v>0.6</v>
      </c>
      <c r="G325" s="192">
        <v>0.3</v>
      </c>
      <c r="H325" s="192">
        <v>0.8</v>
      </c>
      <c r="I325" s="192">
        <v>0.45</v>
      </c>
      <c r="O325" s="192">
        <v>0.6</v>
      </c>
      <c r="P325" s="192">
        <v>0.3</v>
      </c>
      <c r="Q325" s="192">
        <v>0.8</v>
      </c>
      <c r="R325" s="192">
        <v>0.45</v>
      </c>
      <c r="T325" s="187">
        <v>0</v>
      </c>
      <c r="U325" s="203">
        <v>1</v>
      </c>
      <c r="V325" s="187" t="s">
        <v>323</v>
      </c>
      <c r="W325" s="187" t="s">
        <v>334</v>
      </c>
    </row>
    <row r="326" spans="1:23">
      <c r="A326" s="202" t="str">
        <f t="shared" si="22"/>
        <v>臺東縣綠島鄉</v>
      </c>
      <c r="B326" s="190" t="s">
        <v>1608</v>
      </c>
      <c r="C326" s="190" t="s">
        <v>335</v>
      </c>
      <c r="D326" s="191">
        <v>65</v>
      </c>
      <c r="E326" s="189">
        <v>951</v>
      </c>
      <c r="F326" s="192">
        <v>0.8</v>
      </c>
      <c r="G326" s="192">
        <v>0.45</v>
      </c>
      <c r="H326" s="192">
        <v>1</v>
      </c>
      <c r="I326" s="192">
        <v>0.55000000000000004</v>
      </c>
      <c r="J326" s="208"/>
      <c r="K326" s="208"/>
      <c r="L326" s="208"/>
      <c r="M326" s="208"/>
      <c r="N326" s="208"/>
      <c r="O326" s="192">
        <v>0.8</v>
      </c>
      <c r="P326" s="192">
        <v>0.45</v>
      </c>
      <c r="Q326" s="192">
        <v>1</v>
      </c>
      <c r="R326" s="192">
        <v>0.55000000000000004</v>
      </c>
      <c r="T326" s="187">
        <v>0</v>
      </c>
      <c r="U326" s="200">
        <v>0.6</v>
      </c>
      <c r="V326" s="187" t="s">
        <v>317</v>
      </c>
      <c r="W326" s="187" t="s">
        <v>319</v>
      </c>
    </row>
    <row r="327" spans="1:23" ht="63">
      <c r="A327" s="202" t="str">
        <f t="shared" si="22"/>
        <v>臺東縣海端鄉</v>
      </c>
      <c r="B327" s="190" t="s">
        <v>1608</v>
      </c>
      <c r="C327" s="190" t="s">
        <v>336</v>
      </c>
      <c r="D327" s="191">
        <v>37.5</v>
      </c>
      <c r="E327" s="189">
        <v>957</v>
      </c>
      <c r="F327" s="192">
        <v>0.8</v>
      </c>
      <c r="G327" s="192">
        <v>0.45</v>
      </c>
      <c r="H327" s="192">
        <v>1</v>
      </c>
      <c r="I327" s="192">
        <v>0.55000000000000004</v>
      </c>
      <c r="J327" s="379" t="s">
        <v>1806</v>
      </c>
      <c r="K327" s="208"/>
      <c r="L327" s="208"/>
      <c r="M327" s="208"/>
      <c r="N327" s="208"/>
      <c r="O327" s="192">
        <v>0.8</v>
      </c>
      <c r="P327" s="192">
        <v>0.45</v>
      </c>
      <c r="Q327" s="192">
        <v>1</v>
      </c>
      <c r="R327" s="192">
        <v>0.55000000000000004</v>
      </c>
      <c r="S327" s="187" t="s">
        <v>326</v>
      </c>
      <c r="T327" s="187">
        <v>13</v>
      </c>
      <c r="U327" s="203">
        <v>1</v>
      </c>
      <c r="V327" s="187" t="s">
        <v>323</v>
      </c>
      <c r="W327" s="187" t="s">
        <v>327</v>
      </c>
    </row>
    <row r="328" spans="1:23" ht="63">
      <c r="A328" s="202" t="str">
        <f t="shared" si="22"/>
        <v>臺東縣延平鄉</v>
      </c>
      <c r="B328" s="190" t="s">
        <v>1608</v>
      </c>
      <c r="C328" s="190" t="s">
        <v>337</v>
      </c>
      <c r="D328" s="191">
        <v>37.5</v>
      </c>
      <c r="E328" s="189">
        <v>953</v>
      </c>
      <c r="F328" s="192">
        <v>0.8</v>
      </c>
      <c r="G328" s="192">
        <v>0.45</v>
      </c>
      <c r="H328" s="192">
        <v>1</v>
      </c>
      <c r="I328" s="192">
        <v>0.55000000000000004</v>
      </c>
      <c r="J328" s="379" t="s">
        <v>1806</v>
      </c>
      <c r="K328" s="208"/>
      <c r="L328" s="208"/>
      <c r="M328" s="208"/>
      <c r="N328" s="208"/>
      <c r="O328" s="192">
        <v>0.8</v>
      </c>
      <c r="P328" s="192">
        <v>0.45</v>
      </c>
      <c r="Q328" s="192">
        <v>1</v>
      </c>
      <c r="R328" s="192">
        <v>0.55000000000000004</v>
      </c>
      <c r="T328" s="187">
        <v>0</v>
      </c>
      <c r="U328" s="200">
        <v>0.6</v>
      </c>
      <c r="V328" s="187" t="s">
        <v>317</v>
      </c>
      <c r="W328" s="187" t="s">
        <v>321</v>
      </c>
    </row>
    <row r="329" spans="1:23">
      <c r="A329" s="202" t="str">
        <f t="shared" si="22"/>
        <v>臺東縣金峰鄉</v>
      </c>
      <c r="B329" s="190" t="s">
        <v>1608</v>
      </c>
      <c r="C329" s="190" t="s">
        <v>338</v>
      </c>
      <c r="D329" s="191">
        <v>37.5</v>
      </c>
      <c r="E329" s="189">
        <v>964</v>
      </c>
      <c r="F329" s="192">
        <v>0.7</v>
      </c>
      <c r="G329" s="192">
        <v>0.4</v>
      </c>
      <c r="H329" s="192">
        <v>0.9</v>
      </c>
      <c r="I329" s="192">
        <v>0.5</v>
      </c>
      <c r="O329" s="192">
        <v>0.7</v>
      </c>
      <c r="P329" s="192">
        <v>0.4</v>
      </c>
      <c r="Q329" s="192">
        <v>0.9</v>
      </c>
      <c r="R329" s="192">
        <v>0.5</v>
      </c>
      <c r="T329" s="187">
        <v>0</v>
      </c>
      <c r="U329" s="203">
        <v>1</v>
      </c>
      <c r="V329" s="187" t="s">
        <v>323</v>
      </c>
      <c r="W329" s="187" t="s">
        <v>333</v>
      </c>
    </row>
    <row r="330" spans="1:23">
      <c r="A330" s="202" t="str">
        <f t="shared" si="22"/>
        <v>臺東縣達仁鄉</v>
      </c>
      <c r="B330" s="190" t="s">
        <v>1608</v>
      </c>
      <c r="C330" s="190" t="s">
        <v>339</v>
      </c>
      <c r="D330" s="191">
        <v>42.5</v>
      </c>
      <c r="E330" s="189">
        <v>966</v>
      </c>
      <c r="F330" s="192">
        <v>0.6</v>
      </c>
      <c r="G330" s="192">
        <v>0.3</v>
      </c>
      <c r="H330" s="192">
        <v>0.8</v>
      </c>
      <c r="I330" s="192">
        <v>0.45</v>
      </c>
      <c r="O330" s="192">
        <v>0.6</v>
      </c>
      <c r="P330" s="192">
        <v>0.3</v>
      </c>
      <c r="Q330" s="192">
        <v>0.8</v>
      </c>
      <c r="R330" s="192">
        <v>0.45</v>
      </c>
      <c r="T330" s="187">
        <v>0</v>
      </c>
      <c r="U330" s="203">
        <v>1</v>
      </c>
      <c r="V330" s="187" t="s">
        <v>323</v>
      </c>
      <c r="W330" s="187" t="s">
        <v>335</v>
      </c>
    </row>
    <row r="331" spans="1:23" ht="16.5">
      <c r="A331" s="202" t="str">
        <f t="shared" si="22"/>
        <v>臺東縣蘭嶼鄉</v>
      </c>
      <c r="B331" s="190" t="s">
        <v>1608</v>
      </c>
      <c r="C331" s="204" t="s">
        <v>340</v>
      </c>
      <c r="D331" s="191">
        <v>65</v>
      </c>
      <c r="E331" s="189">
        <v>952</v>
      </c>
      <c r="F331" s="206">
        <v>0.7</v>
      </c>
      <c r="G331" s="192">
        <v>0.4</v>
      </c>
      <c r="H331" s="192">
        <v>0.9</v>
      </c>
      <c r="I331" s="206">
        <v>0.5</v>
      </c>
      <c r="O331" s="192">
        <v>0.8</v>
      </c>
      <c r="P331" s="192">
        <v>0.4</v>
      </c>
      <c r="Q331" s="192">
        <v>0.9</v>
      </c>
      <c r="R331" s="192">
        <v>0.55000000000000004</v>
      </c>
      <c r="T331" s="187">
        <v>0</v>
      </c>
      <c r="U331" s="200">
        <v>0.6</v>
      </c>
      <c r="V331" s="187" t="s">
        <v>317</v>
      </c>
      <c r="W331" s="187" t="s">
        <v>320</v>
      </c>
    </row>
    <row r="332" spans="1:23" ht="63">
      <c r="A332" s="202" t="str">
        <f t="shared" si="22"/>
        <v>花蓮縣花蓮市</v>
      </c>
      <c r="B332" s="190" t="s">
        <v>341</v>
      </c>
      <c r="C332" s="190" t="s">
        <v>342</v>
      </c>
      <c r="D332" s="191">
        <v>47.5</v>
      </c>
      <c r="E332" s="189">
        <v>970</v>
      </c>
      <c r="F332" s="192">
        <v>0.8</v>
      </c>
      <c r="G332" s="192">
        <v>0.45</v>
      </c>
      <c r="H332" s="192">
        <v>1</v>
      </c>
      <c r="I332" s="192">
        <v>0.55000000000000004</v>
      </c>
      <c r="J332" s="379" t="s">
        <v>1806</v>
      </c>
      <c r="O332" s="192">
        <v>0.8</v>
      </c>
      <c r="P332" s="192">
        <v>0.45</v>
      </c>
      <c r="Q332" s="192">
        <v>1</v>
      </c>
      <c r="R332" s="192">
        <v>0.55000000000000004</v>
      </c>
      <c r="S332" s="187" t="s">
        <v>326</v>
      </c>
      <c r="T332" s="187">
        <v>13</v>
      </c>
      <c r="U332" s="203">
        <v>1</v>
      </c>
      <c r="V332" s="187" t="s">
        <v>323</v>
      </c>
      <c r="W332" s="187" t="s">
        <v>336</v>
      </c>
    </row>
    <row r="333" spans="1:23" ht="63">
      <c r="A333" s="202" t="str">
        <f t="shared" si="22"/>
        <v>花蓮縣鳳林鎮</v>
      </c>
      <c r="B333" s="190" t="s">
        <v>341</v>
      </c>
      <c r="C333" s="190" t="s">
        <v>343</v>
      </c>
      <c r="D333" s="191">
        <v>42.5</v>
      </c>
      <c r="E333" s="189">
        <v>975</v>
      </c>
      <c r="F333" s="192">
        <v>0.8</v>
      </c>
      <c r="G333" s="192">
        <v>0.45</v>
      </c>
      <c r="H333" s="192">
        <v>1</v>
      </c>
      <c r="I333" s="192">
        <v>0.55000000000000004</v>
      </c>
      <c r="J333" s="379" t="s">
        <v>1806</v>
      </c>
      <c r="O333" s="192">
        <v>0.8</v>
      </c>
      <c r="P333" s="192">
        <v>0.45</v>
      </c>
      <c r="Q333" s="192">
        <v>1</v>
      </c>
      <c r="R333" s="192">
        <v>0.55000000000000004</v>
      </c>
      <c r="S333" s="187" t="s">
        <v>326</v>
      </c>
      <c r="T333" s="187">
        <v>13</v>
      </c>
      <c r="U333" s="203">
        <v>1</v>
      </c>
      <c r="V333" s="187" t="s">
        <v>341</v>
      </c>
      <c r="W333" s="187" t="s">
        <v>342</v>
      </c>
    </row>
    <row r="334" spans="1:23" ht="63">
      <c r="A334" s="202" t="str">
        <f t="shared" si="22"/>
        <v>花蓮縣玉里鎮</v>
      </c>
      <c r="B334" s="190" t="s">
        <v>341</v>
      </c>
      <c r="C334" s="190" t="s">
        <v>344</v>
      </c>
      <c r="D334" s="191">
        <v>42.5</v>
      </c>
      <c r="E334" s="189">
        <v>981</v>
      </c>
      <c r="F334" s="192">
        <v>0.8</v>
      </c>
      <c r="G334" s="192">
        <v>0.45</v>
      </c>
      <c r="H334" s="192">
        <v>1</v>
      </c>
      <c r="I334" s="192">
        <v>0.55000000000000004</v>
      </c>
      <c r="J334" s="379" t="s">
        <v>1806</v>
      </c>
      <c r="O334" s="192">
        <v>0.8</v>
      </c>
      <c r="P334" s="192">
        <v>0.45</v>
      </c>
      <c r="Q334" s="192">
        <v>1</v>
      </c>
      <c r="R334" s="192">
        <v>0.55000000000000004</v>
      </c>
      <c r="S334" s="187" t="s">
        <v>326</v>
      </c>
      <c r="T334" s="187">
        <v>13</v>
      </c>
      <c r="U334" s="203">
        <v>1</v>
      </c>
      <c r="V334" s="187" t="s">
        <v>341</v>
      </c>
      <c r="W334" s="187" t="s">
        <v>347</v>
      </c>
    </row>
    <row r="335" spans="1:23" ht="63">
      <c r="A335" s="202" t="str">
        <f t="shared" si="22"/>
        <v>花蓮縣新城鄉</v>
      </c>
      <c r="B335" s="190" t="s">
        <v>341</v>
      </c>
      <c r="C335" s="190" t="s">
        <v>345</v>
      </c>
      <c r="D335" s="191">
        <v>42.5</v>
      </c>
      <c r="E335" s="189">
        <v>971</v>
      </c>
      <c r="F335" s="192">
        <v>0.8</v>
      </c>
      <c r="G335" s="192">
        <v>0.45</v>
      </c>
      <c r="H335" s="192">
        <v>1</v>
      </c>
      <c r="I335" s="192">
        <v>0.55000000000000004</v>
      </c>
      <c r="J335" s="379" t="s">
        <v>1806</v>
      </c>
      <c r="O335" s="192">
        <v>0.8</v>
      </c>
      <c r="P335" s="192">
        <v>0.45</v>
      </c>
      <c r="Q335" s="192">
        <v>1</v>
      </c>
      <c r="R335" s="192">
        <v>0.55000000000000004</v>
      </c>
      <c r="S335" s="187" t="s">
        <v>326</v>
      </c>
      <c r="T335" s="187">
        <v>13</v>
      </c>
      <c r="U335" s="203">
        <v>1</v>
      </c>
      <c r="V335" s="187" t="s">
        <v>323</v>
      </c>
      <c r="W335" s="187" t="s">
        <v>337</v>
      </c>
    </row>
    <row r="336" spans="1:23" ht="63">
      <c r="A336" s="202" t="str">
        <f t="shared" si="22"/>
        <v>花蓮縣吉安鄉</v>
      </c>
      <c r="B336" s="190" t="s">
        <v>341</v>
      </c>
      <c r="C336" s="190" t="s">
        <v>346</v>
      </c>
      <c r="D336" s="191">
        <v>47.5</v>
      </c>
      <c r="E336" s="189">
        <v>973</v>
      </c>
      <c r="F336" s="192">
        <v>0.8</v>
      </c>
      <c r="G336" s="192">
        <v>0.45</v>
      </c>
      <c r="H336" s="192">
        <v>1</v>
      </c>
      <c r="I336" s="192">
        <v>0.55000000000000004</v>
      </c>
      <c r="J336" s="379" t="s">
        <v>1806</v>
      </c>
      <c r="O336" s="192">
        <v>0.8</v>
      </c>
      <c r="P336" s="192">
        <v>0.45</v>
      </c>
      <c r="Q336" s="192">
        <v>1</v>
      </c>
      <c r="R336" s="192">
        <v>0.55000000000000004</v>
      </c>
      <c r="S336" s="187" t="s">
        <v>326</v>
      </c>
      <c r="T336" s="187">
        <v>13</v>
      </c>
      <c r="U336" s="203">
        <v>1</v>
      </c>
      <c r="V336" s="187" t="s">
        <v>323</v>
      </c>
      <c r="W336" s="187" t="s">
        <v>339</v>
      </c>
    </row>
    <row r="337" spans="1:23" ht="63">
      <c r="A337" s="202" t="str">
        <f t="shared" si="22"/>
        <v>花蓮縣壽豐鄉</v>
      </c>
      <c r="B337" s="190" t="s">
        <v>341</v>
      </c>
      <c r="C337" s="190" t="s">
        <v>347</v>
      </c>
      <c r="D337" s="191">
        <v>42.5</v>
      </c>
      <c r="E337" s="189">
        <v>974</v>
      </c>
      <c r="F337" s="192">
        <v>0.8</v>
      </c>
      <c r="G337" s="192">
        <v>0.45</v>
      </c>
      <c r="H337" s="192">
        <v>1</v>
      </c>
      <c r="I337" s="192">
        <v>0.55000000000000004</v>
      </c>
      <c r="J337" s="379" t="s">
        <v>1806</v>
      </c>
      <c r="O337" s="192">
        <v>0.8</v>
      </c>
      <c r="P337" s="192">
        <v>0.45</v>
      </c>
      <c r="Q337" s="192">
        <v>1</v>
      </c>
      <c r="R337" s="192">
        <v>0.55000000000000004</v>
      </c>
      <c r="S337" s="187" t="s">
        <v>326</v>
      </c>
      <c r="T337" s="187">
        <v>13</v>
      </c>
      <c r="U337" s="203">
        <v>1</v>
      </c>
      <c r="V337" s="187" t="s">
        <v>323</v>
      </c>
      <c r="W337" s="187" t="s">
        <v>340</v>
      </c>
    </row>
    <row r="338" spans="1:23" ht="63">
      <c r="A338" s="202" t="str">
        <f t="shared" si="22"/>
        <v>花蓮縣光復鄉</v>
      </c>
      <c r="B338" s="190" t="s">
        <v>341</v>
      </c>
      <c r="C338" s="190" t="s">
        <v>348</v>
      </c>
      <c r="D338" s="191">
        <v>42.5</v>
      </c>
      <c r="E338" s="189">
        <v>976</v>
      </c>
      <c r="F338" s="192">
        <v>0.8</v>
      </c>
      <c r="G338" s="192">
        <v>0.45</v>
      </c>
      <c r="H338" s="192">
        <v>1</v>
      </c>
      <c r="I338" s="192">
        <v>0.55000000000000004</v>
      </c>
      <c r="J338" s="379" t="s">
        <v>1806</v>
      </c>
      <c r="O338" s="192">
        <v>0.8</v>
      </c>
      <c r="P338" s="192">
        <v>0.45</v>
      </c>
      <c r="Q338" s="192">
        <v>1</v>
      </c>
      <c r="R338" s="192">
        <v>0.55000000000000004</v>
      </c>
      <c r="S338" s="187" t="s">
        <v>326</v>
      </c>
      <c r="T338" s="187">
        <v>13</v>
      </c>
      <c r="U338" s="203">
        <v>1</v>
      </c>
      <c r="V338" s="187" t="s">
        <v>341</v>
      </c>
      <c r="W338" s="187" t="s">
        <v>343</v>
      </c>
    </row>
    <row r="339" spans="1:23" ht="63">
      <c r="A339" s="202" t="str">
        <f t="shared" si="22"/>
        <v>花蓮縣豐濱鄉</v>
      </c>
      <c r="B339" s="190" t="s">
        <v>341</v>
      </c>
      <c r="C339" s="190" t="s">
        <v>349</v>
      </c>
      <c r="D339" s="191">
        <v>42.5</v>
      </c>
      <c r="E339" s="189">
        <v>977</v>
      </c>
      <c r="F339" s="192">
        <v>0.8</v>
      </c>
      <c r="G339" s="192">
        <v>0.45</v>
      </c>
      <c r="H339" s="192">
        <v>1</v>
      </c>
      <c r="I339" s="192">
        <v>0.55000000000000004</v>
      </c>
      <c r="J339" s="379" t="s">
        <v>1806</v>
      </c>
      <c r="O339" s="192">
        <v>0.8</v>
      </c>
      <c r="P339" s="192">
        <v>0.45</v>
      </c>
      <c r="Q339" s="192">
        <v>1</v>
      </c>
      <c r="R339" s="192">
        <v>0.55000000000000004</v>
      </c>
      <c r="S339" s="187" t="s">
        <v>326</v>
      </c>
      <c r="T339" s="187">
        <v>13</v>
      </c>
      <c r="U339" s="203">
        <v>1</v>
      </c>
      <c r="V339" s="187" t="s">
        <v>341</v>
      </c>
      <c r="W339" s="187" t="s">
        <v>344</v>
      </c>
    </row>
    <row r="340" spans="1:23" ht="63">
      <c r="A340" s="202" t="str">
        <f t="shared" si="22"/>
        <v>花蓮縣瑞穗鄉</v>
      </c>
      <c r="B340" s="190" t="s">
        <v>341</v>
      </c>
      <c r="C340" s="190" t="s">
        <v>350</v>
      </c>
      <c r="D340" s="191">
        <v>42.5</v>
      </c>
      <c r="E340" s="189">
        <v>978</v>
      </c>
      <c r="F340" s="192">
        <v>0.8</v>
      </c>
      <c r="G340" s="192">
        <v>0.45</v>
      </c>
      <c r="H340" s="192">
        <v>1</v>
      </c>
      <c r="I340" s="192">
        <v>0.55000000000000004</v>
      </c>
      <c r="J340" s="379" t="s">
        <v>1806</v>
      </c>
      <c r="O340" s="192">
        <v>0.8</v>
      </c>
      <c r="P340" s="192">
        <v>0.45</v>
      </c>
      <c r="Q340" s="192">
        <v>1</v>
      </c>
      <c r="R340" s="192">
        <v>0.55000000000000004</v>
      </c>
      <c r="S340" s="187" t="s">
        <v>326</v>
      </c>
      <c r="T340" s="187">
        <v>13</v>
      </c>
      <c r="U340" s="203">
        <v>1</v>
      </c>
      <c r="V340" s="187" t="s">
        <v>341</v>
      </c>
      <c r="W340" s="187" t="s">
        <v>345</v>
      </c>
    </row>
    <row r="341" spans="1:23" ht="63">
      <c r="A341" s="202" t="str">
        <f t="shared" si="22"/>
        <v>花蓮縣富里鄉</v>
      </c>
      <c r="B341" s="190" t="s">
        <v>341</v>
      </c>
      <c r="C341" s="190" t="s">
        <v>351</v>
      </c>
      <c r="D341" s="191">
        <v>37.5</v>
      </c>
      <c r="E341" s="189">
        <v>983</v>
      </c>
      <c r="F341" s="192">
        <v>0.8</v>
      </c>
      <c r="G341" s="192">
        <v>0.45</v>
      </c>
      <c r="H341" s="192">
        <v>1</v>
      </c>
      <c r="I341" s="192">
        <v>0.55000000000000004</v>
      </c>
      <c r="J341" s="379" t="s">
        <v>1806</v>
      </c>
      <c r="O341" s="192">
        <v>0.8</v>
      </c>
      <c r="P341" s="192">
        <v>0.45</v>
      </c>
      <c r="Q341" s="192">
        <v>1</v>
      </c>
      <c r="R341" s="192">
        <v>0.55000000000000004</v>
      </c>
      <c r="S341" s="187" t="s">
        <v>326</v>
      </c>
      <c r="T341" s="187">
        <v>13</v>
      </c>
      <c r="U341" s="203">
        <v>1</v>
      </c>
      <c r="V341" s="187" t="s">
        <v>341</v>
      </c>
      <c r="W341" s="187" t="s">
        <v>349</v>
      </c>
    </row>
    <row r="342" spans="1:23" ht="63">
      <c r="A342" s="202" t="str">
        <f t="shared" si="22"/>
        <v>花蓮縣秀林鄉</v>
      </c>
      <c r="B342" s="190" t="s">
        <v>341</v>
      </c>
      <c r="C342" s="190" t="s">
        <v>352</v>
      </c>
      <c r="D342" s="191">
        <v>42.5</v>
      </c>
      <c r="E342" s="189">
        <v>972</v>
      </c>
      <c r="F342" s="192">
        <v>0.8</v>
      </c>
      <c r="G342" s="192">
        <v>0.45</v>
      </c>
      <c r="H342" s="192">
        <v>1</v>
      </c>
      <c r="I342" s="192">
        <v>0.55000000000000004</v>
      </c>
      <c r="J342" s="379" t="s">
        <v>1806</v>
      </c>
      <c r="O342" s="192">
        <v>0.8</v>
      </c>
      <c r="P342" s="192">
        <v>0.45</v>
      </c>
      <c r="Q342" s="192">
        <v>1</v>
      </c>
      <c r="R342" s="192">
        <v>0.55000000000000004</v>
      </c>
      <c r="S342" s="187" t="s">
        <v>326</v>
      </c>
      <c r="T342" s="187">
        <v>13</v>
      </c>
      <c r="U342" s="203">
        <v>1</v>
      </c>
      <c r="V342" s="187" t="s">
        <v>323</v>
      </c>
      <c r="W342" s="187" t="s">
        <v>338</v>
      </c>
    </row>
    <row r="343" spans="1:23" ht="63">
      <c r="A343" s="202" t="str">
        <f t="shared" si="22"/>
        <v>花蓮縣萬榮鄉</v>
      </c>
      <c r="B343" s="190" t="s">
        <v>341</v>
      </c>
      <c r="C343" s="190" t="s">
        <v>353</v>
      </c>
      <c r="D343" s="191">
        <v>37.5</v>
      </c>
      <c r="E343" s="189">
        <v>979</v>
      </c>
      <c r="F343" s="192">
        <v>0.8</v>
      </c>
      <c r="G343" s="192">
        <v>0.45</v>
      </c>
      <c r="H343" s="192">
        <v>1</v>
      </c>
      <c r="I343" s="192">
        <v>0.55000000000000004</v>
      </c>
      <c r="J343" s="379" t="s">
        <v>1806</v>
      </c>
      <c r="O343" s="192">
        <v>0.8</v>
      </c>
      <c r="P343" s="192">
        <v>0.45</v>
      </c>
      <c r="Q343" s="192">
        <v>1</v>
      </c>
      <c r="R343" s="192">
        <v>0.55000000000000004</v>
      </c>
      <c r="S343" s="187" t="s">
        <v>326</v>
      </c>
      <c r="T343" s="187">
        <v>13</v>
      </c>
      <c r="U343" s="203">
        <v>1</v>
      </c>
      <c r="V343" s="187" t="s">
        <v>341</v>
      </c>
      <c r="W343" s="187" t="s">
        <v>346</v>
      </c>
    </row>
    <row r="344" spans="1:23" ht="63">
      <c r="A344" s="202" t="str">
        <f t="shared" si="22"/>
        <v>花蓮縣卓溪鄉</v>
      </c>
      <c r="B344" s="190" t="s">
        <v>341</v>
      </c>
      <c r="C344" s="190" t="s">
        <v>354</v>
      </c>
      <c r="D344" s="191">
        <v>37.5</v>
      </c>
      <c r="E344" s="189">
        <v>982</v>
      </c>
      <c r="F344" s="192">
        <v>0.8</v>
      </c>
      <c r="G344" s="192">
        <v>0.45</v>
      </c>
      <c r="H344" s="192">
        <v>1</v>
      </c>
      <c r="I344" s="192">
        <v>0.55000000000000004</v>
      </c>
      <c r="J344" s="379" t="s">
        <v>1806</v>
      </c>
      <c r="O344" s="192">
        <v>0.8</v>
      </c>
      <c r="P344" s="192">
        <v>0.45</v>
      </c>
      <c r="Q344" s="192">
        <v>1</v>
      </c>
      <c r="R344" s="192">
        <v>0.55000000000000004</v>
      </c>
      <c r="S344" s="187" t="s">
        <v>326</v>
      </c>
      <c r="T344" s="187">
        <v>13</v>
      </c>
      <c r="U344" s="203">
        <v>1</v>
      </c>
      <c r="V344" s="187" t="s">
        <v>341</v>
      </c>
      <c r="W344" s="187" t="s">
        <v>348</v>
      </c>
    </row>
    <row r="345" spans="1:23">
      <c r="A345" s="202" t="str">
        <f t="shared" ref="A345:A363" si="23">B345&amp;C345</f>
        <v>澎湖縣馬公市</v>
      </c>
      <c r="B345" s="190" t="s">
        <v>317</v>
      </c>
      <c r="C345" s="190" t="s">
        <v>318</v>
      </c>
      <c r="D345" s="191">
        <v>33</v>
      </c>
      <c r="E345" s="189">
        <v>880</v>
      </c>
      <c r="F345" s="221">
        <v>0.4</v>
      </c>
      <c r="G345" s="221">
        <v>0.25</v>
      </c>
      <c r="H345" s="221">
        <v>0.65</v>
      </c>
      <c r="I345" s="221">
        <v>0.35</v>
      </c>
      <c r="O345" s="192">
        <v>0.5</v>
      </c>
      <c r="P345" s="192">
        <v>0.3</v>
      </c>
      <c r="Q345" s="192">
        <v>0.7</v>
      </c>
      <c r="R345" s="192">
        <v>0.4</v>
      </c>
      <c r="T345" s="187">
        <v>0</v>
      </c>
      <c r="U345" s="203">
        <v>1</v>
      </c>
      <c r="V345" s="187" t="s">
        <v>341</v>
      </c>
      <c r="W345" s="187" t="s">
        <v>350</v>
      </c>
    </row>
    <row r="346" spans="1:23">
      <c r="A346" s="202" t="str">
        <f t="shared" si="23"/>
        <v>澎湖縣湖西鄉</v>
      </c>
      <c r="B346" s="190" t="s">
        <v>317</v>
      </c>
      <c r="C346" s="190" t="s">
        <v>319</v>
      </c>
      <c r="D346" s="191">
        <v>33</v>
      </c>
      <c r="E346" s="189">
        <v>885</v>
      </c>
      <c r="F346" s="221">
        <v>0.4</v>
      </c>
      <c r="G346" s="221">
        <v>0.25</v>
      </c>
      <c r="H346" s="221">
        <v>0.65</v>
      </c>
      <c r="I346" s="221">
        <v>0.35</v>
      </c>
      <c r="O346" s="192">
        <v>0.5</v>
      </c>
      <c r="P346" s="192">
        <v>0.3</v>
      </c>
      <c r="Q346" s="192">
        <v>0.7</v>
      </c>
      <c r="R346" s="192">
        <v>0.4</v>
      </c>
      <c r="T346" s="187">
        <v>0</v>
      </c>
      <c r="U346" s="32" t="s">
        <v>357</v>
      </c>
      <c r="V346" s="187" t="s">
        <v>355</v>
      </c>
      <c r="W346" s="187" t="s">
        <v>358</v>
      </c>
    </row>
    <row r="347" spans="1:23">
      <c r="A347" s="202" t="str">
        <f t="shared" si="23"/>
        <v>澎湖縣白沙鄉</v>
      </c>
      <c r="B347" s="190" t="s">
        <v>317</v>
      </c>
      <c r="C347" s="190" t="s">
        <v>320</v>
      </c>
      <c r="D347" s="191">
        <v>33</v>
      </c>
      <c r="E347" s="189">
        <v>884</v>
      </c>
      <c r="F347" s="221">
        <v>0.4</v>
      </c>
      <c r="G347" s="221">
        <v>0.25</v>
      </c>
      <c r="H347" s="221">
        <v>0.65</v>
      </c>
      <c r="I347" s="221">
        <v>0.35</v>
      </c>
      <c r="O347" s="192">
        <v>0.5</v>
      </c>
      <c r="P347" s="192">
        <v>0.3</v>
      </c>
      <c r="Q347" s="192">
        <v>0.7</v>
      </c>
      <c r="R347" s="192">
        <v>0.4</v>
      </c>
      <c r="T347" s="187">
        <v>0</v>
      </c>
      <c r="U347" s="32" t="s">
        <v>357</v>
      </c>
      <c r="V347" s="187" t="s">
        <v>355</v>
      </c>
      <c r="W347" s="187" t="s">
        <v>356</v>
      </c>
    </row>
    <row r="348" spans="1:23">
      <c r="A348" s="202" t="str">
        <f t="shared" si="23"/>
        <v>澎湖縣西嶼鄉</v>
      </c>
      <c r="B348" s="190" t="s">
        <v>317</v>
      </c>
      <c r="C348" s="190" t="s">
        <v>321</v>
      </c>
      <c r="D348" s="191">
        <v>33</v>
      </c>
      <c r="E348" s="189">
        <v>881</v>
      </c>
      <c r="F348" s="221">
        <v>0.35</v>
      </c>
      <c r="G348" s="221">
        <v>0.2</v>
      </c>
      <c r="H348" s="221">
        <v>0.55000000000000004</v>
      </c>
      <c r="I348" s="221">
        <v>0.35</v>
      </c>
      <c r="O348" s="192">
        <v>0.5</v>
      </c>
      <c r="P348" s="192">
        <v>0.3</v>
      </c>
      <c r="Q348" s="192">
        <v>0.7</v>
      </c>
      <c r="R348" s="192">
        <v>0.4</v>
      </c>
      <c r="T348" s="187">
        <v>0</v>
      </c>
      <c r="U348" s="203">
        <v>1</v>
      </c>
      <c r="V348" s="187" t="s">
        <v>341</v>
      </c>
      <c r="W348" s="187" t="s">
        <v>351</v>
      </c>
    </row>
    <row r="349" spans="1:23">
      <c r="A349" s="202" t="str">
        <f t="shared" si="23"/>
        <v>澎湖縣望安鄉</v>
      </c>
      <c r="B349" s="190" t="s">
        <v>317</v>
      </c>
      <c r="C349" s="190" t="s">
        <v>322</v>
      </c>
      <c r="D349" s="191">
        <v>33</v>
      </c>
      <c r="E349" s="189">
        <v>882</v>
      </c>
      <c r="F349" s="221">
        <v>0.35</v>
      </c>
      <c r="G349" s="221">
        <v>0.2</v>
      </c>
      <c r="H349" s="221">
        <v>0.55000000000000004</v>
      </c>
      <c r="I349" s="221">
        <v>0.35</v>
      </c>
      <c r="O349" s="192">
        <v>0.5</v>
      </c>
      <c r="P349" s="192">
        <v>0.3</v>
      </c>
      <c r="Q349" s="192">
        <v>0.7</v>
      </c>
      <c r="R349" s="192">
        <v>0.4</v>
      </c>
      <c r="T349" s="187">
        <v>0</v>
      </c>
      <c r="U349" s="203">
        <v>1</v>
      </c>
      <c r="V349" s="187" t="s">
        <v>341</v>
      </c>
      <c r="W349" s="187" t="s">
        <v>352</v>
      </c>
    </row>
    <row r="350" spans="1:23">
      <c r="A350" s="202" t="str">
        <f t="shared" si="23"/>
        <v>澎湖縣七美鄉</v>
      </c>
      <c r="B350" s="190" t="s">
        <v>317</v>
      </c>
      <c r="C350" s="190" t="s">
        <v>1648</v>
      </c>
      <c r="D350" s="189">
        <v>33</v>
      </c>
      <c r="E350" s="189">
        <v>883</v>
      </c>
      <c r="F350" s="221">
        <v>0.35</v>
      </c>
      <c r="G350" s="221">
        <v>0.2</v>
      </c>
      <c r="H350" s="221">
        <v>0.55000000000000004</v>
      </c>
      <c r="I350" s="221">
        <v>0.35</v>
      </c>
      <c r="O350" s="192">
        <v>0.5</v>
      </c>
      <c r="P350" s="192">
        <v>0.3</v>
      </c>
      <c r="Q350" s="192">
        <v>0.7</v>
      </c>
      <c r="R350" s="192">
        <v>0.4</v>
      </c>
      <c r="T350" s="187">
        <v>0</v>
      </c>
      <c r="U350" s="203">
        <v>1</v>
      </c>
      <c r="V350" s="187" t="s">
        <v>341</v>
      </c>
      <c r="W350" s="187" t="s">
        <v>354</v>
      </c>
    </row>
    <row r="351" spans="1:23" s="229" customFormat="1">
      <c r="A351" s="230" t="str">
        <f t="shared" si="23"/>
        <v>澎湖縣東吉島</v>
      </c>
      <c r="B351" s="204" t="s">
        <v>317</v>
      </c>
      <c r="C351" s="204" t="s">
        <v>1647</v>
      </c>
      <c r="D351" s="224">
        <v>45</v>
      </c>
      <c r="E351" s="225">
        <v>882</v>
      </c>
      <c r="F351" s="221">
        <v>0.5</v>
      </c>
      <c r="G351" s="221">
        <v>0.3</v>
      </c>
      <c r="H351" s="221">
        <v>0.7</v>
      </c>
      <c r="I351" s="221">
        <v>0.4</v>
      </c>
      <c r="J351" s="208"/>
      <c r="K351" s="208"/>
      <c r="L351" s="208"/>
      <c r="M351" s="208"/>
      <c r="N351" s="208"/>
      <c r="O351" s="221">
        <v>0.5</v>
      </c>
      <c r="P351" s="221">
        <v>0.3</v>
      </c>
      <c r="Q351" s="221">
        <v>0.7</v>
      </c>
      <c r="R351" s="221">
        <v>0.4</v>
      </c>
      <c r="S351" s="226"/>
      <c r="T351" s="187">
        <v>0</v>
      </c>
      <c r="U351" s="231">
        <v>1</v>
      </c>
      <c r="V351" s="226" t="s">
        <v>341</v>
      </c>
      <c r="W351" s="226" t="s">
        <v>353</v>
      </c>
    </row>
    <row r="352" spans="1:23">
      <c r="A352" s="202" t="str">
        <f t="shared" si="23"/>
        <v>金門縣金湖鎮</v>
      </c>
      <c r="B352" s="190" t="s">
        <v>356</v>
      </c>
      <c r="C352" s="190" t="s">
        <v>1650</v>
      </c>
      <c r="D352" s="191">
        <v>35</v>
      </c>
      <c r="E352" s="189">
        <v>891</v>
      </c>
      <c r="F352" s="221">
        <v>0.4</v>
      </c>
      <c r="G352" s="221">
        <v>0.25</v>
      </c>
      <c r="H352" s="221">
        <v>0.5</v>
      </c>
      <c r="I352" s="221">
        <v>0.35</v>
      </c>
      <c r="O352" s="192">
        <v>0.5</v>
      </c>
      <c r="P352" s="192">
        <v>0.3</v>
      </c>
      <c r="Q352" s="192">
        <v>0.7</v>
      </c>
      <c r="R352" s="192">
        <v>0.4</v>
      </c>
      <c r="T352" s="187">
        <v>0</v>
      </c>
    </row>
    <row r="353" spans="1:20">
      <c r="A353" s="202" t="str">
        <f t="shared" si="23"/>
        <v>金門縣金沙鎮</v>
      </c>
      <c r="B353" s="190" t="s">
        <v>356</v>
      </c>
      <c r="C353" s="190" t="s">
        <v>1649</v>
      </c>
      <c r="D353" s="191">
        <v>35</v>
      </c>
      <c r="E353" s="189">
        <v>890</v>
      </c>
      <c r="F353" s="221">
        <v>0.35</v>
      </c>
      <c r="G353" s="221">
        <v>0.2</v>
      </c>
      <c r="H353" s="221">
        <v>0.5</v>
      </c>
      <c r="I353" s="221">
        <v>0.35</v>
      </c>
      <c r="O353" s="192">
        <v>0.5</v>
      </c>
      <c r="P353" s="192">
        <v>0.3</v>
      </c>
      <c r="Q353" s="192">
        <v>0.7</v>
      </c>
      <c r="R353" s="192">
        <v>0.4</v>
      </c>
      <c r="T353" s="187">
        <v>0</v>
      </c>
    </row>
    <row r="354" spans="1:20">
      <c r="A354" s="202" t="str">
        <f t="shared" si="23"/>
        <v>金門縣金城鎮</v>
      </c>
      <c r="B354" s="190" t="s">
        <v>356</v>
      </c>
      <c r="C354" s="190" t="s">
        <v>1652</v>
      </c>
      <c r="D354" s="191">
        <v>35</v>
      </c>
      <c r="E354" s="189">
        <v>893</v>
      </c>
      <c r="F354" s="221">
        <v>0.35</v>
      </c>
      <c r="G354" s="221">
        <v>0.2</v>
      </c>
      <c r="H354" s="221">
        <v>0.5</v>
      </c>
      <c r="I354" s="221">
        <v>0.35</v>
      </c>
      <c r="O354" s="192">
        <v>0.5</v>
      </c>
      <c r="P354" s="192">
        <v>0.3</v>
      </c>
      <c r="Q354" s="192">
        <v>0.7</v>
      </c>
      <c r="R354" s="192">
        <v>0.4</v>
      </c>
      <c r="T354" s="187">
        <v>0</v>
      </c>
    </row>
    <row r="355" spans="1:20">
      <c r="A355" s="202" t="str">
        <f t="shared" si="23"/>
        <v>金門縣金寧鄉</v>
      </c>
      <c r="B355" s="190" t="s">
        <v>356</v>
      </c>
      <c r="C355" s="190" t="s">
        <v>1651</v>
      </c>
      <c r="D355" s="191">
        <v>35</v>
      </c>
      <c r="E355" s="189">
        <v>892</v>
      </c>
      <c r="F355" s="221">
        <v>0.35</v>
      </c>
      <c r="G355" s="221">
        <v>0.2</v>
      </c>
      <c r="H355" s="221">
        <v>0.45</v>
      </c>
      <c r="I355" s="221">
        <v>0.3</v>
      </c>
      <c r="O355" s="192">
        <v>0.5</v>
      </c>
      <c r="P355" s="192">
        <v>0.3</v>
      </c>
      <c r="Q355" s="192">
        <v>0.7</v>
      </c>
      <c r="R355" s="192">
        <v>0.4</v>
      </c>
      <c r="T355" s="187">
        <v>0</v>
      </c>
    </row>
    <row r="356" spans="1:20">
      <c r="A356" s="202" t="str">
        <f t="shared" si="23"/>
        <v>金門縣烈嶼鄉</v>
      </c>
      <c r="B356" s="190" t="s">
        <v>356</v>
      </c>
      <c r="C356" s="190" t="s">
        <v>1653</v>
      </c>
      <c r="D356" s="191">
        <v>35</v>
      </c>
      <c r="E356" s="189">
        <v>894</v>
      </c>
      <c r="F356" s="221">
        <v>0.35</v>
      </c>
      <c r="G356" s="221">
        <v>0.2</v>
      </c>
      <c r="H356" s="221">
        <v>0.45</v>
      </c>
      <c r="I356" s="221">
        <v>0.3</v>
      </c>
      <c r="O356" s="192">
        <v>0.5</v>
      </c>
      <c r="P356" s="192">
        <v>0.3</v>
      </c>
      <c r="Q356" s="192">
        <v>0.7</v>
      </c>
      <c r="R356" s="192">
        <v>0.4</v>
      </c>
      <c r="T356" s="187">
        <v>0</v>
      </c>
    </row>
    <row r="357" spans="1:20">
      <c r="A357" s="202" t="str">
        <f t="shared" si="23"/>
        <v>金門縣烏坵鄉</v>
      </c>
      <c r="B357" s="190" t="s">
        <v>356</v>
      </c>
      <c r="C357" s="190" t="s">
        <v>1654</v>
      </c>
      <c r="D357" s="191">
        <v>35</v>
      </c>
      <c r="E357" s="189">
        <v>896</v>
      </c>
      <c r="F357" s="221">
        <v>0.8</v>
      </c>
      <c r="G357" s="221">
        <v>0.5</v>
      </c>
      <c r="H357" s="221">
        <v>1</v>
      </c>
      <c r="I357" s="221">
        <v>0.55000000000000004</v>
      </c>
      <c r="O357" s="192">
        <v>0.5</v>
      </c>
      <c r="P357" s="192">
        <v>0.3</v>
      </c>
      <c r="Q357" s="192">
        <v>0.7</v>
      </c>
      <c r="R357" s="192">
        <v>0.4</v>
      </c>
      <c r="T357" s="187">
        <v>0</v>
      </c>
    </row>
    <row r="358" spans="1:20">
      <c r="A358" s="202" t="str">
        <f t="shared" si="23"/>
        <v>連江縣南竿鄉</v>
      </c>
      <c r="B358" s="190" t="s">
        <v>358</v>
      </c>
      <c r="C358" s="190" t="s">
        <v>1682</v>
      </c>
      <c r="D358" s="191">
        <v>42</v>
      </c>
      <c r="E358" s="189">
        <v>209</v>
      </c>
      <c r="F358" s="221">
        <v>0.35</v>
      </c>
      <c r="G358" s="221">
        <v>0.2</v>
      </c>
      <c r="H358" s="221">
        <v>0.45</v>
      </c>
      <c r="I358" s="221">
        <v>0.3</v>
      </c>
      <c r="O358" s="192">
        <v>0.5</v>
      </c>
      <c r="P358" s="192">
        <v>0.3</v>
      </c>
      <c r="Q358" s="192">
        <v>0.7</v>
      </c>
      <c r="R358" s="192">
        <v>0.4</v>
      </c>
      <c r="T358" s="187">
        <v>0</v>
      </c>
    </row>
    <row r="359" spans="1:20">
      <c r="A359" s="202" t="str">
        <f t="shared" si="23"/>
        <v>連江縣北竿鄉</v>
      </c>
      <c r="B359" s="190" t="s">
        <v>358</v>
      </c>
      <c r="C359" s="190" t="s">
        <v>1683</v>
      </c>
      <c r="D359" s="191">
        <v>42</v>
      </c>
      <c r="E359" s="189">
        <v>210</v>
      </c>
      <c r="F359" s="221">
        <v>0.35</v>
      </c>
      <c r="G359" s="221">
        <v>0.2</v>
      </c>
      <c r="H359" s="221">
        <v>0.45</v>
      </c>
      <c r="I359" s="221">
        <v>0.3</v>
      </c>
      <c r="O359" s="192">
        <v>0.5</v>
      </c>
      <c r="P359" s="192">
        <v>0.3</v>
      </c>
      <c r="Q359" s="192">
        <v>0.7</v>
      </c>
      <c r="R359" s="192">
        <v>0.4</v>
      </c>
      <c r="T359" s="187">
        <v>0</v>
      </c>
    </row>
    <row r="360" spans="1:20">
      <c r="A360" s="202" t="str">
        <f t="shared" si="23"/>
        <v>連江縣莒光鄉</v>
      </c>
      <c r="B360" s="190" t="s">
        <v>358</v>
      </c>
      <c r="C360" s="190" t="s">
        <v>1684</v>
      </c>
      <c r="D360" s="191">
        <v>42</v>
      </c>
      <c r="E360" s="189">
        <v>211</v>
      </c>
      <c r="F360" s="221">
        <v>0.35</v>
      </c>
      <c r="G360" s="221">
        <v>0.2</v>
      </c>
      <c r="H360" s="221">
        <v>0.45</v>
      </c>
      <c r="I360" s="221">
        <v>0.3</v>
      </c>
      <c r="O360" s="192">
        <v>0.5</v>
      </c>
      <c r="P360" s="192">
        <v>0.3</v>
      </c>
      <c r="Q360" s="192">
        <v>0.7</v>
      </c>
      <c r="R360" s="192">
        <v>0.4</v>
      </c>
      <c r="T360" s="187">
        <v>0</v>
      </c>
    </row>
    <row r="361" spans="1:20">
      <c r="A361" s="202" t="str">
        <f t="shared" si="23"/>
        <v>連江縣東引鄉</v>
      </c>
      <c r="B361" s="190" t="s">
        <v>358</v>
      </c>
      <c r="C361" s="190" t="s">
        <v>1685</v>
      </c>
      <c r="D361" s="191">
        <v>42</v>
      </c>
      <c r="E361" s="189">
        <v>212</v>
      </c>
      <c r="F361" s="221">
        <v>0.35</v>
      </c>
      <c r="G361" s="221">
        <v>0.2</v>
      </c>
      <c r="H361" s="221">
        <v>0.45</v>
      </c>
      <c r="I361" s="221">
        <v>0.3</v>
      </c>
      <c r="O361" s="192">
        <v>0.5</v>
      </c>
      <c r="P361" s="192">
        <v>0.3</v>
      </c>
      <c r="Q361" s="192">
        <v>0.7</v>
      </c>
      <c r="R361" s="192">
        <v>0.4</v>
      </c>
      <c r="T361" s="187">
        <v>0</v>
      </c>
    </row>
    <row r="362" spans="1:20">
      <c r="A362" s="380" t="str">
        <f t="shared" si="23"/>
        <v>南海諸島東沙</v>
      </c>
      <c r="B362" s="201" t="s">
        <v>1609</v>
      </c>
      <c r="C362" s="201" t="s">
        <v>1655</v>
      </c>
      <c r="D362" s="191">
        <v>42</v>
      </c>
      <c r="E362" s="189">
        <v>817</v>
      </c>
      <c r="F362" s="192">
        <v>0.5</v>
      </c>
      <c r="G362" s="192">
        <v>0.3</v>
      </c>
      <c r="H362" s="192">
        <v>0.7</v>
      </c>
      <c r="I362" s="192">
        <v>0.4</v>
      </c>
      <c r="O362" s="192">
        <v>0.5</v>
      </c>
      <c r="P362" s="192">
        <v>0.3</v>
      </c>
      <c r="Q362" s="192">
        <v>0.7</v>
      </c>
      <c r="R362" s="192">
        <v>0.4</v>
      </c>
      <c r="T362" s="187">
        <v>0</v>
      </c>
    </row>
    <row r="363" spans="1:20">
      <c r="A363" s="380" t="str">
        <f t="shared" si="23"/>
        <v>南海諸島南沙</v>
      </c>
      <c r="B363" s="201" t="s">
        <v>1609</v>
      </c>
      <c r="C363" s="201" t="s">
        <v>1656</v>
      </c>
      <c r="D363" s="191">
        <v>42</v>
      </c>
      <c r="E363" s="189">
        <v>819</v>
      </c>
      <c r="F363" s="192">
        <v>0.5</v>
      </c>
      <c r="G363" s="192">
        <v>0.3</v>
      </c>
      <c r="H363" s="192">
        <v>0.7</v>
      </c>
      <c r="I363" s="192">
        <v>0.4</v>
      </c>
      <c r="O363" s="192">
        <v>0.5</v>
      </c>
      <c r="P363" s="192">
        <v>0.3</v>
      </c>
      <c r="Q363" s="192">
        <v>0.7</v>
      </c>
      <c r="R363" s="192">
        <v>0.4</v>
      </c>
      <c r="T363" s="187">
        <v>0</v>
      </c>
    </row>
  </sheetData>
  <mergeCells count="2">
    <mergeCell ref="F1:I1"/>
    <mergeCell ref="O1:R1"/>
  </mergeCells>
  <phoneticPr fontId="1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10"/>
  <dimension ref="A1:M36"/>
  <sheetViews>
    <sheetView workbookViewId="0">
      <selection activeCell="E21" sqref="E21:J35"/>
    </sheetView>
  </sheetViews>
  <sheetFormatPr defaultRowHeight="16.5"/>
  <cols>
    <col min="1" max="1" width="9.25" bestFit="1" customWidth="1"/>
    <col min="2" max="2" width="12.875" bestFit="1" customWidth="1"/>
    <col min="3" max="3" width="29.375" bestFit="1" customWidth="1"/>
    <col min="4" max="4" width="16.75" bestFit="1" customWidth="1"/>
    <col min="5" max="5" width="8" bestFit="1" customWidth="1"/>
    <col min="6" max="6" width="11.875" bestFit="1" customWidth="1"/>
    <col min="8" max="8" width="6.5" bestFit="1" customWidth="1"/>
    <col min="9" max="9" width="7.5" bestFit="1" customWidth="1"/>
    <col min="10" max="10" width="6.25" bestFit="1" customWidth="1"/>
    <col min="11" max="11" width="5.75" bestFit="1" customWidth="1"/>
    <col min="12" max="12" width="18.625" bestFit="1" customWidth="1"/>
    <col min="13" max="16" width="6.25" bestFit="1" customWidth="1"/>
  </cols>
  <sheetData>
    <row r="1" spans="1:13">
      <c r="A1" s="185" t="s">
        <v>38</v>
      </c>
      <c r="B1" s="2" t="s">
        <v>1</v>
      </c>
      <c r="C1" t="s">
        <v>2</v>
      </c>
      <c r="D1" t="s">
        <v>3</v>
      </c>
    </row>
    <row r="2" spans="1:13">
      <c r="A2" s="190" t="s">
        <v>873</v>
      </c>
      <c r="B2" s="2" t="s">
        <v>4</v>
      </c>
      <c r="C2" s="2" t="s">
        <v>5</v>
      </c>
      <c r="D2" s="2" t="s">
        <v>6</v>
      </c>
      <c r="E2" s="2" t="s">
        <v>7</v>
      </c>
      <c r="F2" s="2" t="s">
        <v>8</v>
      </c>
      <c r="G2" s="2" t="s">
        <v>9</v>
      </c>
    </row>
    <row r="3" spans="1:13">
      <c r="A3" s="190" t="s">
        <v>42</v>
      </c>
      <c r="B3" s="2" t="s">
        <v>10</v>
      </c>
      <c r="C3" s="2">
        <v>1</v>
      </c>
      <c r="D3" s="2">
        <v>1</v>
      </c>
      <c r="E3" s="2">
        <v>1</v>
      </c>
      <c r="F3" s="2">
        <v>1</v>
      </c>
      <c r="G3" s="2">
        <v>1</v>
      </c>
    </row>
    <row r="4" spans="1:13">
      <c r="A4" s="190" t="s">
        <v>729</v>
      </c>
      <c r="B4" s="2" t="s">
        <v>11</v>
      </c>
      <c r="C4" s="2">
        <v>1.1000000000000001</v>
      </c>
      <c r="D4" s="2">
        <v>1.1000000000000001</v>
      </c>
      <c r="E4" s="2">
        <v>1</v>
      </c>
      <c r="F4" s="30">
        <v>1</v>
      </c>
      <c r="G4" s="2">
        <v>1</v>
      </c>
    </row>
    <row r="5" spans="1:13">
      <c r="A5" s="190" t="s">
        <v>50</v>
      </c>
      <c r="B5" s="2" t="s">
        <v>12</v>
      </c>
      <c r="C5" s="2">
        <v>1.2</v>
      </c>
      <c r="D5" s="2">
        <v>1.2</v>
      </c>
      <c r="E5" s="2">
        <v>1.1000000000000001</v>
      </c>
      <c r="F5" s="2">
        <v>1</v>
      </c>
      <c r="G5" s="2">
        <v>1</v>
      </c>
    </row>
    <row r="6" spans="1:13">
      <c r="A6" s="190" t="s">
        <v>1603</v>
      </c>
      <c r="B6" s="2" t="s">
        <v>13</v>
      </c>
      <c r="C6" t="s">
        <v>14</v>
      </c>
      <c r="D6" t="s">
        <v>3</v>
      </c>
    </row>
    <row r="7" spans="1:13">
      <c r="A7" s="190" t="s">
        <v>63</v>
      </c>
      <c r="B7" s="2" t="s">
        <v>4</v>
      </c>
      <c r="C7" s="2" t="s">
        <v>15</v>
      </c>
      <c r="D7" s="2" t="s">
        <v>16</v>
      </c>
      <c r="E7" s="2" t="s">
        <v>17</v>
      </c>
      <c r="F7" s="2" t="s">
        <v>18</v>
      </c>
      <c r="G7" s="2" t="s">
        <v>19</v>
      </c>
    </row>
    <row r="8" spans="1:13">
      <c r="A8" s="190" t="s">
        <v>1604</v>
      </c>
      <c r="B8" s="2" t="s">
        <v>10</v>
      </c>
      <c r="C8" s="2">
        <v>1</v>
      </c>
      <c r="D8" s="2">
        <v>1</v>
      </c>
      <c r="E8" s="2">
        <v>1</v>
      </c>
      <c r="F8" s="2">
        <v>1</v>
      </c>
      <c r="G8" s="2">
        <v>1</v>
      </c>
    </row>
    <row r="9" spans="1:13">
      <c r="A9" s="190" t="s">
        <v>78</v>
      </c>
      <c r="B9" s="2" t="s">
        <v>11</v>
      </c>
      <c r="C9" s="2">
        <v>1.5</v>
      </c>
      <c r="D9" s="2">
        <v>1.4</v>
      </c>
      <c r="E9" s="2">
        <v>1.3</v>
      </c>
      <c r="F9" s="29">
        <v>1.2</v>
      </c>
      <c r="G9" s="2">
        <v>1.1000000000000001</v>
      </c>
    </row>
    <row r="10" spans="1:13">
      <c r="A10" s="190" t="s">
        <v>1605</v>
      </c>
      <c r="B10" s="2" t="s">
        <v>12</v>
      </c>
      <c r="C10" s="2">
        <v>1.8</v>
      </c>
      <c r="D10" s="2">
        <v>1.7</v>
      </c>
      <c r="E10" s="2">
        <v>1.6</v>
      </c>
      <c r="F10" s="2">
        <v>1.5</v>
      </c>
      <c r="G10" s="2">
        <v>1.4</v>
      </c>
    </row>
    <row r="11" spans="1:13">
      <c r="A11" s="190" t="s">
        <v>124</v>
      </c>
      <c r="B11" s="2">
        <v>86</v>
      </c>
    </row>
    <row r="12" spans="1:13">
      <c r="A12" s="190" t="s">
        <v>151</v>
      </c>
      <c r="B12" s="2" t="s">
        <v>1299</v>
      </c>
      <c r="C12" s="2">
        <v>0.03</v>
      </c>
      <c r="D12" s="2">
        <v>0.15</v>
      </c>
      <c r="E12" s="2">
        <v>0.33300000000000002</v>
      </c>
      <c r="F12" s="2">
        <v>1.3149999999999999</v>
      </c>
      <c r="G12" s="2">
        <v>1</v>
      </c>
      <c r="H12" s="2">
        <v>12.5</v>
      </c>
      <c r="I12" s="2">
        <v>0.625</v>
      </c>
      <c r="J12" s="2">
        <v>2.5</v>
      </c>
      <c r="K12" s="2">
        <v>1.2</v>
      </c>
      <c r="L12" s="31">
        <f>2/3</f>
        <v>0.66666666666666663</v>
      </c>
      <c r="M12" s="2">
        <v>1</v>
      </c>
    </row>
    <row r="13" spans="1:13">
      <c r="A13" s="190" t="s">
        <v>166</v>
      </c>
      <c r="B13" s="2" t="s">
        <v>1300</v>
      </c>
      <c r="C13" s="2">
        <v>0.03</v>
      </c>
      <c r="D13" s="2">
        <v>0.15</v>
      </c>
      <c r="E13" s="2">
        <v>0.46500000000000002</v>
      </c>
      <c r="F13" s="2">
        <v>1.837</v>
      </c>
      <c r="G13" s="2">
        <v>1</v>
      </c>
      <c r="H13" s="2">
        <v>12.5</v>
      </c>
      <c r="I13" s="2">
        <v>0.625</v>
      </c>
      <c r="J13" s="2">
        <v>2.5</v>
      </c>
      <c r="K13" s="2">
        <v>1.5</v>
      </c>
      <c r="L13" s="31">
        <f t="shared" ref="L13:L14" si="0">2/3</f>
        <v>0.66666666666666663</v>
      </c>
      <c r="M13" s="2">
        <v>1</v>
      </c>
    </row>
    <row r="14" spans="1:13">
      <c r="A14" s="190" t="s">
        <v>207</v>
      </c>
      <c r="B14" s="2" t="s">
        <v>1301</v>
      </c>
      <c r="C14" s="2">
        <v>0.03</v>
      </c>
      <c r="D14" s="2">
        <v>0.2</v>
      </c>
      <c r="E14" s="2">
        <v>0.61099999999999999</v>
      </c>
      <c r="F14" s="2">
        <v>2.415</v>
      </c>
      <c r="G14" s="2">
        <v>1</v>
      </c>
      <c r="H14" s="2">
        <v>8.8239999999999998</v>
      </c>
      <c r="I14" s="2">
        <v>0.73519999999999996</v>
      </c>
      <c r="J14" s="2">
        <v>2.5</v>
      </c>
      <c r="K14" s="2">
        <v>1.8</v>
      </c>
      <c r="L14" s="31">
        <f t="shared" si="0"/>
        <v>0.66666666666666663</v>
      </c>
      <c r="M14" s="2">
        <v>1</v>
      </c>
    </row>
    <row r="15" spans="1:13">
      <c r="A15" s="190" t="s">
        <v>188</v>
      </c>
      <c r="B15" s="2" t="s">
        <v>1298</v>
      </c>
      <c r="C15" s="2">
        <v>0.03</v>
      </c>
      <c r="D15" s="2">
        <v>0.2</v>
      </c>
      <c r="E15" s="2">
        <v>1.65</v>
      </c>
      <c r="F15" s="2">
        <v>3.3</v>
      </c>
      <c r="G15" s="2">
        <v>1</v>
      </c>
      <c r="H15" s="2">
        <v>5.8819999999999997</v>
      </c>
      <c r="I15" s="2">
        <v>0.82399999999999995</v>
      </c>
      <c r="J15" s="2">
        <v>2</v>
      </c>
      <c r="K15" s="2">
        <v>3.3</v>
      </c>
      <c r="L15" s="2">
        <v>1</v>
      </c>
      <c r="M15" s="2">
        <v>1</v>
      </c>
    </row>
    <row r="16" spans="1:13">
      <c r="A16" s="190" t="s">
        <v>1607</v>
      </c>
    </row>
    <row r="17" spans="1:12">
      <c r="A17" s="190" t="s">
        <v>244</v>
      </c>
    </row>
    <row r="18" spans="1:12">
      <c r="A18" s="190" t="s">
        <v>283</v>
      </c>
      <c r="B18" s="109" t="s">
        <v>1427</v>
      </c>
    </row>
    <row r="19" spans="1:12">
      <c r="A19" s="190" t="s">
        <v>1608</v>
      </c>
      <c r="B19" s="109" t="s">
        <v>1428</v>
      </c>
    </row>
    <row r="20" spans="1:12">
      <c r="A20" s="190" t="s">
        <v>341</v>
      </c>
      <c r="B20" s="109" t="s">
        <v>1429</v>
      </c>
    </row>
    <row r="21" spans="1:12">
      <c r="A21" s="190" t="s">
        <v>317</v>
      </c>
    </row>
    <row r="22" spans="1:12">
      <c r="A22" s="190" t="s">
        <v>356</v>
      </c>
      <c r="B22" s="40" t="s">
        <v>382</v>
      </c>
      <c r="C22" s="40"/>
      <c r="D22" s="41" t="s">
        <v>378</v>
      </c>
      <c r="L22" s="176">
        <v>44835</v>
      </c>
    </row>
    <row r="23" spans="1:12">
      <c r="A23" s="190" t="s">
        <v>358</v>
      </c>
      <c r="B23" s="43" t="s">
        <v>376</v>
      </c>
      <c r="C23" s="35" t="s">
        <v>373</v>
      </c>
      <c r="D23" s="43" t="s">
        <v>379</v>
      </c>
      <c r="L23" s="37" t="s">
        <v>357</v>
      </c>
    </row>
    <row r="24" spans="1:12">
      <c r="A24" s="201" t="s">
        <v>1609</v>
      </c>
      <c r="B24" s="43" t="s">
        <v>369</v>
      </c>
      <c r="C24" s="35" t="s">
        <v>374</v>
      </c>
      <c r="D24" s="43" t="s">
        <v>380</v>
      </c>
      <c r="L24" s="32" t="s">
        <v>1305</v>
      </c>
    </row>
    <row r="25" spans="1:12">
      <c r="B25" s="43" t="s">
        <v>370</v>
      </c>
      <c r="C25" s="35" t="s">
        <v>375</v>
      </c>
      <c r="D25" s="43" t="s">
        <v>381</v>
      </c>
      <c r="L25" s="32" t="s">
        <v>1306</v>
      </c>
    </row>
    <row r="26" spans="1:12">
      <c r="L26" s="32" t="s">
        <v>1307</v>
      </c>
    </row>
    <row r="27" spans="1:12" ht="47.25">
      <c r="L27" s="33" t="s">
        <v>1592</v>
      </c>
    </row>
    <row r="28" spans="1:12">
      <c r="L28" s="32" t="s">
        <v>1309</v>
      </c>
    </row>
    <row r="29" spans="1:12">
      <c r="L29" s="32" t="s">
        <v>1310</v>
      </c>
    </row>
    <row r="30" spans="1:12">
      <c r="L30" s="32" t="s">
        <v>1593</v>
      </c>
    </row>
    <row r="31" spans="1:12">
      <c r="L31" s="32" t="s">
        <v>1508</v>
      </c>
    </row>
    <row r="32" spans="1:12" ht="31.5">
      <c r="L32" s="33" t="s">
        <v>1591</v>
      </c>
    </row>
    <row r="33" spans="12:12">
      <c r="L33" s="32" t="s">
        <v>1311</v>
      </c>
    </row>
    <row r="34" spans="12:12">
      <c r="L34" s="32" t="s">
        <v>1293</v>
      </c>
    </row>
    <row r="35" spans="12:12">
      <c r="L35" s="32" t="s">
        <v>1357</v>
      </c>
    </row>
    <row r="36" spans="12:12" ht="78.75">
      <c r="L36" s="33" t="s">
        <v>1590</v>
      </c>
    </row>
  </sheetData>
  <phoneticPr fontId="7"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53E51-022F-474C-B808-CEA28732D93C}">
  <sheetPr codeName="工作表5"/>
  <dimension ref="A1:AL304"/>
  <sheetViews>
    <sheetView topLeftCell="A277" workbookViewId="0">
      <selection activeCell="C12" sqref="C12"/>
    </sheetView>
  </sheetViews>
  <sheetFormatPr defaultRowHeight="16.5"/>
  <cols>
    <col min="1" max="1" width="18.625" style="32" bestFit="1" customWidth="1"/>
    <col min="2" max="37" width="9" style="32"/>
    <col min="38" max="38" width="87.875" style="33" customWidth="1"/>
  </cols>
  <sheetData>
    <row r="1" spans="1:35" ht="17.25" thickTop="1">
      <c r="D1" s="406" t="s">
        <v>1358</v>
      </c>
      <c r="E1" s="407"/>
      <c r="F1" s="407"/>
      <c r="G1" s="407"/>
      <c r="H1" s="407"/>
      <c r="I1" s="407"/>
      <c r="J1" s="407"/>
      <c r="K1" s="407"/>
      <c r="L1" s="408" t="s">
        <v>1358</v>
      </c>
      <c r="M1" s="409"/>
      <c r="N1" s="409"/>
      <c r="O1" s="409"/>
      <c r="P1" s="409"/>
      <c r="Q1" s="409"/>
      <c r="R1" s="409"/>
      <c r="S1" s="410"/>
      <c r="T1" s="411" t="s">
        <v>1358</v>
      </c>
      <c r="U1" s="412"/>
      <c r="V1" s="412"/>
      <c r="W1" s="412"/>
      <c r="X1" s="412"/>
      <c r="Y1" s="412"/>
      <c r="Z1" s="412"/>
      <c r="AA1" s="413"/>
      <c r="AB1" s="411" t="s">
        <v>1358</v>
      </c>
      <c r="AC1" s="412"/>
      <c r="AD1" s="412"/>
      <c r="AE1" s="412"/>
      <c r="AF1" s="412"/>
      <c r="AG1" s="412"/>
      <c r="AH1" s="412"/>
      <c r="AI1" s="413"/>
    </row>
    <row r="2" spans="1:35">
      <c r="A2" s="32" t="s">
        <v>1304</v>
      </c>
      <c r="B2" s="110" t="s">
        <v>20</v>
      </c>
      <c r="C2" s="110" t="s">
        <v>21</v>
      </c>
      <c r="D2" s="32">
        <v>1</v>
      </c>
      <c r="E2" s="32">
        <v>3</v>
      </c>
      <c r="F2" s="32">
        <v>5</v>
      </c>
      <c r="G2" s="32">
        <v>7</v>
      </c>
      <c r="H2" s="32">
        <v>9</v>
      </c>
      <c r="I2" s="32">
        <v>11</v>
      </c>
      <c r="J2" s="32">
        <v>13</v>
      </c>
      <c r="K2" s="32">
        <v>14</v>
      </c>
      <c r="L2" s="105">
        <v>1</v>
      </c>
      <c r="M2" s="105">
        <v>3</v>
      </c>
      <c r="N2" s="105">
        <v>5</v>
      </c>
      <c r="O2" s="105">
        <v>7</v>
      </c>
      <c r="P2" s="105">
        <v>9</v>
      </c>
      <c r="Q2" s="105">
        <v>11</v>
      </c>
      <c r="R2" s="105">
        <v>13</v>
      </c>
      <c r="S2" s="116">
        <v>14</v>
      </c>
      <c r="T2" s="119">
        <v>1</v>
      </c>
      <c r="U2" s="105">
        <v>3</v>
      </c>
      <c r="V2" s="105">
        <v>5</v>
      </c>
      <c r="W2" s="105">
        <v>7</v>
      </c>
      <c r="X2" s="105">
        <v>9</v>
      </c>
      <c r="Y2" s="105">
        <v>11</v>
      </c>
      <c r="Z2" s="105">
        <v>13</v>
      </c>
      <c r="AA2" s="120">
        <v>14</v>
      </c>
      <c r="AB2" s="119">
        <v>1</v>
      </c>
      <c r="AC2" s="115">
        <v>3</v>
      </c>
      <c r="AD2" s="115">
        <v>5</v>
      </c>
      <c r="AE2" s="115">
        <v>7</v>
      </c>
      <c r="AF2" s="115">
        <v>9</v>
      </c>
      <c r="AG2" s="105">
        <v>11</v>
      </c>
      <c r="AH2" s="105">
        <v>13</v>
      </c>
      <c r="AI2" s="120">
        <v>14</v>
      </c>
    </row>
    <row r="3" spans="1:35">
      <c r="A3" s="32" t="s">
        <v>1305</v>
      </c>
      <c r="B3" s="32" t="s">
        <v>1352</v>
      </c>
      <c r="C3" s="32" t="s">
        <v>1353</v>
      </c>
      <c r="D3" s="32">
        <v>0.88</v>
      </c>
      <c r="E3" s="32">
        <v>0.84</v>
      </c>
      <c r="F3" s="32">
        <v>0.81</v>
      </c>
      <c r="G3" s="112">
        <v>0.8</v>
      </c>
      <c r="H3" s="112">
        <v>0.8</v>
      </c>
      <c r="I3" s="112">
        <v>0.8</v>
      </c>
      <c r="J3" s="112">
        <v>0.8</v>
      </c>
      <c r="K3" s="112">
        <v>0.8</v>
      </c>
      <c r="L3" s="105">
        <v>0.52</v>
      </c>
      <c r="M3" s="105">
        <v>0.5</v>
      </c>
      <c r="N3" s="105">
        <v>0.47</v>
      </c>
      <c r="O3" s="105">
        <v>0.45</v>
      </c>
      <c r="P3" s="105">
        <v>0.45</v>
      </c>
      <c r="Q3" s="105">
        <v>0.45</v>
      </c>
      <c r="R3" s="105">
        <v>0.45</v>
      </c>
      <c r="S3" s="116">
        <v>0.45</v>
      </c>
      <c r="T3" s="121">
        <v>1.2</v>
      </c>
      <c r="U3" s="115">
        <v>1.1000000000000001</v>
      </c>
      <c r="V3" s="115">
        <v>1.05</v>
      </c>
      <c r="W3" s="115">
        <v>1</v>
      </c>
      <c r="X3" s="115">
        <v>1</v>
      </c>
      <c r="Y3" s="115">
        <v>1</v>
      </c>
      <c r="Z3" s="115">
        <v>1</v>
      </c>
      <c r="AA3" s="122">
        <v>1</v>
      </c>
      <c r="AB3" s="119">
        <v>0.74</v>
      </c>
      <c r="AC3" s="115">
        <v>0.66</v>
      </c>
      <c r="AD3" s="115">
        <v>0.61</v>
      </c>
      <c r="AE3" s="115">
        <v>0.55000000000000004</v>
      </c>
      <c r="AF3" s="115">
        <v>0.55000000000000004</v>
      </c>
      <c r="AG3" s="105">
        <v>0.55000000000000004</v>
      </c>
      <c r="AH3" s="105">
        <v>0.55000000000000004</v>
      </c>
      <c r="AI3" s="120">
        <v>0.55000000000000004</v>
      </c>
    </row>
    <row r="4" spans="1:35">
      <c r="A4" s="32" t="s">
        <v>1305</v>
      </c>
      <c r="B4" s="32" t="s">
        <v>1352</v>
      </c>
      <c r="C4" s="32" t="s">
        <v>1530</v>
      </c>
      <c r="D4" s="32">
        <v>0.88</v>
      </c>
      <c r="E4" s="32">
        <v>0.84</v>
      </c>
      <c r="F4" s="32">
        <v>0.81</v>
      </c>
      <c r="G4" s="112">
        <v>0.8</v>
      </c>
      <c r="H4" s="112">
        <v>0.8</v>
      </c>
      <c r="I4" s="112">
        <v>0.8</v>
      </c>
      <c r="J4" s="112">
        <v>0.8</v>
      </c>
      <c r="K4" s="112">
        <v>0.8</v>
      </c>
      <c r="L4" s="105">
        <v>0.52</v>
      </c>
      <c r="M4" s="105">
        <v>0.5</v>
      </c>
      <c r="N4" s="105">
        <v>0.47</v>
      </c>
      <c r="O4" s="105">
        <v>0.45</v>
      </c>
      <c r="P4" s="105">
        <v>0.45</v>
      </c>
      <c r="Q4" s="105">
        <v>0.45</v>
      </c>
      <c r="R4" s="105">
        <v>0.45</v>
      </c>
      <c r="S4" s="116">
        <v>0.45</v>
      </c>
      <c r="T4" s="121">
        <v>1.2</v>
      </c>
      <c r="U4" s="115">
        <v>1.1000000000000001</v>
      </c>
      <c r="V4" s="115">
        <v>1.05</v>
      </c>
      <c r="W4" s="115">
        <v>1</v>
      </c>
      <c r="X4" s="115">
        <v>1</v>
      </c>
      <c r="Y4" s="115">
        <v>1</v>
      </c>
      <c r="Z4" s="115">
        <v>1</v>
      </c>
      <c r="AA4" s="122">
        <v>1</v>
      </c>
      <c r="AB4" s="119">
        <v>0.74</v>
      </c>
      <c r="AC4" s="115">
        <v>0.66</v>
      </c>
      <c r="AD4" s="115">
        <v>0.61</v>
      </c>
      <c r="AE4" s="115">
        <v>0.55000000000000004</v>
      </c>
      <c r="AF4" s="115">
        <v>0.55000000000000004</v>
      </c>
      <c r="AG4" s="105">
        <v>0.55000000000000004</v>
      </c>
      <c r="AH4" s="105">
        <v>0.55000000000000004</v>
      </c>
      <c r="AI4" s="120">
        <v>0.55000000000000004</v>
      </c>
    </row>
    <row r="5" spans="1:35">
      <c r="A5" s="32" t="s">
        <v>1305</v>
      </c>
      <c r="B5" s="32" t="s">
        <v>1352</v>
      </c>
      <c r="C5" s="32" t="s">
        <v>1531</v>
      </c>
      <c r="D5" s="32">
        <v>0.88</v>
      </c>
      <c r="E5" s="32">
        <v>0.84</v>
      </c>
      <c r="F5" s="32">
        <v>0.81</v>
      </c>
      <c r="G5" s="112">
        <v>0.8</v>
      </c>
      <c r="H5" s="112">
        <v>0.8</v>
      </c>
      <c r="I5" s="112">
        <v>0.8</v>
      </c>
      <c r="J5" s="112">
        <v>0.8</v>
      </c>
      <c r="K5" s="112">
        <v>0.8</v>
      </c>
      <c r="L5" s="105">
        <v>0.52</v>
      </c>
      <c r="M5" s="105">
        <v>0.5</v>
      </c>
      <c r="N5" s="105">
        <v>0.47</v>
      </c>
      <c r="O5" s="105">
        <v>0.45</v>
      </c>
      <c r="P5" s="105">
        <v>0.45</v>
      </c>
      <c r="Q5" s="105">
        <v>0.45</v>
      </c>
      <c r="R5" s="105">
        <v>0.45</v>
      </c>
      <c r="S5" s="116">
        <v>0.45</v>
      </c>
      <c r="T5" s="121">
        <v>1.2</v>
      </c>
      <c r="U5" s="115">
        <v>1.1000000000000001</v>
      </c>
      <c r="V5" s="115">
        <v>1.05</v>
      </c>
      <c r="W5" s="115">
        <v>1</v>
      </c>
      <c r="X5" s="115">
        <v>1</v>
      </c>
      <c r="Y5" s="115">
        <v>1</v>
      </c>
      <c r="Z5" s="115">
        <v>1</v>
      </c>
      <c r="AA5" s="122">
        <v>1</v>
      </c>
      <c r="AB5" s="119">
        <v>0.74</v>
      </c>
      <c r="AC5" s="115">
        <v>0.66</v>
      </c>
      <c r="AD5" s="115">
        <v>0.61</v>
      </c>
      <c r="AE5" s="115">
        <v>0.55000000000000004</v>
      </c>
      <c r="AF5" s="115">
        <v>0.55000000000000004</v>
      </c>
      <c r="AG5" s="105">
        <v>0.55000000000000004</v>
      </c>
      <c r="AH5" s="105">
        <v>0.55000000000000004</v>
      </c>
      <c r="AI5" s="120">
        <v>0.55000000000000004</v>
      </c>
    </row>
    <row r="6" spans="1:35">
      <c r="A6" s="32" t="s">
        <v>1305</v>
      </c>
      <c r="B6" s="32" t="s">
        <v>1352</v>
      </c>
      <c r="C6" s="32" t="s">
        <v>1532</v>
      </c>
      <c r="D6" s="32">
        <v>0.88</v>
      </c>
      <c r="E6" s="32">
        <v>0.84</v>
      </c>
      <c r="F6" s="32">
        <v>0.81</v>
      </c>
      <c r="G6" s="112">
        <v>0.8</v>
      </c>
      <c r="H6" s="112">
        <v>0.8</v>
      </c>
      <c r="I6" s="112">
        <v>0.8</v>
      </c>
      <c r="J6" s="112">
        <v>0.8</v>
      </c>
      <c r="K6" s="112">
        <v>0.8</v>
      </c>
      <c r="L6" s="105">
        <v>0.52</v>
      </c>
      <c r="M6" s="105">
        <v>0.5</v>
      </c>
      <c r="N6" s="105">
        <v>0.47</v>
      </c>
      <c r="O6" s="105">
        <v>0.45</v>
      </c>
      <c r="P6" s="105">
        <v>0.45</v>
      </c>
      <c r="Q6" s="105">
        <v>0.45</v>
      </c>
      <c r="R6" s="105">
        <v>0.45</v>
      </c>
      <c r="S6" s="116">
        <v>0.45</v>
      </c>
      <c r="T6" s="121">
        <v>1.2</v>
      </c>
      <c r="U6" s="115">
        <v>1.1000000000000001</v>
      </c>
      <c r="V6" s="115">
        <v>1.05</v>
      </c>
      <c r="W6" s="115">
        <v>1</v>
      </c>
      <c r="X6" s="115">
        <v>1</v>
      </c>
      <c r="Y6" s="115">
        <v>1</v>
      </c>
      <c r="Z6" s="115">
        <v>1</v>
      </c>
      <c r="AA6" s="122">
        <v>1</v>
      </c>
      <c r="AB6" s="119">
        <v>0.74</v>
      </c>
      <c r="AC6" s="115">
        <v>0.66</v>
      </c>
      <c r="AD6" s="115">
        <v>0.61</v>
      </c>
      <c r="AE6" s="115">
        <v>0.55000000000000004</v>
      </c>
      <c r="AF6" s="115">
        <v>0.55000000000000004</v>
      </c>
      <c r="AG6" s="105">
        <v>0.55000000000000004</v>
      </c>
      <c r="AH6" s="105">
        <v>0.55000000000000004</v>
      </c>
      <c r="AI6" s="120">
        <v>0.55000000000000004</v>
      </c>
    </row>
    <row r="7" spans="1:35">
      <c r="A7" s="32" t="s">
        <v>1305</v>
      </c>
      <c r="B7" s="32" t="s">
        <v>1352</v>
      </c>
      <c r="C7" s="32" t="s">
        <v>1533</v>
      </c>
      <c r="D7" s="32">
        <v>0.88</v>
      </c>
      <c r="E7" s="32">
        <v>0.84</v>
      </c>
      <c r="F7" s="32">
        <v>0.81</v>
      </c>
      <c r="G7" s="112">
        <v>0.8</v>
      </c>
      <c r="H7" s="112">
        <v>0.8</v>
      </c>
      <c r="I7" s="112">
        <v>0.8</v>
      </c>
      <c r="J7" s="112">
        <v>0.8</v>
      </c>
      <c r="K7" s="112">
        <v>0.8</v>
      </c>
      <c r="L7" s="105">
        <v>0.52</v>
      </c>
      <c r="M7" s="105">
        <v>0.5</v>
      </c>
      <c r="N7" s="105">
        <v>0.47</v>
      </c>
      <c r="O7" s="105">
        <v>0.45</v>
      </c>
      <c r="P7" s="105">
        <v>0.45</v>
      </c>
      <c r="Q7" s="105">
        <v>0.45</v>
      </c>
      <c r="R7" s="105">
        <v>0.45</v>
      </c>
      <c r="S7" s="116">
        <v>0.45</v>
      </c>
      <c r="T7" s="121">
        <v>1.2</v>
      </c>
      <c r="U7" s="115">
        <v>1.1000000000000001</v>
      </c>
      <c r="V7" s="115">
        <v>1.05</v>
      </c>
      <c r="W7" s="115">
        <v>1</v>
      </c>
      <c r="X7" s="115">
        <v>1</v>
      </c>
      <c r="Y7" s="115">
        <v>1</v>
      </c>
      <c r="Z7" s="115">
        <v>1</v>
      </c>
      <c r="AA7" s="122">
        <v>1</v>
      </c>
      <c r="AB7" s="119">
        <v>0.74</v>
      </c>
      <c r="AC7" s="115">
        <v>0.66</v>
      </c>
      <c r="AD7" s="115">
        <v>0.61</v>
      </c>
      <c r="AE7" s="115">
        <v>0.55000000000000004</v>
      </c>
      <c r="AF7" s="115">
        <v>0.55000000000000004</v>
      </c>
      <c r="AG7" s="105">
        <v>0.55000000000000004</v>
      </c>
      <c r="AH7" s="105">
        <v>0.55000000000000004</v>
      </c>
      <c r="AI7" s="120">
        <v>0.55000000000000004</v>
      </c>
    </row>
    <row r="8" spans="1:35">
      <c r="A8" s="32" t="s">
        <v>1305</v>
      </c>
      <c r="B8" s="32" t="s">
        <v>1352</v>
      </c>
      <c r="C8" s="32" t="s">
        <v>1534</v>
      </c>
      <c r="D8" s="32">
        <v>0.88</v>
      </c>
      <c r="E8" s="32">
        <v>0.84</v>
      </c>
      <c r="F8" s="32">
        <v>0.81</v>
      </c>
      <c r="G8" s="112">
        <v>0.8</v>
      </c>
      <c r="H8" s="112">
        <v>0.8</v>
      </c>
      <c r="I8" s="112">
        <v>0.8</v>
      </c>
      <c r="J8" s="112">
        <v>0.8</v>
      </c>
      <c r="K8" s="112">
        <v>0.8</v>
      </c>
      <c r="L8" s="105">
        <v>0.52</v>
      </c>
      <c r="M8" s="105">
        <v>0.5</v>
      </c>
      <c r="N8" s="105">
        <v>0.47</v>
      </c>
      <c r="O8" s="105">
        <v>0.45</v>
      </c>
      <c r="P8" s="105">
        <v>0.45</v>
      </c>
      <c r="Q8" s="105">
        <v>0.45</v>
      </c>
      <c r="R8" s="105">
        <v>0.45</v>
      </c>
      <c r="S8" s="116">
        <v>0.45</v>
      </c>
      <c r="T8" s="121">
        <v>1.2</v>
      </c>
      <c r="U8" s="115">
        <v>1.1000000000000001</v>
      </c>
      <c r="V8" s="115">
        <v>1.05</v>
      </c>
      <c r="W8" s="115">
        <v>1</v>
      </c>
      <c r="X8" s="115">
        <v>1</v>
      </c>
      <c r="Y8" s="115">
        <v>1</v>
      </c>
      <c r="Z8" s="115">
        <v>1</v>
      </c>
      <c r="AA8" s="122">
        <v>1</v>
      </c>
      <c r="AB8" s="119">
        <v>0.74</v>
      </c>
      <c r="AC8" s="115">
        <v>0.66</v>
      </c>
      <c r="AD8" s="115">
        <v>0.61</v>
      </c>
      <c r="AE8" s="115">
        <v>0.55000000000000004</v>
      </c>
      <c r="AF8" s="115">
        <v>0.55000000000000004</v>
      </c>
      <c r="AG8" s="105">
        <v>0.55000000000000004</v>
      </c>
      <c r="AH8" s="105">
        <v>0.55000000000000004</v>
      </c>
      <c r="AI8" s="120">
        <v>0.55000000000000004</v>
      </c>
    </row>
    <row r="9" spans="1:35">
      <c r="A9" s="32" t="s">
        <v>1305</v>
      </c>
      <c r="B9" s="32" t="s">
        <v>1352</v>
      </c>
      <c r="C9" s="32" t="s">
        <v>1535</v>
      </c>
      <c r="D9" s="32">
        <v>0.88</v>
      </c>
      <c r="E9" s="32">
        <v>0.84</v>
      </c>
      <c r="F9" s="32">
        <v>0.81</v>
      </c>
      <c r="G9" s="112">
        <v>0.8</v>
      </c>
      <c r="H9" s="112">
        <v>0.8</v>
      </c>
      <c r="I9" s="112">
        <v>0.8</v>
      </c>
      <c r="J9" s="112">
        <v>0.8</v>
      </c>
      <c r="K9" s="112">
        <v>0.8</v>
      </c>
      <c r="L9" s="105">
        <v>0.52</v>
      </c>
      <c r="M9" s="105">
        <v>0.5</v>
      </c>
      <c r="N9" s="105">
        <v>0.47</v>
      </c>
      <c r="O9" s="105">
        <v>0.45</v>
      </c>
      <c r="P9" s="105">
        <v>0.45</v>
      </c>
      <c r="Q9" s="105">
        <v>0.45</v>
      </c>
      <c r="R9" s="105">
        <v>0.45</v>
      </c>
      <c r="S9" s="116">
        <v>0.45</v>
      </c>
      <c r="T9" s="121">
        <v>1.2</v>
      </c>
      <c r="U9" s="115">
        <v>1.1000000000000001</v>
      </c>
      <c r="V9" s="115">
        <v>1.05</v>
      </c>
      <c r="W9" s="115">
        <v>1</v>
      </c>
      <c r="X9" s="115">
        <v>1</v>
      </c>
      <c r="Y9" s="115">
        <v>1</v>
      </c>
      <c r="Z9" s="115">
        <v>1</v>
      </c>
      <c r="AA9" s="122">
        <v>1</v>
      </c>
      <c r="AB9" s="119">
        <v>0.74</v>
      </c>
      <c r="AC9" s="115">
        <v>0.66</v>
      </c>
      <c r="AD9" s="115">
        <v>0.61</v>
      </c>
      <c r="AE9" s="115">
        <v>0.55000000000000004</v>
      </c>
      <c r="AF9" s="115">
        <v>0.55000000000000004</v>
      </c>
      <c r="AG9" s="105">
        <v>0.55000000000000004</v>
      </c>
      <c r="AH9" s="105">
        <v>0.55000000000000004</v>
      </c>
      <c r="AI9" s="120">
        <v>0.55000000000000004</v>
      </c>
    </row>
    <row r="10" spans="1:35">
      <c r="A10" s="32" t="s">
        <v>1305</v>
      </c>
      <c r="B10" s="32" t="s">
        <v>1352</v>
      </c>
      <c r="C10" s="32" t="s">
        <v>1522</v>
      </c>
      <c r="D10" s="32">
        <v>0.88</v>
      </c>
      <c r="E10" s="32">
        <v>0.84</v>
      </c>
      <c r="F10" s="32">
        <v>0.81</v>
      </c>
      <c r="G10" s="112">
        <v>0.8</v>
      </c>
      <c r="H10" s="112">
        <v>0.8</v>
      </c>
      <c r="I10" s="112">
        <v>0.8</v>
      </c>
      <c r="J10" s="112">
        <v>0.8</v>
      </c>
      <c r="K10" s="112">
        <v>0.8</v>
      </c>
      <c r="L10" s="105">
        <v>0.52</v>
      </c>
      <c r="M10" s="105">
        <v>0.5</v>
      </c>
      <c r="N10" s="105">
        <v>0.47</v>
      </c>
      <c r="O10" s="105">
        <v>0.45</v>
      </c>
      <c r="P10" s="105">
        <v>0.45</v>
      </c>
      <c r="Q10" s="105">
        <v>0.45</v>
      </c>
      <c r="R10" s="105">
        <v>0.45</v>
      </c>
      <c r="S10" s="116">
        <v>0.45</v>
      </c>
      <c r="T10" s="121">
        <v>1.2</v>
      </c>
      <c r="U10" s="115">
        <v>1.1000000000000001</v>
      </c>
      <c r="V10" s="115">
        <v>1.05</v>
      </c>
      <c r="W10" s="115">
        <v>1</v>
      </c>
      <c r="X10" s="115">
        <v>1</v>
      </c>
      <c r="Y10" s="115">
        <v>1</v>
      </c>
      <c r="Z10" s="115">
        <v>1</v>
      </c>
      <c r="AA10" s="122">
        <v>1</v>
      </c>
      <c r="AB10" s="119">
        <v>0.74</v>
      </c>
      <c r="AC10" s="115">
        <v>0.66</v>
      </c>
      <c r="AD10" s="115">
        <v>0.61</v>
      </c>
      <c r="AE10" s="115">
        <v>0.55000000000000004</v>
      </c>
      <c r="AF10" s="115">
        <v>0.55000000000000004</v>
      </c>
      <c r="AG10" s="105">
        <v>0.55000000000000004</v>
      </c>
      <c r="AH10" s="105">
        <v>0.55000000000000004</v>
      </c>
      <c r="AI10" s="120">
        <v>0.55000000000000004</v>
      </c>
    </row>
    <row r="11" spans="1:35">
      <c r="A11" s="32" t="s">
        <v>1305</v>
      </c>
      <c r="B11" s="32" t="s">
        <v>1352</v>
      </c>
      <c r="C11" s="32" t="s">
        <v>1523</v>
      </c>
      <c r="D11" s="32">
        <v>0.88</v>
      </c>
      <c r="E11" s="32">
        <v>0.84</v>
      </c>
      <c r="F11" s="32">
        <v>0.81</v>
      </c>
      <c r="G11" s="112">
        <v>0.8</v>
      </c>
      <c r="H11" s="112">
        <v>0.8</v>
      </c>
      <c r="I11" s="112">
        <v>0.8</v>
      </c>
      <c r="J11" s="112">
        <v>0.8</v>
      </c>
      <c r="K11" s="112">
        <v>0.8</v>
      </c>
      <c r="L11" s="105">
        <v>0.52</v>
      </c>
      <c r="M11" s="105">
        <v>0.5</v>
      </c>
      <c r="N11" s="105">
        <v>0.47</v>
      </c>
      <c r="O11" s="105">
        <v>0.45</v>
      </c>
      <c r="P11" s="105">
        <v>0.45</v>
      </c>
      <c r="Q11" s="105">
        <v>0.45</v>
      </c>
      <c r="R11" s="105">
        <v>0.45</v>
      </c>
      <c r="S11" s="116">
        <v>0.45</v>
      </c>
      <c r="T11" s="121">
        <v>1.2</v>
      </c>
      <c r="U11" s="115">
        <v>1.1000000000000001</v>
      </c>
      <c r="V11" s="115">
        <v>1.05</v>
      </c>
      <c r="W11" s="115">
        <v>1</v>
      </c>
      <c r="X11" s="115">
        <v>1</v>
      </c>
      <c r="Y11" s="115">
        <v>1</v>
      </c>
      <c r="Z11" s="115">
        <v>1</v>
      </c>
      <c r="AA11" s="122">
        <v>1</v>
      </c>
      <c r="AB11" s="119">
        <v>0.74</v>
      </c>
      <c r="AC11" s="115">
        <v>0.66</v>
      </c>
      <c r="AD11" s="115">
        <v>0.61</v>
      </c>
      <c r="AE11" s="115">
        <v>0.55000000000000004</v>
      </c>
      <c r="AF11" s="115">
        <v>0.55000000000000004</v>
      </c>
      <c r="AG11" s="105">
        <v>0.55000000000000004</v>
      </c>
      <c r="AH11" s="105">
        <v>0.55000000000000004</v>
      </c>
      <c r="AI11" s="120">
        <v>0.55000000000000004</v>
      </c>
    </row>
    <row r="12" spans="1:35">
      <c r="A12" s="32" t="s">
        <v>1305</v>
      </c>
      <c r="B12" s="32" t="s">
        <v>1537</v>
      </c>
      <c r="C12" s="111" t="s">
        <v>1538</v>
      </c>
      <c r="D12" s="32">
        <v>0.88</v>
      </c>
      <c r="E12" s="32">
        <v>0.84</v>
      </c>
      <c r="F12" s="32">
        <v>0.81</v>
      </c>
      <c r="G12" s="112">
        <v>0.8</v>
      </c>
      <c r="H12" s="112">
        <v>0.8</v>
      </c>
      <c r="I12" s="112">
        <v>0.8</v>
      </c>
      <c r="J12" s="112">
        <v>0.8</v>
      </c>
      <c r="K12" s="112">
        <v>0.8</v>
      </c>
      <c r="L12" s="105">
        <v>0.52</v>
      </c>
      <c r="M12" s="105">
        <v>0.5</v>
      </c>
      <c r="N12" s="105">
        <v>0.47</v>
      </c>
      <c r="O12" s="105">
        <v>0.45</v>
      </c>
      <c r="P12" s="105">
        <v>0.45</v>
      </c>
      <c r="Q12" s="105">
        <v>0.45</v>
      </c>
      <c r="R12" s="105">
        <v>0.45</v>
      </c>
      <c r="S12" s="116">
        <v>0.45</v>
      </c>
      <c r="T12" s="121">
        <v>1.2</v>
      </c>
      <c r="U12" s="115">
        <v>1.1000000000000001</v>
      </c>
      <c r="V12" s="115">
        <v>1.05</v>
      </c>
      <c r="W12" s="115">
        <v>1</v>
      </c>
      <c r="X12" s="115">
        <v>1</v>
      </c>
      <c r="Y12" s="115">
        <v>1</v>
      </c>
      <c r="Z12" s="115">
        <v>1</v>
      </c>
      <c r="AA12" s="122">
        <v>1</v>
      </c>
      <c r="AB12" s="119">
        <v>0.74</v>
      </c>
      <c r="AC12" s="115">
        <v>0.66</v>
      </c>
      <c r="AD12" s="115">
        <v>0.61</v>
      </c>
      <c r="AE12" s="115">
        <v>0.55000000000000004</v>
      </c>
      <c r="AF12" s="115">
        <v>0.55000000000000004</v>
      </c>
      <c r="AG12" s="105">
        <v>0.55000000000000004</v>
      </c>
      <c r="AH12" s="105">
        <v>0.55000000000000004</v>
      </c>
      <c r="AI12" s="120">
        <v>0.55000000000000004</v>
      </c>
    </row>
    <row r="13" spans="1:35">
      <c r="A13" s="32" t="s">
        <v>1305</v>
      </c>
      <c r="B13" s="32" t="s">
        <v>1537</v>
      </c>
      <c r="C13" s="111" t="s">
        <v>1539</v>
      </c>
      <c r="D13" s="32">
        <v>0.88</v>
      </c>
      <c r="E13" s="32">
        <v>0.84</v>
      </c>
      <c r="F13" s="32">
        <v>0.81</v>
      </c>
      <c r="G13" s="112">
        <v>0.8</v>
      </c>
      <c r="H13" s="112">
        <v>0.8</v>
      </c>
      <c r="I13" s="112">
        <v>0.8</v>
      </c>
      <c r="J13" s="112">
        <v>0.8</v>
      </c>
      <c r="K13" s="112">
        <v>0.8</v>
      </c>
      <c r="L13" s="105">
        <v>0.52</v>
      </c>
      <c r="M13" s="105">
        <v>0.5</v>
      </c>
      <c r="N13" s="105">
        <v>0.47</v>
      </c>
      <c r="O13" s="105">
        <v>0.45</v>
      </c>
      <c r="P13" s="105">
        <v>0.45</v>
      </c>
      <c r="Q13" s="105">
        <v>0.45</v>
      </c>
      <c r="R13" s="105">
        <v>0.45</v>
      </c>
      <c r="S13" s="116">
        <v>0.45</v>
      </c>
      <c r="T13" s="121">
        <v>1.2</v>
      </c>
      <c r="U13" s="115">
        <v>1.1000000000000001</v>
      </c>
      <c r="V13" s="115">
        <v>1.05</v>
      </c>
      <c r="W13" s="115">
        <v>1</v>
      </c>
      <c r="X13" s="115">
        <v>1</v>
      </c>
      <c r="Y13" s="115">
        <v>1</v>
      </c>
      <c r="Z13" s="115">
        <v>1</v>
      </c>
      <c r="AA13" s="122">
        <v>1</v>
      </c>
      <c r="AB13" s="119">
        <v>0.74</v>
      </c>
      <c r="AC13" s="115">
        <v>0.66</v>
      </c>
      <c r="AD13" s="115">
        <v>0.61</v>
      </c>
      <c r="AE13" s="115">
        <v>0.55000000000000004</v>
      </c>
      <c r="AF13" s="115">
        <v>0.55000000000000004</v>
      </c>
      <c r="AG13" s="105">
        <v>0.55000000000000004</v>
      </c>
      <c r="AH13" s="105">
        <v>0.55000000000000004</v>
      </c>
      <c r="AI13" s="120">
        <v>0.55000000000000004</v>
      </c>
    </row>
    <row r="14" spans="1:35">
      <c r="A14" s="32" t="s">
        <v>1305</v>
      </c>
      <c r="B14" s="32" t="s">
        <v>1537</v>
      </c>
      <c r="C14" s="111" t="s">
        <v>1540</v>
      </c>
      <c r="D14" s="32">
        <v>0.88</v>
      </c>
      <c r="E14" s="32">
        <v>0.84</v>
      </c>
      <c r="F14" s="32">
        <v>0.81</v>
      </c>
      <c r="G14" s="112">
        <v>0.8</v>
      </c>
      <c r="H14" s="112">
        <v>0.8</v>
      </c>
      <c r="I14" s="112">
        <v>0.8</v>
      </c>
      <c r="J14" s="112">
        <v>0.8</v>
      </c>
      <c r="K14" s="112">
        <v>0.8</v>
      </c>
      <c r="L14" s="105">
        <v>0.52</v>
      </c>
      <c r="M14" s="105">
        <v>0.5</v>
      </c>
      <c r="N14" s="105">
        <v>0.47</v>
      </c>
      <c r="O14" s="105">
        <v>0.45</v>
      </c>
      <c r="P14" s="105">
        <v>0.45</v>
      </c>
      <c r="Q14" s="105">
        <v>0.45</v>
      </c>
      <c r="R14" s="105">
        <v>0.45</v>
      </c>
      <c r="S14" s="116">
        <v>0.45</v>
      </c>
      <c r="T14" s="121">
        <v>1.2</v>
      </c>
      <c r="U14" s="115">
        <v>1.1000000000000001</v>
      </c>
      <c r="V14" s="115">
        <v>1.05</v>
      </c>
      <c r="W14" s="115">
        <v>1</v>
      </c>
      <c r="X14" s="115">
        <v>1</v>
      </c>
      <c r="Y14" s="115">
        <v>1</v>
      </c>
      <c r="Z14" s="115">
        <v>1</v>
      </c>
      <c r="AA14" s="122">
        <v>1</v>
      </c>
      <c r="AB14" s="119">
        <v>0.74</v>
      </c>
      <c r="AC14" s="115">
        <v>0.66</v>
      </c>
      <c r="AD14" s="115">
        <v>0.61</v>
      </c>
      <c r="AE14" s="115">
        <v>0.55000000000000004</v>
      </c>
      <c r="AF14" s="115">
        <v>0.55000000000000004</v>
      </c>
      <c r="AG14" s="105">
        <v>0.55000000000000004</v>
      </c>
      <c r="AH14" s="105">
        <v>0.55000000000000004</v>
      </c>
      <c r="AI14" s="120">
        <v>0.55000000000000004</v>
      </c>
    </row>
    <row r="15" spans="1:35">
      <c r="A15" s="32" t="s">
        <v>1305</v>
      </c>
      <c r="B15" s="32" t="s">
        <v>1349</v>
      </c>
      <c r="C15" s="32" t="s">
        <v>1536</v>
      </c>
      <c r="D15" s="32">
        <v>0.88</v>
      </c>
      <c r="E15" s="32">
        <v>0.84</v>
      </c>
      <c r="F15" s="32">
        <v>0.81</v>
      </c>
      <c r="G15" s="112">
        <v>0.8</v>
      </c>
      <c r="H15" s="112">
        <v>0.8</v>
      </c>
      <c r="I15" s="112">
        <v>0.8</v>
      </c>
      <c r="J15" s="112">
        <v>0.8</v>
      </c>
      <c r="K15" s="112">
        <v>0.8</v>
      </c>
      <c r="L15" s="105">
        <v>0.52</v>
      </c>
      <c r="M15" s="105">
        <v>0.5</v>
      </c>
      <c r="N15" s="105">
        <v>0.47</v>
      </c>
      <c r="O15" s="105">
        <v>0.45</v>
      </c>
      <c r="P15" s="105">
        <v>0.45</v>
      </c>
      <c r="Q15" s="105">
        <v>0.45</v>
      </c>
      <c r="R15" s="105">
        <v>0.45</v>
      </c>
      <c r="S15" s="116">
        <v>0.45</v>
      </c>
      <c r="T15" s="121">
        <v>1.2</v>
      </c>
      <c r="U15" s="115">
        <v>1.1000000000000001</v>
      </c>
      <c r="V15" s="115">
        <v>1.05</v>
      </c>
      <c r="W15" s="115">
        <v>1</v>
      </c>
      <c r="X15" s="115">
        <v>1</v>
      </c>
      <c r="Y15" s="115">
        <v>1</v>
      </c>
      <c r="Z15" s="115">
        <v>1</v>
      </c>
      <c r="AA15" s="122">
        <v>1</v>
      </c>
      <c r="AB15" s="119">
        <v>0.74</v>
      </c>
      <c r="AC15" s="115">
        <v>0.66</v>
      </c>
      <c r="AD15" s="115">
        <v>0.61</v>
      </c>
      <c r="AE15" s="115">
        <v>0.55000000000000004</v>
      </c>
      <c r="AF15" s="115">
        <v>0.55000000000000004</v>
      </c>
      <c r="AG15" s="105">
        <v>0.55000000000000004</v>
      </c>
      <c r="AH15" s="105">
        <v>0.55000000000000004</v>
      </c>
      <c r="AI15" s="120">
        <v>0.55000000000000004</v>
      </c>
    </row>
    <row r="16" spans="1:35">
      <c r="A16" s="32" t="s">
        <v>1305</v>
      </c>
      <c r="B16" s="32" t="s">
        <v>1349</v>
      </c>
      <c r="C16" s="32" t="s">
        <v>1525</v>
      </c>
      <c r="D16" s="32">
        <v>0.88</v>
      </c>
      <c r="E16" s="32">
        <v>0.84</v>
      </c>
      <c r="F16" s="32">
        <v>0.81</v>
      </c>
      <c r="G16" s="112">
        <v>0.8</v>
      </c>
      <c r="H16" s="112">
        <v>0.8</v>
      </c>
      <c r="I16" s="112">
        <v>0.8</v>
      </c>
      <c r="J16" s="112">
        <v>0.8</v>
      </c>
      <c r="K16" s="112">
        <v>0.8</v>
      </c>
      <c r="L16" s="105">
        <v>0.52</v>
      </c>
      <c r="M16" s="105">
        <v>0.5</v>
      </c>
      <c r="N16" s="105">
        <v>0.47</v>
      </c>
      <c r="O16" s="105">
        <v>0.45</v>
      </c>
      <c r="P16" s="105">
        <v>0.45</v>
      </c>
      <c r="Q16" s="105">
        <v>0.45</v>
      </c>
      <c r="R16" s="105">
        <v>0.45</v>
      </c>
      <c r="S16" s="116">
        <v>0.45</v>
      </c>
      <c r="T16" s="121">
        <v>1.2</v>
      </c>
      <c r="U16" s="115">
        <v>1.1000000000000001</v>
      </c>
      <c r="V16" s="115">
        <v>1.05</v>
      </c>
      <c r="W16" s="115">
        <v>1</v>
      </c>
      <c r="X16" s="115">
        <v>1</v>
      </c>
      <c r="Y16" s="115">
        <v>1</v>
      </c>
      <c r="Z16" s="115">
        <v>1</v>
      </c>
      <c r="AA16" s="122">
        <v>1</v>
      </c>
      <c r="AB16" s="119">
        <v>0.74</v>
      </c>
      <c r="AC16" s="115">
        <v>0.66</v>
      </c>
      <c r="AD16" s="115">
        <v>0.61</v>
      </c>
      <c r="AE16" s="115">
        <v>0.55000000000000004</v>
      </c>
      <c r="AF16" s="115">
        <v>0.55000000000000004</v>
      </c>
      <c r="AG16" s="105">
        <v>0.55000000000000004</v>
      </c>
      <c r="AH16" s="105">
        <v>0.55000000000000004</v>
      </c>
      <c r="AI16" s="120">
        <v>0.55000000000000004</v>
      </c>
    </row>
    <row r="17" spans="1:35">
      <c r="A17" s="32" t="s">
        <v>1305</v>
      </c>
      <c r="B17" s="32" t="s">
        <v>1349</v>
      </c>
      <c r="C17" s="32" t="s">
        <v>1527</v>
      </c>
      <c r="D17" s="32">
        <v>0.88</v>
      </c>
      <c r="E17" s="32">
        <v>0.84</v>
      </c>
      <c r="F17" s="32">
        <v>0.81</v>
      </c>
      <c r="G17" s="112">
        <v>0.8</v>
      </c>
      <c r="H17" s="112">
        <v>0.8</v>
      </c>
      <c r="I17" s="112">
        <v>0.8</v>
      </c>
      <c r="J17" s="112">
        <v>0.8</v>
      </c>
      <c r="K17" s="112">
        <v>0.8</v>
      </c>
      <c r="L17" s="105">
        <v>0.52</v>
      </c>
      <c r="M17" s="105">
        <v>0.5</v>
      </c>
      <c r="N17" s="105">
        <v>0.47</v>
      </c>
      <c r="O17" s="105">
        <v>0.45</v>
      </c>
      <c r="P17" s="105">
        <v>0.45</v>
      </c>
      <c r="Q17" s="105">
        <v>0.45</v>
      </c>
      <c r="R17" s="105">
        <v>0.45</v>
      </c>
      <c r="S17" s="116">
        <v>0.45</v>
      </c>
      <c r="T17" s="121">
        <v>1.2</v>
      </c>
      <c r="U17" s="115">
        <v>1.1000000000000001</v>
      </c>
      <c r="V17" s="115">
        <v>1.05</v>
      </c>
      <c r="W17" s="115">
        <v>1</v>
      </c>
      <c r="X17" s="115">
        <v>1</v>
      </c>
      <c r="Y17" s="115">
        <v>1</v>
      </c>
      <c r="Z17" s="115">
        <v>1</v>
      </c>
      <c r="AA17" s="122">
        <v>1</v>
      </c>
      <c r="AB17" s="119">
        <v>0.74</v>
      </c>
      <c r="AC17" s="115">
        <v>0.66</v>
      </c>
      <c r="AD17" s="115">
        <v>0.61</v>
      </c>
      <c r="AE17" s="115">
        <v>0.55000000000000004</v>
      </c>
      <c r="AF17" s="115">
        <v>0.55000000000000004</v>
      </c>
      <c r="AG17" s="105">
        <v>0.55000000000000004</v>
      </c>
      <c r="AH17" s="105">
        <v>0.55000000000000004</v>
      </c>
      <c r="AI17" s="120">
        <v>0.55000000000000004</v>
      </c>
    </row>
    <row r="18" spans="1:35">
      <c r="A18" s="32" t="s">
        <v>1305</v>
      </c>
      <c r="B18" s="32" t="s">
        <v>1354</v>
      </c>
      <c r="C18" s="32" t="s">
        <v>1355</v>
      </c>
      <c r="D18" s="32">
        <v>0.88</v>
      </c>
      <c r="E18" s="32">
        <v>0.84</v>
      </c>
      <c r="F18" s="32">
        <v>0.81</v>
      </c>
      <c r="G18" s="112">
        <v>0.8</v>
      </c>
      <c r="H18" s="113">
        <v>0.7</v>
      </c>
      <c r="I18" s="113">
        <v>0.7</v>
      </c>
      <c r="J18" s="113">
        <v>0.7</v>
      </c>
      <c r="K18" s="113">
        <v>0.7</v>
      </c>
      <c r="L18" s="105">
        <v>0.52</v>
      </c>
      <c r="M18" s="105">
        <v>0.5</v>
      </c>
      <c r="N18" s="105">
        <v>0.47</v>
      </c>
      <c r="O18" s="105">
        <v>0.45</v>
      </c>
      <c r="P18" s="114">
        <v>0.4</v>
      </c>
      <c r="Q18" s="114">
        <v>0.4</v>
      </c>
      <c r="R18" s="114">
        <v>0.4</v>
      </c>
      <c r="S18" s="117">
        <v>0.4</v>
      </c>
      <c r="T18" s="121">
        <v>1.2</v>
      </c>
      <c r="U18" s="115">
        <v>1.1000000000000001</v>
      </c>
      <c r="V18" s="115">
        <v>1.05</v>
      </c>
      <c r="W18" s="115">
        <v>1</v>
      </c>
      <c r="X18" s="114">
        <v>0.9</v>
      </c>
      <c r="Y18" s="114">
        <v>0.9</v>
      </c>
      <c r="Z18" s="114">
        <v>0.9</v>
      </c>
      <c r="AA18" s="123">
        <v>0.9</v>
      </c>
      <c r="AB18" s="119">
        <v>0.74</v>
      </c>
      <c r="AC18" s="115">
        <v>0.66</v>
      </c>
      <c r="AD18" s="115">
        <v>0.61</v>
      </c>
      <c r="AE18" s="115">
        <v>0.55000000000000004</v>
      </c>
      <c r="AF18" s="114">
        <v>0.5</v>
      </c>
      <c r="AG18" s="106">
        <v>0.5</v>
      </c>
      <c r="AH18" s="106">
        <v>0.5</v>
      </c>
      <c r="AI18" s="128">
        <v>0.5</v>
      </c>
    </row>
    <row r="19" spans="1:35">
      <c r="A19" s="32" t="s">
        <v>1306</v>
      </c>
      <c r="B19" s="32" t="s">
        <v>1352</v>
      </c>
      <c r="C19" s="32" t="s">
        <v>1356</v>
      </c>
      <c r="D19" s="32">
        <v>1.02</v>
      </c>
      <c r="E19" s="32">
        <v>0.97</v>
      </c>
      <c r="F19" s="32">
        <v>0.93</v>
      </c>
      <c r="G19" s="112">
        <v>0.89</v>
      </c>
      <c r="H19" s="112">
        <v>0.85</v>
      </c>
      <c r="I19" s="113">
        <v>0.8</v>
      </c>
      <c r="J19" s="112">
        <v>0.8</v>
      </c>
      <c r="K19" s="112">
        <v>0.8</v>
      </c>
      <c r="L19" s="115">
        <v>0.6</v>
      </c>
      <c r="M19" s="115">
        <v>0.57999999999999996</v>
      </c>
      <c r="N19" s="115">
        <v>0.54</v>
      </c>
      <c r="O19" s="115">
        <v>0.5</v>
      </c>
      <c r="P19" s="115">
        <v>0.48</v>
      </c>
      <c r="Q19" s="115">
        <v>0.45</v>
      </c>
      <c r="R19" s="115">
        <v>0.45</v>
      </c>
      <c r="S19" s="118">
        <v>0.45</v>
      </c>
      <c r="T19" s="121">
        <v>1.26</v>
      </c>
      <c r="U19" s="115">
        <v>1.2</v>
      </c>
      <c r="V19" s="115">
        <v>1.1299999999999999</v>
      </c>
      <c r="W19" s="115">
        <v>1.07</v>
      </c>
      <c r="X19" s="115">
        <v>1.03</v>
      </c>
      <c r="Y19" s="114">
        <v>1</v>
      </c>
      <c r="Z19" s="114">
        <v>1</v>
      </c>
      <c r="AA19" s="123">
        <v>1</v>
      </c>
      <c r="AB19" s="119">
        <v>0.78</v>
      </c>
      <c r="AC19" s="115">
        <v>0.74</v>
      </c>
      <c r="AD19" s="115">
        <v>0.69</v>
      </c>
      <c r="AE19" s="115">
        <v>0.64</v>
      </c>
      <c r="AF19" s="115">
        <v>0.6</v>
      </c>
      <c r="AG19" s="105">
        <v>0.55000000000000004</v>
      </c>
      <c r="AH19" s="105">
        <v>0.55000000000000004</v>
      </c>
      <c r="AI19" s="120">
        <v>0.55000000000000004</v>
      </c>
    </row>
    <row r="20" spans="1:35">
      <c r="A20" s="32" t="s">
        <v>1306</v>
      </c>
      <c r="B20" s="32" t="s">
        <v>1352</v>
      </c>
      <c r="C20" s="32" t="s">
        <v>1522</v>
      </c>
      <c r="D20" s="32">
        <v>1.02</v>
      </c>
      <c r="E20" s="32">
        <v>0.97</v>
      </c>
      <c r="F20" s="32">
        <v>0.93</v>
      </c>
      <c r="G20" s="112">
        <v>0.89</v>
      </c>
      <c r="H20" s="112">
        <v>0.85</v>
      </c>
      <c r="I20" s="113">
        <v>0.8</v>
      </c>
      <c r="J20" s="112">
        <v>0.8</v>
      </c>
      <c r="K20" s="112">
        <v>0.8</v>
      </c>
      <c r="L20" s="115">
        <v>0.6</v>
      </c>
      <c r="M20" s="115">
        <v>0.57999999999999996</v>
      </c>
      <c r="N20" s="115">
        <v>0.54</v>
      </c>
      <c r="O20" s="115">
        <v>0.5</v>
      </c>
      <c r="P20" s="115">
        <v>0.48</v>
      </c>
      <c r="Q20" s="115">
        <v>0.45</v>
      </c>
      <c r="R20" s="115">
        <v>0.45</v>
      </c>
      <c r="S20" s="118">
        <v>0.45</v>
      </c>
      <c r="T20" s="121">
        <v>1.26</v>
      </c>
      <c r="U20" s="115">
        <v>1.2</v>
      </c>
      <c r="V20" s="115">
        <v>1.1299999999999999</v>
      </c>
      <c r="W20" s="115">
        <v>1.07</v>
      </c>
      <c r="X20" s="115">
        <v>1.03</v>
      </c>
      <c r="Y20" s="114">
        <v>1</v>
      </c>
      <c r="Z20" s="114">
        <v>1</v>
      </c>
      <c r="AA20" s="123">
        <v>1</v>
      </c>
      <c r="AB20" s="119">
        <v>0.78</v>
      </c>
      <c r="AC20" s="115">
        <v>0.74</v>
      </c>
      <c r="AD20" s="115">
        <v>0.69</v>
      </c>
      <c r="AE20" s="115">
        <v>0.64</v>
      </c>
      <c r="AF20" s="115">
        <v>0.6</v>
      </c>
      <c r="AG20" s="105">
        <v>0.55000000000000004</v>
      </c>
      <c r="AH20" s="105">
        <v>0.55000000000000004</v>
      </c>
      <c r="AI20" s="120">
        <v>0.55000000000000004</v>
      </c>
    </row>
    <row r="21" spans="1:35">
      <c r="A21" s="32" t="s">
        <v>1306</v>
      </c>
      <c r="B21" s="32" t="s">
        <v>1352</v>
      </c>
      <c r="C21" s="32" t="s">
        <v>1523</v>
      </c>
      <c r="D21" s="32">
        <v>1.02</v>
      </c>
      <c r="E21" s="32">
        <v>0.97</v>
      </c>
      <c r="F21" s="32">
        <v>0.93</v>
      </c>
      <c r="G21" s="112">
        <v>0.89</v>
      </c>
      <c r="H21" s="112">
        <v>0.85</v>
      </c>
      <c r="I21" s="113">
        <v>0.8</v>
      </c>
      <c r="J21" s="112">
        <v>0.8</v>
      </c>
      <c r="K21" s="112">
        <v>0.8</v>
      </c>
      <c r="L21" s="115">
        <v>0.6</v>
      </c>
      <c r="M21" s="115">
        <v>0.57999999999999996</v>
      </c>
      <c r="N21" s="115">
        <v>0.54</v>
      </c>
      <c r="O21" s="115">
        <v>0.5</v>
      </c>
      <c r="P21" s="115">
        <v>0.48</v>
      </c>
      <c r="Q21" s="115">
        <v>0.45</v>
      </c>
      <c r="R21" s="115">
        <v>0.45</v>
      </c>
      <c r="S21" s="118">
        <v>0.45</v>
      </c>
      <c r="T21" s="121">
        <v>1.26</v>
      </c>
      <c r="U21" s="115">
        <v>1.2</v>
      </c>
      <c r="V21" s="115">
        <v>1.1299999999999999</v>
      </c>
      <c r="W21" s="115">
        <v>1.07</v>
      </c>
      <c r="X21" s="115">
        <v>1.03</v>
      </c>
      <c r="Y21" s="114">
        <v>1</v>
      </c>
      <c r="Z21" s="114">
        <v>1</v>
      </c>
      <c r="AA21" s="123">
        <v>1</v>
      </c>
      <c r="AB21" s="119">
        <v>0.78</v>
      </c>
      <c r="AC21" s="115">
        <v>0.74</v>
      </c>
      <c r="AD21" s="115">
        <v>0.69</v>
      </c>
      <c r="AE21" s="115">
        <v>0.64</v>
      </c>
      <c r="AF21" s="115">
        <v>0.6</v>
      </c>
      <c r="AG21" s="105">
        <v>0.55000000000000004</v>
      </c>
      <c r="AH21" s="105">
        <v>0.55000000000000004</v>
      </c>
      <c r="AI21" s="120">
        <v>0.55000000000000004</v>
      </c>
    </row>
    <row r="22" spans="1:35">
      <c r="A22" s="32" t="s">
        <v>1306</v>
      </c>
      <c r="B22" s="32" t="s">
        <v>1349</v>
      </c>
      <c r="C22" s="32" t="s">
        <v>1787</v>
      </c>
      <c r="D22" s="32">
        <v>1.02</v>
      </c>
      <c r="E22" s="32">
        <v>0.97</v>
      </c>
      <c r="F22" s="32">
        <v>0.93</v>
      </c>
      <c r="G22" s="112">
        <v>0.89</v>
      </c>
      <c r="H22" s="112">
        <v>0.85</v>
      </c>
      <c r="I22" s="113">
        <v>0.8</v>
      </c>
      <c r="J22" s="112">
        <v>0.8</v>
      </c>
      <c r="K22" s="112">
        <v>0.8</v>
      </c>
      <c r="L22" s="115">
        <v>0.6</v>
      </c>
      <c r="M22" s="115">
        <v>0.57999999999999996</v>
      </c>
      <c r="N22" s="115">
        <v>0.54</v>
      </c>
      <c r="O22" s="115">
        <v>0.5</v>
      </c>
      <c r="P22" s="115">
        <v>0.48</v>
      </c>
      <c r="Q22" s="115">
        <v>0.45</v>
      </c>
      <c r="R22" s="115">
        <v>0.45</v>
      </c>
      <c r="S22" s="118">
        <v>0.45</v>
      </c>
      <c r="T22" s="121">
        <v>1.26</v>
      </c>
      <c r="U22" s="115">
        <v>1.2</v>
      </c>
      <c r="V22" s="115">
        <v>1.1299999999999999</v>
      </c>
      <c r="W22" s="115">
        <v>1.07</v>
      </c>
      <c r="X22" s="115">
        <v>1.03</v>
      </c>
      <c r="Y22" s="114">
        <v>1</v>
      </c>
      <c r="Z22" s="114">
        <v>1</v>
      </c>
      <c r="AA22" s="123">
        <v>1</v>
      </c>
      <c r="AB22" s="119">
        <v>0.78</v>
      </c>
      <c r="AC22" s="115">
        <v>0.74</v>
      </c>
      <c r="AD22" s="115">
        <v>0.69</v>
      </c>
      <c r="AE22" s="115">
        <v>0.64</v>
      </c>
      <c r="AF22" s="115">
        <v>0.6</v>
      </c>
      <c r="AG22" s="105">
        <v>0.55000000000000004</v>
      </c>
      <c r="AH22" s="105">
        <v>0.55000000000000004</v>
      </c>
      <c r="AI22" s="120">
        <v>0.55000000000000004</v>
      </c>
    </row>
    <row r="23" spans="1:35">
      <c r="A23" s="32" t="s">
        <v>1306</v>
      </c>
      <c r="B23" s="32" t="s">
        <v>1349</v>
      </c>
      <c r="C23" s="32" t="s">
        <v>1488</v>
      </c>
      <c r="D23" s="32">
        <v>1.02</v>
      </c>
      <c r="E23" s="32">
        <v>0.97</v>
      </c>
      <c r="F23" s="32">
        <v>0.93</v>
      </c>
      <c r="G23" s="112">
        <v>0.89</v>
      </c>
      <c r="H23" s="112">
        <v>0.85</v>
      </c>
      <c r="I23" s="113">
        <v>0.8</v>
      </c>
      <c r="J23" s="112">
        <v>0.8</v>
      </c>
      <c r="K23" s="112">
        <v>0.8</v>
      </c>
      <c r="L23" s="115">
        <v>0.6</v>
      </c>
      <c r="M23" s="115">
        <v>0.57999999999999996</v>
      </c>
      <c r="N23" s="115">
        <v>0.54</v>
      </c>
      <c r="O23" s="115">
        <v>0.5</v>
      </c>
      <c r="P23" s="115">
        <v>0.48</v>
      </c>
      <c r="Q23" s="115">
        <v>0.45</v>
      </c>
      <c r="R23" s="115">
        <v>0.45</v>
      </c>
      <c r="S23" s="118">
        <v>0.45</v>
      </c>
      <c r="T23" s="121">
        <v>1.26</v>
      </c>
      <c r="U23" s="115">
        <v>1.2</v>
      </c>
      <c r="V23" s="115">
        <v>1.1299999999999999</v>
      </c>
      <c r="W23" s="115">
        <v>1.07</v>
      </c>
      <c r="X23" s="115">
        <v>1.03</v>
      </c>
      <c r="Y23" s="114">
        <v>1</v>
      </c>
      <c r="Z23" s="114">
        <v>1</v>
      </c>
      <c r="AA23" s="123">
        <v>1</v>
      </c>
      <c r="AB23" s="119">
        <v>0.78</v>
      </c>
      <c r="AC23" s="115">
        <v>0.74</v>
      </c>
      <c r="AD23" s="115">
        <v>0.69</v>
      </c>
      <c r="AE23" s="115">
        <v>0.64</v>
      </c>
      <c r="AF23" s="115">
        <v>0.6</v>
      </c>
      <c r="AG23" s="105">
        <v>0.55000000000000004</v>
      </c>
      <c r="AH23" s="105">
        <v>0.55000000000000004</v>
      </c>
      <c r="AI23" s="120">
        <v>0.55000000000000004</v>
      </c>
    </row>
    <row r="24" spans="1:35">
      <c r="A24" s="32" t="s">
        <v>1306</v>
      </c>
      <c r="B24" s="32" t="s">
        <v>1349</v>
      </c>
      <c r="C24" s="32" t="s">
        <v>1524</v>
      </c>
      <c r="D24" s="32">
        <v>1.02</v>
      </c>
      <c r="E24" s="32">
        <v>0.97</v>
      </c>
      <c r="F24" s="32">
        <v>0.93</v>
      </c>
      <c r="G24" s="112">
        <v>0.89</v>
      </c>
      <c r="H24" s="112">
        <v>0.85</v>
      </c>
      <c r="I24" s="113">
        <v>0.8</v>
      </c>
      <c r="J24" s="112">
        <v>0.8</v>
      </c>
      <c r="K24" s="112">
        <v>0.8</v>
      </c>
      <c r="L24" s="115">
        <v>0.6</v>
      </c>
      <c r="M24" s="115">
        <v>0.57999999999999996</v>
      </c>
      <c r="N24" s="115">
        <v>0.54</v>
      </c>
      <c r="O24" s="115">
        <v>0.5</v>
      </c>
      <c r="P24" s="115">
        <v>0.48</v>
      </c>
      <c r="Q24" s="115">
        <v>0.45</v>
      </c>
      <c r="R24" s="115">
        <v>0.45</v>
      </c>
      <c r="S24" s="118">
        <v>0.45</v>
      </c>
      <c r="T24" s="121">
        <v>1.26</v>
      </c>
      <c r="U24" s="115">
        <v>1.2</v>
      </c>
      <c r="V24" s="115">
        <v>1.1299999999999999</v>
      </c>
      <c r="W24" s="115">
        <v>1.07</v>
      </c>
      <c r="X24" s="115">
        <v>1.03</v>
      </c>
      <c r="Y24" s="114">
        <v>1</v>
      </c>
      <c r="Z24" s="114">
        <v>1</v>
      </c>
      <c r="AA24" s="123">
        <v>1</v>
      </c>
      <c r="AB24" s="119">
        <v>0.78</v>
      </c>
      <c r="AC24" s="115">
        <v>0.74</v>
      </c>
      <c r="AD24" s="115">
        <v>0.69</v>
      </c>
      <c r="AE24" s="115">
        <v>0.64</v>
      </c>
      <c r="AF24" s="115">
        <v>0.6</v>
      </c>
      <c r="AG24" s="105">
        <v>0.55000000000000004</v>
      </c>
      <c r="AH24" s="105">
        <v>0.55000000000000004</v>
      </c>
      <c r="AI24" s="120">
        <v>0.55000000000000004</v>
      </c>
    </row>
    <row r="25" spans="1:35">
      <c r="A25" s="32" t="s">
        <v>1306</v>
      </c>
      <c r="B25" s="32" t="s">
        <v>1349</v>
      </c>
      <c r="C25" s="32" t="s">
        <v>1525</v>
      </c>
      <c r="D25" s="32">
        <v>1.02</v>
      </c>
      <c r="E25" s="32">
        <v>0.97</v>
      </c>
      <c r="F25" s="32">
        <v>0.93</v>
      </c>
      <c r="G25" s="112">
        <v>0.89</v>
      </c>
      <c r="H25" s="112">
        <v>0.85</v>
      </c>
      <c r="I25" s="113">
        <v>0.8</v>
      </c>
      <c r="J25" s="112">
        <v>0.8</v>
      </c>
      <c r="K25" s="112">
        <v>0.8</v>
      </c>
      <c r="L25" s="115">
        <v>0.6</v>
      </c>
      <c r="M25" s="115">
        <v>0.57999999999999996</v>
      </c>
      <c r="N25" s="115">
        <v>0.54</v>
      </c>
      <c r="O25" s="115">
        <v>0.5</v>
      </c>
      <c r="P25" s="115">
        <v>0.48</v>
      </c>
      <c r="Q25" s="115">
        <v>0.45</v>
      </c>
      <c r="R25" s="115">
        <v>0.45</v>
      </c>
      <c r="S25" s="118">
        <v>0.45</v>
      </c>
      <c r="T25" s="121">
        <v>1.26</v>
      </c>
      <c r="U25" s="115">
        <v>1.2</v>
      </c>
      <c r="V25" s="115">
        <v>1.1299999999999999</v>
      </c>
      <c r="W25" s="115">
        <v>1.07</v>
      </c>
      <c r="X25" s="115">
        <v>1.03</v>
      </c>
      <c r="Y25" s="114">
        <v>1</v>
      </c>
      <c r="Z25" s="114">
        <v>1</v>
      </c>
      <c r="AA25" s="123">
        <v>1</v>
      </c>
      <c r="AB25" s="119">
        <v>0.78</v>
      </c>
      <c r="AC25" s="115">
        <v>0.74</v>
      </c>
      <c r="AD25" s="115">
        <v>0.69</v>
      </c>
      <c r="AE25" s="115">
        <v>0.64</v>
      </c>
      <c r="AF25" s="115">
        <v>0.6</v>
      </c>
      <c r="AG25" s="105">
        <v>0.55000000000000004</v>
      </c>
      <c r="AH25" s="105">
        <v>0.55000000000000004</v>
      </c>
      <c r="AI25" s="120">
        <v>0.55000000000000004</v>
      </c>
    </row>
    <row r="26" spans="1:35">
      <c r="A26" s="32" t="s">
        <v>1306</v>
      </c>
      <c r="B26" s="32" t="s">
        <v>1349</v>
      </c>
      <c r="C26" s="32" t="s">
        <v>1526</v>
      </c>
      <c r="D26" s="32">
        <v>1.02</v>
      </c>
      <c r="E26" s="32">
        <v>0.97</v>
      </c>
      <c r="F26" s="32">
        <v>0.93</v>
      </c>
      <c r="G26" s="112">
        <v>0.89</v>
      </c>
      <c r="H26" s="112">
        <v>0.85</v>
      </c>
      <c r="I26" s="113">
        <v>0.8</v>
      </c>
      <c r="J26" s="112">
        <v>0.8</v>
      </c>
      <c r="K26" s="112">
        <v>0.8</v>
      </c>
      <c r="L26" s="115">
        <v>0.6</v>
      </c>
      <c r="M26" s="115">
        <v>0.57999999999999996</v>
      </c>
      <c r="N26" s="115">
        <v>0.54</v>
      </c>
      <c r="O26" s="115">
        <v>0.5</v>
      </c>
      <c r="P26" s="115">
        <v>0.48</v>
      </c>
      <c r="Q26" s="115">
        <v>0.45</v>
      </c>
      <c r="R26" s="115">
        <v>0.45</v>
      </c>
      <c r="S26" s="118">
        <v>0.45</v>
      </c>
      <c r="T26" s="121">
        <v>1.26</v>
      </c>
      <c r="U26" s="115">
        <v>1.2</v>
      </c>
      <c r="V26" s="115">
        <v>1.1299999999999999</v>
      </c>
      <c r="W26" s="115">
        <v>1.07</v>
      </c>
      <c r="X26" s="115">
        <v>1.03</v>
      </c>
      <c r="Y26" s="114">
        <v>1</v>
      </c>
      <c r="Z26" s="114">
        <v>1</v>
      </c>
      <c r="AA26" s="123">
        <v>1</v>
      </c>
      <c r="AB26" s="119">
        <v>0.78</v>
      </c>
      <c r="AC26" s="115">
        <v>0.74</v>
      </c>
      <c r="AD26" s="115">
        <v>0.69</v>
      </c>
      <c r="AE26" s="115">
        <v>0.64</v>
      </c>
      <c r="AF26" s="115">
        <v>0.6</v>
      </c>
      <c r="AG26" s="105">
        <v>0.55000000000000004</v>
      </c>
      <c r="AH26" s="105">
        <v>0.55000000000000004</v>
      </c>
      <c r="AI26" s="120">
        <v>0.55000000000000004</v>
      </c>
    </row>
    <row r="27" spans="1:35">
      <c r="A27" s="32" t="s">
        <v>1306</v>
      </c>
      <c r="B27" s="32" t="s">
        <v>1349</v>
      </c>
      <c r="C27" s="32" t="s">
        <v>1527</v>
      </c>
      <c r="D27" s="32">
        <v>1.02</v>
      </c>
      <c r="E27" s="32">
        <v>0.97</v>
      </c>
      <c r="F27" s="32">
        <v>0.93</v>
      </c>
      <c r="G27" s="112">
        <v>0.89</v>
      </c>
      <c r="H27" s="112">
        <v>0.85</v>
      </c>
      <c r="I27" s="113">
        <v>0.8</v>
      </c>
      <c r="J27" s="112">
        <v>0.8</v>
      </c>
      <c r="K27" s="112">
        <v>0.8</v>
      </c>
      <c r="L27" s="115">
        <v>0.6</v>
      </c>
      <c r="M27" s="115">
        <v>0.57999999999999996</v>
      </c>
      <c r="N27" s="115">
        <v>0.54</v>
      </c>
      <c r="O27" s="115">
        <v>0.5</v>
      </c>
      <c r="P27" s="115">
        <v>0.48</v>
      </c>
      <c r="Q27" s="115">
        <v>0.45</v>
      </c>
      <c r="R27" s="115">
        <v>0.45</v>
      </c>
      <c r="S27" s="118">
        <v>0.45</v>
      </c>
      <c r="T27" s="121">
        <v>1.26</v>
      </c>
      <c r="U27" s="115">
        <v>1.2</v>
      </c>
      <c r="V27" s="115">
        <v>1.1299999999999999</v>
      </c>
      <c r="W27" s="115">
        <v>1.07</v>
      </c>
      <c r="X27" s="115">
        <v>1.03</v>
      </c>
      <c r="Y27" s="114">
        <v>1</v>
      </c>
      <c r="Z27" s="114">
        <v>1</v>
      </c>
      <c r="AA27" s="123">
        <v>1</v>
      </c>
      <c r="AB27" s="119">
        <v>0.78</v>
      </c>
      <c r="AC27" s="115">
        <v>0.74</v>
      </c>
      <c r="AD27" s="115">
        <v>0.69</v>
      </c>
      <c r="AE27" s="115">
        <v>0.64</v>
      </c>
      <c r="AF27" s="115">
        <v>0.6</v>
      </c>
      <c r="AG27" s="105">
        <v>0.55000000000000004</v>
      </c>
      <c r="AH27" s="105">
        <v>0.55000000000000004</v>
      </c>
      <c r="AI27" s="120">
        <v>0.55000000000000004</v>
      </c>
    </row>
    <row r="28" spans="1:35">
      <c r="A28" s="32" t="s">
        <v>1306</v>
      </c>
      <c r="B28" s="32" t="s">
        <v>1349</v>
      </c>
      <c r="C28" s="32" t="s">
        <v>1528</v>
      </c>
      <c r="D28" s="32">
        <v>1.02</v>
      </c>
      <c r="E28" s="32">
        <v>0.97</v>
      </c>
      <c r="F28" s="32">
        <v>0.93</v>
      </c>
      <c r="G28" s="112">
        <v>0.89</v>
      </c>
      <c r="H28" s="112">
        <v>0.85</v>
      </c>
      <c r="I28" s="113">
        <v>0.8</v>
      </c>
      <c r="J28" s="112">
        <v>0.8</v>
      </c>
      <c r="K28" s="112">
        <v>0.8</v>
      </c>
      <c r="L28" s="115">
        <v>0.6</v>
      </c>
      <c r="M28" s="115">
        <v>0.57999999999999996</v>
      </c>
      <c r="N28" s="115">
        <v>0.54</v>
      </c>
      <c r="O28" s="115">
        <v>0.5</v>
      </c>
      <c r="P28" s="115">
        <v>0.48</v>
      </c>
      <c r="Q28" s="115">
        <v>0.45</v>
      </c>
      <c r="R28" s="115">
        <v>0.45</v>
      </c>
      <c r="S28" s="118">
        <v>0.45</v>
      </c>
      <c r="T28" s="121">
        <v>1.26</v>
      </c>
      <c r="U28" s="115">
        <v>1.2</v>
      </c>
      <c r="V28" s="115">
        <v>1.1299999999999999</v>
      </c>
      <c r="W28" s="115">
        <v>1.07</v>
      </c>
      <c r="X28" s="115">
        <v>1.03</v>
      </c>
      <c r="Y28" s="114">
        <v>1</v>
      </c>
      <c r="Z28" s="114">
        <v>1</v>
      </c>
      <c r="AA28" s="123">
        <v>1</v>
      </c>
      <c r="AB28" s="119">
        <v>0.78</v>
      </c>
      <c r="AC28" s="115">
        <v>0.74</v>
      </c>
      <c r="AD28" s="115">
        <v>0.69</v>
      </c>
      <c r="AE28" s="115">
        <v>0.64</v>
      </c>
      <c r="AF28" s="115">
        <v>0.6</v>
      </c>
      <c r="AG28" s="105">
        <v>0.55000000000000004</v>
      </c>
      <c r="AH28" s="105">
        <v>0.55000000000000004</v>
      </c>
      <c r="AI28" s="120">
        <v>0.55000000000000004</v>
      </c>
    </row>
    <row r="29" spans="1:35">
      <c r="A29" s="32" t="s">
        <v>1306</v>
      </c>
      <c r="B29" s="32" t="s">
        <v>1349</v>
      </c>
      <c r="C29" s="32" t="s">
        <v>1490</v>
      </c>
      <c r="D29" s="32">
        <v>1.02</v>
      </c>
      <c r="E29" s="32">
        <v>0.97</v>
      </c>
      <c r="F29" s="32">
        <v>0.93</v>
      </c>
      <c r="G29" s="112">
        <v>0.89</v>
      </c>
      <c r="H29" s="112">
        <v>0.85</v>
      </c>
      <c r="I29" s="113">
        <v>0.8</v>
      </c>
      <c r="J29" s="112">
        <v>0.8</v>
      </c>
      <c r="K29" s="112">
        <v>0.8</v>
      </c>
      <c r="L29" s="115">
        <v>0.6</v>
      </c>
      <c r="M29" s="115">
        <v>0.57999999999999996</v>
      </c>
      <c r="N29" s="115">
        <v>0.54</v>
      </c>
      <c r="O29" s="115">
        <v>0.5</v>
      </c>
      <c r="P29" s="115">
        <v>0.48</v>
      </c>
      <c r="Q29" s="115">
        <v>0.45</v>
      </c>
      <c r="R29" s="115">
        <v>0.45</v>
      </c>
      <c r="S29" s="118">
        <v>0.45</v>
      </c>
      <c r="T29" s="121">
        <v>1.26</v>
      </c>
      <c r="U29" s="115">
        <v>1.2</v>
      </c>
      <c r="V29" s="115">
        <v>1.1299999999999999</v>
      </c>
      <c r="W29" s="115">
        <v>1.07</v>
      </c>
      <c r="X29" s="115">
        <v>1.03</v>
      </c>
      <c r="Y29" s="114">
        <v>1</v>
      </c>
      <c r="Z29" s="114">
        <v>1</v>
      </c>
      <c r="AA29" s="123">
        <v>1</v>
      </c>
      <c r="AB29" s="119">
        <v>0.78</v>
      </c>
      <c r="AC29" s="115">
        <v>0.74</v>
      </c>
      <c r="AD29" s="115">
        <v>0.69</v>
      </c>
      <c r="AE29" s="115">
        <v>0.64</v>
      </c>
      <c r="AF29" s="115">
        <v>0.6</v>
      </c>
      <c r="AG29" s="105">
        <v>0.55000000000000004</v>
      </c>
      <c r="AH29" s="105">
        <v>0.55000000000000004</v>
      </c>
      <c r="AI29" s="120">
        <v>0.55000000000000004</v>
      </c>
    </row>
    <row r="30" spans="1:35">
      <c r="A30" s="32" t="s">
        <v>1306</v>
      </c>
      <c r="B30" s="32" t="s">
        <v>1349</v>
      </c>
      <c r="C30" s="32" t="s">
        <v>1529</v>
      </c>
      <c r="D30" s="32">
        <v>1.02</v>
      </c>
      <c r="E30" s="32">
        <v>0.97</v>
      </c>
      <c r="F30" s="32">
        <v>0.93</v>
      </c>
      <c r="G30" s="112">
        <v>0.89</v>
      </c>
      <c r="H30" s="112">
        <v>0.85</v>
      </c>
      <c r="I30" s="113">
        <v>0.8</v>
      </c>
      <c r="J30" s="112">
        <v>0.8</v>
      </c>
      <c r="K30" s="112">
        <v>0.8</v>
      </c>
      <c r="L30" s="115">
        <v>0.6</v>
      </c>
      <c r="M30" s="115">
        <v>0.57999999999999996</v>
      </c>
      <c r="N30" s="115">
        <v>0.54</v>
      </c>
      <c r="O30" s="115">
        <v>0.5</v>
      </c>
      <c r="P30" s="115">
        <v>0.48</v>
      </c>
      <c r="Q30" s="115">
        <v>0.45</v>
      </c>
      <c r="R30" s="115">
        <v>0.45</v>
      </c>
      <c r="S30" s="118">
        <v>0.45</v>
      </c>
      <c r="T30" s="121">
        <v>1.26</v>
      </c>
      <c r="U30" s="115">
        <v>1.2</v>
      </c>
      <c r="V30" s="115">
        <v>1.1299999999999999</v>
      </c>
      <c r="W30" s="115">
        <v>1.07</v>
      </c>
      <c r="X30" s="115">
        <v>1.03</v>
      </c>
      <c r="Y30" s="114">
        <v>1</v>
      </c>
      <c r="Z30" s="114">
        <v>1</v>
      </c>
      <c r="AA30" s="123">
        <v>1</v>
      </c>
      <c r="AB30" s="119">
        <v>0.78</v>
      </c>
      <c r="AC30" s="115">
        <v>0.74</v>
      </c>
      <c r="AD30" s="115">
        <v>0.69</v>
      </c>
      <c r="AE30" s="115">
        <v>0.64</v>
      </c>
      <c r="AF30" s="115">
        <v>0.6</v>
      </c>
      <c r="AG30" s="105">
        <v>0.55000000000000004</v>
      </c>
      <c r="AH30" s="105">
        <v>0.55000000000000004</v>
      </c>
      <c r="AI30" s="120">
        <v>0.55000000000000004</v>
      </c>
    </row>
    <row r="31" spans="1:35">
      <c r="A31" s="32" t="s">
        <v>1306</v>
      </c>
      <c r="B31" s="32" t="s">
        <v>1352</v>
      </c>
      <c r="C31" s="32" t="s">
        <v>1788</v>
      </c>
      <c r="D31" s="32">
        <v>1.02</v>
      </c>
      <c r="E31" s="32">
        <v>0.97</v>
      </c>
      <c r="F31" s="32">
        <v>0.93</v>
      </c>
      <c r="G31" s="112">
        <v>0.89</v>
      </c>
      <c r="H31" s="112">
        <v>0.85</v>
      </c>
      <c r="I31" s="112">
        <v>0.8</v>
      </c>
      <c r="J31" s="113">
        <v>0.7</v>
      </c>
      <c r="K31" s="113">
        <v>0.7</v>
      </c>
      <c r="L31" s="115">
        <v>0.6</v>
      </c>
      <c r="M31" s="115">
        <v>0.57999999999999996</v>
      </c>
      <c r="N31" s="115">
        <v>0.54</v>
      </c>
      <c r="O31" s="115">
        <v>0.5</v>
      </c>
      <c r="P31" s="115">
        <v>0.48</v>
      </c>
      <c r="Q31" s="115">
        <v>0.45</v>
      </c>
      <c r="R31" s="114">
        <v>0.4</v>
      </c>
      <c r="S31" s="117">
        <v>0.4</v>
      </c>
      <c r="T31" s="121">
        <v>1.26</v>
      </c>
      <c r="U31" s="115">
        <v>1.2</v>
      </c>
      <c r="V31" s="115">
        <v>1.1299999999999999</v>
      </c>
      <c r="W31" s="115">
        <v>1.07</v>
      </c>
      <c r="X31" s="115">
        <v>1.03</v>
      </c>
      <c r="Y31" s="114">
        <v>1</v>
      </c>
      <c r="Z31" s="114">
        <v>0.9</v>
      </c>
      <c r="AA31" s="123">
        <v>0.9</v>
      </c>
      <c r="AB31" s="119">
        <v>0.78</v>
      </c>
      <c r="AC31" s="115">
        <v>0.74</v>
      </c>
      <c r="AD31" s="115">
        <v>0.69</v>
      </c>
      <c r="AE31" s="115">
        <v>0.64</v>
      </c>
      <c r="AF31" s="115">
        <v>0.6</v>
      </c>
      <c r="AG31" s="105">
        <v>0.55000000000000004</v>
      </c>
      <c r="AH31" s="114">
        <v>0.5</v>
      </c>
      <c r="AI31" s="123">
        <v>0.5</v>
      </c>
    </row>
    <row r="32" spans="1:35">
      <c r="A32" s="32" t="s">
        <v>1306</v>
      </c>
      <c r="B32" s="32" t="s">
        <v>1349</v>
      </c>
      <c r="C32" s="32" t="s">
        <v>1521</v>
      </c>
      <c r="D32" s="32">
        <v>1.02</v>
      </c>
      <c r="E32" s="32">
        <v>0.97</v>
      </c>
      <c r="F32" s="32">
        <v>0.93</v>
      </c>
      <c r="G32" s="112">
        <v>0.89</v>
      </c>
      <c r="H32" s="112">
        <v>0.85</v>
      </c>
      <c r="I32" s="112">
        <v>0.8</v>
      </c>
      <c r="J32" s="113">
        <v>0.7</v>
      </c>
      <c r="K32" s="113">
        <v>0.7</v>
      </c>
      <c r="L32" s="115">
        <v>0.6</v>
      </c>
      <c r="M32" s="115">
        <v>0.57999999999999996</v>
      </c>
      <c r="N32" s="115">
        <v>0.54</v>
      </c>
      <c r="O32" s="115">
        <v>0.5</v>
      </c>
      <c r="P32" s="115">
        <v>0.48</v>
      </c>
      <c r="Q32" s="115">
        <v>0.45</v>
      </c>
      <c r="R32" s="114">
        <v>0.4</v>
      </c>
      <c r="S32" s="117">
        <v>0.4</v>
      </c>
      <c r="T32" s="121">
        <v>1.26</v>
      </c>
      <c r="U32" s="115">
        <v>1.2</v>
      </c>
      <c r="V32" s="115">
        <v>1.1299999999999999</v>
      </c>
      <c r="W32" s="115">
        <v>1.07</v>
      </c>
      <c r="X32" s="115">
        <v>1.03</v>
      </c>
      <c r="Y32" s="114">
        <v>1</v>
      </c>
      <c r="Z32" s="114">
        <v>0.9</v>
      </c>
      <c r="AA32" s="123">
        <v>0.9</v>
      </c>
      <c r="AB32" s="119">
        <v>0.78</v>
      </c>
      <c r="AC32" s="115">
        <v>0.74</v>
      </c>
      <c r="AD32" s="115">
        <v>0.69</v>
      </c>
      <c r="AE32" s="115">
        <v>0.64</v>
      </c>
      <c r="AF32" s="115">
        <v>0.6</v>
      </c>
      <c r="AG32" s="105">
        <v>0.55000000000000004</v>
      </c>
      <c r="AH32" s="114">
        <v>0.5</v>
      </c>
      <c r="AI32" s="123">
        <v>0.5</v>
      </c>
    </row>
    <row r="33" spans="1:35">
      <c r="A33" s="32" t="s">
        <v>1306</v>
      </c>
      <c r="B33" s="32" t="s">
        <v>1349</v>
      </c>
      <c r="C33" s="32" t="s">
        <v>1502</v>
      </c>
      <c r="D33" s="32">
        <v>1.02</v>
      </c>
      <c r="E33" s="32">
        <v>0.97</v>
      </c>
      <c r="F33" s="32">
        <v>0.93</v>
      </c>
      <c r="G33" s="112">
        <v>0.89</v>
      </c>
      <c r="H33" s="112">
        <v>0.85</v>
      </c>
      <c r="I33" s="112">
        <v>0.8</v>
      </c>
      <c r="J33" s="113">
        <v>0.7</v>
      </c>
      <c r="K33" s="113">
        <v>0.7</v>
      </c>
      <c r="L33" s="115">
        <v>0.6</v>
      </c>
      <c r="M33" s="115">
        <v>0.57999999999999996</v>
      </c>
      <c r="N33" s="115">
        <v>0.54</v>
      </c>
      <c r="O33" s="115">
        <v>0.5</v>
      </c>
      <c r="P33" s="115">
        <v>0.48</v>
      </c>
      <c r="Q33" s="115">
        <v>0.45</v>
      </c>
      <c r="R33" s="114">
        <v>0.4</v>
      </c>
      <c r="S33" s="117">
        <v>0.4</v>
      </c>
      <c r="T33" s="121">
        <v>1.26</v>
      </c>
      <c r="U33" s="115">
        <v>1.2</v>
      </c>
      <c r="V33" s="115">
        <v>1.1299999999999999</v>
      </c>
      <c r="W33" s="115">
        <v>1.07</v>
      </c>
      <c r="X33" s="115">
        <v>1.03</v>
      </c>
      <c r="Y33" s="114">
        <v>1</v>
      </c>
      <c r="Z33" s="114">
        <v>0.9</v>
      </c>
      <c r="AA33" s="123">
        <v>0.9</v>
      </c>
      <c r="AB33" s="119">
        <v>0.78</v>
      </c>
      <c r="AC33" s="115">
        <v>0.74</v>
      </c>
      <c r="AD33" s="115">
        <v>0.69</v>
      </c>
      <c r="AE33" s="115">
        <v>0.64</v>
      </c>
      <c r="AF33" s="115">
        <v>0.6</v>
      </c>
      <c r="AG33" s="105">
        <v>0.55000000000000004</v>
      </c>
      <c r="AH33" s="114">
        <v>0.5</v>
      </c>
      <c r="AI33" s="123">
        <v>0.5</v>
      </c>
    </row>
    <row r="34" spans="1:35">
      <c r="A34" s="32" t="s">
        <v>1307</v>
      </c>
      <c r="B34" s="32" t="s">
        <v>1349</v>
      </c>
      <c r="C34" s="32" t="s">
        <v>1351</v>
      </c>
      <c r="D34" s="32">
        <v>0.88</v>
      </c>
      <c r="E34" s="32">
        <v>0.84</v>
      </c>
      <c r="F34" s="32">
        <v>0.81</v>
      </c>
      <c r="G34" s="112">
        <v>0.8</v>
      </c>
      <c r="H34" s="112">
        <v>0.8</v>
      </c>
      <c r="I34" s="112">
        <v>0.8</v>
      </c>
      <c r="J34" s="112">
        <v>0.8</v>
      </c>
      <c r="K34" s="112">
        <v>0.8</v>
      </c>
      <c r="L34" s="115">
        <v>0.52</v>
      </c>
      <c r="M34" s="115">
        <v>0.5</v>
      </c>
      <c r="N34" s="115">
        <v>0.47</v>
      </c>
      <c r="O34" s="115">
        <v>0.45</v>
      </c>
      <c r="P34" s="115">
        <v>0.45</v>
      </c>
      <c r="Q34" s="115">
        <v>0.45</v>
      </c>
      <c r="R34" s="115">
        <v>0.45</v>
      </c>
      <c r="S34" s="118">
        <v>0.45</v>
      </c>
      <c r="T34" s="121">
        <v>1.2</v>
      </c>
      <c r="U34" s="115">
        <v>1.1000000000000001</v>
      </c>
      <c r="V34" s="115">
        <v>1.05</v>
      </c>
      <c r="W34" s="115">
        <v>1</v>
      </c>
      <c r="X34" s="115">
        <v>1</v>
      </c>
      <c r="Y34" s="115">
        <v>1</v>
      </c>
      <c r="Z34" s="115">
        <v>1</v>
      </c>
      <c r="AA34" s="122">
        <v>1</v>
      </c>
      <c r="AB34" s="119">
        <v>0.74</v>
      </c>
      <c r="AC34" s="115">
        <v>0.66</v>
      </c>
      <c r="AD34" s="115">
        <v>0.61</v>
      </c>
      <c r="AE34" s="115">
        <v>0.55000000000000004</v>
      </c>
      <c r="AF34" s="115">
        <v>0.55000000000000004</v>
      </c>
      <c r="AG34" s="105">
        <v>0.55000000000000004</v>
      </c>
      <c r="AH34" s="105">
        <v>0.55000000000000004</v>
      </c>
      <c r="AI34" s="120">
        <v>0.55000000000000004</v>
      </c>
    </row>
    <row r="35" spans="1:35">
      <c r="A35" s="32" t="s">
        <v>1307</v>
      </c>
      <c r="B35" s="32" t="s">
        <v>1349</v>
      </c>
      <c r="C35" s="32" t="s">
        <v>1787</v>
      </c>
      <c r="D35" s="32">
        <v>0.88</v>
      </c>
      <c r="E35" s="32">
        <v>0.84</v>
      </c>
      <c r="F35" s="32">
        <v>0.81</v>
      </c>
      <c r="G35" s="112">
        <v>0.8</v>
      </c>
      <c r="H35" s="112">
        <v>0.8</v>
      </c>
      <c r="I35" s="112">
        <v>0.8</v>
      </c>
      <c r="J35" s="112">
        <v>0.8</v>
      </c>
      <c r="K35" s="112">
        <v>0.8</v>
      </c>
      <c r="L35" s="115">
        <v>0.52</v>
      </c>
      <c r="M35" s="115">
        <v>0.5</v>
      </c>
      <c r="N35" s="115">
        <v>0.47</v>
      </c>
      <c r="O35" s="115">
        <v>0.45</v>
      </c>
      <c r="P35" s="115">
        <v>0.45</v>
      </c>
      <c r="Q35" s="115">
        <v>0.45</v>
      </c>
      <c r="R35" s="115">
        <v>0.45</v>
      </c>
      <c r="S35" s="118">
        <v>0.45</v>
      </c>
      <c r="T35" s="121">
        <v>1.2</v>
      </c>
      <c r="U35" s="115">
        <v>1.1000000000000001</v>
      </c>
      <c r="V35" s="115">
        <v>1.05</v>
      </c>
      <c r="W35" s="115">
        <v>1</v>
      </c>
      <c r="X35" s="115">
        <v>1</v>
      </c>
      <c r="Y35" s="115">
        <v>1</v>
      </c>
      <c r="Z35" s="115">
        <v>1</v>
      </c>
      <c r="AA35" s="122">
        <v>1</v>
      </c>
      <c r="AB35" s="119">
        <v>0.74</v>
      </c>
      <c r="AC35" s="115">
        <v>0.66</v>
      </c>
      <c r="AD35" s="115">
        <v>0.61</v>
      </c>
      <c r="AE35" s="115">
        <v>0.55000000000000004</v>
      </c>
      <c r="AF35" s="115">
        <v>0.55000000000000004</v>
      </c>
      <c r="AG35" s="105">
        <v>0.55000000000000004</v>
      </c>
      <c r="AH35" s="105">
        <v>0.55000000000000004</v>
      </c>
      <c r="AI35" s="120">
        <v>0.55000000000000004</v>
      </c>
    </row>
    <row r="36" spans="1:35">
      <c r="A36" s="32" t="s">
        <v>1307</v>
      </c>
      <c r="B36" s="32" t="s">
        <v>1349</v>
      </c>
      <c r="C36" s="32" t="s">
        <v>1488</v>
      </c>
      <c r="D36" s="32">
        <v>0.88</v>
      </c>
      <c r="E36" s="32">
        <v>0.84</v>
      </c>
      <c r="F36" s="32">
        <v>0.81</v>
      </c>
      <c r="G36" s="112">
        <v>0.8</v>
      </c>
      <c r="H36" s="112">
        <v>0.8</v>
      </c>
      <c r="I36" s="112">
        <v>0.8</v>
      </c>
      <c r="J36" s="112">
        <v>0.8</v>
      </c>
      <c r="K36" s="112">
        <v>0.8</v>
      </c>
      <c r="L36" s="115">
        <v>0.52</v>
      </c>
      <c r="M36" s="115">
        <v>0.5</v>
      </c>
      <c r="N36" s="115">
        <v>0.47</v>
      </c>
      <c r="O36" s="115">
        <v>0.45</v>
      </c>
      <c r="P36" s="115">
        <v>0.45</v>
      </c>
      <c r="Q36" s="115">
        <v>0.45</v>
      </c>
      <c r="R36" s="115">
        <v>0.45</v>
      </c>
      <c r="S36" s="118">
        <v>0.45</v>
      </c>
      <c r="T36" s="121">
        <v>1.2</v>
      </c>
      <c r="U36" s="115">
        <v>1.1000000000000001</v>
      </c>
      <c r="V36" s="115">
        <v>1.05</v>
      </c>
      <c r="W36" s="115">
        <v>1</v>
      </c>
      <c r="X36" s="115">
        <v>1</v>
      </c>
      <c r="Y36" s="115">
        <v>1</v>
      </c>
      <c r="Z36" s="115">
        <v>1</v>
      </c>
      <c r="AA36" s="122">
        <v>1</v>
      </c>
      <c r="AB36" s="119">
        <v>0.74</v>
      </c>
      <c r="AC36" s="115">
        <v>0.66</v>
      </c>
      <c r="AD36" s="115">
        <v>0.61</v>
      </c>
      <c r="AE36" s="115">
        <v>0.55000000000000004</v>
      </c>
      <c r="AF36" s="115">
        <v>0.55000000000000004</v>
      </c>
      <c r="AG36" s="105">
        <v>0.55000000000000004</v>
      </c>
      <c r="AH36" s="105">
        <v>0.55000000000000004</v>
      </c>
      <c r="AI36" s="120">
        <v>0.55000000000000004</v>
      </c>
    </row>
    <row r="37" spans="1:35">
      <c r="A37" s="32" t="s">
        <v>1307</v>
      </c>
      <c r="B37" s="32" t="s">
        <v>1349</v>
      </c>
      <c r="C37" s="32" t="s">
        <v>1489</v>
      </c>
      <c r="D37" s="32">
        <v>0.88</v>
      </c>
      <c r="E37" s="32">
        <v>0.84</v>
      </c>
      <c r="F37" s="32">
        <v>0.81</v>
      </c>
      <c r="G37" s="112">
        <v>0.8</v>
      </c>
      <c r="H37" s="112">
        <v>0.8</v>
      </c>
      <c r="I37" s="112">
        <v>0.8</v>
      </c>
      <c r="J37" s="112">
        <v>0.8</v>
      </c>
      <c r="K37" s="112">
        <v>0.8</v>
      </c>
      <c r="L37" s="115">
        <v>0.52</v>
      </c>
      <c r="M37" s="115">
        <v>0.5</v>
      </c>
      <c r="N37" s="115">
        <v>0.47</v>
      </c>
      <c r="O37" s="115">
        <v>0.45</v>
      </c>
      <c r="P37" s="115">
        <v>0.45</v>
      </c>
      <c r="Q37" s="115">
        <v>0.45</v>
      </c>
      <c r="R37" s="115">
        <v>0.45</v>
      </c>
      <c r="S37" s="118">
        <v>0.45</v>
      </c>
      <c r="T37" s="121">
        <v>1.2</v>
      </c>
      <c r="U37" s="115">
        <v>1.1000000000000001</v>
      </c>
      <c r="V37" s="115">
        <v>1.05</v>
      </c>
      <c r="W37" s="115">
        <v>1</v>
      </c>
      <c r="X37" s="115">
        <v>1</v>
      </c>
      <c r="Y37" s="115">
        <v>1</v>
      </c>
      <c r="Z37" s="115">
        <v>1</v>
      </c>
      <c r="AA37" s="122">
        <v>1</v>
      </c>
      <c r="AB37" s="119">
        <v>0.74</v>
      </c>
      <c r="AC37" s="115">
        <v>0.66</v>
      </c>
      <c r="AD37" s="115">
        <v>0.61</v>
      </c>
      <c r="AE37" s="115">
        <v>0.55000000000000004</v>
      </c>
      <c r="AF37" s="115">
        <v>0.55000000000000004</v>
      </c>
      <c r="AG37" s="105">
        <v>0.55000000000000004</v>
      </c>
      <c r="AH37" s="105">
        <v>0.55000000000000004</v>
      </c>
      <c r="AI37" s="120">
        <v>0.55000000000000004</v>
      </c>
    </row>
    <row r="38" spans="1:35">
      <c r="A38" s="32" t="s">
        <v>1307</v>
      </c>
      <c r="B38" s="32" t="s">
        <v>1349</v>
      </c>
      <c r="C38" s="32" t="s">
        <v>1490</v>
      </c>
      <c r="D38" s="32">
        <v>0.88</v>
      </c>
      <c r="E38" s="32">
        <v>0.84</v>
      </c>
      <c r="F38" s="32">
        <v>0.81</v>
      </c>
      <c r="G38" s="112">
        <v>0.8</v>
      </c>
      <c r="H38" s="112">
        <v>0.8</v>
      </c>
      <c r="I38" s="112">
        <v>0.8</v>
      </c>
      <c r="J38" s="112">
        <v>0.8</v>
      </c>
      <c r="K38" s="112">
        <v>0.8</v>
      </c>
      <c r="L38" s="115">
        <v>0.52</v>
      </c>
      <c r="M38" s="115">
        <v>0.5</v>
      </c>
      <c r="N38" s="115">
        <v>0.47</v>
      </c>
      <c r="O38" s="115">
        <v>0.45</v>
      </c>
      <c r="P38" s="115">
        <v>0.45</v>
      </c>
      <c r="Q38" s="115">
        <v>0.45</v>
      </c>
      <c r="R38" s="115">
        <v>0.45</v>
      </c>
      <c r="S38" s="118">
        <v>0.45</v>
      </c>
      <c r="T38" s="121">
        <v>1.2</v>
      </c>
      <c r="U38" s="115">
        <v>1.1000000000000001</v>
      </c>
      <c r="V38" s="115">
        <v>1.05</v>
      </c>
      <c r="W38" s="115">
        <v>1</v>
      </c>
      <c r="X38" s="115">
        <v>1</v>
      </c>
      <c r="Y38" s="115">
        <v>1</v>
      </c>
      <c r="Z38" s="115">
        <v>1</v>
      </c>
      <c r="AA38" s="122">
        <v>1</v>
      </c>
      <c r="AB38" s="119">
        <v>0.74</v>
      </c>
      <c r="AC38" s="115">
        <v>0.66</v>
      </c>
      <c r="AD38" s="115">
        <v>0.61</v>
      </c>
      <c r="AE38" s="115">
        <v>0.55000000000000004</v>
      </c>
      <c r="AF38" s="115">
        <v>0.55000000000000004</v>
      </c>
      <c r="AG38" s="105">
        <v>0.55000000000000004</v>
      </c>
      <c r="AH38" s="105">
        <v>0.55000000000000004</v>
      </c>
      <c r="AI38" s="120">
        <v>0.55000000000000004</v>
      </c>
    </row>
    <row r="39" spans="1:35">
      <c r="A39" s="32" t="s">
        <v>1307</v>
      </c>
      <c r="B39" s="32" t="s">
        <v>1349</v>
      </c>
      <c r="C39" s="32" t="s">
        <v>1786</v>
      </c>
      <c r="D39" s="32">
        <v>0.88</v>
      </c>
      <c r="E39" s="32">
        <v>0.84</v>
      </c>
      <c r="F39" s="32">
        <v>0.81</v>
      </c>
      <c r="G39" s="112">
        <v>0.8</v>
      </c>
      <c r="H39" s="112">
        <v>0.8</v>
      </c>
      <c r="I39" s="112">
        <v>0.8</v>
      </c>
      <c r="J39" s="112">
        <v>0.8</v>
      </c>
      <c r="K39" s="112">
        <v>0.8</v>
      </c>
      <c r="L39" s="115">
        <v>0.52</v>
      </c>
      <c r="M39" s="115">
        <v>0.5</v>
      </c>
      <c r="N39" s="115">
        <v>0.47</v>
      </c>
      <c r="O39" s="115">
        <v>0.45</v>
      </c>
      <c r="P39" s="115">
        <v>0.45</v>
      </c>
      <c r="Q39" s="115">
        <v>0.45</v>
      </c>
      <c r="R39" s="115">
        <v>0.45</v>
      </c>
      <c r="S39" s="118">
        <v>0.45</v>
      </c>
      <c r="T39" s="121">
        <v>1.2</v>
      </c>
      <c r="U39" s="115">
        <v>1.1000000000000001</v>
      </c>
      <c r="V39" s="115">
        <v>1.05</v>
      </c>
      <c r="W39" s="115">
        <v>1</v>
      </c>
      <c r="X39" s="115">
        <v>1</v>
      </c>
      <c r="Y39" s="115">
        <v>1</v>
      </c>
      <c r="Z39" s="115">
        <v>1</v>
      </c>
      <c r="AA39" s="122">
        <v>1</v>
      </c>
      <c r="AB39" s="119">
        <v>0.74</v>
      </c>
      <c r="AC39" s="115">
        <v>0.66</v>
      </c>
      <c r="AD39" s="115">
        <v>0.61</v>
      </c>
      <c r="AE39" s="115">
        <v>0.55000000000000004</v>
      </c>
      <c r="AF39" s="115">
        <v>0.55000000000000004</v>
      </c>
      <c r="AG39" s="105">
        <v>0.55000000000000004</v>
      </c>
      <c r="AH39" s="105">
        <v>0.55000000000000004</v>
      </c>
      <c r="AI39" s="120">
        <v>0.55000000000000004</v>
      </c>
    </row>
    <row r="40" spans="1:35">
      <c r="A40" s="32" t="s">
        <v>1307</v>
      </c>
      <c r="B40" s="32" t="s">
        <v>1432</v>
      </c>
      <c r="C40" s="32" t="s">
        <v>1433</v>
      </c>
      <c r="D40" s="32">
        <v>0.88</v>
      </c>
      <c r="E40" s="32">
        <v>0.84</v>
      </c>
      <c r="F40" s="32">
        <v>0.81</v>
      </c>
      <c r="G40" s="112">
        <v>0.8</v>
      </c>
      <c r="H40" s="112">
        <v>0.8</v>
      </c>
      <c r="I40" s="112">
        <v>0.8</v>
      </c>
      <c r="J40" s="112">
        <v>0.8</v>
      </c>
      <c r="K40" s="112">
        <v>0.8</v>
      </c>
      <c r="L40" s="115">
        <v>0.52</v>
      </c>
      <c r="M40" s="115">
        <v>0.5</v>
      </c>
      <c r="N40" s="115">
        <v>0.47</v>
      </c>
      <c r="O40" s="115">
        <v>0.45</v>
      </c>
      <c r="P40" s="115">
        <v>0.45</v>
      </c>
      <c r="Q40" s="115">
        <v>0.45</v>
      </c>
      <c r="R40" s="115">
        <v>0.45</v>
      </c>
      <c r="S40" s="118">
        <v>0.45</v>
      </c>
      <c r="T40" s="121">
        <v>1.2</v>
      </c>
      <c r="U40" s="115">
        <v>1.1000000000000001</v>
      </c>
      <c r="V40" s="115">
        <v>1.05</v>
      </c>
      <c r="W40" s="115">
        <v>1</v>
      </c>
      <c r="X40" s="115">
        <v>1</v>
      </c>
      <c r="Y40" s="115">
        <v>1</v>
      </c>
      <c r="Z40" s="115">
        <v>1</v>
      </c>
      <c r="AA40" s="122">
        <v>1</v>
      </c>
      <c r="AB40" s="119">
        <v>0.74</v>
      </c>
      <c r="AC40" s="115">
        <v>0.66</v>
      </c>
      <c r="AD40" s="115">
        <v>0.61</v>
      </c>
      <c r="AE40" s="115">
        <v>0.55000000000000004</v>
      </c>
      <c r="AF40" s="115">
        <v>0.55000000000000004</v>
      </c>
      <c r="AG40" s="105">
        <v>0.55000000000000004</v>
      </c>
      <c r="AH40" s="105">
        <v>0.55000000000000004</v>
      </c>
      <c r="AI40" s="120">
        <v>0.55000000000000004</v>
      </c>
    </row>
    <row r="41" spans="1:35">
      <c r="A41" s="32" t="s">
        <v>1307</v>
      </c>
      <c r="B41" s="32" t="s">
        <v>1432</v>
      </c>
      <c r="C41" s="32" t="s">
        <v>1686</v>
      </c>
      <c r="D41" s="32">
        <v>0.88</v>
      </c>
      <c r="E41" s="32">
        <v>0.84</v>
      </c>
      <c r="F41" s="32">
        <v>0.81</v>
      </c>
      <c r="G41" s="112">
        <v>0.8</v>
      </c>
      <c r="H41" s="112">
        <v>0.8</v>
      </c>
      <c r="I41" s="112">
        <v>0.8</v>
      </c>
      <c r="J41" s="112">
        <v>0.8</v>
      </c>
      <c r="K41" s="112">
        <v>0.8</v>
      </c>
      <c r="L41" s="115">
        <v>0.52</v>
      </c>
      <c r="M41" s="115">
        <v>0.5</v>
      </c>
      <c r="N41" s="115">
        <v>0.47</v>
      </c>
      <c r="O41" s="115">
        <v>0.45</v>
      </c>
      <c r="P41" s="115">
        <v>0.45</v>
      </c>
      <c r="Q41" s="115">
        <v>0.45</v>
      </c>
      <c r="R41" s="115">
        <v>0.45</v>
      </c>
      <c r="S41" s="118">
        <v>0.45</v>
      </c>
      <c r="T41" s="121">
        <v>1.2</v>
      </c>
      <c r="U41" s="115">
        <v>1.1000000000000001</v>
      </c>
      <c r="V41" s="115">
        <v>1.05</v>
      </c>
      <c r="W41" s="115">
        <v>1</v>
      </c>
      <c r="X41" s="115">
        <v>1</v>
      </c>
      <c r="Y41" s="115">
        <v>1</v>
      </c>
      <c r="Z41" s="115">
        <v>1</v>
      </c>
      <c r="AA41" s="122">
        <v>1</v>
      </c>
      <c r="AB41" s="119">
        <v>0.74</v>
      </c>
      <c r="AC41" s="115">
        <v>0.66</v>
      </c>
      <c r="AD41" s="115">
        <v>0.61</v>
      </c>
      <c r="AE41" s="115">
        <v>0.55000000000000004</v>
      </c>
      <c r="AF41" s="115">
        <v>0.55000000000000004</v>
      </c>
      <c r="AG41" s="105">
        <v>0.55000000000000004</v>
      </c>
      <c r="AH41" s="105">
        <v>0.55000000000000004</v>
      </c>
      <c r="AI41" s="120">
        <v>0.55000000000000004</v>
      </c>
    </row>
    <row r="42" spans="1:35">
      <c r="A42" s="32" t="s">
        <v>1307</v>
      </c>
      <c r="B42" s="32" t="s">
        <v>1432</v>
      </c>
      <c r="C42" s="32" t="s">
        <v>1434</v>
      </c>
      <c r="D42" s="32">
        <v>0.88</v>
      </c>
      <c r="E42" s="32">
        <v>0.84</v>
      </c>
      <c r="F42" s="32">
        <v>0.81</v>
      </c>
      <c r="G42" s="112">
        <v>0.8</v>
      </c>
      <c r="H42" s="112">
        <v>0.8</v>
      </c>
      <c r="I42" s="112">
        <v>0.8</v>
      </c>
      <c r="J42" s="112">
        <v>0.8</v>
      </c>
      <c r="K42" s="112">
        <v>0.8</v>
      </c>
      <c r="L42" s="115">
        <v>0.52</v>
      </c>
      <c r="M42" s="115">
        <v>0.5</v>
      </c>
      <c r="N42" s="115">
        <v>0.47</v>
      </c>
      <c r="O42" s="115">
        <v>0.45</v>
      </c>
      <c r="P42" s="115">
        <v>0.45</v>
      </c>
      <c r="Q42" s="115">
        <v>0.45</v>
      </c>
      <c r="R42" s="115">
        <v>0.45</v>
      </c>
      <c r="S42" s="118">
        <v>0.45</v>
      </c>
      <c r="T42" s="121">
        <v>1.2</v>
      </c>
      <c r="U42" s="115">
        <v>1.1000000000000001</v>
      </c>
      <c r="V42" s="115">
        <v>1.05</v>
      </c>
      <c r="W42" s="115">
        <v>1</v>
      </c>
      <c r="X42" s="115">
        <v>1</v>
      </c>
      <c r="Y42" s="115">
        <v>1</v>
      </c>
      <c r="Z42" s="115">
        <v>1</v>
      </c>
      <c r="AA42" s="122">
        <v>1</v>
      </c>
      <c r="AB42" s="119">
        <v>0.74</v>
      </c>
      <c r="AC42" s="115">
        <v>0.66</v>
      </c>
      <c r="AD42" s="115">
        <v>0.61</v>
      </c>
      <c r="AE42" s="115">
        <v>0.55000000000000004</v>
      </c>
      <c r="AF42" s="115">
        <v>0.55000000000000004</v>
      </c>
      <c r="AG42" s="105">
        <v>0.55000000000000004</v>
      </c>
      <c r="AH42" s="105">
        <v>0.55000000000000004</v>
      </c>
      <c r="AI42" s="120">
        <v>0.55000000000000004</v>
      </c>
    </row>
    <row r="43" spans="1:35">
      <c r="A43" s="32" t="s">
        <v>1307</v>
      </c>
      <c r="B43" s="32" t="s">
        <v>1432</v>
      </c>
      <c r="C43" s="32" t="s">
        <v>1435</v>
      </c>
      <c r="D43" s="32">
        <v>0.88</v>
      </c>
      <c r="E43" s="32">
        <v>0.84</v>
      </c>
      <c r="F43" s="32">
        <v>0.81</v>
      </c>
      <c r="G43" s="112">
        <v>0.8</v>
      </c>
      <c r="H43" s="112">
        <v>0.8</v>
      </c>
      <c r="I43" s="112">
        <v>0.8</v>
      </c>
      <c r="J43" s="112">
        <v>0.8</v>
      </c>
      <c r="K43" s="112">
        <v>0.8</v>
      </c>
      <c r="L43" s="115">
        <v>0.52</v>
      </c>
      <c r="M43" s="115">
        <v>0.5</v>
      </c>
      <c r="N43" s="115">
        <v>0.47</v>
      </c>
      <c r="O43" s="115">
        <v>0.45</v>
      </c>
      <c r="P43" s="115">
        <v>0.45</v>
      </c>
      <c r="Q43" s="115">
        <v>0.45</v>
      </c>
      <c r="R43" s="115">
        <v>0.45</v>
      </c>
      <c r="S43" s="118">
        <v>0.45</v>
      </c>
      <c r="T43" s="121">
        <v>1.2</v>
      </c>
      <c r="U43" s="115">
        <v>1.1000000000000001</v>
      </c>
      <c r="V43" s="115">
        <v>1.05</v>
      </c>
      <c r="W43" s="115">
        <v>1</v>
      </c>
      <c r="X43" s="115">
        <v>1</v>
      </c>
      <c r="Y43" s="115">
        <v>1</v>
      </c>
      <c r="Z43" s="115">
        <v>1</v>
      </c>
      <c r="AA43" s="122">
        <v>1</v>
      </c>
      <c r="AB43" s="119">
        <v>0.74</v>
      </c>
      <c r="AC43" s="115">
        <v>0.66</v>
      </c>
      <c r="AD43" s="115">
        <v>0.61</v>
      </c>
      <c r="AE43" s="115">
        <v>0.55000000000000004</v>
      </c>
      <c r="AF43" s="115">
        <v>0.55000000000000004</v>
      </c>
      <c r="AG43" s="105">
        <v>0.55000000000000004</v>
      </c>
      <c r="AH43" s="105">
        <v>0.55000000000000004</v>
      </c>
      <c r="AI43" s="120">
        <v>0.55000000000000004</v>
      </c>
    </row>
    <row r="44" spans="1:35">
      <c r="A44" s="32" t="s">
        <v>1307</v>
      </c>
      <c r="B44" s="32" t="s">
        <v>1432</v>
      </c>
      <c r="C44" s="32" t="s">
        <v>1436</v>
      </c>
      <c r="D44" s="32">
        <v>0.88</v>
      </c>
      <c r="E44" s="32">
        <v>0.84</v>
      </c>
      <c r="F44" s="32">
        <v>0.81</v>
      </c>
      <c r="G44" s="112">
        <v>0.8</v>
      </c>
      <c r="H44" s="112">
        <v>0.8</v>
      </c>
      <c r="I44" s="112">
        <v>0.8</v>
      </c>
      <c r="J44" s="112">
        <v>0.8</v>
      </c>
      <c r="K44" s="112">
        <v>0.8</v>
      </c>
      <c r="L44" s="115">
        <v>0.52</v>
      </c>
      <c r="M44" s="115">
        <v>0.5</v>
      </c>
      <c r="N44" s="115">
        <v>0.47</v>
      </c>
      <c r="O44" s="115">
        <v>0.45</v>
      </c>
      <c r="P44" s="115">
        <v>0.45</v>
      </c>
      <c r="Q44" s="115">
        <v>0.45</v>
      </c>
      <c r="R44" s="115">
        <v>0.45</v>
      </c>
      <c r="S44" s="118">
        <v>0.45</v>
      </c>
      <c r="T44" s="121">
        <v>1.2</v>
      </c>
      <c r="U44" s="115">
        <v>1.1000000000000001</v>
      </c>
      <c r="V44" s="115">
        <v>1.05</v>
      </c>
      <c r="W44" s="115">
        <v>1</v>
      </c>
      <c r="X44" s="115">
        <v>1</v>
      </c>
      <c r="Y44" s="115">
        <v>1</v>
      </c>
      <c r="Z44" s="115">
        <v>1</v>
      </c>
      <c r="AA44" s="122">
        <v>1</v>
      </c>
      <c r="AB44" s="119">
        <v>0.74</v>
      </c>
      <c r="AC44" s="115">
        <v>0.66</v>
      </c>
      <c r="AD44" s="115">
        <v>0.61</v>
      </c>
      <c r="AE44" s="115">
        <v>0.55000000000000004</v>
      </c>
      <c r="AF44" s="115">
        <v>0.55000000000000004</v>
      </c>
      <c r="AG44" s="105">
        <v>0.55000000000000004</v>
      </c>
      <c r="AH44" s="105">
        <v>0.55000000000000004</v>
      </c>
      <c r="AI44" s="120">
        <v>0.55000000000000004</v>
      </c>
    </row>
    <row r="45" spans="1:35">
      <c r="A45" s="32" t="s">
        <v>1307</v>
      </c>
      <c r="B45" s="32" t="s">
        <v>1432</v>
      </c>
      <c r="C45" s="32" t="s">
        <v>1437</v>
      </c>
      <c r="D45" s="32">
        <v>0.88</v>
      </c>
      <c r="E45" s="32">
        <v>0.84</v>
      </c>
      <c r="F45" s="32">
        <v>0.81</v>
      </c>
      <c r="G45" s="112">
        <v>0.8</v>
      </c>
      <c r="H45" s="112">
        <v>0.8</v>
      </c>
      <c r="I45" s="112">
        <v>0.8</v>
      </c>
      <c r="J45" s="112">
        <v>0.8</v>
      </c>
      <c r="K45" s="112">
        <v>0.8</v>
      </c>
      <c r="L45" s="115">
        <v>0.52</v>
      </c>
      <c r="M45" s="115">
        <v>0.5</v>
      </c>
      <c r="N45" s="115">
        <v>0.47</v>
      </c>
      <c r="O45" s="115">
        <v>0.45</v>
      </c>
      <c r="P45" s="115">
        <v>0.45</v>
      </c>
      <c r="Q45" s="115">
        <v>0.45</v>
      </c>
      <c r="R45" s="115">
        <v>0.45</v>
      </c>
      <c r="S45" s="118">
        <v>0.45</v>
      </c>
      <c r="T45" s="121">
        <v>1.2</v>
      </c>
      <c r="U45" s="115">
        <v>1.1000000000000001</v>
      </c>
      <c r="V45" s="115">
        <v>1.05</v>
      </c>
      <c r="W45" s="115">
        <v>1</v>
      </c>
      <c r="X45" s="115">
        <v>1</v>
      </c>
      <c r="Y45" s="115">
        <v>1</v>
      </c>
      <c r="Z45" s="115">
        <v>1</v>
      </c>
      <c r="AA45" s="122">
        <v>1</v>
      </c>
      <c r="AB45" s="119">
        <v>0.74</v>
      </c>
      <c r="AC45" s="115">
        <v>0.66</v>
      </c>
      <c r="AD45" s="115">
        <v>0.61</v>
      </c>
      <c r="AE45" s="115">
        <v>0.55000000000000004</v>
      </c>
      <c r="AF45" s="115">
        <v>0.55000000000000004</v>
      </c>
      <c r="AG45" s="105">
        <v>0.55000000000000004</v>
      </c>
      <c r="AH45" s="105">
        <v>0.55000000000000004</v>
      </c>
      <c r="AI45" s="120">
        <v>0.55000000000000004</v>
      </c>
    </row>
    <row r="46" spans="1:35">
      <c r="A46" s="32" t="s">
        <v>1307</v>
      </c>
      <c r="B46" s="32" t="s">
        <v>1432</v>
      </c>
      <c r="C46" s="32" t="s">
        <v>1438</v>
      </c>
      <c r="D46" s="32">
        <v>0.88</v>
      </c>
      <c r="E46" s="32">
        <v>0.84</v>
      </c>
      <c r="F46" s="32">
        <v>0.81</v>
      </c>
      <c r="G46" s="112">
        <v>0.8</v>
      </c>
      <c r="H46" s="112">
        <v>0.8</v>
      </c>
      <c r="I46" s="112">
        <v>0.8</v>
      </c>
      <c r="J46" s="112">
        <v>0.8</v>
      </c>
      <c r="K46" s="112">
        <v>0.8</v>
      </c>
      <c r="L46" s="115">
        <v>0.52</v>
      </c>
      <c r="M46" s="115">
        <v>0.5</v>
      </c>
      <c r="N46" s="115">
        <v>0.47</v>
      </c>
      <c r="O46" s="115">
        <v>0.45</v>
      </c>
      <c r="P46" s="115">
        <v>0.45</v>
      </c>
      <c r="Q46" s="115">
        <v>0.45</v>
      </c>
      <c r="R46" s="115">
        <v>0.45</v>
      </c>
      <c r="S46" s="118">
        <v>0.45</v>
      </c>
      <c r="T46" s="121">
        <v>1.2</v>
      </c>
      <c r="U46" s="115">
        <v>1.1000000000000001</v>
      </c>
      <c r="V46" s="115">
        <v>1.05</v>
      </c>
      <c r="W46" s="115">
        <v>1</v>
      </c>
      <c r="X46" s="115">
        <v>1</v>
      </c>
      <c r="Y46" s="115">
        <v>1</v>
      </c>
      <c r="Z46" s="115">
        <v>1</v>
      </c>
      <c r="AA46" s="122">
        <v>1</v>
      </c>
      <c r="AB46" s="119">
        <v>0.74</v>
      </c>
      <c r="AC46" s="115">
        <v>0.66</v>
      </c>
      <c r="AD46" s="115">
        <v>0.61</v>
      </c>
      <c r="AE46" s="115">
        <v>0.55000000000000004</v>
      </c>
      <c r="AF46" s="115">
        <v>0.55000000000000004</v>
      </c>
      <c r="AG46" s="105">
        <v>0.55000000000000004</v>
      </c>
      <c r="AH46" s="105">
        <v>0.55000000000000004</v>
      </c>
      <c r="AI46" s="120">
        <v>0.55000000000000004</v>
      </c>
    </row>
    <row r="47" spans="1:35">
      <c r="A47" s="32" t="s">
        <v>1307</v>
      </c>
      <c r="B47" s="32" t="s">
        <v>1432</v>
      </c>
      <c r="C47" s="32" t="s">
        <v>1440</v>
      </c>
      <c r="D47" s="32">
        <v>0.88</v>
      </c>
      <c r="E47" s="32">
        <v>0.84</v>
      </c>
      <c r="F47" s="32">
        <v>0.81</v>
      </c>
      <c r="G47" s="112">
        <v>0.8</v>
      </c>
      <c r="H47" s="112">
        <v>0.8</v>
      </c>
      <c r="I47" s="112">
        <v>0.8</v>
      </c>
      <c r="J47" s="112">
        <v>0.8</v>
      </c>
      <c r="K47" s="112">
        <v>0.8</v>
      </c>
      <c r="L47" s="115">
        <v>0.52</v>
      </c>
      <c r="M47" s="115">
        <v>0.5</v>
      </c>
      <c r="N47" s="115">
        <v>0.47</v>
      </c>
      <c r="O47" s="115">
        <v>0.45</v>
      </c>
      <c r="P47" s="115">
        <v>0.45</v>
      </c>
      <c r="Q47" s="115">
        <v>0.45</v>
      </c>
      <c r="R47" s="115">
        <v>0.45</v>
      </c>
      <c r="S47" s="118">
        <v>0.45</v>
      </c>
      <c r="T47" s="121">
        <v>1.2</v>
      </c>
      <c r="U47" s="115">
        <v>1.1000000000000001</v>
      </c>
      <c r="V47" s="115">
        <v>1.05</v>
      </c>
      <c r="W47" s="115">
        <v>1</v>
      </c>
      <c r="X47" s="115">
        <v>1</v>
      </c>
      <c r="Y47" s="115">
        <v>1</v>
      </c>
      <c r="Z47" s="115">
        <v>1</v>
      </c>
      <c r="AA47" s="122">
        <v>1</v>
      </c>
      <c r="AB47" s="119">
        <v>0.74</v>
      </c>
      <c r="AC47" s="115">
        <v>0.66</v>
      </c>
      <c r="AD47" s="115">
        <v>0.61</v>
      </c>
      <c r="AE47" s="115">
        <v>0.55000000000000004</v>
      </c>
      <c r="AF47" s="115">
        <v>0.55000000000000004</v>
      </c>
      <c r="AG47" s="105">
        <v>0.55000000000000004</v>
      </c>
      <c r="AH47" s="105">
        <v>0.55000000000000004</v>
      </c>
      <c r="AI47" s="120">
        <v>0.55000000000000004</v>
      </c>
    </row>
    <row r="48" spans="1:35">
      <c r="A48" s="32" t="s">
        <v>1307</v>
      </c>
      <c r="B48" s="32" t="s">
        <v>1432</v>
      </c>
      <c r="C48" s="32" t="s">
        <v>1491</v>
      </c>
      <c r="D48" s="32">
        <v>0.88</v>
      </c>
      <c r="E48" s="32">
        <v>0.84</v>
      </c>
      <c r="F48" s="32">
        <v>0.81</v>
      </c>
      <c r="G48" s="112">
        <v>0.8</v>
      </c>
      <c r="H48" s="112">
        <v>0.8</v>
      </c>
      <c r="I48" s="112">
        <v>0.8</v>
      </c>
      <c r="J48" s="112">
        <v>0.8</v>
      </c>
      <c r="K48" s="112">
        <v>0.8</v>
      </c>
      <c r="L48" s="115">
        <v>0.52</v>
      </c>
      <c r="M48" s="115">
        <v>0.5</v>
      </c>
      <c r="N48" s="115">
        <v>0.47</v>
      </c>
      <c r="O48" s="115">
        <v>0.45</v>
      </c>
      <c r="P48" s="115">
        <v>0.45</v>
      </c>
      <c r="Q48" s="115">
        <v>0.45</v>
      </c>
      <c r="R48" s="115">
        <v>0.45</v>
      </c>
      <c r="S48" s="118">
        <v>0.45</v>
      </c>
      <c r="T48" s="121">
        <v>1.2</v>
      </c>
      <c r="U48" s="115">
        <v>1.1000000000000001</v>
      </c>
      <c r="V48" s="115">
        <v>1.05</v>
      </c>
      <c r="W48" s="115">
        <v>1</v>
      </c>
      <c r="X48" s="115">
        <v>1</v>
      </c>
      <c r="Y48" s="115">
        <v>1</v>
      </c>
      <c r="Z48" s="115">
        <v>1</v>
      </c>
      <c r="AA48" s="122">
        <v>1</v>
      </c>
      <c r="AB48" s="119">
        <v>0.74</v>
      </c>
      <c r="AC48" s="115">
        <v>0.66</v>
      </c>
      <c r="AD48" s="115">
        <v>0.61</v>
      </c>
      <c r="AE48" s="115">
        <v>0.55000000000000004</v>
      </c>
      <c r="AF48" s="115">
        <v>0.55000000000000004</v>
      </c>
      <c r="AG48" s="105">
        <v>0.55000000000000004</v>
      </c>
      <c r="AH48" s="105">
        <v>0.55000000000000004</v>
      </c>
      <c r="AI48" s="120">
        <v>0.55000000000000004</v>
      </c>
    </row>
    <row r="49" spans="1:35">
      <c r="A49" s="32" t="s">
        <v>1307</v>
      </c>
      <c r="B49" s="32" t="s">
        <v>1432</v>
      </c>
      <c r="C49" s="32" t="s">
        <v>1441</v>
      </c>
      <c r="D49" s="32">
        <v>0.88</v>
      </c>
      <c r="E49" s="32">
        <v>0.84</v>
      </c>
      <c r="F49" s="32">
        <v>0.81</v>
      </c>
      <c r="G49" s="112">
        <v>0.8</v>
      </c>
      <c r="H49" s="112">
        <v>0.8</v>
      </c>
      <c r="I49" s="112">
        <v>0.8</v>
      </c>
      <c r="J49" s="112">
        <v>0.8</v>
      </c>
      <c r="K49" s="112">
        <v>0.8</v>
      </c>
      <c r="L49" s="115">
        <v>0.52</v>
      </c>
      <c r="M49" s="115">
        <v>0.5</v>
      </c>
      <c r="N49" s="115">
        <v>0.47</v>
      </c>
      <c r="O49" s="115">
        <v>0.45</v>
      </c>
      <c r="P49" s="115">
        <v>0.45</v>
      </c>
      <c r="Q49" s="115">
        <v>0.45</v>
      </c>
      <c r="R49" s="115">
        <v>0.45</v>
      </c>
      <c r="S49" s="118">
        <v>0.45</v>
      </c>
      <c r="T49" s="121">
        <v>1.2</v>
      </c>
      <c r="U49" s="115">
        <v>1.1000000000000001</v>
      </c>
      <c r="V49" s="115">
        <v>1.05</v>
      </c>
      <c r="W49" s="115">
        <v>1</v>
      </c>
      <c r="X49" s="115">
        <v>1</v>
      </c>
      <c r="Y49" s="115">
        <v>1</v>
      </c>
      <c r="Z49" s="115">
        <v>1</v>
      </c>
      <c r="AA49" s="122">
        <v>1</v>
      </c>
      <c r="AB49" s="119">
        <v>0.74</v>
      </c>
      <c r="AC49" s="115">
        <v>0.66</v>
      </c>
      <c r="AD49" s="115">
        <v>0.61</v>
      </c>
      <c r="AE49" s="115">
        <v>0.55000000000000004</v>
      </c>
      <c r="AF49" s="115">
        <v>0.55000000000000004</v>
      </c>
      <c r="AG49" s="105">
        <v>0.55000000000000004</v>
      </c>
      <c r="AH49" s="105">
        <v>0.55000000000000004</v>
      </c>
      <c r="AI49" s="120">
        <v>0.55000000000000004</v>
      </c>
    </row>
    <row r="50" spans="1:35">
      <c r="A50" s="32" t="s">
        <v>1307</v>
      </c>
      <c r="B50" s="32" t="s">
        <v>1432</v>
      </c>
      <c r="C50" s="32" t="s">
        <v>1442</v>
      </c>
      <c r="D50" s="32">
        <v>0.88</v>
      </c>
      <c r="E50" s="32">
        <v>0.84</v>
      </c>
      <c r="F50" s="32">
        <v>0.81</v>
      </c>
      <c r="G50" s="112">
        <v>0.8</v>
      </c>
      <c r="H50" s="112">
        <v>0.8</v>
      </c>
      <c r="I50" s="112">
        <v>0.8</v>
      </c>
      <c r="J50" s="112">
        <v>0.8</v>
      </c>
      <c r="K50" s="112">
        <v>0.8</v>
      </c>
      <c r="L50" s="115">
        <v>0.52</v>
      </c>
      <c r="M50" s="115">
        <v>0.5</v>
      </c>
      <c r="N50" s="115">
        <v>0.47</v>
      </c>
      <c r="O50" s="115">
        <v>0.45</v>
      </c>
      <c r="P50" s="115">
        <v>0.45</v>
      </c>
      <c r="Q50" s="115">
        <v>0.45</v>
      </c>
      <c r="R50" s="115">
        <v>0.45</v>
      </c>
      <c r="S50" s="118">
        <v>0.45</v>
      </c>
      <c r="T50" s="121">
        <v>1.2</v>
      </c>
      <c r="U50" s="115">
        <v>1.1000000000000001</v>
      </c>
      <c r="V50" s="115">
        <v>1.05</v>
      </c>
      <c r="W50" s="115">
        <v>1</v>
      </c>
      <c r="X50" s="115">
        <v>1</v>
      </c>
      <c r="Y50" s="115">
        <v>1</v>
      </c>
      <c r="Z50" s="115">
        <v>1</v>
      </c>
      <c r="AA50" s="122">
        <v>1</v>
      </c>
      <c r="AB50" s="119">
        <v>0.74</v>
      </c>
      <c r="AC50" s="115">
        <v>0.66</v>
      </c>
      <c r="AD50" s="115">
        <v>0.61</v>
      </c>
      <c r="AE50" s="115">
        <v>0.55000000000000004</v>
      </c>
      <c r="AF50" s="115">
        <v>0.55000000000000004</v>
      </c>
      <c r="AG50" s="105">
        <v>0.55000000000000004</v>
      </c>
      <c r="AH50" s="105">
        <v>0.55000000000000004</v>
      </c>
      <c r="AI50" s="120">
        <v>0.55000000000000004</v>
      </c>
    </row>
    <row r="51" spans="1:35">
      <c r="A51" s="32" t="s">
        <v>1307</v>
      </c>
      <c r="B51" s="32" t="s">
        <v>1674</v>
      </c>
      <c r="C51" s="32" t="s">
        <v>1671</v>
      </c>
      <c r="D51" s="32">
        <v>0.88</v>
      </c>
      <c r="E51" s="32">
        <v>0.84</v>
      </c>
      <c r="F51" s="32">
        <v>0.81</v>
      </c>
      <c r="G51" s="112">
        <v>0.8</v>
      </c>
      <c r="H51" s="112">
        <v>0.8</v>
      </c>
      <c r="I51" s="112">
        <v>0.8</v>
      </c>
      <c r="J51" s="112">
        <v>0.8</v>
      </c>
      <c r="K51" s="112">
        <v>0.8</v>
      </c>
      <c r="L51" s="115">
        <v>0.52</v>
      </c>
      <c r="M51" s="115">
        <v>0.5</v>
      </c>
      <c r="N51" s="115">
        <v>0.47</v>
      </c>
      <c r="O51" s="115">
        <v>0.45</v>
      </c>
      <c r="P51" s="115">
        <v>0.45</v>
      </c>
      <c r="Q51" s="115">
        <v>0.45</v>
      </c>
      <c r="R51" s="115">
        <v>0.45</v>
      </c>
      <c r="S51" s="118">
        <v>0.45</v>
      </c>
      <c r="T51" s="121">
        <v>1.2</v>
      </c>
      <c r="U51" s="115">
        <v>1.1000000000000001</v>
      </c>
      <c r="V51" s="115">
        <v>1.05</v>
      </c>
      <c r="W51" s="115">
        <v>1</v>
      </c>
      <c r="X51" s="115">
        <v>1</v>
      </c>
      <c r="Y51" s="115">
        <v>1</v>
      </c>
      <c r="Z51" s="115">
        <v>1</v>
      </c>
      <c r="AA51" s="122">
        <v>1</v>
      </c>
      <c r="AB51" s="119">
        <v>0.74</v>
      </c>
      <c r="AC51" s="115">
        <v>0.66</v>
      </c>
      <c r="AD51" s="115">
        <v>0.61</v>
      </c>
      <c r="AE51" s="115">
        <v>0.55000000000000004</v>
      </c>
      <c r="AF51" s="115">
        <v>0.55000000000000004</v>
      </c>
      <c r="AG51" s="105">
        <v>0.55000000000000004</v>
      </c>
      <c r="AH51" s="105">
        <v>0.55000000000000004</v>
      </c>
      <c r="AI51" s="120">
        <v>0.55000000000000004</v>
      </c>
    </row>
    <row r="52" spans="1:35">
      <c r="A52" s="32" t="s">
        <v>1307</v>
      </c>
      <c r="B52" s="32" t="s">
        <v>1432</v>
      </c>
      <c r="C52" s="32" t="s">
        <v>1446</v>
      </c>
      <c r="D52" s="32">
        <v>0.88</v>
      </c>
      <c r="E52" s="32">
        <v>0.84</v>
      </c>
      <c r="F52" s="32">
        <v>0.81</v>
      </c>
      <c r="G52" s="112">
        <v>0.8</v>
      </c>
      <c r="H52" s="112">
        <v>0.8</v>
      </c>
      <c r="I52" s="112">
        <v>0.8</v>
      </c>
      <c r="J52" s="112">
        <v>0.8</v>
      </c>
      <c r="K52" s="112">
        <v>0.8</v>
      </c>
      <c r="L52" s="115">
        <v>0.52</v>
      </c>
      <c r="M52" s="115">
        <v>0.5</v>
      </c>
      <c r="N52" s="115">
        <v>0.47</v>
      </c>
      <c r="O52" s="115">
        <v>0.45</v>
      </c>
      <c r="P52" s="115">
        <v>0.45</v>
      </c>
      <c r="Q52" s="115">
        <v>0.45</v>
      </c>
      <c r="R52" s="115">
        <v>0.45</v>
      </c>
      <c r="S52" s="118">
        <v>0.45</v>
      </c>
      <c r="T52" s="121">
        <v>1.2</v>
      </c>
      <c r="U52" s="115">
        <v>1.1000000000000001</v>
      </c>
      <c r="V52" s="115">
        <v>1.05</v>
      </c>
      <c r="W52" s="115">
        <v>1</v>
      </c>
      <c r="X52" s="115">
        <v>1</v>
      </c>
      <c r="Y52" s="115">
        <v>1</v>
      </c>
      <c r="Z52" s="115">
        <v>1</v>
      </c>
      <c r="AA52" s="122">
        <v>1</v>
      </c>
      <c r="AB52" s="119">
        <v>0.74</v>
      </c>
      <c r="AC52" s="115">
        <v>0.66</v>
      </c>
      <c r="AD52" s="115">
        <v>0.61</v>
      </c>
      <c r="AE52" s="115">
        <v>0.55000000000000004</v>
      </c>
      <c r="AF52" s="115">
        <v>0.55000000000000004</v>
      </c>
      <c r="AG52" s="105">
        <v>0.55000000000000004</v>
      </c>
      <c r="AH52" s="105">
        <v>0.55000000000000004</v>
      </c>
      <c r="AI52" s="120">
        <v>0.55000000000000004</v>
      </c>
    </row>
    <row r="53" spans="1:35">
      <c r="A53" s="32" t="s">
        <v>1307</v>
      </c>
      <c r="B53" s="32" t="s">
        <v>1432</v>
      </c>
      <c r="C53" s="32" t="s">
        <v>1447</v>
      </c>
      <c r="D53" s="32">
        <v>0.88</v>
      </c>
      <c r="E53" s="32">
        <v>0.84</v>
      </c>
      <c r="F53" s="32">
        <v>0.81</v>
      </c>
      <c r="G53" s="112">
        <v>0.8</v>
      </c>
      <c r="H53" s="112">
        <v>0.8</v>
      </c>
      <c r="I53" s="112">
        <v>0.8</v>
      </c>
      <c r="J53" s="112">
        <v>0.8</v>
      </c>
      <c r="K53" s="112">
        <v>0.8</v>
      </c>
      <c r="L53" s="115">
        <v>0.52</v>
      </c>
      <c r="M53" s="115">
        <v>0.5</v>
      </c>
      <c r="N53" s="115">
        <v>0.47</v>
      </c>
      <c r="O53" s="115">
        <v>0.45</v>
      </c>
      <c r="P53" s="115">
        <v>0.45</v>
      </c>
      <c r="Q53" s="115">
        <v>0.45</v>
      </c>
      <c r="R53" s="115">
        <v>0.45</v>
      </c>
      <c r="S53" s="118">
        <v>0.45</v>
      </c>
      <c r="T53" s="121">
        <v>1.2</v>
      </c>
      <c r="U53" s="115">
        <v>1.1000000000000001</v>
      </c>
      <c r="V53" s="115">
        <v>1.05</v>
      </c>
      <c r="W53" s="115">
        <v>1</v>
      </c>
      <c r="X53" s="115">
        <v>1</v>
      </c>
      <c r="Y53" s="115">
        <v>1</v>
      </c>
      <c r="Z53" s="115">
        <v>1</v>
      </c>
      <c r="AA53" s="122">
        <v>1</v>
      </c>
      <c r="AB53" s="119">
        <v>0.74</v>
      </c>
      <c r="AC53" s="115">
        <v>0.66</v>
      </c>
      <c r="AD53" s="115">
        <v>0.61</v>
      </c>
      <c r="AE53" s="115">
        <v>0.55000000000000004</v>
      </c>
      <c r="AF53" s="115">
        <v>0.55000000000000004</v>
      </c>
      <c r="AG53" s="105">
        <v>0.55000000000000004</v>
      </c>
      <c r="AH53" s="105">
        <v>0.55000000000000004</v>
      </c>
      <c r="AI53" s="120">
        <v>0.55000000000000004</v>
      </c>
    </row>
    <row r="54" spans="1:35">
      <c r="A54" s="32" t="s">
        <v>1307</v>
      </c>
      <c r="B54" s="32" t="s">
        <v>1432</v>
      </c>
      <c r="C54" s="32" t="s">
        <v>1492</v>
      </c>
      <c r="D54" s="32">
        <v>0.88</v>
      </c>
      <c r="E54" s="32">
        <v>0.84</v>
      </c>
      <c r="F54" s="32">
        <v>0.81</v>
      </c>
      <c r="G54" s="112">
        <v>0.8</v>
      </c>
      <c r="H54" s="112">
        <v>0.8</v>
      </c>
      <c r="I54" s="112">
        <v>0.8</v>
      </c>
      <c r="J54" s="112">
        <v>0.8</v>
      </c>
      <c r="K54" s="112">
        <v>0.8</v>
      </c>
      <c r="L54" s="115">
        <v>0.52</v>
      </c>
      <c r="M54" s="115">
        <v>0.5</v>
      </c>
      <c r="N54" s="115">
        <v>0.47</v>
      </c>
      <c r="O54" s="115">
        <v>0.45</v>
      </c>
      <c r="P54" s="115">
        <v>0.45</v>
      </c>
      <c r="Q54" s="115">
        <v>0.45</v>
      </c>
      <c r="R54" s="115">
        <v>0.45</v>
      </c>
      <c r="S54" s="118">
        <v>0.45</v>
      </c>
      <c r="T54" s="121">
        <v>1.2</v>
      </c>
      <c r="U54" s="115">
        <v>1.1000000000000001</v>
      </c>
      <c r="V54" s="115">
        <v>1.05</v>
      </c>
      <c r="W54" s="115">
        <v>1</v>
      </c>
      <c r="X54" s="115">
        <v>1</v>
      </c>
      <c r="Y54" s="115">
        <v>1</v>
      </c>
      <c r="Z54" s="115">
        <v>1</v>
      </c>
      <c r="AA54" s="122">
        <v>1</v>
      </c>
      <c r="AB54" s="119">
        <v>0.74</v>
      </c>
      <c r="AC54" s="115">
        <v>0.66</v>
      </c>
      <c r="AD54" s="115">
        <v>0.61</v>
      </c>
      <c r="AE54" s="115">
        <v>0.55000000000000004</v>
      </c>
      <c r="AF54" s="115">
        <v>0.55000000000000004</v>
      </c>
      <c r="AG54" s="105">
        <v>0.55000000000000004</v>
      </c>
      <c r="AH54" s="105">
        <v>0.55000000000000004</v>
      </c>
      <c r="AI54" s="120">
        <v>0.55000000000000004</v>
      </c>
    </row>
    <row r="55" spans="1:35">
      <c r="A55" s="32" t="s">
        <v>1307</v>
      </c>
      <c r="B55" s="32" t="s">
        <v>1432</v>
      </c>
      <c r="C55" s="32" t="s">
        <v>1493</v>
      </c>
      <c r="D55" s="32">
        <v>0.88</v>
      </c>
      <c r="E55" s="32">
        <v>0.84</v>
      </c>
      <c r="F55" s="32">
        <v>0.81</v>
      </c>
      <c r="G55" s="112">
        <v>0.8</v>
      </c>
      <c r="H55" s="112">
        <v>0.8</v>
      </c>
      <c r="I55" s="112">
        <v>0.8</v>
      </c>
      <c r="J55" s="112">
        <v>0.8</v>
      </c>
      <c r="K55" s="112">
        <v>0.8</v>
      </c>
      <c r="L55" s="115">
        <v>0.52</v>
      </c>
      <c r="M55" s="115">
        <v>0.5</v>
      </c>
      <c r="N55" s="115">
        <v>0.47</v>
      </c>
      <c r="O55" s="115">
        <v>0.45</v>
      </c>
      <c r="P55" s="115">
        <v>0.45</v>
      </c>
      <c r="Q55" s="115">
        <v>0.45</v>
      </c>
      <c r="R55" s="115">
        <v>0.45</v>
      </c>
      <c r="S55" s="118">
        <v>0.45</v>
      </c>
      <c r="T55" s="121">
        <v>1.2</v>
      </c>
      <c r="U55" s="115">
        <v>1.1000000000000001</v>
      </c>
      <c r="V55" s="115">
        <v>1.05</v>
      </c>
      <c r="W55" s="115">
        <v>1</v>
      </c>
      <c r="X55" s="115">
        <v>1</v>
      </c>
      <c r="Y55" s="115">
        <v>1</v>
      </c>
      <c r="Z55" s="115">
        <v>1</v>
      </c>
      <c r="AA55" s="122">
        <v>1</v>
      </c>
      <c r="AB55" s="119">
        <v>0.74</v>
      </c>
      <c r="AC55" s="115">
        <v>0.66</v>
      </c>
      <c r="AD55" s="115">
        <v>0.61</v>
      </c>
      <c r="AE55" s="115">
        <v>0.55000000000000004</v>
      </c>
      <c r="AF55" s="115">
        <v>0.55000000000000004</v>
      </c>
      <c r="AG55" s="105">
        <v>0.55000000000000004</v>
      </c>
      <c r="AH55" s="105">
        <v>0.55000000000000004</v>
      </c>
      <c r="AI55" s="120">
        <v>0.55000000000000004</v>
      </c>
    </row>
    <row r="56" spans="1:35">
      <c r="A56" s="32" t="s">
        <v>1307</v>
      </c>
      <c r="B56" s="32" t="s">
        <v>1432</v>
      </c>
      <c r="C56" s="32" t="s">
        <v>1448</v>
      </c>
      <c r="D56" s="32">
        <v>0.88</v>
      </c>
      <c r="E56" s="32">
        <v>0.84</v>
      </c>
      <c r="F56" s="32">
        <v>0.81</v>
      </c>
      <c r="G56" s="112">
        <v>0.8</v>
      </c>
      <c r="H56" s="112">
        <v>0.8</v>
      </c>
      <c r="I56" s="112">
        <v>0.8</v>
      </c>
      <c r="J56" s="112">
        <v>0.8</v>
      </c>
      <c r="K56" s="112">
        <v>0.8</v>
      </c>
      <c r="L56" s="115">
        <v>0.52</v>
      </c>
      <c r="M56" s="115">
        <v>0.5</v>
      </c>
      <c r="N56" s="115">
        <v>0.47</v>
      </c>
      <c r="O56" s="115">
        <v>0.45</v>
      </c>
      <c r="P56" s="115">
        <v>0.45</v>
      </c>
      <c r="Q56" s="115">
        <v>0.45</v>
      </c>
      <c r="R56" s="115">
        <v>0.45</v>
      </c>
      <c r="S56" s="118">
        <v>0.45</v>
      </c>
      <c r="T56" s="121">
        <v>1.2</v>
      </c>
      <c r="U56" s="115">
        <v>1.1000000000000001</v>
      </c>
      <c r="V56" s="115">
        <v>1.05</v>
      </c>
      <c r="W56" s="115">
        <v>1</v>
      </c>
      <c r="X56" s="115">
        <v>1</v>
      </c>
      <c r="Y56" s="115">
        <v>1</v>
      </c>
      <c r="Z56" s="115">
        <v>1</v>
      </c>
      <c r="AA56" s="122">
        <v>1</v>
      </c>
      <c r="AB56" s="119">
        <v>0.74</v>
      </c>
      <c r="AC56" s="115">
        <v>0.66</v>
      </c>
      <c r="AD56" s="115">
        <v>0.61</v>
      </c>
      <c r="AE56" s="115">
        <v>0.55000000000000004</v>
      </c>
      <c r="AF56" s="115">
        <v>0.55000000000000004</v>
      </c>
      <c r="AG56" s="105">
        <v>0.55000000000000004</v>
      </c>
      <c r="AH56" s="105">
        <v>0.55000000000000004</v>
      </c>
      <c r="AI56" s="120">
        <v>0.55000000000000004</v>
      </c>
    </row>
    <row r="57" spans="1:35">
      <c r="A57" s="32" t="s">
        <v>1307</v>
      </c>
      <c r="B57" s="32" t="s">
        <v>1432</v>
      </c>
      <c r="C57" s="32" t="s">
        <v>1494</v>
      </c>
      <c r="D57" s="32">
        <v>0.88</v>
      </c>
      <c r="E57" s="32">
        <v>0.84</v>
      </c>
      <c r="F57" s="32">
        <v>0.81</v>
      </c>
      <c r="G57" s="112">
        <v>0.8</v>
      </c>
      <c r="H57" s="112">
        <v>0.8</v>
      </c>
      <c r="I57" s="112">
        <v>0.8</v>
      </c>
      <c r="J57" s="112">
        <v>0.8</v>
      </c>
      <c r="K57" s="112">
        <v>0.8</v>
      </c>
      <c r="L57" s="115">
        <v>0.52</v>
      </c>
      <c r="M57" s="115">
        <v>0.5</v>
      </c>
      <c r="N57" s="115">
        <v>0.47</v>
      </c>
      <c r="O57" s="115">
        <v>0.45</v>
      </c>
      <c r="P57" s="115">
        <v>0.45</v>
      </c>
      <c r="Q57" s="115">
        <v>0.45</v>
      </c>
      <c r="R57" s="115">
        <v>0.45</v>
      </c>
      <c r="S57" s="118">
        <v>0.45</v>
      </c>
      <c r="T57" s="121">
        <v>1.2</v>
      </c>
      <c r="U57" s="115">
        <v>1.1000000000000001</v>
      </c>
      <c r="V57" s="115">
        <v>1.05</v>
      </c>
      <c r="W57" s="115">
        <v>1</v>
      </c>
      <c r="X57" s="115">
        <v>1</v>
      </c>
      <c r="Y57" s="115">
        <v>1</v>
      </c>
      <c r="Z57" s="115">
        <v>1</v>
      </c>
      <c r="AA57" s="122">
        <v>1</v>
      </c>
      <c r="AB57" s="119">
        <v>0.74</v>
      </c>
      <c r="AC57" s="115">
        <v>0.66</v>
      </c>
      <c r="AD57" s="115">
        <v>0.61</v>
      </c>
      <c r="AE57" s="115">
        <v>0.55000000000000004</v>
      </c>
      <c r="AF57" s="115">
        <v>0.55000000000000004</v>
      </c>
      <c r="AG57" s="105">
        <v>0.55000000000000004</v>
      </c>
      <c r="AH57" s="105">
        <v>0.55000000000000004</v>
      </c>
      <c r="AI57" s="120">
        <v>0.55000000000000004</v>
      </c>
    </row>
    <row r="58" spans="1:35">
      <c r="A58" s="32" t="s">
        <v>1307</v>
      </c>
      <c r="B58" s="32" t="s">
        <v>1349</v>
      </c>
      <c r="C58" s="32" t="s">
        <v>1350</v>
      </c>
      <c r="D58" s="32">
        <v>0.88</v>
      </c>
      <c r="E58" s="32">
        <v>0.84</v>
      </c>
      <c r="F58" s="32">
        <v>0.81</v>
      </c>
      <c r="G58" s="112">
        <v>0.8</v>
      </c>
      <c r="H58" s="113">
        <v>0.7</v>
      </c>
      <c r="I58" s="113">
        <v>0.7</v>
      </c>
      <c r="J58" s="113">
        <v>0.7</v>
      </c>
      <c r="K58" s="113">
        <v>0.7</v>
      </c>
      <c r="L58" s="115">
        <v>0.52</v>
      </c>
      <c r="M58" s="115">
        <v>0.5</v>
      </c>
      <c r="N58" s="115">
        <v>0.47</v>
      </c>
      <c r="O58" s="115">
        <v>0.45</v>
      </c>
      <c r="P58" s="114">
        <v>0.4</v>
      </c>
      <c r="Q58" s="114">
        <v>0.4</v>
      </c>
      <c r="R58" s="114">
        <v>0.4</v>
      </c>
      <c r="S58" s="117">
        <v>0.4</v>
      </c>
      <c r="T58" s="121">
        <v>1.2</v>
      </c>
      <c r="U58" s="115">
        <v>1.1000000000000001</v>
      </c>
      <c r="V58" s="115">
        <v>1.05</v>
      </c>
      <c r="W58" s="115">
        <v>1</v>
      </c>
      <c r="X58" s="114">
        <v>0.9</v>
      </c>
      <c r="Y58" s="114">
        <v>0.9</v>
      </c>
      <c r="Z58" s="114">
        <v>0.9</v>
      </c>
      <c r="AA58" s="123">
        <v>0.9</v>
      </c>
      <c r="AB58" s="119">
        <v>0.74</v>
      </c>
      <c r="AC58" s="115">
        <v>0.66</v>
      </c>
      <c r="AD58" s="115">
        <v>0.61</v>
      </c>
      <c r="AE58" s="115">
        <v>0.55000000000000004</v>
      </c>
      <c r="AF58" s="114">
        <v>0.5</v>
      </c>
      <c r="AG58" s="114">
        <v>0.5</v>
      </c>
      <c r="AH58" s="114">
        <v>0.5</v>
      </c>
      <c r="AI58" s="123">
        <v>0.5</v>
      </c>
    </row>
    <row r="59" spans="1:35" ht="47.25">
      <c r="A59" s="33" t="s">
        <v>1308</v>
      </c>
      <c r="B59" s="32" t="s">
        <v>1349</v>
      </c>
      <c r="C59" s="32" t="s">
        <v>1351</v>
      </c>
      <c r="D59" s="32">
        <v>1.08</v>
      </c>
      <c r="E59" s="32">
        <v>1.02</v>
      </c>
      <c r="F59" s="32">
        <v>0.94</v>
      </c>
      <c r="G59" s="112">
        <v>0.87</v>
      </c>
      <c r="H59" s="112">
        <v>0.85</v>
      </c>
      <c r="I59" s="112">
        <v>0.83</v>
      </c>
      <c r="J59" s="112">
        <v>0.8</v>
      </c>
      <c r="K59" s="112">
        <v>0.8</v>
      </c>
      <c r="L59" s="105">
        <v>0.63</v>
      </c>
      <c r="M59" s="105">
        <v>0.57999999999999996</v>
      </c>
      <c r="N59" s="105">
        <v>0.53</v>
      </c>
      <c r="O59" s="105">
        <v>0.49</v>
      </c>
      <c r="P59" s="105">
        <v>0.48</v>
      </c>
      <c r="Q59" s="105">
        <v>0.46</v>
      </c>
      <c r="R59" s="105">
        <v>0.45</v>
      </c>
      <c r="S59" s="116">
        <v>0.45</v>
      </c>
      <c r="T59" s="121">
        <v>1.33</v>
      </c>
      <c r="U59" s="115">
        <v>1.21</v>
      </c>
      <c r="V59" s="115">
        <v>1.1399999999999999</v>
      </c>
      <c r="W59" s="115">
        <v>1.0900000000000001</v>
      </c>
      <c r="X59" s="115">
        <v>1.06</v>
      </c>
      <c r="Y59" s="115">
        <v>1.03</v>
      </c>
      <c r="Z59" s="115">
        <v>1</v>
      </c>
      <c r="AA59" s="122">
        <v>1</v>
      </c>
      <c r="AB59" s="119">
        <v>0.83</v>
      </c>
      <c r="AC59" s="115">
        <v>0.75</v>
      </c>
      <c r="AD59" s="115">
        <v>0.69</v>
      </c>
      <c r="AE59" s="115">
        <v>0.65</v>
      </c>
      <c r="AF59" s="115">
        <v>0.62</v>
      </c>
      <c r="AG59" s="105">
        <v>0.59</v>
      </c>
      <c r="AH59" s="105">
        <v>0.55000000000000004</v>
      </c>
      <c r="AI59" s="120">
        <v>0.55000000000000004</v>
      </c>
    </row>
    <row r="60" spans="1:35" ht="47.25">
      <c r="A60" s="33" t="s">
        <v>1308</v>
      </c>
      <c r="B60" s="32" t="s">
        <v>1349</v>
      </c>
      <c r="C60" s="32" t="s">
        <v>1431</v>
      </c>
      <c r="D60" s="32">
        <v>1.08</v>
      </c>
      <c r="E60" s="32">
        <v>1.02</v>
      </c>
      <c r="F60" s="32">
        <v>0.94</v>
      </c>
      <c r="G60" s="112">
        <v>0.87</v>
      </c>
      <c r="H60" s="112">
        <v>0.85</v>
      </c>
      <c r="I60" s="112">
        <v>0.83</v>
      </c>
      <c r="J60" s="112">
        <v>0.8</v>
      </c>
      <c r="K60" s="112">
        <v>0.8</v>
      </c>
      <c r="L60" s="105">
        <v>0.63</v>
      </c>
      <c r="M60" s="105">
        <v>0.57999999999999996</v>
      </c>
      <c r="N60" s="105">
        <v>0.53</v>
      </c>
      <c r="O60" s="105">
        <v>0.49</v>
      </c>
      <c r="P60" s="105">
        <v>0.48</v>
      </c>
      <c r="Q60" s="105">
        <v>0.46</v>
      </c>
      <c r="R60" s="105">
        <v>0.45</v>
      </c>
      <c r="S60" s="116">
        <v>0.45</v>
      </c>
      <c r="T60" s="121">
        <v>1.33</v>
      </c>
      <c r="U60" s="115">
        <v>1.21</v>
      </c>
      <c r="V60" s="115">
        <v>1.1399999999999999</v>
      </c>
      <c r="W60" s="115">
        <v>1.0900000000000001</v>
      </c>
      <c r="X60" s="115">
        <v>1.06</v>
      </c>
      <c r="Y60" s="115">
        <v>1.03</v>
      </c>
      <c r="Z60" s="115">
        <v>1</v>
      </c>
      <c r="AA60" s="122">
        <v>1</v>
      </c>
      <c r="AB60" s="119">
        <v>0.83</v>
      </c>
      <c r="AC60" s="115">
        <v>0.75</v>
      </c>
      <c r="AD60" s="115">
        <v>0.69</v>
      </c>
      <c r="AE60" s="115">
        <v>0.65</v>
      </c>
      <c r="AF60" s="115">
        <v>0.62</v>
      </c>
      <c r="AG60" s="105">
        <v>0.59</v>
      </c>
      <c r="AH60" s="105">
        <v>0.55000000000000004</v>
      </c>
      <c r="AI60" s="120">
        <v>0.55000000000000004</v>
      </c>
    </row>
    <row r="61" spans="1:35" ht="47.25">
      <c r="A61" s="33" t="s">
        <v>1308</v>
      </c>
      <c r="B61" s="32" t="s">
        <v>1432</v>
      </c>
      <c r="C61" s="32" t="s">
        <v>1433</v>
      </c>
      <c r="D61" s="32">
        <v>1.08</v>
      </c>
      <c r="E61" s="32">
        <v>1.02</v>
      </c>
      <c r="F61" s="32">
        <v>0.94</v>
      </c>
      <c r="G61" s="112">
        <v>0.87</v>
      </c>
      <c r="H61" s="112">
        <v>0.85</v>
      </c>
      <c r="I61" s="112">
        <v>0.83</v>
      </c>
      <c r="J61" s="112">
        <v>0.8</v>
      </c>
      <c r="K61" s="112">
        <v>0.8</v>
      </c>
      <c r="L61" s="105">
        <v>0.63</v>
      </c>
      <c r="M61" s="105">
        <v>0.57999999999999996</v>
      </c>
      <c r="N61" s="105">
        <v>0.53</v>
      </c>
      <c r="O61" s="105">
        <v>0.49</v>
      </c>
      <c r="P61" s="105">
        <v>0.48</v>
      </c>
      <c r="Q61" s="105">
        <v>0.46</v>
      </c>
      <c r="R61" s="105">
        <v>0.45</v>
      </c>
      <c r="S61" s="116">
        <v>0.45</v>
      </c>
      <c r="T61" s="121">
        <v>1.33</v>
      </c>
      <c r="U61" s="115">
        <v>1.21</v>
      </c>
      <c r="V61" s="115">
        <v>1.1399999999999999</v>
      </c>
      <c r="W61" s="115">
        <v>1.0900000000000001</v>
      </c>
      <c r="X61" s="115">
        <v>1.06</v>
      </c>
      <c r="Y61" s="115">
        <v>1.03</v>
      </c>
      <c r="Z61" s="115">
        <v>1</v>
      </c>
      <c r="AA61" s="122">
        <v>1</v>
      </c>
      <c r="AB61" s="119">
        <v>0.83</v>
      </c>
      <c r="AC61" s="115">
        <v>0.75</v>
      </c>
      <c r="AD61" s="115">
        <v>0.69</v>
      </c>
      <c r="AE61" s="115">
        <v>0.65</v>
      </c>
      <c r="AF61" s="115">
        <v>0.62</v>
      </c>
      <c r="AG61" s="105">
        <v>0.59</v>
      </c>
      <c r="AH61" s="105">
        <v>0.55000000000000004</v>
      </c>
      <c r="AI61" s="120">
        <v>0.55000000000000004</v>
      </c>
    </row>
    <row r="62" spans="1:35" ht="47.25">
      <c r="A62" s="33" t="s">
        <v>1308</v>
      </c>
      <c r="B62" s="32" t="s">
        <v>1432</v>
      </c>
      <c r="C62" s="32" t="s">
        <v>1434</v>
      </c>
      <c r="D62" s="32">
        <v>1.08</v>
      </c>
      <c r="E62" s="32">
        <v>1.02</v>
      </c>
      <c r="F62" s="32">
        <v>0.94</v>
      </c>
      <c r="G62" s="112">
        <v>0.87</v>
      </c>
      <c r="H62" s="112">
        <v>0.85</v>
      </c>
      <c r="I62" s="112">
        <v>0.83</v>
      </c>
      <c r="J62" s="112">
        <v>0.8</v>
      </c>
      <c r="K62" s="112">
        <v>0.8</v>
      </c>
      <c r="L62" s="105">
        <v>0.63</v>
      </c>
      <c r="M62" s="105">
        <v>0.57999999999999996</v>
      </c>
      <c r="N62" s="105">
        <v>0.53</v>
      </c>
      <c r="O62" s="105">
        <v>0.49</v>
      </c>
      <c r="P62" s="105">
        <v>0.48</v>
      </c>
      <c r="Q62" s="105">
        <v>0.46</v>
      </c>
      <c r="R62" s="105">
        <v>0.45</v>
      </c>
      <c r="S62" s="116">
        <v>0.45</v>
      </c>
      <c r="T62" s="121">
        <v>1.33</v>
      </c>
      <c r="U62" s="115">
        <v>1.21</v>
      </c>
      <c r="V62" s="115">
        <v>1.1399999999999999</v>
      </c>
      <c r="W62" s="115">
        <v>1.0900000000000001</v>
      </c>
      <c r="X62" s="115">
        <v>1.06</v>
      </c>
      <c r="Y62" s="115">
        <v>1.03</v>
      </c>
      <c r="Z62" s="115">
        <v>1</v>
      </c>
      <c r="AA62" s="122">
        <v>1</v>
      </c>
      <c r="AB62" s="119">
        <v>0.83</v>
      </c>
      <c r="AC62" s="115">
        <v>0.75</v>
      </c>
      <c r="AD62" s="115">
        <v>0.69</v>
      </c>
      <c r="AE62" s="115">
        <v>0.65</v>
      </c>
      <c r="AF62" s="115">
        <v>0.62</v>
      </c>
      <c r="AG62" s="105">
        <v>0.59</v>
      </c>
      <c r="AH62" s="105">
        <v>0.55000000000000004</v>
      </c>
      <c r="AI62" s="120">
        <v>0.55000000000000004</v>
      </c>
    </row>
    <row r="63" spans="1:35" ht="47.25">
      <c r="A63" s="33" t="s">
        <v>1308</v>
      </c>
      <c r="B63" s="32" t="s">
        <v>1432</v>
      </c>
      <c r="C63" s="32" t="s">
        <v>1435</v>
      </c>
      <c r="D63" s="32">
        <v>1.08</v>
      </c>
      <c r="E63" s="32">
        <v>1.02</v>
      </c>
      <c r="F63" s="32">
        <v>0.94</v>
      </c>
      <c r="G63" s="112">
        <v>0.87</v>
      </c>
      <c r="H63" s="112">
        <v>0.85</v>
      </c>
      <c r="I63" s="112">
        <v>0.83</v>
      </c>
      <c r="J63" s="112">
        <v>0.8</v>
      </c>
      <c r="K63" s="112">
        <v>0.8</v>
      </c>
      <c r="L63" s="105">
        <v>0.63</v>
      </c>
      <c r="M63" s="105">
        <v>0.57999999999999996</v>
      </c>
      <c r="N63" s="105">
        <v>0.53</v>
      </c>
      <c r="O63" s="105">
        <v>0.49</v>
      </c>
      <c r="P63" s="105">
        <v>0.48</v>
      </c>
      <c r="Q63" s="105">
        <v>0.46</v>
      </c>
      <c r="R63" s="105">
        <v>0.45</v>
      </c>
      <c r="S63" s="116">
        <v>0.45</v>
      </c>
      <c r="T63" s="121">
        <v>1.33</v>
      </c>
      <c r="U63" s="115">
        <v>1.21</v>
      </c>
      <c r="V63" s="115">
        <v>1.1399999999999999</v>
      </c>
      <c r="W63" s="115">
        <v>1.0900000000000001</v>
      </c>
      <c r="X63" s="115">
        <v>1.06</v>
      </c>
      <c r="Y63" s="115">
        <v>1.03</v>
      </c>
      <c r="Z63" s="115">
        <v>1</v>
      </c>
      <c r="AA63" s="122">
        <v>1</v>
      </c>
      <c r="AB63" s="119">
        <v>0.83</v>
      </c>
      <c r="AC63" s="115">
        <v>0.75</v>
      </c>
      <c r="AD63" s="115">
        <v>0.69</v>
      </c>
      <c r="AE63" s="115">
        <v>0.65</v>
      </c>
      <c r="AF63" s="115">
        <v>0.62</v>
      </c>
      <c r="AG63" s="105">
        <v>0.59</v>
      </c>
      <c r="AH63" s="105">
        <v>0.55000000000000004</v>
      </c>
      <c r="AI63" s="120">
        <v>0.55000000000000004</v>
      </c>
    </row>
    <row r="64" spans="1:35" ht="47.25">
      <c r="A64" s="33" t="s">
        <v>1308</v>
      </c>
      <c r="B64" s="32" t="s">
        <v>1432</v>
      </c>
      <c r="C64" s="32" t="s">
        <v>1436</v>
      </c>
      <c r="D64" s="32">
        <v>1.08</v>
      </c>
      <c r="E64" s="32">
        <v>1.02</v>
      </c>
      <c r="F64" s="32">
        <v>0.94</v>
      </c>
      <c r="G64" s="112">
        <v>0.87</v>
      </c>
      <c r="H64" s="112">
        <v>0.85</v>
      </c>
      <c r="I64" s="112">
        <v>0.83</v>
      </c>
      <c r="J64" s="112">
        <v>0.8</v>
      </c>
      <c r="K64" s="112">
        <v>0.8</v>
      </c>
      <c r="L64" s="105">
        <v>0.63</v>
      </c>
      <c r="M64" s="105">
        <v>0.57999999999999996</v>
      </c>
      <c r="N64" s="105">
        <v>0.53</v>
      </c>
      <c r="O64" s="105">
        <v>0.49</v>
      </c>
      <c r="P64" s="105">
        <v>0.48</v>
      </c>
      <c r="Q64" s="105">
        <v>0.46</v>
      </c>
      <c r="R64" s="105">
        <v>0.45</v>
      </c>
      <c r="S64" s="116">
        <v>0.45</v>
      </c>
      <c r="T64" s="121">
        <v>1.33</v>
      </c>
      <c r="U64" s="115">
        <v>1.21</v>
      </c>
      <c r="V64" s="115">
        <v>1.1399999999999999</v>
      </c>
      <c r="W64" s="115">
        <v>1.0900000000000001</v>
      </c>
      <c r="X64" s="115">
        <v>1.06</v>
      </c>
      <c r="Y64" s="115">
        <v>1.03</v>
      </c>
      <c r="Z64" s="115">
        <v>1</v>
      </c>
      <c r="AA64" s="122">
        <v>1</v>
      </c>
      <c r="AB64" s="119">
        <v>0.83</v>
      </c>
      <c r="AC64" s="115">
        <v>0.75</v>
      </c>
      <c r="AD64" s="115">
        <v>0.69</v>
      </c>
      <c r="AE64" s="115">
        <v>0.65</v>
      </c>
      <c r="AF64" s="115">
        <v>0.62</v>
      </c>
      <c r="AG64" s="105">
        <v>0.59</v>
      </c>
      <c r="AH64" s="105">
        <v>0.55000000000000004</v>
      </c>
      <c r="AI64" s="120">
        <v>0.55000000000000004</v>
      </c>
    </row>
    <row r="65" spans="1:35" ht="47.25">
      <c r="A65" s="33" t="s">
        <v>1308</v>
      </c>
      <c r="B65" s="32" t="s">
        <v>1432</v>
      </c>
      <c r="C65" s="32" t="s">
        <v>1437</v>
      </c>
      <c r="D65" s="32">
        <v>1.08</v>
      </c>
      <c r="E65" s="32">
        <v>1.02</v>
      </c>
      <c r="F65" s="32">
        <v>0.94</v>
      </c>
      <c r="G65" s="112">
        <v>0.87</v>
      </c>
      <c r="H65" s="112">
        <v>0.85</v>
      </c>
      <c r="I65" s="112">
        <v>0.83</v>
      </c>
      <c r="J65" s="112">
        <v>0.8</v>
      </c>
      <c r="K65" s="112">
        <v>0.8</v>
      </c>
      <c r="L65" s="105">
        <v>0.63</v>
      </c>
      <c r="M65" s="105">
        <v>0.57999999999999996</v>
      </c>
      <c r="N65" s="105">
        <v>0.53</v>
      </c>
      <c r="O65" s="105">
        <v>0.49</v>
      </c>
      <c r="P65" s="105">
        <v>0.48</v>
      </c>
      <c r="Q65" s="105">
        <v>0.46</v>
      </c>
      <c r="R65" s="105">
        <v>0.45</v>
      </c>
      <c r="S65" s="116">
        <v>0.45</v>
      </c>
      <c r="T65" s="121">
        <v>1.33</v>
      </c>
      <c r="U65" s="115">
        <v>1.21</v>
      </c>
      <c r="V65" s="115">
        <v>1.1399999999999999</v>
      </c>
      <c r="W65" s="115">
        <v>1.0900000000000001</v>
      </c>
      <c r="X65" s="115">
        <v>1.06</v>
      </c>
      <c r="Y65" s="115">
        <v>1.03</v>
      </c>
      <c r="Z65" s="115">
        <v>1</v>
      </c>
      <c r="AA65" s="122">
        <v>1</v>
      </c>
      <c r="AB65" s="119">
        <v>0.83</v>
      </c>
      <c r="AC65" s="115">
        <v>0.75</v>
      </c>
      <c r="AD65" s="115">
        <v>0.69</v>
      </c>
      <c r="AE65" s="115">
        <v>0.65</v>
      </c>
      <c r="AF65" s="115">
        <v>0.62</v>
      </c>
      <c r="AG65" s="105">
        <v>0.59</v>
      </c>
      <c r="AH65" s="105">
        <v>0.55000000000000004</v>
      </c>
      <c r="AI65" s="120">
        <v>0.55000000000000004</v>
      </c>
    </row>
    <row r="66" spans="1:35" ht="47.25">
      <c r="A66" s="33" t="s">
        <v>1308</v>
      </c>
      <c r="B66" s="32" t="s">
        <v>1432</v>
      </c>
      <c r="C66" s="32" t="s">
        <v>1438</v>
      </c>
      <c r="D66" s="32">
        <v>1.08</v>
      </c>
      <c r="E66" s="32">
        <v>1.02</v>
      </c>
      <c r="F66" s="32">
        <v>0.94</v>
      </c>
      <c r="G66" s="112">
        <v>0.87</v>
      </c>
      <c r="H66" s="112">
        <v>0.85</v>
      </c>
      <c r="I66" s="112">
        <v>0.83</v>
      </c>
      <c r="J66" s="112">
        <v>0.8</v>
      </c>
      <c r="K66" s="112">
        <v>0.8</v>
      </c>
      <c r="L66" s="105">
        <v>0.63</v>
      </c>
      <c r="M66" s="105">
        <v>0.57999999999999996</v>
      </c>
      <c r="N66" s="105">
        <v>0.53</v>
      </c>
      <c r="O66" s="105">
        <v>0.49</v>
      </c>
      <c r="P66" s="105">
        <v>0.48</v>
      </c>
      <c r="Q66" s="105">
        <v>0.46</v>
      </c>
      <c r="R66" s="105">
        <v>0.45</v>
      </c>
      <c r="S66" s="116">
        <v>0.45</v>
      </c>
      <c r="T66" s="121">
        <v>1.33</v>
      </c>
      <c r="U66" s="115">
        <v>1.21</v>
      </c>
      <c r="V66" s="115">
        <v>1.1399999999999999</v>
      </c>
      <c r="W66" s="115">
        <v>1.0900000000000001</v>
      </c>
      <c r="X66" s="115">
        <v>1.06</v>
      </c>
      <c r="Y66" s="115">
        <v>1.03</v>
      </c>
      <c r="Z66" s="115">
        <v>1</v>
      </c>
      <c r="AA66" s="122">
        <v>1</v>
      </c>
      <c r="AB66" s="119">
        <v>0.83</v>
      </c>
      <c r="AC66" s="115">
        <v>0.75</v>
      </c>
      <c r="AD66" s="115">
        <v>0.69</v>
      </c>
      <c r="AE66" s="115">
        <v>0.65</v>
      </c>
      <c r="AF66" s="115">
        <v>0.62</v>
      </c>
      <c r="AG66" s="105">
        <v>0.59</v>
      </c>
      <c r="AH66" s="105">
        <v>0.55000000000000004</v>
      </c>
      <c r="AI66" s="120">
        <v>0.55000000000000004</v>
      </c>
    </row>
    <row r="67" spans="1:35" ht="47.25">
      <c r="A67" s="33" t="s">
        <v>1308</v>
      </c>
      <c r="B67" s="32" t="s">
        <v>1432</v>
      </c>
      <c r="C67" s="32" t="s">
        <v>1439</v>
      </c>
      <c r="D67" s="32">
        <v>1.08</v>
      </c>
      <c r="E67" s="32">
        <v>1.02</v>
      </c>
      <c r="F67" s="32">
        <v>0.94</v>
      </c>
      <c r="G67" s="112">
        <v>0.87</v>
      </c>
      <c r="H67" s="112">
        <v>0.85</v>
      </c>
      <c r="I67" s="112">
        <v>0.83</v>
      </c>
      <c r="J67" s="112">
        <v>0.8</v>
      </c>
      <c r="K67" s="112">
        <v>0.8</v>
      </c>
      <c r="L67" s="105">
        <v>0.63</v>
      </c>
      <c r="M67" s="105">
        <v>0.57999999999999996</v>
      </c>
      <c r="N67" s="105">
        <v>0.53</v>
      </c>
      <c r="O67" s="105">
        <v>0.49</v>
      </c>
      <c r="P67" s="105">
        <v>0.48</v>
      </c>
      <c r="Q67" s="105">
        <v>0.46</v>
      </c>
      <c r="R67" s="105">
        <v>0.45</v>
      </c>
      <c r="S67" s="116">
        <v>0.45</v>
      </c>
      <c r="T67" s="121">
        <v>1.33</v>
      </c>
      <c r="U67" s="115">
        <v>1.21</v>
      </c>
      <c r="V67" s="115">
        <v>1.1399999999999999</v>
      </c>
      <c r="W67" s="115">
        <v>1.0900000000000001</v>
      </c>
      <c r="X67" s="115">
        <v>1.06</v>
      </c>
      <c r="Y67" s="115">
        <v>1.03</v>
      </c>
      <c r="Z67" s="115">
        <v>1</v>
      </c>
      <c r="AA67" s="122">
        <v>1</v>
      </c>
      <c r="AB67" s="119">
        <v>0.83</v>
      </c>
      <c r="AC67" s="115">
        <v>0.75</v>
      </c>
      <c r="AD67" s="115">
        <v>0.69</v>
      </c>
      <c r="AE67" s="115">
        <v>0.65</v>
      </c>
      <c r="AF67" s="115">
        <v>0.62</v>
      </c>
      <c r="AG67" s="105">
        <v>0.59</v>
      </c>
      <c r="AH67" s="105">
        <v>0.55000000000000004</v>
      </c>
      <c r="AI67" s="120">
        <v>0.55000000000000004</v>
      </c>
    </row>
    <row r="68" spans="1:35" ht="47.25">
      <c r="A68" s="33" t="s">
        <v>1308</v>
      </c>
      <c r="B68" s="32" t="s">
        <v>1432</v>
      </c>
      <c r="C68" s="32" t="s">
        <v>1440</v>
      </c>
      <c r="D68" s="32">
        <v>1.08</v>
      </c>
      <c r="E68" s="32">
        <v>1.02</v>
      </c>
      <c r="F68" s="32">
        <v>0.94</v>
      </c>
      <c r="G68" s="112">
        <v>0.87</v>
      </c>
      <c r="H68" s="112">
        <v>0.85</v>
      </c>
      <c r="I68" s="112">
        <v>0.83</v>
      </c>
      <c r="J68" s="112">
        <v>0.8</v>
      </c>
      <c r="K68" s="112">
        <v>0.8</v>
      </c>
      <c r="L68" s="105">
        <v>0.63</v>
      </c>
      <c r="M68" s="105">
        <v>0.57999999999999996</v>
      </c>
      <c r="N68" s="105">
        <v>0.53</v>
      </c>
      <c r="O68" s="105">
        <v>0.49</v>
      </c>
      <c r="P68" s="105">
        <v>0.48</v>
      </c>
      <c r="Q68" s="105">
        <v>0.46</v>
      </c>
      <c r="R68" s="105">
        <v>0.45</v>
      </c>
      <c r="S68" s="116">
        <v>0.45</v>
      </c>
      <c r="T68" s="121">
        <v>1.33</v>
      </c>
      <c r="U68" s="115">
        <v>1.21</v>
      </c>
      <c r="V68" s="115">
        <v>1.1399999999999999</v>
      </c>
      <c r="W68" s="115">
        <v>1.0900000000000001</v>
      </c>
      <c r="X68" s="115">
        <v>1.06</v>
      </c>
      <c r="Y68" s="115">
        <v>1.03</v>
      </c>
      <c r="Z68" s="115">
        <v>1</v>
      </c>
      <c r="AA68" s="122">
        <v>1</v>
      </c>
      <c r="AB68" s="119">
        <v>0.83</v>
      </c>
      <c r="AC68" s="115">
        <v>0.75</v>
      </c>
      <c r="AD68" s="115">
        <v>0.69</v>
      </c>
      <c r="AE68" s="115">
        <v>0.65</v>
      </c>
      <c r="AF68" s="115">
        <v>0.62</v>
      </c>
      <c r="AG68" s="105">
        <v>0.59</v>
      </c>
      <c r="AH68" s="105">
        <v>0.55000000000000004</v>
      </c>
      <c r="AI68" s="120">
        <v>0.55000000000000004</v>
      </c>
    </row>
    <row r="69" spans="1:35" ht="47.25">
      <c r="A69" s="33" t="s">
        <v>1308</v>
      </c>
      <c r="B69" s="32" t="s">
        <v>1432</v>
      </c>
      <c r="C69" s="32" t="s">
        <v>1441</v>
      </c>
      <c r="D69" s="32">
        <v>1.08</v>
      </c>
      <c r="E69" s="32">
        <v>1.02</v>
      </c>
      <c r="F69" s="32">
        <v>0.94</v>
      </c>
      <c r="G69" s="112">
        <v>0.87</v>
      </c>
      <c r="H69" s="112">
        <v>0.85</v>
      </c>
      <c r="I69" s="112">
        <v>0.83</v>
      </c>
      <c r="J69" s="112">
        <v>0.8</v>
      </c>
      <c r="K69" s="112">
        <v>0.8</v>
      </c>
      <c r="L69" s="105">
        <v>0.63</v>
      </c>
      <c r="M69" s="105">
        <v>0.57999999999999996</v>
      </c>
      <c r="N69" s="105">
        <v>0.53</v>
      </c>
      <c r="O69" s="105">
        <v>0.49</v>
      </c>
      <c r="P69" s="105">
        <v>0.48</v>
      </c>
      <c r="Q69" s="105">
        <v>0.46</v>
      </c>
      <c r="R69" s="105">
        <v>0.45</v>
      </c>
      <c r="S69" s="116">
        <v>0.45</v>
      </c>
      <c r="T69" s="121">
        <v>1.33</v>
      </c>
      <c r="U69" s="115">
        <v>1.21</v>
      </c>
      <c r="V69" s="115">
        <v>1.1399999999999999</v>
      </c>
      <c r="W69" s="115">
        <v>1.0900000000000001</v>
      </c>
      <c r="X69" s="115">
        <v>1.06</v>
      </c>
      <c r="Y69" s="115">
        <v>1.03</v>
      </c>
      <c r="Z69" s="115">
        <v>1</v>
      </c>
      <c r="AA69" s="122">
        <v>1</v>
      </c>
      <c r="AB69" s="119">
        <v>0.83</v>
      </c>
      <c r="AC69" s="115">
        <v>0.75</v>
      </c>
      <c r="AD69" s="115">
        <v>0.69</v>
      </c>
      <c r="AE69" s="115">
        <v>0.65</v>
      </c>
      <c r="AF69" s="115">
        <v>0.62</v>
      </c>
      <c r="AG69" s="105">
        <v>0.59</v>
      </c>
      <c r="AH69" s="105">
        <v>0.55000000000000004</v>
      </c>
      <c r="AI69" s="120">
        <v>0.55000000000000004</v>
      </c>
    </row>
    <row r="70" spans="1:35" ht="47.25">
      <c r="A70" s="33" t="s">
        <v>1308</v>
      </c>
      <c r="B70" s="32" t="s">
        <v>1432</v>
      </c>
      <c r="C70" s="32" t="s">
        <v>1442</v>
      </c>
      <c r="D70" s="32">
        <v>1.08</v>
      </c>
      <c r="E70" s="32">
        <v>1.02</v>
      </c>
      <c r="F70" s="32">
        <v>0.94</v>
      </c>
      <c r="G70" s="112">
        <v>0.87</v>
      </c>
      <c r="H70" s="112">
        <v>0.85</v>
      </c>
      <c r="I70" s="112">
        <v>0.83</v>
      </c>
      <c r="J70" s="112">
        <v>0.8</v>
      </c>
      <c r="K70" s="112">
        <v>0.8</v>
      </c>
      <c r="L70" s="105">
        <v>0.63</v>
      </c>
      <c r="M70" s="105">
        <v>0.57999999999999996</v>
      </c>
      <c r="N70" s="105">
        <v>0.53</v>
      </c>
      <c r="O70" s="105">
        <v>0.49</v>
      </c>
      <c r="P70" s="105">
        <v>0.48</v>
      </c>
      <c r="Q70" s="105">
        <v>0.46</v>
      </c>
      <c r="R70" s="105">
        <v>0.45</v>
      </c>
      <c r="S70" s="116">
        <v>0.45</v>
      </c>
      <c r="T70" s="121">
        <v>1.33</v>
      </c>
      <c r="U70" s="115">
        <v>1.21</v>
      </c>
      <c r="V70" s="115">
        <v>1.1399999999999999</v>
      </c>
      <c r="W70" s="115">
        <v>1.0900000000000001</v>
      </c>
      <c r="X70" s="115">
        <v>1.06</v>
      </c>
      <c r="Y70" s="115">
        <v>1.03</v>
      </c>
      <c r="Z70" s="115">
        <v>1</v>
      </c>
      <c r="AA70" s="122">
        <v>1</v>
      </c>
      <c r="AB70" s="119">
        <v>0.83</v>
      </c>
      <c r="AC70" s="115">
        <v>0.75</v>
      </c>
      <c r="AD70" s="115">
        <v>0.69</v>
      </c>
      <c r="AE70" s="115">
        <v>0.65</v>
      </c>
      <c r="AF70" s="115">
        <v>0.62</v>
      </c>
      <c r="AG70" s="105">
        <v>0.59</v>
      </c>
      <c r="AH70" s="105">
        <v>0.55000000000000004</v>
      </c>
      <c r="AI70" s="120">
        <v>0.55000000000000004</v>
      </c>
    </row>
    <row r="71" spans="1:35" ht="47.25">
      <c r="A71" s="33" t="s">
        <v>1308</v>
      </c>
      <c r="B71" s="32" t="s">
        <v>1432</v>
      </c>
      <c r="C71" s="32" t="s">
        <v>1443</v>
      </c>
      <c r="D71" s="32">
        <v>1.08</v>
      </c>
      <c r="E71" s="32">
        <v>1.02</v>
      </c>
      <c r="F71" s="32">
        <v>0.94</v>
      </c>
      <c r="G71" s="112">
        <v>0.87</v>
      </c>
      <c r="H71" s="112">
        <v>0.85</v>
      </c>
      <c r="I71" s="112">
        <v>0.83</v>
      </c>
      <c r="J71" s="112">
        <v>0.8</v>
      </c>
      <c r="K71" s="112">
        <v>0.8</v>
      </c>
      <c r="L71" s="105">
        <v>0.63</v>
      </c>
      <c r="M71" s="105">
        <v>0.57999999999999996</v>
      </c>
      <c r="N71" s="105">
        <v>0.53</v>
      </c>
      <c r="O71" s="105">
        <v>0.49</v>
      </c>
      <c r="P71" s="105">
        <v>0.48</v>
      </c>
      <c r="Q71" s="105">
        <v>0.46</v>
      </c>
      <c r="R71" s="105">
        <v>0.45</v>
      </c>
      <c r="S71" s="116">
        <v>0.45</v>
      </c>
      <c r="T71" s="121">
        <v>1.33</v>
      </c>
      <c r="U71" s="115">
        <v>1.21</v>
      </c>
      <c r="V71" s="115">
        <v>1.1399999999999999</v>
      </c>
      <c r="W71" s="115">
        <v>1.0900000000000001</v>
      </c>
      <c r="X71" s="115">
        <v>1.06</v>
      </c>
      <c r="Y71" s="115">
        <v>1.03</v>
      </c>
      <c r="Z71" s="115">
        <v>1</v>
      </c>
      <c r="AA71" s="122">
        <v>1</v>
      </c>
      <c r="AB71" s="119">
        <v>0.83</v>
      </c>
      <c r="AC71" s="115">
        <v>0.75</v>
      </c>
      <c r="AD71" s="115">
        <v>0.69</v>
      </c>
      <c r="AE71" s="115">
        <v>0.65</v>
      </c>
      <c r="AF71" s="115">
        <v>0.62</v>
      </c>
      <c r="AG71" s="105">
        <v>0.59</v>
      </c>
      <c r="AH71" s="105">
        <v>0.55000000000000004</v>
      </c>
      <c r="AI71" s="120">
        <v>0.55000000000000004</v>
      </c>
    </row>
    <row r="72" spans="1:35" ht="47.25">
      <c r="A72" s="33" t="s">
        <v>1308</v>
      </c>
      <c r="B72" s="32" t="s">
        <v>1432</v>
      </c>
      <c r="C72" s="32" t="s">
        <v>1444</v>
      </c>
      <c r="D72" s="32">
        <v>1.08</v>
      </c>
      <c r="E72" s="32">
        <v>1.02</v>
      </c>
      <c r="F72" s="32">
        <v>0.94</v>
      </c>
      <c r="G72" s="112">
        <v>0.87</v>
      </c>
      <c r="H72" s="112">
        <v>0.85</v>
      </c>
      <c r="I72" s="112">
        <v>0.83</v>
      </c>
      <c r="J72" s="112">
        <v>0.8</v>
      </c>
      <c r="K72" s="112">
        <v>0.8</v>
      </c>
      <c r="L72" s="105">
        <v>0.63</v>
      </c>
      <c r="M72" s="105">
        <v>0.57999999999999996</v>
      </c>
      <c r="N72" s="105">
        <v>0.53</v>
      </c>
      <c r="O72" s="105">
        <v>0.49</v>
      </c>
      <c r="P72" s="105">
        <v>0.48</v>
      </c>
      <c r="Q72" s="105">
        <v>0.46</v>
      </c>
      <c r="R72" s="105">
        <v>0.45</v>
      </c>
      <c r="S72" s="116">
        <v>0.45</v>
      </c>
      <c r="T72" s="121">
        <v>1.33</v>
      </c>
      <c r="U72" s="115">
        <v>1.21</v>
      </c>
      <c r="V72" s="115">
        <v>1.1399999999999999</v>
      </c>
      <c r="W72" s="115">
        <v>1.0900000000000001</v>
      </c>
      <c r="X72" s="115">
        <v>1.06</v>
      </c>
      <c r="Y72" s="115">
        <v>1.03</v>
      </c>
      <c r="Z72" s="115">
        <v>1</v>
      </c>
      <c r="AA72" s="122">
        <v>1</v>
      </c>
      <c r="AB72" s="119">
        <v>0.83</v>
      </c>
      <c r="AC72" s="115">
        <v>0.75</v>
      </c>
      <c r="AD72" s="115">
        <v>0.69</v>
      </c>
      <c r="AE72" s="115">
        <v>0.65</v>
      </c>
      <c r="AF72" s="115">
        <v>0.62</v>
      </c>
      <c r="AG72" s="105">
        <v>0.59</v>
      </c>
      <c r="AH72" s="105">
        <v>0.55000000000000004</v>
      </c>
      <c r="AI72" s="120">
        <v>0.55000000000000004</v>
      </c>
    </row>
    <row r="73" spans="1:35" ht="47.25">
      <c r="A73" s="33" t="s">
        <v>1308</v>
      </c>
      <c r="B73" s="32" t="s">
        <v>1432</v>
      </c>
      <c r="C73" s="32" t="s">
        <v>1445</v>
      </c>
      <c r="D73" s="32">
        <v>1.08</v>
      </c>
      <c r="E73" s="32">
        <v>1.02</v>
      </c>
      <c r="F73" s="32">
        <v>0.94</v>
      </c>
      <c r="G73" s="112">
        <v>0.87</v>
      </c>
      <c r="H73" s="112">
        <v>0.85</v>
      </c>
      <c r="I73" s="112">
        <v>0.83</v>
      </c>
      <c r="J73" s="112">
        <v>0.8</v>
      </c>
      <c r="K73" s="112">
        <v>0.8</v>
      </c>
      <c r="L73" s="105">
        <v>0.63</v>
      </c>
      <c r="M73" s="105">
        <v>0.57999999999999996</v>
      </c>
      <c r="N73" s="105">
        <v>0.53</v>
      </c>
      <c r="O73" s="105">
        <v>0.49</v>
      </c>
      <c r="P73" s="105">
        <v>0.48</v>
      </c>
      <c r="Q73" s="105">
        <v>0.46</v>
      </c>
      <c r="R73" s="105">
        <v>0.45</v>
      </c>
      <c r="S73" s="116">
        <v>0.45</v>
      </c>
      <c r="T73" s="121">
        <v>1.33</v>
      </c>
      <c r="U73" s="115">
        <v>1.21</v>
      </c>
      <c r="V73" s="115">
        <v>1.1399999999999999</v>
      </c>
      <c r="W73" s="115">
        <v>1.0900000000000001</v>
      </c>
      <c r="X73" s="115">
        <v>1.06</v>
      </c>
      <c r="Y73" s="115">
        <v>1.03</v>
      </c>
      <c r="Z73" s="115">
        <v>1</v>
      </c>
      <c r="AA73" s="122">
        <v>1</v>
      </c>
      <c r="AB73" s="119">
        <v>0.83</v>
      </c>
      <c r="AC73" s="115">
        <v>0.75</v>
      </c>
      <c r="AD73" s="115">
        <v>0.69</v>
      </c>
      <c r="AE73" s="115">
        <v>0.65</v>
      </c>
      <c r="AF73" s="115">
        <v>0.62</v>
      </c>
      <c r="AG73" s="105">
        <v>0.59</v>
      </c>
      <c r="AH73" s="105">
        <v>0.55000000000000004</v>
      </c>
      <c r="AI73" s="120">
        <v>0.55000000000000004</v>
      </c>
    </row>
    <row r="74" spans="1:35" ht="47.25">
      <c r="A74" s="33" t="s">
        <v>1308</v>
      </c>
      <c r="B74" s="32" t="s">
        <v>1432</v>
      </c>
      <c r="C74" s="32" t="s">
        <v>1671</v>
      </c>
      <c r="D74" s="32">
        <v>1.08</v>
      </c>
      <c r="E74" s="32">
        <v>1.02</v>
      </c>
      <c r="F74" s="32">
        <v>0.94</v>
      </c>
      <c r="G74" s="112">
        <v>0.87</v>
      </c>
      <c r="H74" s="112">
        <v>0.85</v>
      </c>
      <c r="I74" s="112">
        <v>0.83</v>
      </c>
      <c r="J74" s="112">
        <v>0.8</v>
      </c>
      <c r="K74" s="112">
        <v>0.8</v>
      </c>
      <c r="L74" s="105">
        <v>0.63</v>
      </c>
      <c r="M74" s="105">
        <v>0.57999999999999996</v>
      </c>
      <c r="N74" s="105">
        <v>0.53</v>
      </c>
      <c r="O74" s="105">
        <v>0.49</v>
      </c>
      <c r="P74" s="105">
        <v>0.48</v>
      </c>
      <c r="Q74" s="105">
        <v>0.46</v>
      </c>
      <c r="R74" s="105">
        <v>0.45</v>
      </c>
      <c r="S74" s="116">
        <v>0.45</v>
      </c>
      <c r="T74" s="121">
        <v>1.33</v>
      </c>
      <c r="U74" s="115">
        <v>1.21</v>
      </c>
      <c r="V74" s="115">
        <v>1.1399999999999999</v>
      </c>
      <c r="W74" s="115">
        <v>1.0900000000000001</v>
      </c>
      <c r="X74" s="115">
        <v>1.06</v>
      </c>
      <c r="Y74" s="115">
        <v>1.03</v>
      </c>
      <c r="Z74" s="115">
        <v>1</v>
      </c>
      <c r="AA74" s="122">
        <v>1</v>
      </c>
      <c r="AB74" s="119">
        <v>0.83</v>
      </c>
      <c r="AC74" s="115">
        <v>0.75</v>
      </c>
      <c r="AD74" s="115">
        <v>0.69</v>
      </c>
      <c r="AE74" s="115">
        <v>0.65</v>
      </c>
      <c r="AF74" s="115">
        <v>0.62</v>
      </c>
      <c r="AG74" s="105">
        <v>0.59</v>
      </c>
      <c r="AH74" s="105">
        <v>0.55000000000000004</v>
      </c>
      <c r="AI74" s="120">
        <v>0.55000000000000004</v>
      </c>
    </row>
    <row r="75" spans="1:35" ht="47.25">
      <c r="A75" s="33" t="s">
        <v>1308</v>
      </c>
      <c r="B75" s="32" t="s">
        <v>1674</v>
      </c>
      <c r="C75" s="32" t="s">
        <v>1675</v>
      </c>
      <c r="D75" s="32">
        <v>1.08</v>
      </c>
      <c r="E75" s="32">
        <v>1.02</v>
      </c>
      <c r="F75" s="32">
        <v>0.94</v>
      </c>
      <c r="G75" s="112">
        <v>0.87</v>
      </c>
      <c r="H75" s="112">
        <v>0.85</v>
      </c>
      <c r="I75" s="112">
        <v>0.83</v>
      </c>
      <c r="J75" s="112">
        <v>0.8</v>
      </c>
      <c r="K75" s="112">
        <v>0.8</v>
      </c>
      <c r="L75" s="105">
        <v>0.63</v>
      </c>
      <c r="M75" s="105">
        <v>0.57999999999999996</v>
      </c>
      <c r="N75" s="105">
        <v>0.53</v>
      </c>
      <c r="O75" s="105">
        <v>0.49</v>
      </c>
      <c r="P75" s="105">
        <v>0.48</v>
      </c>
      <c r="Q75" s="105">
        <v>0.46</v>
      </c>
      <c r="R75" s="105">
        <v>0.45</v>
      </c>
      <c r="S75" s="116">
        <v>0.45</v>
      </c>
      <c r="T75" s="121">
        <v>1.33</v>
      </c>
      <c r="U75" s="115">
        <v>1.21</v>
      </c>
      <c r="V75" s="115">
        <v>1.1399999999999999</v>
      </c>
      <c r="W75" s="115">
        <v>1.0900000000000001</v>
      </c>
      <c r="X75" s="115">
        <v>1.06</v>
      </c>
      <c r="Y75" s="115">
        <v>1.03</v>
      </c>
      <c r="Z75" s="115">
        <v>1</v>
      </c>
      <c r="AA75" s="122">
        <v>1</v>
      </c>
      <c r="AB75" s="119">
        <v>0.83</v>
      </c>
      <c r="AC75" s="115">
        <v>0.75</v>
      </c>
      <c r="AD75" s="115">
        <v>0.69</v>
      </c>
      <c r="AE75" s="115">
        <v>0.65</v>
      </c>
      <c r="AF75" s="115">
        <v>0.62</v>
      </c>
      <c r="AG75" s="105">
        <v>0.59</v>
      </c>
      <c r="AH75" s="105">
        <v>0.55000000000000004</v>
      </c>
      <c r="AI75" s="120">
        <v>0.55000000000000004</v>
      </c>
    </row>
    <row r="76" spans="1:35" ht="47.25">
      <c r="A76" s="33" t="s">
        <v>1308</v>
      </c>
      <c r="B76" s="32" t="s">
        <v>1432</v>
      </c>
      <c r="C76" s="32" t="s">
        <v>1447</v>
      </c>
      <c r="D76" s="32">
        <v>1.08</v>
      </c>
      <c r="E76" s="32">
        <v>1.02</v>
      </c>
      <c r="F76" s="32">
        <v>0.94</v>
      </c>
      <c r="G76" s="112">
        <v>0.87</v>
      </c>
      <c r="H76" s="112">
        <v>0.85</v>
      </c>
      <c r="I76" s="112">
        <v>0.83</v>
      </c>
      <c r="J76" s="112">
        <v>0.8</v>
      </c>
      <c r="K76" s="112">
        <v>0.8</v>
      </c>
      <c r="L76" s="105">
        <v>0.63</v>
      </c>
      <c r="M76" s="105">
        <v>0.57999999999999996</v>
      </c>
      <c r="N76" s="105">
        <v>0.53</v>
      </c>
      <c r="O76" s="105">
        <v>0.49</v>
      </c>
      <c r="P76" s="105">
        <v>0.48</v>
      </c>
      <c r="Q76" s="105">
        <v>0.46</v>
      </c>
      <c r="R76" s="105">
        <v>0.45</v>
      </c>
      <c r="S76" s="116">
        <v>0.45</v>
      </c>
      <c r="T76" s="121">
        <v>1.33</v>
      </c>
      <c r="U76" s="115">
        <v>1.21</v>
      </c>
      <c r="V76" s="115">
        <v>1.1399999999999999</v>
      </c>
      <c r="W76" s="115">
        <v>1.0900000000000001</v>
      </c>
      <c r="X76" s="115">
        <v>1.06</v>
      </c>
      <c r="Y76" s="115">
        <v>1.03</v>
      </c>
      <c r="Z76" s="115">
        <v>1</v>
      </c>
      <c r="AA76" s="122">
        <v>1</v>
      </c>
      <c r="AB76" s="119">
        <v>0.83</v>
      </c>
      <c r="AC76" s="115">
        <v>0.75</v>
      </c>
      <c r="AD76" s="115">
        <v>0.69</v>
      </c>
      <c r="AE76" s="115">
        <v>0.65</v>
      </c>
      <c r="AF76" s="115">
        <v>0.62</v>
      </c>
      <c r="AG76" s="105">
        <v>0.59</v>
      </c>
      <c r="AH76" s="105">
        <v>0.55000000000000004</v>
      </c>
      <c r="AI76" s="120">
        <v>0.55000000000000004</v>
      </c>
    </row>
    <row r="77" spans="1:35" ht="47.25">
      <c r="A77" s="33" t="s">
        <v>1308</v>
      </c>
      <c r="B77" s="32" t="s">
        <v>1432</v>
      </c>
      <c r="C77" s="32" t="s">
        <v>1448</v>
      </c>
      <c r="D77" s="32">
        <v>1.08</v>
      </c>
      <c r="E77" s="32">
        <v>1.02</v>
      </c>
      <c r="F77" s="32">
        <v>0.94</v>
      </c>
      <c r="G77" s="112">
        <v>0.87</v>
      </c>
      <c r="H77" s="112">
        <v>0.85</v>
      </c>
      <c r="I77" s="112">
        <v>0.83</v>
      </c>
      <c r="J77" s="112">
        <v>0.8</v>
      </c>
      <c r="K77" s="112">
        <v>0.8</v>
      </c>
      <c r="L77" s="105">
        <v>0.63</v>
      </c>
      <c r="M77" s="105">
        <v>0.57999999999999996</v>
      </c>
      <c r="N77" s="105">
        <v>0.53</v>
      </c>
      <c r="O77" s="105">
        <v>0.49</v>
      </c>
      <c r="P77" s="105">
        <v>0.48</v>
      </c>
      <c r="Q77" s="105">
        <v>0.46</v>
      </c>
      <c r="R77" s="105">
        <v>0.45</v>
      </c>
      <c r="S77" s="116">
        <v>0.45</v>
      </c>
      <c r="T77" s="121">
        <v>1.33</v>
      </c>
      <c r="U77" s="115">
        <v>1.21</v>
      </c>
      <c r="V77" s="115">
        <v>1.1399999999999999</v>
      </c>
      <c r="W77" s="115">
        <v>1.0900000000000001</v>
      </c>
      <c r="X77" s="115">
        <v>1.06</v>
      </c>
      <c r="Y77" s="115">
        <v>1.03</v>
      </c>
      <c r="Z77" s="115">
        <v>1</v>
      </c>
      <c r="AA77" s="122">
        <v>1</v>
      </c>
      <c r="AB77" s="119">
        <v>0.83</v>
      </c>
      <c r="AC77" s="115">
        <v>0.75</v>
      </c>
      <c r="AD77" s="115">
        <v>0.69</v>
      </c>
      <c r="AE77" s="115">
        <v>0.65</v>
      </c>
      <c r="AF77" s="115">
        <v>0.62</v>
      </c>
      <c r="AG77" s="105">
        <v>0.59</v>
      </c>
      <c r="AH77" s="105">
        <v>0.55000000000000004</v>
      </c>
      <c r="AI77" s="120">
        <v>0.55000000000000004</v>
      </c>
    </row>
    <row r="78" spans="1:35" ht="47.25">
      <c r="A78" s="33" t="s">
        <v>1308</v>
      </c>
      <c r="B78" s="32" t="s">
        <v>1432</v>
      </c>
      <c r="C78" s="32" t="s">
        <v>1449</v>
      </c>
      <c r="D78" s="32">
        <v>1.08</v>
      </c>
      <c r="E78" s="32">
        <v>1.02</v>
      </c>
      <c r="F78" s="32">
        <v>0.94</v>
      </c>
      <c r="G78" s="112">
        <v>0.87</v>
      </c>
      <c r="H78" s="112">
        <v>0.85</v>
      </c>
      <c r="I78" s="112">
        <v>0.83</v>
      </c>
      <c r="J78" s="112">
        <v>0.8</v>
      </c>
      <c r="K78" s="112">
        <v>0.8</v>
      </c>
      <c r="L78" s="105">
        <v>0.63</v>
      </c>
      <c r="M78" s="105">
        <v>0.57999999999999996</v>
      </c>
      <c r="N78" s="105">
        <v>0.53</v>
      </c>
      <c r="O78" s="105">
        <v>0.49</v>
      </c>
      <c r="P78" s="105">
        <v>0.48</v>
      </c>
      <c r="Q78" s="105">
        <v>0.46</v>
      </c>
      <c r="R78" s="105">
        <v>0.45</v>
      </c>
      <c r="S78" s="116">
        <v>0.45</v>
      </c>
      <c r="T78" s="121">
        <v>1.33</v>
      </c>
      <c r="U78" s="115">
        <v>1.21</v>
      </c>
      <c r="V78" s="115">
        <v>1.1399999999999999</v>
      </c>
      <c r="W78" s="115">
        <v>1.0900000000000001</v>
      </c>
      <c r="X78" s="115">
        <v>1.06</v>
      </c>
      <c r="Y78" s="115">
        <v>1.03</v>
      </c>
      <c r="Z78" s="115">
        <v>1</v>
      </c>
      <c r="AA78" s="122">
        <v>1</v>
      </c>
      <c r="AB78" s="119">
        <v>0.83</v>
      </c>
      <c r="AC78" s="115">
        <v>0.75</v>
      </c>
      <c r="AD78" s="115">
        <v>0.69</v>
      </c>
      <c r="AE78" s="115">
        <v>0.65</v>
      </c>
      <c r="AF78" s="115">
        <v>0.62</v>
      </c>
      <c r="AG78" s="105">
        <v>0.59</v>
      </c>
      <c r="AH78" s="105">
        <v>0.55000000000000004</v>
      </c>
      <c r="AI78" s="120">
        <v>0.55000000000000004</v>
      </c>
    </row>
    <row r="79" spans="1:35" ht="47.25">
      <c r="A79" s="33" t="s">
        <v>1308</v>
      </c>
      <c r="B79" s="32" t="s">
        <v>1432</v>
      </c>
      <c r="C79" s="32" t="s">
        <v>1450</v>
      </c>
      <c r="D79" s="32">
        <v>1.08</v>
      </c>
      <c r="E79" s="32">
        <v>1.02</v>
      </c>
      <c r="F79" s="32">
        <v>0.94</v>
      </c>
      <c r="G79" s="112">
        <v>0.87</v>
      </c>
      <c r="H79" s="112">
        <v>0.85</v>
      </c>
      <c r="I79" s="112">
        <v>0.83</v>
      </c>
      <c r="J79" s="112">
        <v>0.8</v>
      </c>
      <c r="K79" s="112">
        <v>0.8</v>
      </c>
      <c r="L79" s="105">
        <v>0.63</v>
      </c>
      <c r="M79" s="105">
        <v>0.57999999999999996</v>
      </c>
      <c r="N79" s="105">
        <v>0.53</v>
      </c>
      <c r="O79" s="105">
        <v>0.49</v>
      </c>
      <c r="P79" s="105">
        <v>0.48</v>
      </c>
      <c r="Q79" s="105">
        <v>0.46</v>
      </c>
      <c r="R79" s="105">
        <v>0.45</v>
      </c>
      <c r="S79" s="116">
        <v>0.45</v>
      </c>
      <c r="T79" s="121">
        <v>1.33</v>
      </c>
      <c r="U79" s="115">
        <v>1.21</v>
      </c>
      <c r="V79" s="115">
        <v>1.1399999999999999</v>
      </c>
      <c r="W79" s="115">
        <v>1.0900000000000001</v>
      </c>
      <c r="X79" s="115">
        <v>1.06</v>
      </c>
      <c r="Y79" s="115">
        <v>1.03</v>
      </c>
      <c r="Z79" s="115">
        <v>1</v>
      </c>
      <c r="AA79" s="122">
        <v>1</v>
      </c>
      <c r="AB79" s="119">
        <v>0.83</v>
      </c>
      <c r="AC79" s="115">
        <v>0.75</v>
      </c>
      <c r="AD79" s="115">
        <v>0.69</v>
      </c>
      <c r="AE79" s="115">
        <v>0.65</v>
      </c>
      <c r="AF79" s="115">
        <v>0.62</v>
      </c>
      <c r="AG79" s="105">
        <v>0.59</v>
      </c>
      <c r="AH79" s="105">
        <v>0.55000000000000004</v>
      </c>
      <c r="AI79" s="120">
        <v>0.55000000000000004</v>
      </c>
    </row>
    <row r="80" spans="1:35" ht="47.25">
      <c r="A80" s="33" t="s">
        <v>1308</v>
      </c>
      <c r="B80" s="32" t="s">
        <v>1432</v>
      </c>
      <c r="C80" s="32" t="s">
        <v>1451</v>
      </c>
      <c r="D80" s="32">
        <v>1.08</v>
      </c>
      <c r="E80" s="32">
        <v>1.02</v>
      </c>
      <c r="F80" s="32">
        <v>0.94</v>
      </c>
      <c r="G80" s="112">
        <v>0.87</v>
      </c>
      <c r="H80" s="112">
        <v>0.85</v>
      </c>
      <c r="I80" s="112">
        <v>0.83</v>
      </c>
      <c r="J80" s="112">
        <v>0.8</v>
      </c>
      <c r="K80" s="112">
        <v>0.8</v>
      </c>
      <c r="L80" s="105">
        <v>0.63</v>
      </c>
      <c r="M80" s="105">
        <v>0.57999999999999996</v>
      </c>
      <c r="N80" s="105">
        <v>0.53</v>
      </c>
      <c r="O80" s="105">
        <v>0.49</v>
      </c>
      <c r="P80" s="105">
        <v>0.48</v>
      </c>
      <c r="Q80" s="105">
        <v>0.46</v>
      </c>
      <c r="R80" s="105">
        <v>0.45</v>
      </c>
      <c r="S80" s="116">
        <v>0.45</v>
      </c>
      <c r="T80" s="121">
        <v>1.33</v>
      </c>
      <c r="U80" s="115">
        <v>1.21</v>
      </c>
      <c r="V80" s="115">
        <v>1.1399999999999999</v>
      </c>
      <c r="W80" s="115">
        <v>1.0900000000000001</v>
      </c>
      <c r="X80" s="115">
        <v>1.06</v>
      </c>
      <c r="Y80" s="115">
        <v>1.03</v>
      </c>
      <c r="Z80" s="115">
        <v>1</v>
      </c>
      <c r="AA80" s="122">
        <v>1</v>
      </c>
      <c r="AB80" s="119">
        <v>0.83</v>
      </c>
      <c r="AC80" s="115">
        <v>0.75</v>
      </c>
      <c r="AD80" s="115">
        <v>0.69</v>
      </c>
      <c r="AE80" s="115">
        <v>0.65</v>
      </c>
      <c r="AF80" s="115">
        <v>0.62</v>
      </c>
      <c r="AG80" s="105">
        <v>0.59</v>
      </c>
      <c r="AH80" s="105">
        <v>0.55000000000000004</v>
      </c>
      <c r="AI80" s="120">
        <v>0.55000000000000004</v>
      </c>
    </row>
    <row r="81" spans="1:35" ht="47.25">
      <c r="A81" s="33" t="s">
        <v>1308</v>
      </c>
      <c r="B81" s="32" t="s">
        <v>1432</v>
      </c>
      <c r="C81" s="32" t="s">
        <v>1452</v>
      </c>
      <c r="D81" s="32">
        <v>1.08</v>
      </c>
      <c r="E81" s="32">
        <v>1.02</v>
      </c>
      <c r="F81" s="32">
        <v>0.94</v>
      </c>
      <c r="G81" s="112">
        <v>0.87</v>
      </c>
      <c r="H81" s="112">
        <v>0.85</v>
      </c>
      <c r="I81" s="112">
        <v>0.83</v>
      </c>
      <c r="J81" s="112">
        <v>0.8</v>
      </c>
      <c r="K81" s="112">
        <v>0.8</v>
      </c>
      <c r="L81" s="105">
        <v>0.63</v>
      </c>
      <c r="M81" s="105">
        <v>0.57999999999999996</v>
      </c>
      <c r="N81" s="105">
        <v>0.53</v>
      </c>
      <c r="O81" s="105">
        <v>0.49</v>
      </c>
      <c r="P81" s="105">
        <v>0.48</v>
      </c>
      <c r="Q81" s="105">
        <v>0.46</v>
      </c>
      <c r="R81" s="105">
        <v>0.45</v>
      </c>
      <c r="S81" s="116">
        <v>0.45</v>
      </c>
      <c r="T81" s="121">
        <v>1.33</v>
      </c>
      <c r="U81" s="115">
        <v>1.21</v>
      </c>
      <c r="V81" s="115">
        <v>1.1399999999999999</v>
      </c>
      <c r="W81" s="115">
        <v>1.0900000000000001</v>
      </c>
      <c r="X81" s="115">
        <v>1.06</v>
      </c>
      <c r="Y81" s="115">
        <v>1.03</v>
      </c>
      <c r="Z81" s="115">
        <v>1</v>
      </c>
      <c r="AA81" s="122">
        <v>1</v>
      </c>
      <c r="AB81" s="119">
        <v>0.83</v>
      </c>
      <c r="AC81" s="115">
        <v>0.75</v>
      </c>
      <c r="AD81" s="115">
        <v>0.69</v>
      </c>
      <c r="AE81" s="115">
        <v>0.65</v>
      </c>
      <c r="AF81" s="115">
        <v>0.62</v>
      </c>
      <c r="AG81" s="105">
        <v>0.59</v>
      </c>
      <c r="AH81" s="105">
        <v>0.55000000000000004</v>
      </c>
      <c r="AI81" s="120">
        <v>0.55000000000000004</v>
      </c>
    </row>
    <row r="82" spans="1:35" ht="47.25">
      <c r="A82" s="33" t="s">
        <v>1308</v>
      </c>
      <c r="B82" s="32" t="s">
        <v>1432</v>
      </c>
      <c r="C82" s="32" t="s">
        <v>1453</v>
      </c>
      <c r="D82" s="32">
        <v>1.08</v>
      </c>
      <c r="E82" s="32">
        <v>1.02</v>
      </c>
      <c r="F82" s="32">
        <v>0.94</v>
      </c>
      <c r="G82" s="112">
        <v>0.87</v>
      </c>
      <c r="H82" s="112">
        <v>0.85</v>
      </c>
      <c r="I82" s="112">
        <v>0.83</v>
      </c>
      <c r="J82" s="112">
        <v>0.8</v>
      </c>
      <c r="K82" s="112">
        <v>0.8</v>
      </c>
      <c r="L82" s="105">
        <v>0.63</v>
      </c>
      <c r="M82" s="105">
        <v>0.57999999999999996</v>
      </c>
      <c r="N82" s="105">
        <v>0.53</v>
      </c>
      <c r="O82" s="105">
        <v>0.49</v>
      </c>
      <c r="P82" s="105">
        <v>0.48</v>
      </c>
      <c r="Q82" s="105">
        <v>0.46</v>
      </c>
      <c r="R82" s="105">
        <v>0.45</v>
      </c>
      <c r="S82" s="116">
        <v>0.45</v>
      </c>
      <c r="T82" s="121">
        <v>1.33</v>
      </c>
      <c r="U82" s="115">
        <v>1.21</v>
      </c>
      <c r="V82" s="115">
        <v>1.1399999999999999</v>
      </c>
      <c r="W82" s="115">
        <v>1.0900000000000001</v>
      </c>
      <c r="X82" s="115">
        <v>1.06</v>
      </c>
      <c r="Y82" s="115">
        <v>1.03</v>
      </c>
      <c r="Z82" s="115">
        <v>1</v>
      </c>
      <c r="AA82" s="122">
        <v>1</v>
      </c>
      <c r="AB82" s="119">
        <v>0.83</v>
      </c>
      <c r="AC82" s="115">
        <v>0.75</v>
      </c>
      <c r="AD82" s="115">
        <v>0.69</v>
      </c>
      <c r="AE82" s="115">
        <v>0.65</v>
      </c>
      <c r="AF82" s="115">
        <v>0.62</v>
      </c>
      <c r="AG82" s="105">
        <v>0.59</v>
      </c>
      <c r="AH82" s="105">
        <v>0.55000000000000004</v>
      </c>
      <c r="AI82" s="120">
        <v>0.55000000000000004</v>
      </c>
    </row>
    <row r="83" spans="1:35" ht="47.25">
      <c r="A83" s="33" t="s">
        <v>1308</v>
      </c>
      <c r="B83" s="32" t="s">
        <v>1432</v>
      </c>
      <c r="C83" s="32" t="s">
        <v>1454</v>
      </c>
      <c r="D83" s="32">
        <v>1.08</v>
      </c>
      <c r="E83" s="32">
        <v>1.02</v>
      </c>
      <c r="F83" s="32">
        <v>0.94</v>
      </c>
      <c r="G83" s="112">
        <v>0.87</v>
      </c>
      <c r="H83" s="112">
        <v>0.85</v>
      </c>
      <c r="I83" s="112">
        <v>0.83</v>
      </c>
      <c r="J83" s="112">
        <v>0.8</v>
      </c>
      <c r="K83" s="112">
        <v>0.8</v>
      </c>
      <c r="L83" s="105">
        <v>0.63</v>
      </c>
      <c r="M83" s="105">
        <v>0.57999999999999996</v>
      </c>
      <c r="N83" s="105">
        <v>0.53</v>
      </c>
      <c r="O83" s="105">
        <v>0.49</v>
      </c>
      <c r="P83" s="105">
        <v>0.48</v>
      </c>
      <c r="Q83" s="105">
        <v>0.46</v>
      </c>
      <c r="R83" s="105">
        <v>0.45</v>
      </c>
      <c r="S83" s="116">
        <v>0.45</v>
      </c>
      <c r="T83" s="121">
        <v>1.33</v>
      </c>
      <c r="U83" s="115">
        <v>1.21</v>
      </c>
      <c r="V83" s="115">
        <v>1.1399999999999999</v>
      </c>
      <c r="W83" s="115">
        <v>1.0900000000000001</v>
      </c>
      <c r="X83" s="115">
        <v>1.06</v>
      </c>
      <c r="Y83" s="115">
        <v>1.03</v>
      </c>
      <c r="Z83" s="115">
        <v>1</v>
      </c>
      <c r="AA83" s="122">
        <v>1</v>
      </c>
      <c r="AB83" s="119">
        <v>0.83</v>
      </c>
      <c r="AC83" s="115">
        <v>0.75</v>
      </c>
      <c r="AD83" s="115">
        <v>0.69</v>
      </c>
      <c r="AE83" s="115">
        <v>0.65</v>
      </c>
      <c r="AF83" s="115">
        <v>0.62</v>
      </c>
      <c r="AG83" s="105">
        <v>0.59</v>
      </c>
      <c r="AH83" s="105">
        <v>0.55000000000000004</v>
      </c>
      <c r="AI83" s="120">
        <v>0.55000000000000004</v>
      </c>
    </row>
    <row r="84" spans="1:35" ht="47.25">
      <c r="A84" s="33" t="s">
        <v>1308</v>
      </c>
      <c r="B84" s="32" t="s">
        <v>1455</v>
      </c>
      <c r="C84" s="32" t="s">
        <v>1456</v>
      </c>
      <c r="D84" s="32">
        <v>1.08</v>
      </c>
      <c r="E84" s="32">
        <v>1.02</v>
      </c>
      <c r="F84" s="32">
        <v>0.94</v>
      </c>
      <c r="G84" s="112">
        <v>0.87</v>
      </c>
      <c r="H84" s="112">
        <v>0.85</v>
      </c>
      <c r="I84" s="112">
        <v>0.83</v>
      </c>
      <c r="J84" s="112">
        <v>0.8</v>
      </c>
      <c r="K84" s="112">
        <v>0.8</v>
      </c>
      <c r="L84" s="105">
        <v>0.63</v>
      </c>
      <c r="M84" s="105">
        <v>0.57999999999999996</v>
      </c>
      <c r="N84" s="105">
        <v>0.53</v>
      </c>
      <c r="O84" s="105">
        <v>0.49</v>
      </c>
      <c r="P84" s="105">
        <v>0.48</v>
      </c>
      <c r="Q84" s="105">
        <v>0.46</v>
      </c>
      <c r="R84" s="105">
        <v>0.45</v>
      </c>
      <c r="S84" s="116">
        <v>0.45</v>
      </c>
      <c r="T84" s="121">
        <v>1.33</v>
      </c>
      <c r="U84" s="115">
        <v>1.21</v>
      </c>
      <c r="V84" s="115">
        <v>1.1399999999999999</v>
      </c>
      <c r="W84" s="115">
        <v>1.0900000000000001</v>
      </c>
      <c r="X84" s="115">
        <v>1.06</v>
      </c>
      <c r="Y84" s="115">
        <v>1.03</v>
      </c>
      <c r="Z84" s="115">
        <v>1</v>
      </c>
      <c r="AA84" s="122">
        <v>1</v>
      </c>
      <c r="AB84" s="119">
        <v>0.83</v>
      </c>
      <c r="AC84" s="115">
        <v>0.75</v>
      </c>
      <c r="AD84" s="115">
        <v>0.69</v>
      </c>
      <c r="AE84" s="115">
        <v>0.65</v>
      </c>
      <c r="AF84" s="115">
        <v>0.62</v>
      </c>
      <c r="AG84" s="105">
        <v>0.59</v>
      </c>
      <c r="AH84" s="105">
        <v>0.55000000000000004</v>
      </c>
      <c r="AI84" s="120">
        <v>0.55000000000000004</v>
      </c>
    </row>
    <row r="85" spans="1:35" ht="47.25">
      <c r="A85" s="33" t="s">
        <v>1308</v>
      </c>
      <c r="B85" s="32" t="s">
        <v>1455</v>
      </c>
      <c r="C85" s="32" t="s">
        <v>1457</v>
      </c>
      <c r="D85" s="32">
        <v>1.08</v>
      </c>
      <c r="E85" s="32">
        <v>1.02</v>
      </c>
      <c r="F85" s="32">
        <v>0.94</v>
      </c>
      <c r="G85" s="112">
        <v>0.87</v>
      </c>
      <c r="H85" s="112">
        <v>0.85</v>
      </c>
      <c r="I85" s="112">
        <v>0.83</v>
      </c>
      <c r="J85" s="112">
        <v>0.8</v>
      </c>
      <c r="K85" s="112">
        <v>0.8</v>
      </c>
      <c r="L85" s="105">
        <v>0.63</v>
      </c>
      <c r="M85" s="105">
        <v>0.57999999999999996</v>
      </c>
      <c r="N85" s="105">
        <v>0.53</v>
      </c>
      <c r="O85" s="105">
        <v>0.49</v>
      </c>
      <c r="P85" s="105">
        <v>0.48</v>
      </c>
      <c r="Q85" s="105">
        <v>0.46</v>
      </c>
      <c r="R85" s="105">
        <v>0.45</v>
      </c>
      <c r="S85" s="116">
        <v>0.45</v>
      </c>
      <c r="T85" s="121">
        <v>1.33</v>
      </c>
      <c r="U85" s="115">
        <v>1.21</v>
      </c>
      <c r="V85" s="115">
        <v>1.1399999999999999</v>
      </c>
      <c r="W85" s="115">
        <v>1.0900000000000001</v>
      </c>
      <c r="X85" s="115">
        <v>1.06</v>
      </c>
      <c r="Y85" s="115">
        <v>1.03</v>
      </c>
      <c r="Z85" s="115">
        <v>1</v>
      </c>
      <c r="AA85" s="122">
        <v>1</v>
      </c>
      <c r="AB85" s="119">
        <v>0.83</v>
      </c>
      <c r="AC85" s="115">
        <v>0.75</v>
      </c>
      <c r="AD85" s="115">
        <v>0.69</v>
      </c>
      <c r="AE85" s="115">
        <v>0.65</v>
      </c>
      <c r="AF85" s="115">
        <v>0.62</v>
      </c>
      <c r="AG85" s="105">
        <v>0.59</v>
      </c>
      <c r="AH85" s="105">
        <v>0.55000000000000004</v>
      </c>
      <c r="AI85" s="120">
        <v>0.55000000000000004</v>
      </c>
    </row>
    <row r="86" spans="1:35" ht="47.25">
      <c r="A86" s="33" t="s">
        <v>1308</v>
      </c>
      <c r="B86" s="32" t="s">
        <v>1455</v>
      </c>
      <c r="C86" s="32" t="s">
        <v>1458</v>
      </c>
      <c r="D86" s="32">
        <v>1.08</v>
      </c>
      <c r="E86" s="32">
        <v>1.02</v>
      </c>
      <c r="F86" s="32">
        <v>0.94</v>
      </c>
      <c r="G86" s="112">
        <v>0.87</v>
      </c>
      <c r="H86" s="112">
        <v>0.85</v>
      </c>
      <c r="I86" s="112">
        <v>0.83</v>
      </c>
      <c r="J86" s="112">
        <v>0.8</v>
      </c>
      <c r="K86" s="112">
        <v>0.8</v>
      </c>
      <c r="L86" s="105">
        <v>0.63</v>
      </c>
      <c r="M86" s="105">
        <v>0.57999999999999996</v>
      </c>
      <c r="N86" s="105">
        <v>0.53</v>
      </c>
      <c r="O86" s="105">
        <v>0.49</v>
      </c>
      <c r="P86" s="105">
        <v>0.48</v>
      </c>
      <c r="Q86" s="105">
        <v>0.46</v>
      </c>
      <c r="R86" s="105">
        <v>0.45</v>
      </c>
      <c r="S86" s="116">
        <v>0.45</v>
      </c>
      <c r="T86" s="121">
        <v>1.33</v>
      </c>
      <c r="U86" s="115">
        <v>1.21</v>
      </c>
      <c r="V86" s="115">
        <v>1.1399999999999999</v>
      </c>
      <c r="W86" s="115">
        <v>1.0900000000000001</v>
      </c>
      <c r="X86" s="115">
        <v>1.06</v>
      </c>
      <c r="Y86" s="115">
        <v>1.03</v>
      </c>
      <c r="Z86" s="115">
        <v>1</v>
      </c>
      <c r="AA86" s="122">
        <v>1</v>
      </c>
      <c r="AB86" s="119">
        <v>0.83</v>
      </c>
      <c r="AC86" s="115">
        <v>0.75</v>
      </c>
      <c r="AD86" s="115">
        <v>0.69</v>
      </c>
      <c r="AE86" s="115">
        <v>0.65</v>
      </c>
      <c r="AF86" s="115">
        <v>0.62</v>
      </c>
      <c r="AG86" s="105">
        <v>0.59</v>
      </c>
      <c r="AH86" s="105">
        <v>0.55000000000000004</v>
      </c>
      <c r="AI86" s="120">
        <v>0.55000000000000004</v>
      </c>
    </row>
    <row r="87" spans="1:35" ht="47.25">
      <c r="A87" s="33" t="s">
        <v>1308</v>
      </c>
      <c r="B87" s="32" t="s">
        <v>1455</v>
      </c>
      <c r="C87" s="32" t="s">
        <v>1459</v>
      </c>
      <c r="D87" s="32">
        <v>1.08</v>
      </c>
      <c r="E87" s="32">
        <v>1.02</v>
      </c>
      <c r="F87" s="32">
        <v>0.94</v>
      </c>
      <c r="G87" s="112">
        <v>0.87</v>
      </c>
      <c r="H87" s="112">
        <v>0.85</v>
      </c>
      <c r="I87" s="112">
        <v>0.83</v>
      </c>
      <c r="J87" s="112">
        <v>0.8</v>
      </c>
      <c r="K87" s="112">
        <v>0.8</v>
      </c>
      <c r="L87" s="105">
        <v>0.63</v>
      </c>
      <c r="M87" s="105">
        <v>0.57999999999999996</v>
      </c>
      <c r="N87" s="105">
        <v>0.53</v>
      </c>
      <c r="O87" s="105">
        <v>0.49</v>
      </c>
      <c r="P87" s="105">
        <v>0.48</v>
      </c>
      <c r="Q87" s="105">
        <v>0.46</v>
      </c>
      <c r="R87" s="105">
        <v>0.45</v>
      </c>
      <c r="S87" s="116">
        <v>0.45</v>
      </c>
      <c r="T87" s="121">
        <v>1.33</v>
      </c>
      <c r="U87" s="115">
        <v>1.21</v>
      </c>
      <c r="V87" s="115">
        <v>1.1399999999999999</v>
      </c>
      <c r="W87" s="115">
        <v>1.0900000000000001</v>
      </c>
      <c r="X87" s="115">
        <v>1.06</v>
      </c>
      <c r="Y87" s="115">
        <v>1.03</v>
      </c>
      <c r="Z87" s="115">
        <v>1</v>
      </c>
      <c r="AA87" s="122">
        <v>1</v>
      </c>
      <c r="AB87" s="119">
        <v>0.83</v>
      </c>
      <c r="AC87" s="115">
        <v>0.75</v>
      </c>
      <c r="AD87" s="115">
        <v>0.69</v>
      </c>
      <c r="AE87" s="115">
        <v>0.65</v>
      </c>
      <c r="AF87" s="115">
        <v>0.62</v>
      </c>
      <c r="AG87" s="105">
        <v>0.59</v>
      </c>
      <c r="AH87" s="105">
        <v>0.55000000000000004</v>
      </c>
      <c r="AI87" s="120">
        <v>0.55000000000000004</v>
      </c>
    </row>
    <row r="88" spans="1:35" ht="47.25">
      <c r="A88" s="33" t="s">
        <v>1308</v>
      </c>
      <c r="B88" s="32" t="s">
        <v>1455</v>
      </c>
      <c r="C88" s="32" t="s">
        <v>1460</v>
      </c>
      <c r="D88" s="32">
        <v>1.08</v>
      </c>
      <c r="E88" s="32">
        <v>1.02</v>
      </c>
      <c r="F88" s="32">
        <v>0.94</v>
      </c>
      <c r="G88" s="112">
        <v>0.87</v>
      </c>
      <c r="H88" s="112">
        <v>0.85</v>
      </c>
      <c r="I88" s="112">
        <v>0.83</v>
      </c>
      <c r="J88" s="112">
        <v>0.8</v>
      </c>
      <c r="K88" s="112">
        <v>0.8</v>
      </c>
      <c r="L88" s="105">
        <v>0.63</v>
      </c>
      <c r="M88" s="105">
        <v>0.57999999999999996</v>
      </c>
      <c r="N88" s="105">
        <v>0.53</v>
      </c>
      <c r="O88" s="105">
        <v>0.49</v>
      </c>
      <c r="P88" s="105">
        <v>0.48</v>
      </c>
      <c r="Q88" s="105">
        <v>0.46</v>
      </c>
      <c r="R88" s="105">
        <v>0.45</v>
      </c>
      <c r="S88" s="116">
        <v>0.45</v>
      </c>
      <c r="T88" s="121">
        <v>1.33</v>
      </c>
      <c r="U88" s="115">
        <v>1.21</v>
      </c>
      <c r="V88" s="115">
        <v>1.1399999999999999</v>
      </c>
      <c r="W88" s="115">
        <v>1.0900000000000001</v>
      </c>
      <c r="X88" s="115">
        <v>1.06</v>
      </c>
      <c r="Y88" s="115">
        <v>1.03</v>
      </c>
      <c r="Z88" s="115">
        <v>1</v>
      </c>
      <c r="AA88" s="122">
        <v>1</v>
      </c>
      <c r="AB88" s="119">
        <v>0.83</v>
      </c>
      <c r="AC88" s="115">
        <v>0.75</v>
      </c>
      <c r="AD88" s="115">
        <v>0.69</v>
      </c>
      <c r="AE88" s="115">
        <v>0.65</v>
      </c>
      <c r="AF88" s="115">
        <v>0.62</v>
      </c>
      <c r="AG88" s="105">
        <v>0.59</v>
      </c>
      <c r="AH88" s="105">
        <v>0.55000000000000004</v>
      </c>
      <c r="AI88" s="120">
        <v>0.55000000000000004</v>
      </c>
    </row>
    <row r="89" spans="1:35" ht="47.25">
      <c r="A89" s="33" t="s">
        <v>1308</v>
      </c>
      <c r="B89" s="32" t="s">
        <v>1455</v>
      </c>
      <c r="C89" s="32" t="s">
        <v>1471</v>
      </c>
      <c r="D89" s="32">
        <v>1.08</v>
      </c>
      <c r="E89" s="32">
        <v>1.02</v>
      </c>
      <c r="F89" s="32">
        <v>0.94</v>
      </c>
      <c r="G89" s="112">
        <v>0.87</v>
      </c>
      <c r="H89" s="112">
        <v>0.85</v>
      </c>
      <c r="I89" s="112">
        <v>0.83</v>
      </c>
      <c r="J89" s="112">
        <v>0.8</v>
      </c>
      <c r="K89" s="112">
        <v>0.8</v>
      </c>
      <c r="L89" s="105">
        <v>0.63</v>
      </c>
      <c r="M89" s="105">
        <v>0.57999999999999996</v>
      </c>
      <c r="N89" s="105">
        <v>0.53</v>
      </c>
      <c r="O89" s="105">
        <v>0.49</v>
      </c>
      <c r="P89" s="105">
        <v>0.48</v>
      </c>
      <c r="Q89" s="105">
        <v>0.46</v>
      </c>
      <c r="R89" s="105">
        <v>0.45</v>
      </c>
      <c r="S89" s="116">
        <v>0.45</v>
      </c>
      <c r="T89" s="121">
        <v>1.33</v>
      </c>
      <c r="U89" s="115">
        <v>1.21</v>
      </c>
      <c r="V89" s="115">
        <v>1.1399999999999999</v>
      </c>
      <c r="W89" s="115">
        <v>1.0900000000000001</v>
      </c>
      <c r="X89" s="115">
        <v>1.06</v>
      </c>
      <c r="Y89" s="115">
        <v>1.03</v>
      </c>
      <c r="Z89" s="115">
        <v>1</v>
      </c>
      <c r="AA89" s="122">
        <v>1</v>
      </c>
      <c r="AB89" s="119">
        <v>0.83</v>
      </c>
      <c r="AC89" s="115">
        <v>0.75</v>
      </c>
      <c r="AD89" s="115">
        <v>0.69</v>
      </c>
      <c r="AE89" s="115">
        <v>0.65</v>
      </c>
      <c r="AF89" s="115">
        <v>0.62</v>
      </c>
      <c r="AG89" s="105">
        <v>0.59</v>
      </c>
      <c r="AH89" s="105">
        <v>0.55000000000000004</v>
      </c>
      <c r="AI89" s="120">
        <v>0.55000000000000004</v>
      </c>
    </row>
    <row r="90" spans="1:35" ht="47.25">
      <c r="A90" s="33" t="s">
        <v>1308</v>
      </c>
      <c r="B90" s="32" t="s">
        <v>1455</v>
      </c>
      <c r="C90" s="32" t="s">
        <v>1472</v>
      </c>
      <c r="D90" s="32">
        <v>1.08</v>
      </c>
      <c r="E90" s="32">
        <v>1.02</v>
      </c>
      <c r="F90" s="32">
        <v>0.94</v>
      </c>
      <c r="G90" s="112">
        <v>0.87</v>
      </c>
      <c r="H90" s="112">
        <v>0.85</v>
      </c>
      <c r="I90" s="112">
        <v>0.83</v>
      </c>
      <c r="J90" s="112">
        <v>0.8</v>
      </c>
      <c r="K90" s="112">
        <v>0.8</v>
      </c>
      <c r="L90" s="105">
        <v>0.63</v>
      </c>
      <c r="M90" s="105">
        <v>0.57999999999999996</v>
      </c>
      <c r="N90" s="105">
        <v>0.53</v>
      </c>
      <c r="O90" s="105">
        <v>0.49</v>
      </c>
      <c r="P90" s="105">
        <v>0.48</v>
      </c>
      <c r="Q90" s="105">
        <v>0.46</v>
      </c>
      <c r="R90" s="105">
        <v>0.45</v>
      </c>
      <c r="S90" s="116">
        <v>0.45</v>
      </c>
      <c r="T90" s="121">
        <v>1.33</v>
      </c>
      <c r="U90" s="115">
        <v>1.21</v>
      </c>
      <c r="V90" s="115">
        <v>1.1399999999999999</v>
      </c>
      <c r="W90" s="115">
        <v>1.0900000000000001</v>
      </c>
      <c r="X90" s="115">
        <v>1.06</v>
      </c>
      <c r="Y90" s="115">
        <v>1.03</v>
      </c>
      <c r="Z90" s="115">
        <v>1</v>
      </c>
      <c r="AA90" s="122">
        <v>1</v>
      </c>
      <c r="AB90" s="119">
        <v>0.83</v>
      </c>
      <c r="AC90" s="115">
        <v>0.75</v>
      </c>
      <c r="AD90" s="115">
        <v>0.69</v>
      </c>
      <c r="AE90" s="115">
        <v>0.65</v>
      </c>
      <c r="AF90" s="115">
        <v>0.62</v>
      </c>
      <c r="AG90" s="105">
        <v>0.59</v>
      </c>
      <c r="AH90" s="105">
        <v>0.55000000000000004</v>
      </c>
      <c r="AI90" s="120">
        <v>0.55000000000000004</v>
      </c>
    </row>
    <row r="91" spans="1:35" ht="47.25">
      <c r="A91" s="33" t="s">
        <v>1308</v>
      </c>
      <c r="B91" s="32" t="s">
        <v>1455</v>
      </c>
      <c r="C91" s="32" t="s">
        <v>1461</v>
      </c>
      <c r="D91" s="32">
        <v>1.08</v>
      </c>
      <c r="E91" s="32">
        <v>1.02</v>
      </c>
      <c r="F91" s="32">
        <v>0.94</v>
      </c>
      <c r="G91" s="112">
        <v>0.87</v>
      </c>
      <c r="H91" s="112">
        <v>0.85</v>
      </c>
      <c r="I91" s="112">
        <v>0.83</v>
      </c>
      <c r="J91" s="112">
        <v>0.8</v>
      </c>
      <c r="K91" s="112">
        <v>0.8</v>
      </c>
      <c r="L91" s="105">
        <v>0.63</v>
      </c>
      <c r="M91" s="105">
        <v>0.57999999999999996</v>
      </c>
      <c r="N91" s="105">
        <v>0.53</v>
      </c>
      <c r="O91" s="105">
        <v>0.49</v>
      </c>
      <c r="P91" s="105">
        <v>0.48</v>
      </c>
      <c r="Q91" s="105">
        <v>0.46</v>
      </c>
      <c r="R91" s="105">
        <v>0.45</v>
      </c>
      <c r="S91" s="116">
        <v>0.45</v>
      </c>
      <c r="T91" s="121">
        <v>1.33</v>
      </c>
      <c r="U91" s="115">
        <v>1.21</v>
      </c>
      <c r="V91" s="115">
        <v>1.1399999999999999</v>
      </c>
      <c r="W91" s="115">
        <v>1.0900000000000001</v>
      </c>
      <c r="X91" s="115">
        <v>1.06</v>
      </c>
      <c r="Y91" s="115">
        <v>1.03</v>
      </c>
      <c r="Z91" s="115">
        <v>1</v>
      </c>
      <c r="AA91" s="122">
        <v>1</v>
      </c>
      <c r="AB91" s="119">
        <v>0.83</v>
      </c>
      <c r="AC91" s="115">
        <v>0.75</v>
      </c>
      <c r="AD91" s="115">
        <v>0.69</v>
      </c>
      <c r="AE91" s="115">
        <v>0.65</v>
      </c>
      <c r="AF91" s="115">
        <v>0.62</v>
      </c>
      <c r="AG91" s="105">
        <v>0.59</v>
      </c>
      <c r="AH91" s="105">
        <v>0.55000000000000004</v>
      </c>
      <c r="AI91" s="120">
        <v>0.55000000000000004</v>
      </c>
    </row>
    <row r="92" spans="1:35" ht="47.25">
      <c r="A92" s="33" t="s">
        <v>1308</v>
      </c>
      <c r="B92" s="32" t="s">
        <v>1455</v>
      </c>
      <c r="C92" s="32" t="s">
        <v>1462</v>
      </c>
      <c r="D92" s="32">
        <v>1.08</v>
      </c>
      <c r="E92" s="32">
        <v>1.02</v>
      </c>
      <c r="F92" s="32">
        <v>0.94</v>
      </c>
      <c r="G92" s="112">
        <v>0.87</v>
      </c>
      <c r="H92" s="112">
        <v>0.85</v>
      </c>
      <c r="I92" s="112">
        <v>0.83</v>
      </c>
      <c r="J92" s="112">
        <v>0.8</v>
      </c>
      <c r="K92" s="112">
        <v>0.8</v>
      </c>
      <c r="L92" s="105">
        <v>0.63</v>
      </c>
      <c r="M92" s="105">
        <v>0.57999999999999996</v>
      </c>
      <c r="N92" s="105">
        <v>0.53</v>
      </c>
      <c r="O92" s="105">
        <v>0.49</v>
      </c>
      <c r="P92" s="105">
        <v>0.48</v>
      </c>
      <c r="Q92" s="105">
        <v>0.46</v>
      </c>
      <c r="R92" s="105">
        <v>0.45</v>
      </c>
      <c r="S92" s="116">
        <v>0.45</v>
      </c>
      <c r="T92" s="121">
        <v>1.33</v>
      </c>
      <c r="U92" s="115">
        <v>1.21</v>
      </c>
      <c r="V92" s="115">
        <v>1.1399999999999999</v>
      </c>
      <c r="W92" s="115">
        <v>1.0900000000000001</v>
      </c>
      <c r="X92" s="115">
        <v>1.06</v>
      </c>
      <c r="Y92" s="115">
        <v>1.03</v>
      </c>
      <c r="Z92" s="115">
        <v>1</v>
      </c>
      <c r="AA92" s="122">
        <v>1</v>
      </c>
      <c r="AB92" s="119">
        <v>0.83</v>
      </c>
      <c r="AC92" s="115">
        <v>0.75</v>
      </c>
      <c r="AD92" s="115">
        <v>0.69</v>
      </c>
      <c r="AE92" s="115">
        <v>0.65</v>
      </c>
      <c r="AF92" s="115">
        <v>0.62</v>
      </c>
      <c r="AG92" s="105">
        <v>0.59</v>
      </c>
      <c r="AH92" s="105">
        <v>0.55000000000000004</v>
      </c>
      <c r="AI92" s="120">
        <v>0.55000000000000004</v>
      </c>
    </row>
    <row r="93" spans="1:35" ht="47.25">
      <c r="A93" s="33" t="s">
        <v>1308</v>
      </c>
      <c r="B93" s="32" t="s">
        <v>1455</v>
      </c>
      <c r="C93" s="32" t="s">
        <v>1463</v>
      </c>
      <c r="D93" s="32">
        <v>1.08</v>
      </c>
      <c r="E93" s="32">
        <v>1.02</v>
      </c>
      <c r="F93" s="32">
        <v>0.94</v>
      </c>
      <c r="G93" s="112">
        <v>0.87</v>
      </c>
      <c r="H93" s="112">
        <v>0.85</v>
      </c>
      <c r="I93" s="112">
        <v>0.83</v>
      </c>
      <c r="J93" s="112">
        <v>0.8</v>
      </c>
      <c r="K93" s="112">
        <v>0.8</v>
      </c>
      <c r="L93" s="105">
        <v>0.63</v>
      </c>
      <c r="M93" s="105">
        <v>0.57999999999999996</v>
      </c>
      <c r="N93" s="105">
        <v>0.53</v>
      </c>
      <c r="O93" s="105">
        <v>0.49</v>
      </c>
      <c r="P93" s="105">
        <v>0.48</v>
      </c>
      <c r="Q93" s="105">
        <v>0.46</v>
      </c>
      <c r="R93" s="105">
        <v>0.45</v>
      </c>
      <c r="S93" s="116">
        <v>0.45</v>
      </c>
      <c r="T93" s="121">
        <v>1.33</v>
      </c>
      <c r="U93" s="115">
        <v>1.21</v>
      </c>
      <c r="V93" s="115">
        <v>1.1399999999999999</v>
      </c>
      <c r="W93" s="115">
        <v>1.0900000000000001</v>
      </c>
      <c r="X93" s="115">
        <v>1.06</v>
      </c>
      <c r="Y93" s="115">
        <v>1.03</v>
      </c>
      <c r="Z93" s="115">
        <v>1</v>
      </c>
      <c r="AA93" s="122">
        <v>1</v>
      </c>
      <c r="AB93" s="119">
        <v>0.83</v>
      </c>
      <c r="AC93" s="115">
        <v>0.75</v>
      </c>
      <c r="AD93" s="115">
        <v>0.69</v>
      </c>
      <c r="AE93" s="115">
        <v>0.65</v>
      </c>
      <c r="AF93" s="115">
        <v>0.62</v>
      </c>
      <c r="AG93" s="105">
        <v>0.59</v>
      </c>
      <c r="AH93" s="105">
        <v>0.55000000000000004</v>
      </c>
      <c r="AI93" s="120">
        <v>0.55000000000000004</v>
      </c>
    </row>
    <row r="94" spans="1:35" ht="47.25">
      <c r="A94" s="33" t="s">
        <v>1308</v>
      </c>
      <c r="B94" s="32" t="s">
        <v>1455</v>
      </c>
      <c r="C94" s="32" t="s">
        <v>1464</v>
      </c>
      <c r="D94" s="32">
        <v>1.08</v>
      </c>
      <c r="E94" s="32">
        <v>1.02</v>
      </c>
      <c r="F94" s="32">
        <v>0.94</v>
      </c>
      <c r="G94" s="112">
        <v>0.87</v>
      </c>
      <c r="H94" s="112">
        <v>0.85</v>
      </c>
      <c r="I94" s="112">
        <v>0.83</v>
      </c>
      <c r="J94" s="112">
        <v>0.8</v>
      </c>
      <c r="K94" s="112">
        <v>0.8</v>
      </c>
      <c r="L94" s="105">
        <v>0.63</v>
      </c>
      <c r="M94" s="105">
        <v>0.57999999999999996</v>
      </c>
      <c r="N94" s="105">
        <v>0.53</v>
      </c>
      <c r="O94" s="105">
        <v>0.49</v>
      </c>
      <c r="P94" s="105">
        <v>0.48</v>
      </c>
      <c r="Q94" s="105">
        <v>0.46</v>
      </c>
      <c r="R94" s="105">
        <v>0.45</v>
      </c>
      <c r="S94" s="116">
        <v>0.45</v>
      </c>
      <c r="T94" s="121">
        <v>1.33</v>
      </c>
      <c r="U94" s="115">
        <v>1.21</v>
      </c>
      <c r="V94" s="115">
        <v>1.1399999999999999</v>
      </c>
      <c r="W94" s="115">
        <v>1.0900000000000001</v>
      </c>
      <c r="X94" s="115">
        <v>1.06</v>
      </c>
      <c r="Y94" s="115">
        <v>1.03</v>
      </c>
      <c r="Z94" s="115">
        <v>1</v>
      </c>
      <c r="AA94" s="122">
        <v>1</v>
      </c>
      <c r="AB94" s="119">
        <v>0.83</v>
      </c>
      <c r="AC94" s="115">
        <v>0.75</v>
      </c>
      <c r="AD94" s="115">
        <v>0.69</v>
      </c>
      <c r="AE94" s="115">
        <v>0.65</v>
      </c>
      <c r="AF94" s="115">
        <v>0.62</v>
      </c>
      <c r="AG94" s="105">
        <v>0.59</v>
      </c>
      <c r="AH94" s="105">
        <v>0.55000000000000004</v>
      </c>
      <c r="AI94" s="120">
        <v>0.55000000000000004</v>
      </c>
    </row>
    <row r="95" spans="1:35" ht="47.25">
      <c r="A95" s="33" t="s">
        <v>1308</v>
      </c>
      <c r="B95" s="32" t="s">
        <v>1455</v>
      </c>
      <c r="C95" s="32" t="s">
        <v>1465</v>
      </c>
      <c r="D95" s="32">
        <v>1.08</v>
      </c>
      <c r="E95" s="32">
        <v>1.02</v>
      </c>
      <c r="F95" s="32">
        <v>0.94</v>
      </c>
      <c r="G95" s="112">
        <v>0.87</v>
      </c>
      <c r="H95" s="112">
        <v>0.85</v>
      </c>
      <c r="I95" s="112">
        <v>0.83</v>
      </c>
      <c r="J95" s="112">
        <v>0.8</v>
      </c>
      <c r="K95" s="112">
        <v>0.8</v>
      </c>
      <c r="L95" s="105">
        <v>0.63</v>
      </c>
      <c r="M95" s="105">
        <v>0.57999999999999996</v>
      </c>
      <c r="N95" s="105">
        <v>0.53</v>
      </c>
      <c r="O95" s="105">
        <v>0.49</v>
      </c>
      <c r="P95" s="105">
        <v>0.48</v>
      </c>
      <c r="Q95" s="105">
        <v>0.46</v>
      </c>
      <c r="R95" s="105">
        <v>0.45</v>
      </c>
      <c r="S95" s="116">
        <v>0.45</v>
      </c>
      <c r="T95" s="121">
        <v>1.33</v>
      </c>
      <c r="U95" s="115">
        <v>1.21</v>
      </c>
      <c r="V95" s="115">
        <v>1.1399999999999999</v>
      </c>
      <c r="W95" s="115">
        <v>1.0900000000000001</v>
      </c>
      <c r="X95" s="115">
        <v>1.06</v>
      </c>
      <c r="Y95" s="115">
        <v>1.03</v>
      </c>
      <c r="Z95" s="115">
        <v>1</v>
      </c>
      <c r="AA95" s="122">
        <v>1</v>
      </c>
      <c r="AB95" s="119">
        <v>0.83</v>
      </c>
      <c r="AC95" s="115">
        <v>0.75</v>
      </c>
      <c r="AD95" s="115">
        <v>0.69</v>
      </c>
      <c r="AE95" s="115">
        <v>0.65</v>
      </c>
      <c r="AF95" s="115">
        <v>0.62</v>
      </c>
      <c r="AG95" s="105">
        <v>0.59</v>
      </c>
      <c r="AH95" s="105">
        <v>0.55000000000000004</v>
      </c>
      <c r="AI95" s="120">
        <v>0.55000000000000004</v>
      </c>
    </row>
    <row r="96" spans="1:35" ht="47.25">
      <c r="A96" s="33" t="s">
        <v>1308</v>
      </c>
      <c r="B96" s="32" t="s">
        <v>1455</v>
      </c>
      <c r="C96" s="32" t="s">
        <v>1466</v>
      </c>
      <c r="D96" s="32">
        <v>1.08</v>
      </c>
      <c r="E96" s="32">
        <v>1.02</v>
      </c>
      <c r="F96" s="32">
        <v>0.94</v>
      </c>
      <c r="G96" s="112">
        <v>0.87</v>
      </c>
      <c r="H96" s="112">
        <v>0.85</v>
      </c>
      <c r="I96" s="112">
        <v>0.83</v>
      </c>
      <c r="J96" s="112">
        <v>0.8</v>
      </c>
      <c r="K96" s="112">
        <v>0.8</v>
      </c>
      <c r="L96" s="105">
        <v>0.63</v>
      </c>
      <c r="M96" s="105">
        <v>0.57999999999999996</v>
      </c>
      <c r="N96" s="105">
        <v>0.53</v>
      </c>
      <c r="O96" s="105">
        <v>0.49</v>
      </c>
      <c r="P96" s="105">
        <v>0.48</v>
      </c>
      <c r="Q96" s="105">
        <v>0.46</v>
      </c>
      <c r="R96" s="105">
        <v>0.45</v>
      </c>
      <c r="S96" s="116">
        <v>0.45</v>
      </c>
      <c r="T96" s="121">
        <v>1.33</v>
      </c>
      <c r="U96" s="115">
        <v>1.21</v>
      </c>
      <c r="V96" s="115">
        <v>1.1399999999999999</v>
      </c>
      <c r="W96" s="115">
        <v>1.0900000000000001</v>
      </c>
      <c r="X96" s="115">
        <v>1.06</v>
      </c>
      <c r="Y96" s="115">
        <v>1.03</v>
      </c>
      <c r="Z96" s="115">
        <v>1</v>
      </c>
      <c r="AA96" s="122">
        <v>1</v>
      </c>
      <c r="AB96" s="119">
        <v>0.83</v>
      </c>
      <c r="AC96" s="115">
        <v>0.75</v>
      </c>
      <c r="AD96" s="115">
        <v>0.69</v>
      </c>
      <c r="AE96" s="115">
        <v>0.65</v>
      </c>
      <c r="AF96" s="115">
        <v>0.62</v>
      </c>
      <c r="AG96" s="105">
        <v>0.59</v>
      </c>
      <c r="AH96" s="105">
        <v>0.55000000000000004</v>
      </c>
      <c r="AI96" s="120">
        <v>0.55000000000000004</v>
      </c>
    </row>
    <row r="97" spans="1:35" ht="47.25">
      <c r="A97" s="33" t="s">
        <v>1308</v>
      </c>
      <c r="B97" s="32" t="s">
        <v>1455</v>
      </c>
      <c r="C97" s="32" t="s">
        <v>1467</v>
      </c>
      <c r="D97" s="32">
        <v>1.08</v>
      </c>
      <c r="E97" s="32">
        <v>1.02</v>
      </c>
      <c r="F97" s="32">
        <v>0.94</v>
      </c>
      <c r="G97" s="112">
        <v>0.87</v>
      </c>
      <c r="H97" s="112">
        <v>0.85</v>
      </c>
      <c r="I97" s="112">
        <v>0.83</v>
      </c>
      <c r="J97" s="112">
        <v>0.8</v>
      </c>
      <c r="K97" s="112">
        <v>0.8</v>
      </c>
      <c r="L97" s="105">
        <v>0.63</v>
      </c>
      <c r="M97" s="105">
        <v>0.57999999999999996</v>
      </c>
      <c r="N97" s="105">
        <v>0.53</v>
      </c>
      <c r="O97" s="105">
        <v>0.49</v>
      </c>
      <c r="P97" s="105">
        <v>0.48</v>
      </c>
      <c r="Q97" s="105">
        <v>0.46</v>
      </c>
      <c r="R97" s="105">
        <v>0.45</v>
      </c>
      <c r="S97" s="116">
        <v>0.45</v>
      </c>
      <c r="T97" s="121">
        <v>1.33</v>
      </c>
      <c r="U97" s="115">
        <v>1.21</v>
      </c>
      <c r="V97" s="115">
        <v>1.1399999999999999</v>
      </c>
      <c r="W97" s="115">
        <v>1.0900000000000001</v>
      </c>
      <c r="X97" s="115">
        <v>1.06</v>
      </c>
      <c r="Y97" s="115">
        <v>1.03</v>
      </c>
      <c r="Z97" s="115">
        <v>1</v>
      </c>
      <c r="AA97" s="122">
        <v>1</v>
      </c>
      <c r="AB97" s="119">
        <v>0.83</v>
      </c>
      <c r="AC97" s="115">
        <v>0.75</v>
      </c>
      <c r="AD97" s="115">
        <v>0.69</v>
      </c>
      <c r="AE97" s="115">
        <v>0.65</v>
      </c>
      <c r="AF97" s="115">
        <v>0.62</v>
      </c>
      <c r="AG97" s="105">
        <v>0.59</v>
      </c>
      <c r="AH97" s="105">
        <v>0.55000000000000004</v>
      </c>
      <c r="AI97" s="120">
        <v>0.55000000000000004</v>
      </c>
    </row>
    <row r="98" spans="1:35" ht="47.25">
      <c r="A98" s="33" t="s">
        <v>1308</v>
      </c>
      <c r="B98" s="32" t="s">
        <v>1455</v>
      </c>
      <c r="C98" s="32" t="s">
        <v>1468</v>
      </c>
      <c r="D98" s="32">
        <v>1.08</v>
      </c>
      <c r="E98" s="32">
        <v>1.02</v>
      </c>
      <c r="F98" s="32">
        <v>0.94</v>
      </c>
      <c r="G98" s="112">
        <v>0.87</v>
      </c>
      <c r="H98" s="112">
        <v>0.85</v>
      </c>
      <c r="I98" s="112">
        <v>0.83</v>
      </c>
      <c r="J98" s="112">
        <v>0.8</v>
      </c>
      <c r="K98" s="112">
        <v>0.8</v>
      </c>
      <c r="L98" s="105">
        <v>0.63</v>
      </c>
      <c r="M98" s="105">
        <v>0.57999999999999996</v>
      </c>
      <c r="N98" s="105">
        <v>0.53</v>
      </c>
      <c r="O98" s="105">
        <v>0.49</v>
      </c>
      <c r="P98" s="105">
        <v>0.48</v>
      </c>
      <c r="Q98" s="105">
        <v>0.46</v>
      </c>
      <c r="R98" s="105">
        <v>0.45</v>
      </c>
      <c r="S98" s="116">
        <v>0.45</v>
      </c>
      <c r="T98" s="121">
        <v>1.33</v>
      </c>
      <c r="U98" s="115">
        <v>1.21</v>
      </c>
      <c r="V98" s="115">
        <v>1.1399999999999999</v>
      </c>
      <c r="W98" s="115">
        <v>1.0900000000000001</v>
      </c>
      <c r="X98" s="115">
        <v>1.06</v>
      </c>
      <c r="Y98" s="115">
        <v>1.03</v>
      </c>
      <c r="Z98" s="115">
        <v>1</v>
      </c>
      <c r="AA98" s="122">
        <v>1</v>
      </c>
      <c r="AB98" s="119">
        <v>0.83</v>
      </c>
      <c r="AC98" s="115">
        <v>0.75</v>
      </c>
      <c r="AD98" s="115">
        <v>0.69</v>
      </c>
      <c r="AE98" s="115">
        <v>0.65</v>
      </c>
      <c r="AF98" s="115">
        <v>0.62</v>
      </c>
      <c r="AG98" s="105">
        <v>0.59</v>
      </c>
      <c r="AH98" s="105">
        <v>0.55000000000000004</v>
      </c>
      <c r="AI98" s="120">
        <v>0.55000000000000004</v>
      </c>
    </row>
    <row r="99" spans="1:35" ht="47.25">
      <c r="A99" s="33" t="s">
        <v>1308</v>
      </c>
      <c r="B99" s="32" t="s">
        <v>1455</v>
      </c>
      <c r="C99" s="32" t="s">
        <v>1469</v>
      </c>
      <c r="D99" s="32">
        <v>1.08</v>
      </c>
      <c r="E99" s="32">
        <v>1.02</v>
      </c>
      <c r="F99" s="32">
        <v>0.94</v>
      </c>
      <c r="G99" s="112">
        <v>0.87</v>
      </c>
      <c r="H99" s="112">
        <v>0.85</v>
      </c>
      <c r="I99" s="112">
        <v>0.83</v>
      </c>
      <c r="J99" s="112">
        <v>0.8</v>
      </c>
      <c r="K99" s="112">
        <v>0.8</v>
      </c>
      <c r="L99" s="105">
        <v>0.63</v>
      </c>
      <c r="M99" s="105">
        <v>0.57999999999999996</v>
      </c>
      <c r="N99" s="105">
        <v>0.53</v>
      </c>
      <c r="O99" s="105">
        <v>0.49</v>
      </c>
      <c r="P99" s="105">
        <v>0.48</v>
      </c>
      <c r="Q99" s="105">
        <v>0.46</v>
      </c>
      <c r="R99" s="105">
        <v>0.45</v>
      </c>
      <c r="S99" s="116">
        <v>0.45</v>
      </c>
      <c r="T99" s="121">
        <v>1.33</v>
      </c>
      <c r="U99" s="115">
        <v>1.21</v>
      </c>
      <c r="V99" s="115">
        <v>1.1399999999999999</v>
      </c>
      <c r="W99" s="115">
        <v>1.0900000000000001</v>
      </c>
      <c r="X99" s="115">
        <v>1.06</v>
      </c>
      <c r="Y99" s="115">
        <v>1.03</v>
      </c>
      <c r="Z99" s="115">
        <v>1</v>
      </c>
      <c r="AA99" s="122">
        <v>1</v>
      </c>
      <c r="AB99" s="119">
        <v>0.83</v>
      </c>
      <c r="AC99" s="115">
        <v>0.75</v>
      </c>
      <c r="AD99" s="115">
        <v>0.69</v>
      </c>
      <c r="AE99" s="115">
        <v>0.65</v>
      </c>
      <c r="AF99" s="115">
        <v>0.62</v>
      </c>
      <c r="AG99" s="105">
        <v>0.59</v>
      </c>
      <c r="AH99" s="105">
        <v>0.55000000000000004</v>
      </c>
      <c r="AI99" s="120">
        <v>0.55000000000000004</v>
      </c>
    </row>
    <row r="100" spans="1:35" ht="47.25">
      <c r="A100" s="33" t="s">
        <v>1308</v>
      </c>
      <c r="B100" s="32" t="s">
        <v>1455</v>
      </c>
      <c r="C100" s="32" t="s">
        <v>1470</v>
      </c>
      <c r="D100" s="32">
        <v>1.08</v>
      </c>
      <c r="E100" s="32">
        <v>1.02</v>
      </c>
      <c r="F100" s="32">
        <v>0.94</v>
      </c>
      <c r="G100" s="112">
        <v>0.87</v>
      </c>
      <c r="H100" s="112">
        <v>0.85</v>
      </c>
      <c r="I100" s="112">
        <v>0.83</v>
      </c>
      <c r="J100" s="112">
        <v>0.8</v>
      </c>
      <c r="K100" s="112">
        <v>0.8</v>
      </c>
      <c r="L100" s="105">
        <v>0.63</v>
      </c>
      <c r="M100" s="105">
        <v>0.57999999999999996</v>
      </c>
      <c r="N100" s="105">
        <v>0.53</v>
      </c>
      <c r="O100" s="105">
        <v>0.49</v>
      </c>
      <c r="P100" s="105">
        <v>0.48</v>
      </c>
      <c r="Q100" s="105">
        <v>0.46</v>
      </c>
      <c r="R100" s="105">
        <v>0.45</v>
      </c>
      <c r="S100" s="116">
        <v>0.45</v>
      </c>
      <c r="T100" s="121">
        <v>1.33</v>
      </c>
      <c r="U100" s="115">
        <v>1.21</v>
      </c>
      <c r="V100" s="115">
        <v>1.1399999999999999</v>
      </c>
      <c r="W100" s="115">
        <v>1.0900000000000001</v>
      </c>
      <c r="X100" s="115">
        <v>1.06</v>
      </c>
      <c r="Y100" s="115">
        <v>1.03</v>
      </c>
      <c r="Z100" s="115">
        <v>1</v>
      </c>
      <c r="AA100" s="122">
        <v>1</v>
      </c>
      <c r="AB100" s="119">
        <v>0.83</v>
      </c>
      <c r="AC100" s="115">
        <v>0.75</v>
      </c>
      <c r="AD100" s="115">
        <v>0.69</v>
      </c>
      <c r="AE100" s="115">
        <v>0.65</v>
      </c>
      <c r="AF100" s="115">
        <v>0.62</v>
      </c>
      <c r="AG100" s="105">
        <v>0.59</v>
      </c>
      <c r="AH100" s="105">
        <v>0.55000000000000004</v>
      </c>
      <c r="AI100" s="120">
        <v>0.55000000000000004</v>
      </c>
    </row>
    <row r="101" spans="1:35" ht="47.25">
      <c r="A101" s="33" t="s">
        <v>1308</v>
      </c>
      <c r="B101" s="32" t="s">
        <v>1331</v>
      </c>
      <c r="C101" s="32" t="s">
        <v>1473</v>
      </c>
      <c r="D101" s="32">
        <v>1.08</v>
      </c>
      <c r="E101" s="32">
        <v>1.02</v>
      </c>
      <c r="F101" s="32">
        <v>0.94</v>
      </c>
      <c r="G101" s="112">
        <v>0.87</v>
      </c>
      <c r="H101" s="112">
        <v>0.85</v>
      </c>
      <c r="I101" s="112">
        <v>0.83</v>
      </c>
      <c r="J101" s="112">
        <v>0.8</v>
      </c>
      <c r="K101" s="112">
        <v>0.8</v>
      </c>
      <c r="L101" s="105">
        <v>0.63</v>
      </c>
      <c r="M101" s="105">
        <v>0.57999999999999996</v>
      </c>
      <c r="N101" s="105">
        <v>0.53</v>
      </c>
      <c r="O101" s="105">
        <v>0.49</v>
      </c>
      <c r="P101" s="105">
        <v>0.48</v>
      </c>
      <c r="Q101" s="105">
        <v>0.46</v>
      </c>
      <c r="R101" s="105">
        <v>0.45</v>
      </c>
      <c r="S101" s="116">
        <v>0.45</v>
      </c>
      <c r="T101" s="121">
        <v>1.33</v>
      </c>
      <c r="U101" s="115">
        <v>1.21</v>
      </c>
      <c r="V101" s="115">
        <v>1.1399999999999999</v>
      </c>
      <c r="W101" s="115">
        <v>1.0900000000000001</v>
      </c>
      <c r="X101" s="115">
        <v>1.06</v>
      </c>
      <c r="Y101" s="115">
        <v>1.03</v>
      </c>
      <c r="Z101" s="115">
        <v>1</v>
      </c>
      <c r="AA101" s="122">
        <v>1</v>
      </c>
      <c r="AB101" s="119">
        <v>0.83</v>
      </c>
      <c r="AC101" s="115">
        <v>0.75</v>
      </c>
      <c r="AD101" s="115">
        <v>0.69</v>
      </c>
      <c r="AE101" s="115">
        <v>0.65</v>
      </c>
      <c r="AF101" s="115">
        <v>0.62</v>
      </c>
      <c r="AG101" s="105">
        <v>0.59</v>
      </c>
      <c r="AH101" s="105">
        <v>0.55000000000000004</v>
      </c>
      <c r="AI101" s="120">
        <v>0.55000000000000004</v>
      </c>
    </row>
    <row r="102" spans="1:35" ht="47.25">
      <c r="A102" s="33" t="s">
        <v>1308</v>
      </c>
      <c r="B102" s="32" t="s">
        <v>1331</v>
      </c>
      <c r="C102" s="32" t="s">
        <v>1474</v>
      </c>
      <c r="D102" s="32">
        <v>1.08</v>
      </c>
      <c r="E102" s="32">
        <v>1.02</v>
      </c>
      <c r="F102" s="32">
        <v>0.94</v>
      </c>
      <c r="G102" s="112">
        <v>0.87</v>
      </c>
      <c r="H102" s="112">
        <v>0.85</v>
      </c>
      <c r="I102" s="112">
        <v>0.83</v>
      </c>
      <c r="J102" s="112">
        <v>0.8</v>
      </c>
      <c r="K102" s="112">
        <v>0.8</v>
      </c>
      <c r="L102" s="105">
        <v>0.63</v>
      </c>
      <c r="M102" s="105">
        <v>0.57999999999999996</v>
      </c>
      <c r="N102" s="105">
        <v>0.53</v>
      </c>
      <c r="O102" s="105">
        <v>0.49</v>
      </c>
      <c r="P102" s="105">
        <v>0.48</v>
      </c>
      <c r="Q102" s="105">
        <v>0.46</v>
      </c>
      <c r="R102" s="105">
        <v>0.45</v>
      </c>
      <c r="S102" s="116">
        <v>0.45</v>
      </c>
      <c r="T102" s="121">
        <v>1.33</v>
      </c>
      <c r="U102" s="115">
        <v>1.21</v>
      </c>
      <c r="V102" s="115">
        <v>1.1399999999999999</v>
      </c>
      <c r="W102" s="115">
        <v>1.0900000000000001</v>
      </c>
      <c r="X102" s="115">
        <v>1.06</v>
      </c>
      <c r="Y102" s="115">
        <v>1.03</v>
      </c>
      <c r="Z102" s="115">
        <v>1</v>
      </c>
      <c r="AA102" s="122">
        <v>1</v>
      </c>
      <c r="AB102" s="119">
        <v>0.83</v>
      </c>
      <c r="AC102" s="115">
        <v>0.75</v>
      </c>
      <c r="AD102" s="115">
        <v>0.69</v>
      </c>
      <c r="AE102" s="115">
        <v>0.65</v>
      </c>
      <c r="AF102" s="115">
        <v>0.62</v>
      </c>
      <c r="AG102" s="105">
        <v>0.59</v>
      </c>
      <c r="AH102" s="105">
        <v>0.55000000000000004</v>
      </c>
      <c r="AI102" s="120">
        <v>0.55000000000000004</v>
      </c>
    </row>
    <row r="103" spans="1:35" ht="47.25">
      <c r="A103" s="33" t="s">
        <v>1308</v>
      </c>
      <c r="B103" s="32" t="s">
        <v>1331</v>
      </c>
      <c r="C103" s="32" t="s">
        <v>1475</v>
      </c>
      <c r="D103" s="32">
        <v>1.08</v>
      </c>
      <c r="E103" s="32">
        <v>1.02</v>
      </c>
      <c r="F103" s="32">
        <v>0.94</v>
      </c>
      <c r="G103" s="112">
        <v>0.87</v>
      </c>
      <c r="H103" s="112">
        <v>0.85</v>
      </c>
      <c r="I103" s="112">
        <v>0.83</v>
      </c>
      <c r="J103" s="112">
        <v>0.8</v>
      </c>
      <c r="K103" s="112">
        <v>0.8</v>
      </c>
      <c r="L103" s="105">
        <v>0.63</v>
      </c>
      <c r="M103" s="105">
        <v>0.57999999999999996</v>
      </c>
      <c r="N103" s="105">
        <v>0.53</v>
      </c>
      <c r="O103" s="105">
        <v>0.49</v>
      </c>
      <c r="P103" s="105">
        <v>0.48</v>
      </c>
      <c r="Q103" s="105">
        <v>0.46</v>
      </c>
      <c r="R103" s="105">
        <v>0.45</v>
      </c>
      <c r="S103" s="116">
        <v>0.45</v>
      </c>
      <c r="T103" s="121">
        <v>1.33</v>
      </c>
      <c r="U103" s="115">
        <v>1.21</v>
      </c>
      <c r="V103" s="115">
        <v>1.1399999999999999</v>
      </c>
      <c r="W103" s="115">
        <v>1.0900000000000001</v>
      </c>
      <c r="X103" s="115">
        <v>1.06</v>
      </c>
      <c r="Y103" s="115">
        <v>1.03</v>
      </c>
      <c r="Z103" s="115">
        <v>1</v>
      </c>
      <c r="AA103" s="122">
        <v>1</v>
      </c>
      <c r="AB103" s="119">
        <v>0.83</v>
      </c>
      <c r="AC103" s="115">
        <v>0.75</v>
      </c>
      <c r="AD103" s="115">
        <v>0.69</v>
      </c>
      <c r="AE103" s="115">
        <v>0.65</v>
      </c>
      <c r="AF103" s="115">
        <v>0.62</v>
      </c>
      <c r="AG103" s="105">
        <v>0.59</v>
      </c>
      <c r="AH103" s="105">
        <v>0.55000000000000004</v>
      </c>
      <c r="AI103" s="120">
        <v>0.55000000000000004</v>
      </c>
    </row>
    <row r="104" spans="1:35" ht="47.25">
      <c r="A104" s="33" t="s">
        <v>1308</v>
      </c>
      <c r="B104" s="32" t="s">
        <v>1331</v>
      </c>
      <c r="C104" s="32" t="s">
        <v>1476</v>
      </c>
      <c r="D104" s="32">
        <v>1.08</v>
      </c>
      <c r="E104" s="32">
        <v>1.02</v>
      </c>
      <c r="F104" s="32">
        <v>0.94</v>
      </c>
      <c r="G104" s="112">
        <v>0.87</v>
      </c>
      <c r="H104" s="112">
        <v>0.85</v>
      </c>
      <c r="I104" s="112">
        <v>0.83</v>
      </c>
      <c r="J104" s="112">
        <v>0.8</v>
      </c>
      <c r="K104" s="112">
        <v>0.8</v>
      </c>
      <c r="L104" s="105">
        <v>0.63</v>
      </c>
      <c r="M104" s="105">
        <v>0.57999999999999996</v>
      </c>
      <c r="N104" s="105">
        <v>0.53</v>
      </c>
      <c r="O104" s="105">
        <v>0.49</v>
      </c>
      <c r="P104" s="105">
        <v>0.48</v>
      </c>
      <c r="Q104" s="105">
        <v>0.46</v>
      </c>
      <c r="R104" s="105">
        <v>0.45</v>
      </c>
      <c r="S104" s="116">
        <v>0.45</v>
      </c>
      <c r="T104" s="121">
        <v>1.33</v>
      </c>
      <c r="U104" s="115">
        <v>1.21</v>
      </c>
      <c r="V104" s="115">
        <v>1.1399999999999999</v>
      </c>
      <c r="W104" s="115">
        <v>1.0900000000000001</v>
      </c>
      <c r="X104" s="115">
        <v>1.06</v>
      </c>
      <c r="Y104" s="115">
        <v>1.03</v>
      </c>
      <c r="Z104" s="115">
        <v>1</v>
      </c>
      <c r="AA104" s="122">
        <v>1</v>
      </c>
      <c r="AB104" s="119">
        <v>0.83</v>
      </c>
      <c r="AC104" s="115">
        <v>0.75</v>
      </c>
      <c r="AD104" s="115">
        <v>0.69</v>
      </c>
      <c r="AE104" s="115">
        <v>0.65</v>
      </c>
      <c r="AF104" s="115">
        <v>0.62</v>
      </c>
      <c r="AG104" s="105">
        <v>0.59</v>
      </c>
      <c r="AH104" s="105">
        <v>0.55000000000000004</v>
      </c>
      <c r="AI104" s="120">
        <v>0.55000000000000004</v>
      </c>
    </row>
    <row r="105" spans="1:35" ht="47.25">
      <c r="A105" s="33" t="s">
        <v>1308</v>
      </c>
      <c r="B105" s="32" t="s">
        <v>1331</v>
      </c>
      <c r="C105" s="32" t="s">
        <v>1477</v>
      </c>
      <c r="D105" s="32">
        <v>1.08</v>
      </c>
      <c r="E105" s="32">
        <v>1.02</v>
      </c>
      <c r="F105" s="32">
        <v>0.94</v>
      </c>
      <c r="G105" s="112">
        <v>0.87</v>
      </c>
      <c r="H105" s="112">
        <v>0.85</v>
      </c>
      <c r="I105" s="112">
        <v>0.83</v>
      </c>
      <c r="J105" s="112">
        <v>0.8</v>
      </c>
      <c r="K105" s="112">
        <v>0.8</v>
      </c>
      <c r="L105" s="105">
        <v>0.63</v>
      </c>
      <c r="M105" s="105">
        <v>0.57999999999999996</v>
      </c>
      <c r="N105" s="105">
        <v>0.53</v>
      </c>
      <c r="O105" s="105">
        <v>0.49</v>
      </c>
      <c r="P105" s="105">
        <v>0.48</v>
      </c>
      <c r="Q105" s="105">
        <v>0.46</v>
      </c>
      <c r="R105" s="105">
        <v>0.45</v>
      </c>
      <c r="S105" s="116">
        <v>0.45</v>
      </c>
      <c r="T105" s="121">
        <v>1.33</v>
      </c>
      <c r="U105" s="115">
        <v>1.21</v>
      </c>
      <c r="V105" s="115">
        <v>1.1399999999999999</v>
      </c>
      <c r="W105" s="115">
        <v>1.0900000000000001</v>
      </c>
      <c r="X105" s="115">
        <v>1.06</v>
      </c>
      <c r="Y105" s="115">
        <v>1.03</v>
      </c>
      <c r="Z105" s="115">
        <v>1</v>
      </c>
      <c r="AA105" s="122">
        <v>1</v>
      </c>
      <c r="AB105" s="119">
        <v>0.83</v>
      </c>
      <c r="AC105" s="115">
        <v>0.75</v>
      </c>
      <c r="AD105" s="115">
        <v>0.69</v>
      </c>
      <c r="AE105" s="115">
        <v>0.65</v>
      </c>
      <c r="AF105" s="115">
        <v>0.62</v>
      </c>
      <c r="AG105" s="105">
        <v>0.59</v>
      </c>
      <c r="AH105" s="105">
        <v>0.55000000000000004</v>
      </c>
      <c r="AI105" s="120">
        <v>0.55000000000000004</v>
      </c>
    </row>
    <row r="106" spans="1:35" ht="47.25">
      <c r="A106" s="33" t="s">
        <v>1308</v>
      </c>
      <c r="B106" s="32" t="s">
        <v>1334</v>
      </c>
      <c r="C106" s="32" t="s">
        <v>1478</v>
      </c>
      <c r="D106" s="32">
        <v>1.08</v>
      </c>
      <c r="E106" s="32">
        <v>1.02</v>
      </c>
      <c r="F106" s="32">
        <v>0.94</v>
      </c>
      <c r="G106" s="112">
        <v>0.87</v>
      </c>
      <c r="H106" s="112">
        <v>0.85</v>
      </c>
      <c r="I106" s="112">
        <v>0.83</v>
      </c>
      <c r="J106" s="112">
        <v>0.8</v>
      </c>
      <c r="K106" s="112">
        <v>0.8</v>
      </c>
      <c r="L106" s="105">
        <v>0.63</v>
      </c>
      <c r="M106" s="105">
        <v>0.57999999999999996</v>
      </c>
      <c r="N106" s="105">
        <v>0.53</v>
      </c>
      <c r="O106" s="105">
        <v>0.49</v>
      </c>
      <c r="P106" s="105">
        <v>0.48</v>
      </c>
      <c r="Q106" s="105">
        <v>0.46</v>
      </c>
      <c r="R106" s="105">
        <v>0.45</v>
      </c>
      <c r="S106" s="116">
        <v>0.45</v>
      </c>
      <c r="T106" s="121">
        <v>1.33</v>
      </c>
      <c r="U106" s="115">
        <v>1.21</v>
      </c>
      <c r="V106" s="115">
        <v>1.1399999999999999</v>
      </c>
      <c r="W106" s="115">
        <v>1.0900000000000001</v>
      </c>
      <c r="X106" s="115">
        <v>1.06</v>
      </c>
      <c r="Y106" s="115">
        <v>1.03</v>
      </c>
      <c r="Z106" s="115">
        <v>1</v>
      </c>
      <c r="AA106" s="122">
        <v>1</v>
      </c>
      <c r="AB106" s="119">
        <v>0.83</v>
      </c>
      <c r="AC106" s="115">
        <v>0.75</v>
      </c>
      <c r="AD106" s="115">
        <v>0.69</v>
      </c>
      <c r="AE106" s="115">
        <v>0.65</v>
      </c>
      <c r="AF106" s="115">
        <v>0.62</v>
      </c>
      <c r="AG106" s="105">
        <v>0.59</v>
      </c>
      <c r="AH106" s="105">
        <v>0.55000000000000004</v>
      </c>
      <c r="AI106" s="120">
        <v>0.55000000000000004</v>
      </c>
    </row>
    <row r="107" spans="1:35" ht="47.25">
      <c r="A107" s="33" t="s">
        <v>1308</v>
      </c>
      <c r="B107" s="32" t="s">
        <v>1334</v>
      </c>
      <c r="C107" s="32" t="s">
        <v>1479</v>
      </c>
      <c r="D107" s="32">
        <v>1.08</v>
      </c>
      <c r="E107" s="32">
        <v>1.02</v>
      </c>
      <c r="F107" s="32">
        <v>0.94</v>
      </c>
      <c r="G107" s="112">
        <v>0.87</v>
      </c>
      <c r="H107" s="112">
        <v>0.85</v>
      </c>
      <c r="I107" s="112">
        <v>0.83</v>
      </c>
      <c r="J107" s="112">
        <v>0.8</v>
      </c>
      <c r="K107" s="112">
        <v>0.8</v>
      </c>
      <c r="L107" s="105">
        <v>0.63</v>
      </c>
      <c r="M107" s="105">
        <v>0.57999999999999996</v>
      </c>
      <c r="N107" s="105">
        <v>0.53</v>
      </c>
      <c r="O107" s="105">
        <v>0.49</v>
      </c>
      <c r="P107" s="105">
        <v>0.48</v>
      </c>
      <c r="Q107" s="105">
        <v>0.46</v>
      </c>
      <c r="R107" s="105">
        <v>0.45</v>
      </c>
      <c r="S107" s="116">
        <v>0.45</v>
      </c>
      <c r="T107" s="121">
        <v>1.33</v>
      </c>
      <c r="U107" s="115">
        <v>1.21</v>
      </c>
      <c r="V107" s="115">
        <v>1.1399999999999999</v>
      </c>
      <c r="W107" s="115">
        <v>1.0900000000000001</v>
      </c>
      <c r="X107" s="115">
        <v>1.06</v>
      </c>
      <c r="Y107" s="115">
        <v>1.03</v>
      </c>
      <c r="Z107" s="115">
        <v>1</v>
      </c>
      <c r="AA107" s="122">
        <v>1</v>
      </c>
      <c r="AB107" s="119">
        <v>0.83</v>
      </c>
      <c r="AC107" s="115">
        <v>0.75</v>
      </c>
      <c r="AD107" s="115">
        <v>0.69</v>
      </c>
      <c r="AE107" s="115">
        <v>0.65</v>
      </c>
      <c r="AF107" s="115">
        <v>0.62</v>
      </c>
      <c r="AG107" s="105">
        <v>0.59</v>
      </c>
      <c r="AH107" s="105">
        <v>0.55000000000000004</v>
      </c>
      <c r="AI107" s="120">
        <v>0.55000000000000004</v>
      </c>
    </row>
    <row r="108" spans="1:35" ht="47.25">
      <c r="A108" s="33" t="s">
        <v>1308</v>
      </c>
      <c r="B108" s="32" t="s">
        <v>1334</v>
      </c>
      <c r="C108" s="32" t="s">
        <v>1480</v>
      </c>
      <c r="D108" s="32">
        <v>1.08</v>
      </c>
      <c r="E108" s="32">
        <v>1.02</v>
      </c>
      <c r="F108" s="32">
        <v>0.94</v>
      </c>
      <c r="G108" s="112">
        <v>0.87</v>
      </c>
      <c r="H108" s="112">
        <v>0.85</v>
      </c>
      <c r="I108" s="112">
        <v>0.83</v>
      </c>
      <c r="J108" s="112">
        <v>0.8</v>
      </c>
      <c r="K108" s="112">
        <v>0.8</v>
      </c>
      <c r="L108" s="105">
        <v>0.63</v>
      </c>
      <c r="M108" s="105">
        <v>0.57999999999999996</v>
      </c>
      <c r="N108" s="105">
        <v>0.53</v>
      </c>
      <c r="O108" s="105">
        <v>0.49</v>
      </c>
      <c r="P108" s="105">
        <v>0.48</v>
      </c>
      <c r="Q108" s="105">
        <v>0.46</v>
      </c>
      <c r="R108" s="105">
        <v>0.45</v>
      </c>
      <c r="S108" s="116">
        <v>0.45</v>
      </c>
      <c r="T108" s="121">
        <v>1.33</v>
      </c>
      <c r="U108" s="115">
        <v>1.21</v>
      </c>
      <c r="V108" s="115">
        <v>1.1399999999999999</v>
      </c>
      <c r="W108" s="115">
        <v>1.0900000000000001</v>
      </c>
      <c r="X108" s="115">
        <v>1.06</v>
      </c>
      <c r="Y108" s="115">
        <v>1.03</v>
      </c>
      <c r="Z108" s="115">
        <v>1</v>
      </c>
      <c r="AA108" s="122">
        <v>1</v>
      </c>
      <c r="AB108" s="119">
        <v>0.83</v>
      </c>
      <c r="AC108" s="115">
        <v>0.75</v>
      </c>
      <c r="AD108" s="115">
        <v>0.69</v>
      </c>
      <c r="AE108" s="115">
        <v>0.65</v>
      </c>
      <c r="AF108" s="115">
        <v>0.62</v>
      </c>
      <c r="AG108" s="105">
        <v>0.59</v>
      </c>
      <c r="AH108" s="105">
        <v>0.55000000000000004</v>
      </c>
      <c r="AI108" s="120">
        <v>0.55000000000000004</v>
      </c>
    </row>
    <row r="109" spans="1:35" ht="47.25">
      <c r="A109" s="33" t="s">
        <v>1308</v>
      </c>
      <c r="B109" s="32" t="s">
        <v>1349</v>
      </c>
      <c r="C109" s="32" t="s">
        <v>1350</v>
      </c>
      <c r="D109" s="32">
        <v>1.08</v>
      </c>
      <c r="E109" s="32">
        <v>1.02</v>
      </c>
      <c r="F109" s="32">
        <v>0.94</v>
      </c>
      <c r="G109" s="112">
        <v>0.87</v>
      </c>
      <c r="H109" s="112">
        <v>0.85</v>
      </c>
      <c r="I109" s="112">
        <v>0.83</v>
      </c>
      <c r="J109" s="112">
        <v>0.8</v>
      </c>
      <c r="K109" s="113">
        <v>0.7</v>
      </c>
      <c r="L109" s="105">
        <v>0.63</v>
      </c>
      <c r="M109" s="105">
        <v>0.57999999999999996</v>
      </c>
      <c r="N109" s="105">
        <v>0.53</v>
      </c>
      <c r="O109" s="105">
        <v>0.49</v>
      </c>
      <c r="P109" s="105">
        <v>0.48</v>
      </c>
      <c r="Q109" s="105">
        <v>0.46</v>
      </c>
      <c r="R109" s="105">
        <v>0.45</v>
      </c>
      <c r="S109" s="117">
        <v>0.4</v>
      </c>
      <c r="T109" s="121">
        <v>1.33</v>
      </c>
      <c r="U109" s="115">
        <v>1.21</v>
      </c>
      <c r="V109" s="115">
        <v>1.1399999999999999</v>
      </c>
      <c r="W109" s="115">
        <v>1.0900000000000001</v>
      </c>
      <c r="X109" s="115">
        <v>1.06</v>
      </c>
      <c r="Y109" s="115">
        <v>1.03</v>
      </c>
      <c r="Z109" s="115">
        <v>1</v>
      </c>
      <c r="AA109" s="123">
        <v>0.9</v>
      </c>
      <c r="AB109" s="119">
        <v>0.83</v>
      </c>
      <c r="AC109" s="115">
        <v>0.75</v>
      </c>
      <c r="AD109" s="115">
        <v>0.69</v>
      </c>
      <c r="AE109" s="115">
        <v>0.65</v>
      </c>
      <c r="AF109" s="115">
        <v>0.62</v>
      </c>
      <c r="AG109" s="105">
        <v>0.59</v>
      </c>
      <c r="AH109" s="105">
        <v>0.55000000000000004</v>
      </c>
      <c r="AI109" s="128">
        <v>0.5</v>
      </c>
    </row>
    <row r="110" spans="1:35" ht="47.25">
      <c r="A110" s="33" t="s">
        <v>1308</v>
      </c>
      <c r="B110" s="32" t="s">
        <v>1455</v>
      </c>
      <c r="C110" s="32" t="s">
        <v>1482</v>
      </c>
      <c r="D110" s="32">
        <v>1.08</v>
      </c>
      <c r="E110" s="32">
        <v>1.02</v>
      </c>
      <c r="F110" s="32">
        <v>0.94</v>
      </c>
      <c r="G110" s="112">
        <v>0.87</v>
      </c>
      <c r="H110" s="112">
        <v>0.85</v>
      </c>
      <c r="I110" s="112">
        <v>0.83</v>
      </c>
      <c r="J110" s="112">
        <v>0.8</v>
      </c>
      <c r="K110" s="113">
        <v>0.7</v>
      </c>
      <c r="L110" s="105">
        <v>0.63</v>
      </c>
      <c r="M110" s="105">
        <v>0.57999999999999996</v>
      </c>
      <c r="N110" s="105">
        <v>0.53</v>
      </c>
      <c r="O110" s="105">
        <v>0.49</v>
      </c>
      <c r="P110" s="105">
        <v>0.48</v>
      </c>
      <c r="Q110" s="105">
        <v>0.46</v>
      </c>
      <c r="R110" s="105">
        <v>0.45</v>
      </c>
      <c r="S110" s="117">
        <v>0.4</v>
      </c>
      <c r="T110" s="121">
        <v>1.33</v>
      </c>
      <c r="U110" s="115">
        <v>1.21</v>
      </c>
      <c r="V110" s="115">
        <v>1.1399999999999999</v>
      </c>
      <c r="W110" s="115">
        <v>1.0900000000000001</v>
      </c>
      <c r="X110" s="115">
        <v>1.06</v>
      </c>
      <c r="Y110" s="115">
        <v>1.03</v>
      </c>
      <c r="Z110" s="115">
        <v>1</v>
      </c>
      <c r="AA110" s="123">
        <v>0.9</v>
      </c>
      <c r="AB110" s="119">
        <v>0.83</v>
      </c>
      <c r="AC110" s="115">
        <v>0.75</v>
      </c>
      <c r="AD110" s="115">
        <v>0.69</v>
      </c>
      <c r="AE110" s="115">
        <v>0.65</v>
      </c>
      <c r="AF110" s="115">
        <v>0.62</v>
      </c>
      <c r="AG110" s="105">
        <v>0.59</v>
      </c>
      <c r="AH110" s="105">
        <v>0.55000000000000004</v>
      </c>
      <c r="AI110" s="128">
        <v>0.5</v>
      </c>
    </row>
    <row r="111" spans="1:35" ht="47.25">
      <c r="A111" s="33" t="s">
        <v>1308</v>
      </c>
      <c r="B111" s="32" t="s">
        <v>1455</v>
      </c>
      <c r="C111" s="33" t="s">
        <v>1483</v>
      </c>
      <c r="D111" s="32">
        <v>1.08</v>
      </c>
      <c r="E111" s="32">
        <v>1.02</v>
      </c>
      <c r="F111" s="32">
        <v>0.94</v>
      </c>
      <c r="G111" s="112">
        <v>0.87</v>
      </c>
      <c r="H111" s="112">
        <v>0.85</v>
      </c>
      <c r="I111" s="112">
        <v>0.83</v>
      </c>
      <c r="J111" s="112">
        <v>0.8</v>
      </c>
      <c r="K111" s="113">
        <v>0.7</v>
      </c>
      <c r="L111" s="105">
        <v>0.63</v>
      </c>
      <c r="M111" s="105">
        <v>0.57999999999999996</v>
      </c>
      <c r="N111" s="105">
        <v>0.53</v>
      </c>
      <c r="O111" s="105">
        <v>0.49</v>
      </c>
      <c r="P111" s="105">
        <v>0.48</v>
      </c>
      <c r="Q111" s="105">
        <v>0.46</v>
      </c>
      <c r="R111" s="105">
        <v>0.45</v>
      </c>
      <c r="S111" s="117">
        <v>0.4</v>
      </c>
      <c r="T111" s="121">
        <v>1.33</v>
      </c>
      <c r="U111" s="115">
        <v>1.21</v>
      </c>
      <c r="V111" s="115">
        <v>1.1399999999999999</v>
      </c>
      <c r="W111" s="115">
        <v>1.0900000000000001</v>
      </c>
      <c r="X111" s="115">
        <v>1.06</v>
      </c>
      <c r="Y111" s="115">
        <v>1.03</v>
      </c>
      <c r="Z111" s="115">
        <v>1</v>
      </c>
      <c r="AA111" s="123">
        <v>0.9</v>
      </c>
      <c r="AB111" s="119">
        <v>0.83</v>
      </c>
      <c r="AC111" s="115">
        <v>0.75</v>
      </c>
      <c r="AD111" s="115">
        <v>0.69</v>
      </c>
      <c r="AE111" s="115">
        <v>0.65</v>
      </c>
      <c r="AF111" s="115">
        <v>0.62</v>
      </c>
      <c r="AG111" s="105">
        <v>0.59</v>
      </c>
      <c r="AH111" s="105">
        <v>0.55000000000000004</v>
      </c>
      <c r="AI111" s="128">
        <v>0.5</v>
      </c>
    </row>
    <row r="112" spans="1:35" ht="47.25">
      <c r="A112" s="33" t="s">
        <v>1308</v>
      </c>
      <c r="B112" s="32" t="s">
        <v>1455</v>
      </c>
      <c r="C112" s="33" t="s">
        <v>1484</v>
      </c>
      <c r="D112" s="32">
        <v>1.08</v>
      </c>
      <c r="E112" s="32">
        <v>1.02</v>
      </c>
      <c r="F112" s="32">
        <v>0.94</v>
      </c>
      <c r="G112" s="112">
        <v>0.87</v>
      </c>
      <c r="H112" s="112">
        <v>0.85</v>
      </c>
      <c r="I112" s="112">
        <v>0.83</v>
      </c>
      <c r="J112" s="112">
        <v>0.8</v>
      </c>
      <c r="K112" s="113">
        <v>0.7</v>
      </c>
      <c r="L112" s="105">
        <v>0.63</v>
      </c>
      <c r="M112" s="105">
        <v>0.57999999999999996</v>
      </c>
      <c r="N112" s="105">
        <v>0.53</v>
      </c>
      <c r="O112" s="105">
        <v>0.49</v>
      </c>
      <c r="P112" s="105">
        <v>0.48</v>
      </c>
      <c r="Q112" s="105">
        <v>0.46</v>
      </c>
      <c r="R112" s="105">
        <v>0.45</v>
      </c>
      <c r="S112" s="117">
        <v>0.4</v>
      </c>
      <c r="T112" s="121">
        <v>1.33</v>
      </c>
      <c r="U112" s="115">
        <v>1.21</v>
      </c>
      <c r="V112" s="115">
        <v>1.1399999999999999</v>
      </c>
      <c r="W112" s="115">
        <v>1.0900000000000001</v>
      </c>
      <c r="X112" s="115">
        <v>1.06</v>
      </c>
      <c r="Y112" s="115">
        <v>1.03</v>
      </c>
      <c r="Z112" s="115">
        <v>1</v>
      </c>
      <c r="AA112" s="123">
        <v>0.9</v>
      </c>
      <c r="AB112" s="119">
        <v>0.83</v>
      </c>
      <c r="AC112" s="115">
        <v>0.75</v>
      </c>
      <c r="AD112" s="115">
        <v>0.69</v>
      </c>
      <c r="AE112" s="115">
        <v>0.65</v>
      </c>
      <c r="AF112" s="115">
        <v>0.62</v>
      </c>
      <c r="AG112" s="105">
        <v>0.59</v>
      </c>
      <c r="AH112" s="105">
        <v>0.55000000000000004</v>
      </c>
      <c r="AI112" s="128">
        <v>0.5</v>
      </c>
    </row>
    <row r="113" spans="1:35" ht="47.25">
      <c r="A113" s="33" t="s">
        <v>1308</v>
      </c>
      <c r="B113" s="32" t="s">
        <v>1455</v>
      </c>
      <c r="C113" s="33" t="s">
        <v>1485</v>
      </c>
      <c r="D113" s="32">
        <v>1.08</v>
      </c>
      <c r="E113" s="32">
        <v>1.02</v>
      </c>
      <c r="F113" s="32">
        <v>0.94</v>
      </c>
      <c r="G113" s="112">
        <v>0.87</v>
      </c>
      <c r="H113" s="112">
        <v>0.85</v>
      </c>
      <c r="I113" s="112">
        <v>0.83</v>
      </c>
      <c r="J113" s="112">
        <v>0.8</v>
      </c>
      <c r="K113" s="113">
        <v>0.7</v>
      </c>
      <c r="L113" s="105">
        <v>0.63</v>
      </c>
      <c r="M113" s="105">
        <v>0.57999999999999996</v>
      </c>
      <c r="N113" s="105">
        <v>0.53</v>
      </c>
      <c r="O113" s="105">
        <v>0.49</v>
      </c>
      <c r="P113" s="105">
        <v>0.48</v>
      </c>
      <c r="Q113" s="105">
        <v>0.46</v>
      </c>
      <c r="R113" s="105">
        <v>0.45</v>
      </c>
      <c r="S113" s="117">
        <v>0.4</v>
      </c>
      <c r="T113" s="121">
        <v>1.33</v>
      </c>
      <c r="U113" s="115">
        <v>1.21</v>
      </c>
      <c r="V113" s="115">
        <v>1.1399999999999999</v>
      </c>
      <c r="W113" s="115">
        <v>1.0900000000000001</v>
      </c>
      <c r="X113" s="115">
        <v>1.06</v>
      </c>
      <c r="Y113" s="115">
        <v>1.03</v>
      </c>
      <c r="Z113" s="115">
        <v>1</v>
      </c>
      <c r="AA113" s="123">
        <v>0.9</v>
      </c>
      <c r="AB113" s="119">
        <v>0.83</v>
      </c>
      <c r="AC113" s="115">
        <v>0.75</v>
      </c>
      <c r="AD113" s="115">
        <v>0.69</v>
      </c>
      <c r="AE113" s="115">
        <v>0.65</v>
      </c>
      <c r="AF113" s="115">
        <v>0.62</v>
      </c>
      <c r="AG113" s="105">
        <v>0.59</v>
      </c>
      <c r="AH113" s="105">
        <v>0.55000000000000004</v>
      </c>
      <c r="AI113" s="128">
        <v>0.5</v>
      </c>
    </row>
    <row r="114" spans="1:35" ht="47.25">
      <c r="A114" s="33" t="s">
        <v>1308</v>
      </c>
      <c r="B114" s="32" t="s">
        <v>1455</v>
      </c>
      <c r="C114" s="33" t="s">
        <v>1486</v>
      </c>
      <c r="D114" s="32">
        <v>1.08</v>
      </c>
      <c r="E114" s="32">
        <v>1.02</v>
      </c>
      <c r="F114" s="32">
        <v>0.94</v>
      </c>
      <c r="G114" s="112">
        <v>0.87</v>
      </c>
      <c r="H114" s="112">
        <v>0.85</v>
      </c>
      <c r="I114" s="112">
        <v>0.83</v>
      </c>
      <c r="J114" s="112">
        <v>0.8</v>
      </c>
      <c r="K114" s="113">
        <v>0.7</v>
      </c>
      <c r="L114" s="105">
        <v>0.63</v>
      </c>
      <c r="M114" s="105">
        <v>0.57999999999999996</v>
      </c>
      <c r="N114" s="105">
        <v>0.53</v>
      </c>
      <c r="O114" s="105">
        <v>0.49</v>
      </c>
      <c r="P114" s="105">
        <v>0.48</v>
      </c>
      <c r="Q114" s="105">
        <v>0.46</v>
      </c>
      <c r="R114" s="105">
        <v>0.45</v>
      </c>
      <c r="S114" s="117">
        <v>0.4</v>
      </c>
      <c r="T114" s="121">
        <v>1.33</v>
      </c>
      <c r="U114" s="115">
        <v>1.21</v>
      </c>
      <c r="V114" s="115">
        <v>1.1399999999999999</v>
      </c>
      <c r="W114" s="115">
        <v>1.0900000000000001</v>
      </c>
      <c r="X114" s="115">
        <v>1.06</v>
      </c>
      <c r="Y114" s="115">
        <v>1.03</v>
      </c>
      <c r="Z114" s="115">
        <v>1</v>
      </c>
      <c r="AA114" s="123">
        <v>0.9</v>
      </c>
      <c r="AB114" s="119">
        <v>0.83</v>
      </c>
      <c r="AC114" s="115">
        <v>0.75</v>
      </c>
      <c r="AD114" s="115">
        <v>0.69</v>
      </c>
      <c r="AE114" s="115">
        <v>0.65</v>
      </c>
      <c r="AF114" s="115">
        <v>0.62</v>
      </c>
      <c r="AG114" s="105">
        <v>0.59</v>
      </c>
      <c r="AH114" s="105">
        <v>0.55000000000000004</v>
      </c>
      <c r="AI114" s="128">
        <v>0.5</v>
      </c>
    </row>
    <row r="115" spans="1:35" ht="47.25">
      <c r="A115" s="33" t="s">
        <v>1308</v>
      </c>
      <c r="B115" s="32" t="s">
        <v>1334</v>
      </c>
      <c r="C115" s="33" t="s">
        <v>1487</v>
      </c>
      <c r="D115" s="32">
        <v>1.08</v>
      </c>
      <c r="E115" s="32">
        <v>1.02</v>
      </c>
      <c r="F115" s="32">
        <v>0.94</v>
      </c>
      <c r="G115" s="112">
        <v>0.87</v>
      </c>
      <c r="H115" s="112">
        <v>0.85</v>
      </c>
      <c r="I115" s="112">
        <v>0.83</v>
      </c>
      <c r="J115" s="112">
        <v>0.8</v>
      </c>
      <c r="K115" s="113">
        <v>0.7</v>
      </c>
      <c r="L115" s="105">
        <v>0.63</v>
      </c>
      <c r="M115" s="105">
        <v>0.57999999999999996</v>
      </c>
      <c r="N115" s="105">
        <v>0.53</v>
      </c>
      <c r="O115" s="105">
        <v>0.49</v>
      </c>
      <c r="P115" s="105">
        <v>0.48</v>
      </c>
      <c r="Q115" s="105">
        <v>0.46</v>
      </c>
      <c r="R115" s="105">
        <v>0.45</v>
      </c>
      <c r="S115" s="117">
        <v>0.4</v>
      </c>
      <c r="T115" s="121">
        <v>1.33</v>
      </c>
      <c r="U115" s="115">
        <v>1.21</v>
      </c>
      <c r="V115" s="115">
        <v>1.1399999999999999</v>
      </c>
      <c r="W115" s="115">
        <v>1.0900000000000001</v>
      </c>
      <c r="X115" s="115">
        <v>1.06</v>
      </c>
      <c r="Y115" s="115">
        <v>1.03</v>
      </c>
      <c r="Z115" s="115">
        <v>1</v>
      </c>
      <c r="AA115" s="123">
        <v>0.9</v>
      </c>
      <c r="AB115" s="119">
        <v>0.83</v>
      </c>
      <c r="AC115" s="115">
        <v>0.75</v>
      </c>
      <c r="AD115" s="115">
        <v>0.69</v>
      </c>
      <c r="AE115" s="115">
        <v>0.65</v>
      </c>
      <c r="AF115" s="115">
        <v>0.62</v>
      </c>
      <c r="AG115" s="105">
        <v>0.59</v>
      </c>
      <c r="AH115" s="105">
        <v>0.55000000000000004</v>
      </c>
      <c r="AI115" s="128">
        <v>0.5</v>
      </c>
    </row>
    <row r="116" spans="1:35">
      <c r="A116" s="32" t="s">
        <v>1588</v>
      </c>
      <c r="B116" s="32" t="s">
        <v>1349</v>
      </c>
      <c r="C116" s="32" t="s">
        <v>1351</v>
      </c>
      <c r="D116" s="32">
        <v>1.02</v>
      </c>
      <c r="E116" s="32">
        <v>0.97</v>
      </c>
      <c r="F116" s="32">
        <v>0.93</v>
      </c>
      <c r="G116" s="112">
        <v>0.89</v>
      </c>
      <c r="H116" s="112">
        <v>0.85</v>
      </c>
      <c r="I116" s="112">
        <v>0.8</v>
      </c>
      <c r="J116" s="112">
        <v>0.8</v>
      </c>
      <c r="K116" s="112">
        <v>0.8</v>
      </c>
      <c r="L116" s="105">
        <v>0.59</v>
      </c>
      <c r="M116" s="105">
        <v>0.56999999999999995</v>
      </c>
      <c r="N116" s="105">
        <v>0.55000000000000004</v>
      </c>
      <c r="O116" s="105">
        <v>0.52</v>
      </c>
      <c r="P116" s="105">
        <v>0.49</v>
      </c>
      <c r="Q116" s="105">
        <v>0.45</v>
      </c>
      <c r="R116" s="105">
        <v>0.45</v>
      </c>
      <c r="S116" s="116">
        <v>0.45</v>
      </c>
      <c r="T116" s="119">
        <v>1.26</v>
      </c>
      <c r="U116" s="105">
        <v>1.19</v>
      </c>
      <c r="V116" s="105">
        <v>1.1299999999999999</v>
      </c>
      <c r="W116" s="105">
        <v>1.07</v>
      </c>
      <c r="X116" s="105">
        <v>1.03</v>
      </c>
      <c r="Y116" s="115">
        <v>1</v>
      </c>
      <c r="Z116" s="115">
        <v>1</v>
      </c>
      <c r="AA116" s="122">
        <v>1</v>
      </c>
      <c r="AB116" s="119">
        <v>0.78</v>
      </c>
      <c r="AC116" s="115">
        <v>0.74</v>
      </c>
      <c r="AD116" s="115">
        <v>0.69</v>
      </c>
      <c r="AE116" s="115">
        <v>0.64</v>
      </c>
      <c r="AF116" s="115">
        <v>0.6</v>
      </c>
      <c r="AG116" s="105">
        <v>0.55000000000000004</v>
      </c>
      <c r="AH116" s="105">
        <v>0.55000000000000004</v>
      </c>
      <c r="AI116" s="120">
        <v>0.55000000000000004</v>
      </c>
    </row>
    <row r="117" spans="1:35">
      <c r="A117" s="32" t="s">
        <v>1309</v>
      </c>
      <c r="B117" s="32" t="s">
        <v>1349</v>
      </c>
      <c r="C117" s="32" t="s">
        <v>1488</v>
      </c>
      <c r="D117" s="32">
        <v>1.02</v>
      </c>
      <c r="E117" s="32">
        <v>0.97</v>
      </c>
      <c r="F117" s="32">
        <v>0.93</v>
      </c>
      <c r="G117" s="112">
        <v>0.89</v>
      </c>
      <c r="H117" s="112">
        <v>0.85</v>
      </c>
      <c r="I117" s="112">
        <v>0.8</v>
      </c>
      <c r="J117" s="112">
        <v>0.8</v>
      </c>
      <c r="K117" s="112">
        <v>0.8</v>
      </c>
      <c r="L117" s="105">
        <v>0.59</v>
      </c>
      <c r="M117" s="105">
        <v>0.56999999999999995</v>
      </c>
      <c r="N117" s="105">
        <v>0.55000000000000004</v>
      </c>
      <c r="O117" s="105">
        <v>0.52</v>
      </c>
      <c r="P117" s="105">
        <v>0.49</v>
      </c>
      <c r="Q117" s="105">
        <v>0.45</v>
      </c>
      <c r="R117" s="105">
        <v>0.45</v>
      </c>
      <c r="S117" s="116">
        <v>0.45</v>
      </c>
      <c r="T117" s="119">
        <v>1.26</v>
      </c>
      <c r="U117" s="105">
        <v>1.19</v>
      </c>
      <c r="V117" s="105">
        <v>1.1299999999999999</v>
      </c>
      <c r="W117" s="105">
        <v>1.07</v>
      </c>
      <c r="X117" s="105">
        <v>1.03</v>
      </c>
      <c r="Y117" s="115">
        <v>1</v>
      </c>
      <c r="Z117" s="115">
        <v>1</v>
      </c>
      <c r="AA117" s="122">
        <v>1</v>
      </c>
      <c r="AB117" s="119">
        <v>0.78</v>
      </c>
      <c r="AC117" s="115">
        <v>0.74</v>
      </c>
      <c r="AD117" s="115">
        <v>0.69</v>
      </c>
      <c r="AE117" s="115">
        <v>0.64</v>
      </c>
      <c r="AF117" s="115">
        <v>0.6</v>
      </c>
      <c r="AG117" s="105">
        <v>0.55000000000000004</v>
      </c>
      <c r="AH117" s="105">
        <v>0.55000000000000004</v>
      </c>
      <c r="AI117" s="120">
        <v>0.55000000000000004</v>
      </c>
    </row>
    <row r="118" spans="1:35">
      <c r="A118" s="32" t="s">
        <v>1309</v>
      </c>
      <c r="B118" s="32" t="s">
        <v>1349</v>
      </c>
      <c r="C118" s="32" t="s">
        <v>1431</v>
      </c>
      <c r="D118" s="32">
        <v>1.02</v>
      </c>
      <c r="E118" s="32">
        <v>0.97</v>
      </c>
      <c r="F118" s="32">
        <v>0.93</v>
      </c>
      <c r="G118" s="112">
        <v>0.89</v>
      </c>
      <c r="H118" s="112">
        <v>0.85</v>
      </c>
      <c r="I118" s="112">
        <v>0.8</v>
      </c>
      <c r="J118" s="112">
        <v>0.8</v>
      </c>
      <c r="K118" s="112">
        <v>0.8</v>
      </c>
      <c r="L118" s="105">
        <v>0.59</v>
      </c>
      <c r="M118" s="105">
        <v>0.56999999999999995</v>
      </c>
      <c r="N118" s="105">
        <v>0.55000000000000004</v>
      </c>
      <c r="O118" s="105">
        <v>0.52</v>
      </c>
      <c r="P118" s="105">
        <v>0.49</v>
      </c>
      <c r="Q118" s="105">
        <v>0.45</v>
      </c>
      <c r="R118" s="105">
        <v>0.45</v>
      </c>
      <c r="S118" s="116">
        <v>0.45</v>
      </c>
      <c r="T118" s="119">
        <v>1.26</v>
      </c>
      <c r="U118" s="105">
        <v>1.19</v>
      </c>
      <c r="V118" s="105">
        <v>1.1299999999999999</v>
      </c>
      <c r="W118" s="105">
        <v>1.07</v>
      </c>
      <c r="X118" s="105">
        <v>1.03</v>
      </c>
      <c r="Y118" s="115">
        <v>1</v>
      </c>
      <c r="Z118" s="115">
        <v>1</v>
      </c>
      <c r="AA118" s="122">
        <v>1</v>
      </c>
      <c r="AB118" s="119">
        <v>0.78</v>
      </c>
      <c r="AC118" s="115">
        <v>0.74</v>
      </c>
      <c r="AD118" s="115">
        <v>0.69</v>
      </c>
      <c r="AE118" s="115">
        <v>0.64</v>
      </c>
      <c r="AF118" s="115">
        <v>0.6</v>
      </c>
      <c r="AG118" s="105">
        <v>0.55000000000000004</v>
      </c>
      <c r="AH118" s="105">
        <v>0.55000000000000004</v>
      </c>
      <c r="AI118" s="120">
        <v>0.55000000000000004</v>
      </c>
    </row>
    <row r="119" spans="1:35">
      <c r="A119" s="32" t="s">
        <v>1309</v>
      </c>
      <c r="B119" s="32" t="s">
        <v>1349</v>
      </c>
      <c r="C119" s="32" t="s">
        <v>1490</v>
      </c>
      <c r="D119" s="32">
        <v>1.02</v>
      </c>
      <c r="E119" s="32">
        <v>0.97</v>
      </c>
      <c r="F119" s="32">
        <v>0.93</v>
      </c>
      <c r="G119" s="112">
        <v>0.89</v>
      </c>
      <c r="H119" s="112">
        <v>0.85</v>
      </c>
      <c r="I119" s="112">
        <v>0.8</v>
      </c>
      <c r="J119" s="112">
        <v>0.8</v>
      </c>
      <c r="K119" s="112">
        <v>0.8</v>
      </c>
      <c r="L119" s="105">
        <v>0.59</v>
      </c>
      <c r="M119" s="105">
        <v>0.56999999999999995</v>
      </c>
      <c r="N119" s="105">
        <v>0.55000000000000004</v>
      </c>
      <c r="O119" s="105">
        <v>0.52</v>
      </c>
      <c r="P119" s="105">
        <v>0.49</v>
      </c>
      <c r="Q119" s="105">
        <v>0.45</v>
      </c>
      <c r="R119" s="105">
        <v>0.45</v>
      </c>
      <c r="S119" s="116">
        <v>0.45</v>
      </c>
      <c r="T119" s="119">
        <v>1.26</v>
      </c>
      <c r="U119" s="105">
        <v>1.19</v>
      </c>
      <c r="V119" s="105">
        <v>1.1299999999999999</v>
      </c>
      <c r="W119" s="105">
        <v>1.07</v>
      </c>
      <c r="X119" s="105">
        <v>1.03</v>
      </c>
      <c r="Y119" s="115">
        <v>1</v>
      </c>
      <c r="Z119" s="115">
        <v>1</v>
      </c>
      <c r="AA119" s="122">
        <v>1</v>
      </c>
      <c r="AB119" s="119">
        <v>0.78</v>
      </c>
      <c r="AC119" s="115">
        <v>0.74</v>
      </c>
      <c r="AD119" s="115">
        <v>0.69</v>
      </c>
      <c r="AE119" s="115">
        <v>0.64</v>
      </c>
      <c r="AF119" s="115">
        <v>0.6</v>
      </c>
      <c r="AG119" s="105">
        <v>0.55000000000000004</v>
      </c>
      <c r="AH119" s="105">
        <v>0.55000000000000004</v>
      </c>
      <c r="AI119" s="120">
        <v>0.55000000000000004</v>
      </c>
    </row>
    <row r="120" spans="1:35">
      <c r="A120" s="32" t="s">
        <v>1309</v>
      </c>
      <c r="B120" s="32" t="s">
        <v>1349</v>
      </c>
      <c r="C120" s="32" t="s">
        <v>1496</v>
      </c>
      <c r="D120" s="32">
        <v>1.02</v>
      </c>
      <c r="E120" s="32">
        <v>0.97</v>
      </c>
      <c r="F120" s="32">
        <v>0.93</v>
      </c>
      <c r="G120" s="112">
        <v>0.89</v>
      </c>
      <c r="H120" s="112">
        <v>0.85</v>
      </c>
      <c r="I120" s="112">
        <v>0.8</v>
      </c>
      <c r="J120" s="112">
        <v>0.8</v>
      </c>
      <c r="K120" s="112">
        <v>0.8</v>
      </c>
      <c r="L120" s="105">
        <v>0.59</v>
      </c>
      <c r="M120" s="105">
        <v>0.56999999999999995</v>
      </c>
      <c r="N120" s="105">
        <v>0.55000000000000004</v>
      </c>
      <c r="O120" s="105">
        <v>0.52</v>
      </c>
      <c r="P120" s="105">
        <v>0.49</v>
      </c>
      <c r="Q120" s="105">
        <v>0.45</v>
      </c>
      <c r="R120" s="105">
        <v>0.45</v>
      </c>
      <c r="S120" s="116">
        <v>0.45</v>
      </c>
      <c r="T120" s="119">
        <v>1.26</v>
      </c>
      <c r="U120" s="105">
        <v>1.19</v>
      </c>
      <c r="V120" s="105">
        <v>1.1299999999999999</v>
      </c>
      <c r="W120" s="105">
        <v>1.07</v>
      </c>
      <c r="X120" s="105">
        <v>1.03</v>
      </c>
      <c r="Y120" s="115">
        <v>1</v>
      </c>
      <c r="Z120" s="115">
        <v>1</v>
      </c>
      <c r="AA120" s="122">
        <v>1</v>
      </c>
      <c r="AB120" s="119">
        <v>0.78</v>
      </c>
      <c r="AC120" s="115">
        <v>0.74</v>
      </c>
      <c r="AD120" s="115">
        <v>0.69</v>
      </c>
      <c r="AE120" s="115">
        <v>0.64</v>
      </c>
      <c r="AF120" s="115">
        <v>0.6</v>
      </c>
      <c r="AG120" s="105">
        <v>0.55000000000000004</v>
      </c>
      <c r="AH120" s="105">
        <v>0.55000000000000004</v>
      </c>
      <c r="AI120" s="120">
        <v>0.55000000000000004</v>
      </c>
    </row>
    <row r="121" spans="1:35">
      <c r="A121" s="32" t="s">
        <v>1309</v>
      </c>
      <c r="B121" s="32" t="s">
        <v>1432</v>
      </c>
      <c r="C121" s="32" t="s">
        <v>1437</v>
      </c>
      <c r="D121" s="32">
        <v>1.02</v>
      </c>
      <c r="E121" s="32">
        <v>0.97</v>
      </c>
      <c r="F121" s="32">
        <v>0.93</v>
      </c>
      <c r="G121" s="112">
        <v>0.89</v>
      </c>
      <c r="H121" s="112">
        <v>0.85</v>
      </c>
      <c r="I121" s="112">
        <v>0.8</v>
      </c>
      <c r="J121" s="112">
        <v>0.8</v>
      </c>
      <c r="K121" s="112">
        <v>0.8</v>
      </c>
      <c r="L121" s="105">
        <v>0.59</v>
      </c>
      <c r="M121" s="105">
        <v>0.56999999999999995</v>
      </c>
      <c r="N121" s="105">
        <v>0.55000000000000004</v>
      </c>
      <c r="O121" s="105">
        <v>0.52</v>
      </c>
      <c r="P121" s="105">
        <v>0.49</v>
      </c>
      <c r="Q121" s="105">
        <v>0.45</v>
      </c>
      <c r="R121" s="105">
        <v>0.45</v>
      </c>
      <c r="S121" s="116">
        <v>0.45</v>
      </c>
      <c r="T121" s="119">
        <v>1.26</v>
      </c>
      <c r="U121" s="105">
        <v>1.19</v>
      </c>
      <c r="V121" s="105">
        <v>1.1299999999999999</v>
      </c>
      <c r="W121" s="105">
        <v>1.07</v>
      </c>
      <c r="X121" s="105">
        <v>1.03</v>
      </c>
      <c r="Y121" s="115">
        <v>1</v>
      </c>
      <c r="Z121" s="115">
        <v>1</v>
      </c>
      <c r="AA121" s="122">
        <v>1</v>
      </c>
      <c r="AB121" s="119">
        <v>0.78</v>
      </c>
      <c r="AC121" s="115">
        <v>0.74</v>
      </c>
      <c r="AD121" s="115">
        <v>0.69</v>
      </c>
      <c r="AE121" s="115">
        <v>0.64</v>
      </c>
      <c r="AF121" s="115">
        <v>0.6</v>
      </c>
      <c r="AG121" s="105">
        <v>0.55000000000000004</v>
      </c>
      <c r="AH121" s="105">
        <v>0.55000000000000004</v>
      </c>
      <c r="AI121" s="120">
        <v>0.55000000000000004</v>
      </c>
    </row>
    <row r="122" spans="1:35">
      <c r="A122" s="32" t="s">
        <v>1309</v>
      </c>
      <c r="B122" s="32" t="s">
        <v>1432</v>
      </c>
      <c r="C122" s="32" t="s">
        <v>1438</v>
      </c>
      <c r="D122" s="32">
        <v>1.02</v>
      </c>
      <c r="E122" s="32">
        <v>0.97</v>
      </c>
      <c r="F122" s="32">
        <v>0.93</v>
      </c>
      <c r="G122" s="112">
        <v>0.89</v>
      </c>
      <c r="H122" s="112">
        <v>0.85</v>
      </c>
      <c r="I122" s="112">
        <v>0.8</v>
      </c>
      <c r="J122" s="112">
        <v>0.8</v>
      </c>
      <c r="K122" s="112">
        <v>0.8</v>
      </c>
      <c r="L122" s="105">
        <v>0.59</v>
      </c>
      <c r="M122" s="105">
        <v>0.56999999999999995</v>
      </c>
      <c r="N122" s="105">
        <v>0.55000000000000004</v>
      </c>
      <c r="O122" s="105">
        <v>0.52</v>
      </c>
      <c r="P122" s="105">
        <v>0.49</v>
      </c>
      <c r="Q122" s="105">
        <v>0.45</v>
      </c>
      <c r="R122" s="105">
        <v>0.45</v>
      </c>
      <c r="S122" s="116">
        <v>0.45</v>
      </c>
      <c r="T122" s="119">
        <v>1.26</v>
      </c>
      <c r="U122" s="105">
        <v>1.19</v>
      </c>
      <c r="V122" s="105">
        <v>1.1299999999999999</v>
      </c>
      <c r="W122" s="105">
        <v>1.07</v>
      </c>
      <c r="X122" s="105">
        <v>1.03</v>
      </c>
      <c r="Y122" s="115">
        <v>1</v>
      </c>
      <c r="Z122" s="115">
        <v>1</v>
      </c>
      <c r="AA122" s="122">
        <v>1</v>
      </c>
      <c r="AB122" s="119">
        <v>0.78</v>
      </c>
      <c r="AC122" s="115">
        <v>0.74</v>
      </c>
      <c r="AD122" s="115">
        <v>0.69</v>
      </c>
      <c r="AE122" s="115">
        <v>0.64</v>
      </c>
      <c r="AF122" s="115">
        <v>0.6</v>
      </c>
      <c r="AG122" s="105">
        <v>0.55000000000000004</v>
      </c>
      <c r="AH122" s="105">
        <v>0.55000000000000004</v>
      </c>
      <c r="AI122" s="120">
        <v>0.55000000000000004</v>
      </c>
    </row>
    <row r="123" spans="1:35">
      <c r="A123" s="32" t="s">
        <v>1309</v>
      </c>
      <c r="B123" s="32" t="s">
        <v>1432</v>
      </c>
      <c r="C123" s="32" t="s">
        <v>1440</v>
      </c>
      <c r="D123" s="32">
        <v>1.02</v>
      </c>
      <c r="E123" s="32">
        <v>0.97</v>
      </c>
      <c r="F123" s="32">
        <v>0.93</v>
      </c>
      <c r="G123" s="112">
        <v>0.89</v>
      </c>
      <c r="H123" s="112">
        <v>0.85</v>
      </c>
      <c r="I123" s="112">
        <v>0.8</v>
      </c>
      <c r="J123" s="112">
        <v>0.8</v>
      </c>
      <c r="K123" s="112">
        <v>0.8</v>
      </c>
      <c r="L123" s="105">
        <v>0.59</v>
      </c>
      <c r="M123" s="105">
        <v>0.56999999999999995</v>
      </c>
      <c r="N123" s="105">
        <v>0.55000000000000004</v>
      </c>
      <c r="O123" s="105">
        <v>0.52</v>
      </c>
      <c r="P123" s="105">
        <v>0.49</v>
      </c>
      <c r="Q123" s="105">
        <v>0.45</v>
      </c>
      <c r="R123" s="105">
        <v>0.45</v>
      </c>
      <c r="S123" s="116">
        <v>0.45</v>
      </c>
      <c r="T123" s="119">
        <v>1.26</v>
      </c>
      <c r="U123" s="105">
        <v>1.19</v>
      </c>
      <c r="V123" s="105">
        <v>1.1299999999999999</v>
      </c>
      <c r="W123" s="105">
        <v>1.07</v>
      </c>
      <c r="X123" s="105">
        <v>1.03</v>
      </c>
      <c r="Y123" s="115">
        <v>1</v>
      </c>
      <c r="Z123" s="115">
        <v>1</v>
      </c>
      <c r="AA123" s="122">
        <v>1</v>
      </c>
      <c r="AB123" s="119">
        <v>0.78</v>
      </c>
      <c r="AC123" s="115">
        <v>0.74</v>
      </c>
      <c r="AD123" s="115">
        <v>0.69</v>
      </c>
      <c r="AE123" s="115">
        <v>0.64</v>
      </c>
      <c r="AF123" s="115">
        <v>0.6</v>
      </c>
      <c r="AG123" s="105">
        <v>0.55000000000000004</v>
      </c>
      <c r="AH123" s="105">
        <v>0.55000000000000004</v>
      </c>
      <c r="AI123" s="120">
        <v>0.55000000000000004</v>
      </c>
    </row>
    <row r="124" spans="1:35">
      <c r="A124" s="32" t="s">
        <v>1309</v>
      </c>
      <c r="B124" s="32" t="s">
        <v>1432</v>
      </c>
      <c r="C124" s="32" t="s">
        <v>1491</v>
      </c>
      <c r="D124" s="32">
        <v>1.02</v>
      </c>
      <c r="E124" s="32">
        <v>0.97</v>
      </c>
      <c r="F124" s="32">
        <v>0.93</v>
      </c>
      <c r="G124" s="112">
        <v>0.89</v>
      </c>
      <c r="H124" s="112">
        <v>0.85</v>
      </c>
      <c r="I124" s="112">
        <v>0.8</v>
      </c>
      <c r="J124" s="112">
        <v>0.8</v>
      </c>
      <c r="K124" s="112">
        <v>0.8</v>
      </c>
      <c r="L124" s="105">
        <v>0.59</v>
      </c>
      <c r="M124" s="105">
        <v>0.56999999999999995</v>
      </c>
      <c r="N124" s="105">
        <v>0.55000000000000004</v>
      </c>
      <c r="O124" s="105">
        <v>0.52</v>
      </c>
      <c r="P124" s="105">
        <v>0.49</v>
      </c>
      <c r="Q124" s="105">
        <v>0.45</v>
      </c>
      <c r="R124" s="105">
        <v>0.45</v>
      </c>
      <c r="S124" s="116">
        <v>0.45</v>
      </c>
      <c r="T124" s="119">
        <v>1.26</v>
      </c>
      <c r="U124" s="105">
        <v>1.19</v>
      </c>
      <c r="V124" s="105">
        <v>1.1299999999999999</v>
      </c>
      <c r="W124" s="105">
        <v>1.07</v>
      </c>
      <c r="X124" s="105">
        <v>1.03</v>
      </c>
      <c r="Y124" s="115">
        <v>1</v>
      </c>
      <c r="Z124" s="115">
        <v>1</v>
      </c>
      <c r="AA124" s="122">
        <v>1</v>
      </c>
      <c r="AB124" s="119">
        <v>0.78</v>
      </c>
      <c r="AC124" s="115">
        <v>0.74</v>
      </c>
      <c r="AD124" s="115">
        <v>0.69</v>
      </c>
      <c r="AE124" s="115">
        <v>0.64</v>
      </c>
      <c r="AF124" s="115">
        <v>0.6</v>
      </c>
      <c r="AG124" s="105">
        <v>0.55000000000000004</v>
      </c>
      <c r="AH124" s="105">
        <v>0.55000000000000004</v>
      </c>
      <c r="AI124" s="120">
        <v>0.55000000000000004</v>
      </c>
    </row>
    <row r="125" spans="1:35">
      <c r="A125" s="32" t="s">
        <v>1309</v>
      </c>
      <c r="B125" s="32" t="s">
        <v>1432</v>
      </c>
      <c r="C125" s="32" t="s">
        <v>1441</v>
      </c>
      <c r="D125" s="32">
        <v>1.02</v>
      </c>
      <c r="E125" s="32">
        <v>0.97</v>
      </c>
      <c r="F125" s="32">
        <v>0.93</v>
      </c>
      <c r="G125" s="112">
        <v>0.89</v>
      </c>
      <c r="H125" s="112">
        <v>0.85</v>
      </c>
      <c r="I125" s="112">
        <v>0.8</v>
      </c>
      <c r="J125" s="112">
        <v>0.8</v>
      </c>
      <c r="K125" s="112">
        <v>0.8</v>
      </c>
      <c r="L125" s="105">
        <v>0.59</v>
      </c>
      <c r="M125" s="105">
        <v>0.56999999999999995</v>
      </c>
      <c r="N125" s="105">
        <v>0.55000000000000004</v>
      </c>
      <c r="O125" s="105">
        <v>0.52</v>
      </c>
      <c r="P125" s="105">
        <v>0.49</v>
      </c>
      <c r="Q125" s="105">
        <v>0.45</v>
      </c>
      <c r="R125" s="105">
        <v>0.45</v>
      </c>
      <c r="S125" s="116">
        <v>0.45</v>
      </c>
      <c r="T125" s="119">
        <v>1.26</v>
      </c>
      <c r="U125" s="105">
        <v>1.19</v>
      </c>
      <c r="V125" s="105">
        <v>1.1299999999999999</v>
      </c>
      <c r="W125" s="105">
        <v>1.07</v>
      </c>
      <c r="X125" s="105">
        <v>1.03</v>
      </c>
      <c r="Y125" s="115">
        <v>1</v>
      </c>
      <c r="Z125" s="115">
        <v>1</v>
      </c>
      <c r="AA125" s="122">
        <v>1</v>
      </c>
      <c r="AB125" s="119">
        <v>0.78</v>
      </c>
      <c r="AC125" s="115">
        <v>0.74</v>
      </c>
      <c r="AD125" s="115">
        <v>0.69</v>
      </c>
      <c r="AE125" s="115">
        <v>0.64</v>
      </c>
      <c r="AF125" s="115">
        <v>0.6</v>
      </c>
      <c r="AG125" s="105">
        <v>0.55000000000000004</v>
      </c>
      <c r="AH125" s="105">
        <v>0.55000000000000004</v>
      </c>
      <c r="AI125" s="120">
        <v>0.55000000000000004</v>
      </c>
    </row>
    <row r="126" spans="1:35">
      <c r="A126" s="32" t="s">
        <v>1309</v>
      </c>
      <c r="B126" s="32" t="s">
        <v>1432</v>
      </c>
      <c r="C126" s="32" t="s">
        <v>1442</v>
      </c>
      <c r="D126" s="32">
        <v>1.02</v>
      </c>
      <c r="E126" s="32">
        <v>0.97</v>
      </c>
      <c r="F126" s="32">
        <v>0.93</v>
      </c>
      <c r="G126" s="112">
        <v>0.89</v>
      </c>
      <c r="H126" s="112">
        <v>0.85</v>
      </c>
      <c r="I126" s="112">
        <v>0.8</v>
      </c>
      <c r="J126" s="112">
        <v>0.8</v>
      </c>
      <c r="K126" s="112">
        <v>0.8</v>
      </c>
      <c r="L126" s="105">
        <v>0.59</v>
      </c>
      <c r="M126" s="105">
        <v>0.56999999999999995</v>
      </c>
      <c r="N126" s="105">
        <v>0.55000000000000004</v>
      </c>
      <c r="O126" s="105">
        <v>0.52</v>
      </c>
      <c r="P126" s="105">
        <v>0.49</v>
      </c>
      <c r="Q126" s="105">
        <v>0.45</v>
      </c>
      <c r="R126" s="105">
        <v>0.45</v>
      </c>
      <c r="S126" s="116">
        <v>0.45</v>
      </c>
      <c r="T126" s="119">
        <v>1.26</v>
      </c>
      <c r="U126" s="105">
        <v>1.19</v>
      </c>
      <c r="V126" s="105">
        <v>1.1299999999999999</v>
      </c>
      <c r="W126" s="105">
        <v>1.07</v>
      </c>
      <c r="X126" s="105">
        <v>1.03</v>
      </c>
      <c r="Y126" s="115">
        <v>1</v>
      </c>
      <c r="Z126" s="115">
        <v>1</v>
      </c>
      <c r="AA126" s="122">
        <v>1</v>
      </c>
      <c r="AB126" s="119">
        <v>0.78</v>
      </c>
      <c r="AC126" s="115">
        <v>0.74</v>
      </c>
      <c r="AD126" s="115">
        <v>0.69</v>
      </c>
      <c r="AE126" s="115">
        <v>0.64</v>
      </c>
      <c r="AF126" s="115">
        <v>0.6</v>
      </c>
      <c r="AG126" s="105">
        <v>0.55000000000000004</v>
      </c>
      <c r="AH126" s="105">
        <v>0.55000000000000004</v>
      </c>
      <c r="AI126" s="120">
        <v>0.55000000000000004</v>
      </c>
    </row>
    <row r="127" spans="1:35">
      <c r="A127" s="32" t="s">
        <v>1309</v>
      </c>
      <c r="B127" s="32" t="s">
        <v>1432</v>
      </c>
      <c r="C127" s="32" t="s">
        <v>1443</v>
      </c>
      <c r="D127" s="32">
        <v>1.02</v>
      </c>
      <c r="E127" s="32">
        <v>0.97</v>
      </c>
      <c r="F127" s="32">
        <v>0.93</v>
      </c>
      <c r="G127" s="112">
        <v>0.89</v>
      </c>
      <c r="H127" s="112">
        <v>0.85</v>
      </c>
      <c r="I127" s="112">
        <v>0.8</v>
      </c>
      <c r="J127" s="112">
        <v>0.8</v>
      </c>
      <c r="K127" s="112">
        <v>0.8</v>
      </c>
      <c r="L127" s="105">
        <v>0.59</v>
      </c>
      <c r="M127" s="105">
        <v>0.56999999999999995</v>
      </c>
      <c r="N127" s="105">
        <v>0.55000000000000004</v>
      </c>
      <c r="O127" s="105">
        <v>0.52</v>
      </c>
      <c r="P127" s="105">
        <v>0.49</v>
      </c>
      <c r="Q127" s="105">
        <v>0.45</v>
      </c>
      <c r="R127" s="105">
        <v>0.45</v>
      </c>
      <c r="S127" s="116">
        <v>0.45</v>
      </c>
      <c r="T127" s="119">
        <v>1.26</v>
      </c>
      <c r="U127" s="105">
        <v>1.19</v>
      </c>
      <c r="V127" s="105">
        <v>1.1299999999999999</v>
      </c>
      <c r="W127" s="105">
        <v>1.07</v>
      </c>
      <c r="X127" s="105">
        <v>1.03</v>
      </c>
      <c r="Y127" s="115">
        <v>1</v>
      </c>
      <c r="Z127" s="115">
        <v>1</v>
      </c>
      <c r="AA127" s="122">
        <v>1</v>
      </c>
      <c r="AB127" s="119">
        <v>0.78</v>
      </c>
      <c r="AC127" s="115">
        <v>0.74</v>
      </c>
      <c r="AD127" s="115">
        <v>0.69</v>
      </c>
      <c r="AE127" s="115">
        <v>0.64</v>
      </c>
      <c r="AF127" s="115">
        <v>0.6</v>
      </c>
      <c r="AG127" s="105">
        <v>0.55000000000000004</v>
      </c>
      <c r="AH127" s="105">
        <v>0.55000000000000004</v>
      </c>
      <c r="AI127" s="120">
        <v>0.55000000000000004</v>
      </c>
    </row>
    <row r="128" spans="1:35">
      <c r="A128" s="32" t="s">
        <v>1309</v>
      </c>
      <c r="B128" s="32" t="s">
        <v>1432</v>
      </c>
      <c r="C128" s="32" t="s">
        <v>1444</v>
      </c>
      <c r="D128" s="32">
        <v>1.02</v>
      </c>
      <c r="E128" s="32">
        <v>0.97</v>
      </c>
      <c r="F128" s="32">
        <v>0.93</v>
      </c>
      <c r="G128" s="112">
        <v>0.89</v>
      </c>
      <c r="H128" s="112">
        <v>0.85</v>
      </c>
      <c r="I128" s="112">
        <v>0.8</v>
      </c>
      <c r="J128" s="112">
        <v>0.8</v>
      </c>
      <c r="K128" s="112">
        <v>0.8</v>
      </c>
      <c r="L128" s="105">
        <v>0.59</v>
      </c>
      <c r="M128" s="105">
        <v>0.56999999999999995</v>
      </c>
      <c r="N128" s="105">
        <v>0.55000000000000004</v>
      </c>
      <c r="O128" s="105">
        <v>0.52</v>
      </c>
      <c r="P128" s="105">
        <v>0.49</v>
      </c>
      <c r="Q128" s="105">
        <v>0.45</v>
      </c>
      <c r="R128" s="105">
        <v>0.45</v>
      </c>
      <c r="S128" s="116">
        <v>0.45</v>
      </c>
      <c r="T128" s="119">
        <v>1.26</v>
      </c>
      <c r="U128" s="105">
        <v>1.19</v>
      </c>
      <c r="V128" s="105">
        <v>1.1299999999999999</v>
      </c>
      <c r="W128" s="105">
        <v>1.07</v>
      </c>
      <c r="X128" s="105">
        <v>1.03</v>
      </c>
      <c r="Y128" s="115">
        <v>1</v>
      </c>
      <c r="Z128" s="115">
        <v>1</v>
      </c>
      <c r="AA128" s="122">
        <v>1</v>
      </c>
      <c r="AB128" s="119">
        <v>0.78</v>
      </c>
      <c r="AC128" s="115">
        <v>0.74</v>
      </c>
      <c r="AD128" s="115">
        <v>0.69</v>
      </c>
      <c r="AE128" s="115">
        <v>0.64</v>
      </c>
      <c r="AF128" s="115">
        <v>0.6</v>
      </c>
      <c r="AG128" s="105">
        <v>0.55000000000000004</v>
      </c>
      <c r="AH128" s="105">
        <v>0.55000000000000004</v>
      </c>
      <c r="AI128" s="120">
        <v>0.55000000000000004</v>
      </c>
    </row>
    <row r="129" spans="1:35">
      <c r="A129" s="32" t="s">
        <v>1309</v>
      </c>
      <c r="B129" s="32" t="s">
        <v>1432</v>
      </c>
      <c r="C129" s="32" t="s">
        <v>1445</v>
      </c>
      <c r="D129" s="32">
        <v>1.02</v>
      </c>
      <c r="E129" s="32">
        <v>0.97</v>
      </c>
      <c r="F129" s="32">
        <v>0.93</v>
      </c>
      <c r="G129" s="112">
        <v>0.89</v>
      </c>
      <c r="H129" s="112">
        <v>0.85</v>
      </c>
      <c r="I129" s="112">
        <v>0.8</v>
      </c>
      <c r="J129" s="112">
        <v>0.8</v>
      </c>
      <c r="K129" s="112">
        <v>0.8</v>
      </c>
      <c r="L129" s="105">
        <v>0.59</v>
      </c>
      <c r="M129" s="105">
        <v>0.56999999999999995</v>
      </c>
      <c r="N129" s="105">
        <v>0.55000000000000004</v>
      </c>
      <c r="O129" s="105">
        <v>0.52</v>
      </c>
      <c r="P129" s="105">
        <v>0.49</v>
      </c>
      <c r="Q129" s="105">
        <v>0.45</v>
      </c>
      <c r="R129" s="105">
        <v>0.45</v>
      </c>
      <c r="S129" s="116">
        <v>0.45</v>
      </c>
      <c r="T129" s="119">
        <v>1.26</v>
      </c>
      <c r="U129" s="105">
        <v>1.19</v>
      </c>
      <c r="V129" s="105">
        <v>1.1299999999999999</v>
      </c>
      <c r="W129" s="105">
        <v>1.07</v>
      </c>
      <c r="X129" s="105">
        <v>1.03</v>
      </c>
      <c r="Y129" s="115">
        <v>1</v>
      </c>
      <c r="Z129" s="115">
        <v>1</v>
      </c>
      <c r="AA129" s="122">
        <v>1</v>
      </c>
      <c r="AB129" s="119">
        <v>0.78</v>
      </c>
      <c r="AC129" s="115">
        <v>0.74</v>
      </c>
      <c r="AD129" s="115">
        <v>0.69</v>
      </c>
      <c r="AE129" s="115">
        <v>0.64</v>
      </c>
      <c r="AF129" s="115">
        <v>0.6</v>
      </c>
      <c r="AG129" s="105">
        <v>0.55000000000000004</v>
      </c>
      <c r="AH129" s="105">
        <v>0.55000000000000004</v>
      </c>
      <c r="AI129" s="120">
        <v>0.55000000000000004</v>
      </c>
    </row>
    <row r="130" spans="1:35">
      <c r="A130" s="32" t="s">
        <v>1309</v>
      </c>
      <c r="B130" s="32" t="s">
        <v>1432</v>
      </c>
      <c r="C130" s="32" t="s">
        <v>1671</v>
      </c>
      <c r="D130" s="32">
        <v>1.02</v>
      </c>
      <c r="E130" s="32">
        <v>0.97</v>
      </c>
      <c r="F130" s="32">
        <v>0.93</v>
      </c>
      <c r="G130" s="112">
        <v>0.89</v>
      </c>
      <c r="H130" s="112">
        <v>0.85</v>
      </c>
      <c r="I130" s="112">
        <v>0.8</v>
      </c>
      <c r="J130" s="112">
        <v>0.8</v>
      </c>
      <c r="K130" s="112">
        <v>0.8</v>
      </c>
      <c r="L130" s="105">
        <v>0.59</v>
      </c>
      <c r="M130" s="105">
        <v>0.56999999999999995</v>
      </c>
      <c r="N130" s="105">
        <v>0.55000000000000004</v>
      </c>
      <c r="O130" s="105">
        <v>0.52</v>
      </c>
      <c r="P130" s="105">
        <v>0.49</v>
      </c>
      <c r="Q130" s="105">
        <v>0.45</v>
      </c>
      <c r="R130" s="105">
        <v>0.45</v>
      </c>
      <c r="S130" s="116">
        <v>0.45</v>
      </c>
      <c r="T130" s="119">
        <v>1.26</v>
      </c>
      <c r="U130" s="105">
        <v>1.19</v>
      </c>
      <c r="V130" s="105">
        <v>1.1299999999999999</v>
      </c>
      <c r="W130" s="105">
        <v>1.07</v>
      </c>
      <c r="X130" s="105">
        <v>1.03</v>
      </c>
      <c r="Y130" s="115">
        <v>1</v>
      </c>
      <c r="Z130" s="115">
        <v>1</v>
      </c>
      <c r="AA130" s="122">
        <v>1</v>
      </c>
      <c r="AB130" s="119">
        <v>0.78</v>
      </c>
      <c r="AC130" s="115">
        <v>0.74</v>
      </c>
      <c r="AD130" s="115">
        <v>0.69</v>
      </c>
      <c r="AE130" s="115">
        <v>0.64</v>
      </c>
      <c r="AF130" s="115">
        <v>0.6</v>
      </c>
      <c r="AG130" s="105">
        <v>0.55000000000000004</v>
      </c>
      <c r="AH130" s="105">
        <v>0.55000000000000004</v>
      </c>
      <c r="AI130" s="120">
        <v>0.55000000000000004</v>
      </c>
    </row>
    <row r="131" spans="1:35">
      <c r="A131" s="32" t="s">
        <v>1309</v>
      </c>
      <c r="B131" s="32" t="s">
        <v>1432</v>
      </c>
      <c r="C131" s="32" t="s">
        <v>1446</v>
      </c>
      <c r="D131" s="32">
        <v>1.02</v>
      </c>
      <c r="E131" s="32">
        <v>0.97</v>
      </c>
      <c r="F131" s="32">
        <v>0.93</v>
      </c>
      <c r="G131" s="112">
        <v>0.89</v>
      </c>
      <c r="H131" s="112">
        <v>0.85</v>
      </c>
      <c r="I131" s="112">
        <v>0.8</v>
      </c>
      <c r="J131" s="112">
        <v>0.8</v>
      </c>
      <c r="K131" s="112">
        <v>0.8</v>
      </c>
      <c r="L131" s="105">
        <v>0.59</v>
      </c>
      <c r="M131" s="105">
        <v>0.56999999999999995</v>
      </c>
      <c r="N131" s="105">
        <v>0.55000000000000004</v>
      </c>
      <c r="O131" s="105">
        <v>0.52</v>
      </c>
      <c r="P131" s="105">
        <v>0.49</v>
      </c>
      <c r="Q131" s="105">
        <v>0.45</v>
      </c>
      <c r="R131" s="105">
        <v>0.45</v>
      </c>
      <c r="S131" s="116">
        <v>0.45</v>
      </c>
      <c r="T131" s="119">
        <v>1.26</v>
      </c>
      <c r="U131" s="105">
        <v>1.19</v>
      </c>
      <c r="V131" s="105">
        <v>1.1299999999999999</v>
      </c>
      <c r="W131" s="105">
        <v>1.07</v>
      </c>
      <c r="X131" s="105">
        <v>1.03</v>
      </c>
      <c r="Y131" s="115">
        <v>1</v>
      </c>
      <c r="Z131" s="115">
        <v>1</v>
      </c>
      <c r="AA131" s="122">
        <v>1</v>
      </c>
      <c r="AB131" s="119">
        <v>0.78</v>
      </c>
      <c r="AC131" s="115">
        <v>0.74</v>
      </c>
      <c r="AD131" s="115">
        <v>0.69</v>
      </c>
      <c r="AE131" s="115">
        <v>0.64</v>
      </c>
      <c r="AF131" s="115">
        <v>0.6</v>
      </c>
      <c r="AG131" s="105">
        <v>0.55000000000000004</v>
      </c>
      <c r="AH131" s="105">
        <v>0.55000000000000004</v>
      </c>
      <c r="AI131" s="120">
        <v>0.55000000000000004</v>
      </c>
    </row>
    <row r="132" spans="1:35">
      <c r="A132" s="32" t="s">
        <v>1309</v>
      </c>
      <c r="B132" s="32" t="s">
        <v>1432</v>
      </c>
      <c r="C132" s="32" t="s">
        <v>1447</v>
      </c>
      <c r="D132" s="32">
        <v>1.02</v>
      </c>
      <c r="E132" s="32">
        <v>0.97</v>
      </c>
      <c r="F132" s="32">
        <v>0.93</v>
      </c>
      <c r="G132" s="112">
        <v>0.89</v>
      </c>
      <c r="H132" s="112">
        <v>0.85</v>
      </c>
      <c r="I132" s="112">
        <v>0.8</v>
      </c>
      <c r="J132" s="112">
        <v>0.8</v>
      </c>
      <c r="K132" s="112">
        <v>0.8</v>
      </c>
      <c r="L132" s="105">
        <v>0.59</v>
      </c>
      <c r="M132" s="105">
        <v>0.56999999999999995</v>
      </c>
      <c r="N132" s="105">
        <v>0.55000000000000004</v>
      </c>
      <c r="O132" s="105">
        <v>0.52</v>
      </c>
      <c r="P132" s="105">
        <v>0.49</v>
      </c>
      <c r="Q132" s="105">
        <v>0.45</v>
      </c>
      <c r="R132" s="105">
        <v>0.45</v>
      </c>
      <c r="S132" s="116">
        <v>0.45</v>
      </c>
      <c r="T132" s="119">
        <v>1.26</v>
      </c>
      <c r="U132" s="105">
        <v>1.19</v>
      </c>
      <c r="V132" s="105">
        <v>1.1299999999999999</v>
      </c>
      <c r="W132" s="105">
        <v>1.07</v>
      </c>
      <c r="X132" s="105">
        <v>1.03</v>
      </c>
      <c r="Y132" s="115">
        <v>1</v>
      </c>
      <c r="Z132" s="115">
        <v>1</v>
      </c>
      <c r="AA132" s="122">
        <v>1</v>
      </c>
      <c r="AB132" s="119">
        <v>0.78</v>
      </c>
      <c r="AC132" s="115">
        <v>0.74</v>
      </c>
      <c r="AD132" s="115">
        <v>0.69</v>
      </c>
      <c r="AE132" s="115">
        <v>0.64</v>
      </c>
      <c r="AF132" s="115">
        <v>0.6</v>
      </c>
      <c r="AG132" s="105">
        <v>0.55000000000000004</v>
      </c>
      <c r="AH132" s="105">
        <v>0.55000000000000004</v>
      </c>
      <c r="AI132" s="120">
        <v>0.55000000000000004</v>
      </c>
    </row>
    <row r="133" spans="1:35">
      <c r="A133" s="32" t="s">
        <v>1309</v>
      </c>
      <c r="B133" s="32" t="s">
        <v>1432</v>
      </c>
      <c r="C133" s="32" t="s">
        <v>1497</v>
      </c>
      <c r="D133" s="32">
        <v>1.02</v>
      </c>
      <c r="E133" s="32">
        <v>0.97</v>
      </c>
      <c r="F133" s="32">
        <v>0.93</v>
      </c>
      <c r="G133" s="112">
        <v>0.89</v>
      </c>
      <c r="H133" s="112">
        <v>0.85</v>
      </c>
      <c r="I133" s="112">
        <v>0.8</v>
      </c>
      <c r="J133" s="112">
        <v>0.8</v>
      </c>
      <c r="K133" s="112">
        <v>0.8</v>
      </c>
      <c r="L133" s="105">
        <v>0.59</v>
      </c>
      <c r="M133" s="105">
        <v>0.56999999999999995</v>
      </c>
      <c r="N133" s="105">
        <v>0.55000000000000004</v>
      </c>
      <c r="O133" s="105">
        <v>0.52</v>
      </c>
      <c r="P133" s="105">
        <v>0.49</v>
      </c>
      <c r="Q133" s="105">
        <v>0.45</v>
      </c>
      <c r="R133" s="105">
        <v>0.45</v>
      </c>
      <c r="S133" s="116">
        <v>0.45</v>
      </c>
      <c r="T133" s="119">
        <v>1.26</v>
      </c>
      <c r="U133" s="105">
        <v>1.19</v>
      </c>
      <c r="V133" s="105">
        <v>1.1299999999999999</v>
      </c>
      <c r="W133" s="105">
        <v>1.07</v>
      </c>
      <c r="X133" s="105">
        <v>1.03</v>
      </c>
      <c r="Y133" s="115">
        <v>1</v>
      </c>
      <c r="Z133" s="115">
        <v>1</v>
      </c>
      <c r="AA133" s="122">
        <v>1</v>
      </c>
      <c r="AB133" s="119">
        <v>0.78</v>
      </c>
      <c r="AC133" s="115">
        <v>0.74</v>
      </c>
      <c r="AD133" s="115">
        <v>0.69</v>
      </c>
      <c r="AE133" s="115">
        <v>0.64</v>
      </c>
      <c r="AF133" s="115">
        <v>0.6</v>
      </c>
      <c r="AG133" s="105">
        <v>0.55000000000000004</v>
      </c>
      <c r="AH133" s="105">
        <v>0.55000000000000004</v>
      </c>
      <c r="AI133" s="120">
        <v>0.55000000000000004</v>
      </c>
    </row>
    <row r="134" spans="1:35">
      <c r="A134" s="32" t="s">
        <v>1309</v>
      </c>
      <c r="B134" s="32" t="s">
        <v>1432</v>
      </c>
      <c r="C134" s="32" t="s">
        <v>1498</v>
      </c>
      <c r="D134" s="32">
        <v>1.02</v>
      </c>
      <c r="E134" s="32">
        <v>0.97</v>
      </c>
      <c r="F134" s="32">
        <v>0.93</v>
      </c>
      <c r="G134" s="112">
        <v>0.89</v>
      </c>
      <c r="H134" s="112">
        <v>0.85</v>
      </c>
      <c r="I134" s="112">
        <v>0.8</v>
      </c>
      <c r="J134" s="112">
        <v>0.8</v>
      </c>
      <c r="K134" s="112">
        <v>0.8</v>
      </c>
      <c r="L134" s="105">
        <v>0.59</v>
      </c>
      <c r="M134" s="105">
        <v>0.56999999999999995</v>
      </c>
      <c r="N134" s="105">
        <v>0.55000000000000004</v>
      </c>
      <c r="O134" s="105">
        <v>0.52</v>
      </c>
      <c r="P134" s="105">
        <v>0.49</v>
      </c>
      <c r="Q134" s="105">
        <v>0.45</v>
      </c>
      <c r="R134" s="105">
        <v>0.45</v>
      </c>
      <c r="S134" s="116">
        <v>0.45</v>
      </c>
      <c r="T134" s="119">
        <v>1.26</v>
      </c>
      <c r="U134" s="105">
        <v>1.19</v>
      </c>
      <c r="V134" s="105">
        <v>1.1299999999999999</v>
      </c>
      <c r="W134" s="105">
        <v>1.07</v>
      </c>
      <c r="X134" s="105">
        <v>1.03</v>
      </c>
      <c r="Y134" s="115">
        <v>1</v>
      </c>
      <c r="Z134" s="115">
        <v>1</v>
      </c>
      <c r="AA134" s="122">
        <v>1</v>
      </c>
      <c r="AB134" s="119">
        <v>0.78</v>
      </c>
      <c r="AC134" s="115">
        <v>0.74</v>
      </c>
      <c r="AD134" s="115">
        <v>0.69</v>
      </c>
      <c r="AE134" s="115">
        <v>0.64</v>
      </c>
      <c r="AF134" s="115">
        <v>0.6</v>
      </c>
      <c r="AG134" s="105">
        <v>0.55000000000000004</v>
      </c>
      <c r="AH134" s="105">
        <v>0.55000000000000004</v>
      </c>
      <c r="AI134" s="120">
        <v>0.55000000000000004</v>
      </c>
    </row>
    <row r="135" spans="1:35">
      <c r="A135" s="32" t="s">
        <v>1309</v>
      </c>
      <c r="B135" s="32" t="s">
        <v>1432</v>
      </c>
      <c r="C135" s="32" t="s">
        <v>1448</v>
      </c>
      <c r="D135" s="32">
        <v>1.02</v>
      </c>
      <c r="E135" s="32">
        <v>0.97</v>
      </c>
      <c r="F135" s="32">
        <v>0.93</v>
      </c>
      <c r="G135" s="112">
        <v>0.89</v>
      </c>
      <c r="H135" s="112">
        <v>0.85</v>
      </c>
      <c r="I135" s="112">
        <v>0.8</v>
      </c>
      <c r="J135" s="112">
        <v>0.8</v>
      </c>
      <c r="K135" s="112">
        <v>0.8</v>
      </c>
      <c r="L135" s="105">
        <v>0.59</v>
      </c>
      <c r="M135" s="105">
        <v>0.56999999999999995</v>
      </c>
      <c r="N135" s="105">
        <v>0.55000000000000004</v>
      </c>
      <c r="O135" s="105">
        <v>0.52</v>
      </c>
      <c r="P135" s="105">
        <v>0.49</v>
      </c>
      <c r="Q135" s="105">
        <v>0.45</v>
      </c>
      <c r="R135" s="105">
        <v>0.45</v>
      </c>
      <c r="S135" s="116">
        <v>0.45</v>
      </c>
      <c r="T135" s="119">
        <v>1.26</v>
      </c>
      <c r="U135" s="105">
        <v>1.19</v>
      </c>
      <c r="V135" s="105">
        <v>1.1299999999999999</v>
      </c>
      <c r="W135" s="105">
        <v>1.07</v>
      </c>
      <c r="X135" s="105">
        <v>1.03</v>
      </c>
      <c r="Y135" s="115">
        <v>1</v>
      </c>
      <c r="Z135" s="115">
        <v>1</v>
      </c>
      <c r="AA135" s="122">
        <v>1</v>
      </c>
      <c r="AB135" s="119">
        <v>0.78</v>
      </c>
      <c r="AC135" s="115">
        <v>0.74</v>
      </c>
      <c r="AD135" s="115">
        <v>0.69</v>
      </c>
      <c r="AE135" s="115">
        <v>0.64</v>
      </c>
      <c r="AF135" s="115">
        <v>0.6</v>
      </c>
      <c r="AG135" s="105">
        <v>0.55000000000000004</v>
      </c>
      <c r="AH135" s="105">
        <v>0.55000000000000004</v>
      </c>
      <c r="AI135" s="120">
        <v>0.55000000000000004</v>
      </c>
    </row>
    <row r="136" spans="1:35">
      <c r="A136" s="32" t="s">
        <v>1309</v>
      </c>
      <c r="B136" s="32" t="s">
        <v>1432</v>
      </c>
      <c r="C136" s="32" t="s">
        <v>1449</v>
      </c>
      <c r="D136" s="32">
        <v>1.02</v>
      </c>
      <c r="E136" s="32">
        <v>0.97</v>
      </c>
      <c r="F136" s="32">
        <v>0.93</v>
      </c>
      <c r="G136" s="112">
        <v>0.89</v>
      </c>
      <c r="H136" s="112">
        <v>0.85</v>
      </c>
      <c r="I136" s="112">
        <v>0.8</v>
      </c>
      <c r="J136" s="112">
        <v>0.8</v>
      </c>
      <c r="K136" s="112">
        <v>0.8</v>
      </c>
      <c r="L136" s="105">
        <v>0.59</v>
      </c>
      <c r="M136" s="105">
        <v>0.56999999999999995</v>
      </c>
      <c r="N136" s="105">
        <v>0.55000000000000004</v>
      </c>
      <c r="O136" s="105">
        <v>0.52</v>
      </c>
      <c r="P136" s="105">
        <v>0.49</v>
      </c>
      <c r="Q136" s="105">
        <v>0.45</v>
      </c>
      <c r="R136" s="105">
        <v>0.45</v>
      </c>
      <c r="S136" s="116">
        <v>0.45</v>
      </c>
      <c r="T136" s="119">
        <v>1.26</v>
      </c>
      <c r="U136" s="105">
        <v>1.19</v>
      </c>
      <c r="V136" s="105">
        <v>1.1299999999999999</v>
      </c>
      <c r="W136" s="105">
        <v>1.07</v>
      </c>
      <c r="X136" s="105">
        <v>1.03</v>
      </c>
      <c r="Y136" s="115">
        <v>1</v>
      </c>
      <c r="Z136" s="115">
        <v>1</v>
      </c>
      <c r="AA136" s="122">
        <v>1</v>
      </c>
      <c r="AB136" s="119">
        <v>0.78</v>
      </c>
      <c r="AC136" s="115">
        <v>0.74</v>
      </c>
      <c r="AD136" s="115">
        <v>0.69</v>
      </c>
      <c r="AE136" s="115">
        <v>0.64</v>
      </c>
      <c r="AF136" s="115">
        <v>0.6</v>
      </c>
      <c r="AG136" s="105">
        <v>0.55000000000000004</v>
      </c>
      <c r="AH136" s="105">
        <v>0.55000000000000004</v>
      </c>
      <c r="AI136" s="120">
        <v>0.55000000000000004</v>
      </c>
    </row>
    <row r="137" spans="1:35">
      <c r="A137" s="32" t="s">
        <v>1309</v>
      </c>
      <c r="B137" s="32" t="s">
        <v>1432</v>
      </c>
      <c r="C137" s="32" t="s">
        <v>1452</v>
      </c>
      <c r="D137" s="32">
        <v>1.02</v>
      </c>
      <c r="E137" s="32">
        <v>0.97</v>
      </c>
      <c r="F137" s="32">
        <v>0.93</v>
      </c>
      <c r="G137" s="112">
        <v>0.89</v>
      </c>
      <c r="H137" s="112">
        <v>0.85</v>
      </c>
      <c r="I137" s="112">
        <v>0.8</v>
      </c>
      <c r="J137" s="112">
        <v>0.8</v>
      </c>
      <c r="K137" s="112">
        <v>0.8</v>
      </c>
      <c r="L137" s="105">
        <v>0.59</v>
      </c>
      <c r="M137" s="105">
        <v>0.56999999999999995</v>
      </c>
      <c r="N137" s="105">
        <v>0.55000000000000004</v>
      </c>
      <c r="O137" s="105">
        <v>0.52</v>
      </c>
      <c r="P137" s="105">
        <v>0.49</v>
      </c>
      <c r="Q137" s="105">
        <v>0.45</v>
      </c>
      <c r="R137" s="105">
        <v>0.45</v>
      </c>
      <c r="S137" s="116">
        <v>0.45</v>
      </c>
      <c r="T137" s="119">
        <v>1.26</v>
      </c>
      <c r="U137" s="105">
        <v>1.19</v>
      </c>
      <c r="V137" s="105">
        <v>1.1299999999999999</v>
      </c>
      <c r="W137" s="105">
        <v>1.07</v>
      </c>
      <c r="X137" s="105">
        <v>1.03</v>
      </c>
      <c r="Y137" s="115">
        <v>1</v>
      </c>
      <c r="Z137" s="115">
        <v>1</v>
      </c>
      <c r="AA137" s="122">
        <v>1</v>
      </c>
      <c r="AB137" s="119">
        <v>0.78</v>
      </c>
      <c r="AC137" s="115">
        <v>0.74</v>
      </c>
      <c r="AD137" s="115">
        <v>0.69</v>
      </c>
      <c r="AE137" s="115">
        <v>0.64</v>
      </c>
      <c r="AF137" s="115">
        <v>0.6</v>
      </c>
      <c r="AG137" s="105">
        <v>0.55000000000000004</v>
      </c>
      <c r="AH137" s="105">
        <v>0.55000000000000004</v>
      </c>
      <c r="AI137" s="120">
        <v>0.55000000000000004</v>
      </c>
    </row>
    <row r="138" spans="1:35">
      <c r="A138" s="32" t="s">
        <v>1309</v>
      </c>
      <c r="B138" s="32" t="s">
        <v>1349</v>
      </c>
      <c r="C138" s="32" t="s">
        <v>1350</v>
      </c>
      <c r="D138" s="32">
        <v>1.02</v>
      </c>
      <c r="E138" s="32">
        <v>0.97</v>
      </c>
      <c r="F138" s="32">
        <v>0.93</v>
      </c>
      <c r="G138" s="112">
        <v>0.89</v>
      </c>
      <c r="H138" s="112">
        <v>0.85</v>
      </c>
      <c r="I138" s="112">
        <v>0.8</v>
      </c>
      <c r="J138" s="113">
        <v>0.7</v>
      </c>
      <c r="K138" s="113">
        <v>0.7</v>
      </c>
      <c r="L138" s="105">
        <v>0.59</v>
      </c>
      <c r="M138" s="105">
        <v>0.56999999999999995</v>
      </c>
      <c r="N138" s="105">
        <v>0.55000000000000004</v>
      </c>
      <c r="O138" s="105">
        <v>0.52</v>
      </c>
      <c r="P138" s="105">
        <v>0.49</v>
      </c>
      <c r="Q138" s="105">
        <v>0.45</v>
      </c>
      <c r="R138" s="114">
        <v>0.4</v>
      </c>
      <c r="S138" s="117">
        <v>0.4</v>
      </c>
      <c r="T138" s="119">
        <v>1.26</v>
      </c>
      <c r="U138" s="105">
        <v>1.19</v>
      </c>
      <c r="V138" s="105">
        <v>1.1299999999999999</v>
      </c>
      <c r="W138" s="105">
        <v>1.07</v>
      </c>
      <c r="X138" s="105">
        <v>1.03</v>
      </c>
      <c r="Y138" s="115">
        <v>1</v>
      </c>
      <c r="Z138" s="114">
        <v>0.9</v>
      </c>
      <c r="AA138" s="123">
        <v>0.9</v>
      </c>
      <c r="AB138" s="119">
        <v>0.78</v>
      </c>
      <c r="AC138" s="115">
        <v>0.74</v>
      </c>
      <c r="AD138" s="115">
        <v>0.69</v>
      </c>
      <c r="AE138" s="115">
        <v>0.64</v>
      </c>
      <c r="AF138" s="115">
        <v>0.6</v>
      </c>
      <c r="AG138" s="105">
        <v>0.55000000000000004</v>
      </c>
      <c r="AH138" s="114">
        <v>0.5</v>
      </c>
      <c r="AI138" s="123">
        <v>0.5</v>
      </c>
    </row>
    <row r="139" spans="1:35">
      <c r="A139" s="32" t="s">
        <v>1310</v>
      </c>
      <c r="B139" s="32" t="s">
        <v>1349</v>
      </c>
      <c r="C139" s="32" t="s">
        <v>1351</v>
      </c>
      <c r="D139" s="32">
        <v>0.98</v>
      </c>
      <c r="E139" s="32">
        <v>0.94</v>
      </c>
      <c r="F139" s="32">
        <v>0.89</v>
      </c>
      <c r="G139" s="112">
        <v>0.85</v>
      </c>
      <c r="H139" s="112">
        <v>0.83</v>
      </c>
      <c r="I139" s="112">
        <v>0.82</v>
      </c>
      <c r="J139" s="112">
        <v>0.8</v>
      </c>
      <c r="K139" s="112">
        <v>0.8</v>
      </c>
      <c r="L139" s="115">
        <v>0.61</v>
      </c>
      <c r="M139" s="115">
        <v>0.6</v>
      </c>
      <c r="N139" s="115">
        <v>0.56999999999999995</v>
      </c>
      <c r="O139" s="115">
        <v>0.54</v>
      </c>
      <c r="P139" s="115">
        <v>0.51</v>
      </c>
      <c r="Q139" s="115">
        <v>0.48</v>
      </c>
      <c r="R139" s="115">
        <v>0.45</v>
      </c>
      <c r="S139" s="118">
        <v>0.45</v>
      </c>
      <c r="T139" s="119">
        <v>1.25</v>
      </c>
      <c r="U139" s="105">
        <v>1.21</v>
      </c>
      <c r="V139" s="105">
        <v>1.1499999999999999</v>
      </c>
      <c r="W139" s="105">
        <v>1.0900000000000001</v>
      </c>
      <c r="X139" s="105">
        <v>1.05</v>
      </c>
      <c r="Y139" s="105">
        <v>1.02</v>
      </c>
      <c r="Z139" s="115">
        <v>1</v>
      </c>
      <c r="AA139" s="122">
        <v>1</v>
      </c>
      <c r="AB139" s="119">
        <v>0.83</v>
      </c>
      <c r="AC139" s="115">
        <v>0.8</v>
      </c>
      <c r="AD139" s="115">
        <v>0.76</v>
      </c>
      <c r="AE139" s="115">
        <v>0.7</v>
      </c>
      <c r="AF139" s="115">
        <v>0.66</v>
      </c>
      <c r="AG139" s="105">
        <v>0.61</v>
      </c>
      <c r="AH139" s="105">
        <v>0.55000000000000004</v>
      </c>
      <c r="AI139" s="120">
        <v>0.55000000000000004</v>
      </c>
    </row>
    <row r="140" spans="1:35">
      <c r="A140" s="32" t="s">
        <v>1310</v>
      </c>
      <c r="B140" s="32" t="s">
        <v>1349</v>
      </c>
      <c r="C140" s="32" t="s">
        <v>1488</v>
      </c>
      <c r="D140" s="32">
        <v>0.98</v>
      </c>
      <c r="E140" s="32">
        <v>0.94</v>
      </c>
      <c r="F140" s="32">
        <v>0.89</v>
      </c>
      <c r="G140" s="112">
        <v>0.85</v>
      </c>
      <c r="H140" s="112">
        <v>0.83</v>
      </c>
      <c r="I140" s="112">
        <v>0.82</v>
      </c>
      <c r="J140" s="112">
        <v>0.8</v>
      </c>
      <c r="K140" s="112">
        <v>0.8</v>
      </c>
      <c r="L140" s="115">
        <v>0.61</v>
      </c>
      <c r="M140" s="115">
        <v>0.6</v>
      </c>
      <c r="N140" s="115">
        <v>0.56999999999999995</v>
      </c>
      <c r="O140" s="115">
        <v>0.54</v>
      </c>
      <c r="P140" s="115">
        <v>0.51</v>
      </c>
      <c r="Q140" s="115">
        <v>0.48</v>
      </c>
      <c r="R140" s="115">
        <v>0.45</v>
      </c>
      <c r="S140" s="118">
        <v>0.45</v>
      </c>
      <c r="T140" s="119">
        <v>1.25</v>
      </c>
      <c r="U140" s="105">
        <v>1.21</v>
      </c>
      <c r="V140" s="105">
        <v>1.1499999999999999</v>
      </c>
      <c r="W140" s="105">
        <v>1.0900000000000001</v>
      </c>
      <c r="X140" s="105">
        <v>1.05</v>
      </c>
      <c r="Y140" s="105">
        <v>1.02</v>
      </c>
      <c r="Z140" s="115">
        <v>1</v>
      </c>
      <c r="AA140" s="122">
        <v>1</v>
      </c>
      <c r="AB140" s="119">
        <v>0.83</v>
      </c>
      <c r="AC140" s="115">
        <v>0.8</v>
      </c>
      <c r="AD140" s="115">
        <v>0.76</v>
      </c>
      <c r="AE140" s="115">
        <v>0.7</v>
      </c>
      <c r="AF140" s="115">
        <v>0.66</v>
      </c>
      <c r="AG140" s="105">
        <v>0.61</v>
      </c>
      <c r="AH140" s="105">
        <v>0.55000000000000004</v>
      </c>
      <c r="AI140" s="120">
        <v>0.55000000000000004</v>
      </c>
    </row>
    <row r="141" spans="1:35">
      <c r="A141" s="32" t="s">
        <v>1310</v>
      </c>
      <c r="B141" s="32" t="s">
        <v>1349</v>
      </c>
      <c r="C141" s="32" t="s">
        <v>1431</v>
      </c>
      <c r="D141" s="32">
        <v>0.98</v>
      </c>
      <c r="E141" s="32">
        <v>0.94</v>
      </c>
      <c r="F141" s="32">
        <v>0.89</v>
      </c>
      <c r="G141" s="112">
        <v>0.85</v>
      </c>
      <c r="H141" s="112">
        <v>0.83</v>
      </c>
      <c r="I141" s="112">
        <v>0.82</v>
      </c>
      <c r="J141" s="112">
        <v>0.8</v>
      </c>
      <c r="K141" s="112">
        <v>0.8</v>
      </c>
      <c r="L141" s="115">
        <v>0.61</v>
      </c>
      <c r="M141" s="115">
        <v>0.6</v>
      </c>
      <c r="N141" s="115">
        <v>0.56999999999999995</v>
      </c>
      <c r="O141" s="115">
        <v>0.54</v>
      </c>
      <c r="P141" s="115">
        <v>0.51</v>
      </c>
      <c r="Q141" s="115">
        <v>0.48</v>
      </c>
      <c r="R141" s="115">
        <v>0.45</v>
      </c>
      <c r="S141" s="118">
        <v>0.45</v>
      </c>
      <c r="T141" s="119">
        <v>1.25</v>
      </c>
      <c r="U141" s="105">
        <v>1.21</v>
      </c>
      <c r="V141" s="105">
        <v>1.1499999999999999</v>
      </c>
      <c r="W141" s="105">
        <v>1.0900000000000001</v>
      </c>
      <c r="X141" s="105">
        <v>1.05</v>
      </c>
      <c r="Y141" s="105">
        <v>1.02</v>
      </c>
      <c r="Z141" s="115">
        <v>1</v>
      </c>
      <c r="AA141" s="122">
        <v>1</v>
      </c>
      <c r="AB141" s="119">
        <v>0.83</v>
      </c>
      <c r="AC141" s="115">
        <v>0.8</v>
      </c>
      <c r="AD141" s="115">
        <v>0.76</v>
      </c>
      <c r="AE141" s="115">
        <v>0.7</v>
      </c>
      <c r="AF141" s="115">
        <v>0.66</v>
      </c>
      <c r="AG141" s="105">
        <v>0.61</v>
      </c>
      <c r="AH141" s="105">
        <v>0.55000000000000004</v>
      </c>
      <c r="AI141" s="120">
        <v>0.55000000000000004</v>
      </c>
    </row>
    <row r="142" spans="1:35">
      <c r="A142" s="32" t="s">
        <v>1310</v>
      </c>
      <c r="B142" s="32" t="s">
        <v>1349</v>
      </c>
      <c r="C142" s="32" t="s">
        <v>1490</v>
      </c>
      <c r="D142" s="32">
        <v>0.98</v>
      </c>
      <c r="E142" s="32">
        <v>0.94</v>
      </c>
      <c r="F142" s="32">
        <v>0.89</v>
      </c>
      <c r="G142" s="112">
        <v>0.85</v>
      </c>
      <c r="H142" s="112">
        <v>0.83</v>
      </c>
      <c r="I142" s="112">
        <v>0.82</v>
      </c>
      <c r="J142" s="112">
        <v>0.8</v>
      </c>
      <c r="K142" s="112">
        <v>0.8</v>
      </c>
      <c r="L142" s="115">
        <v>0.61</v>
      </c>
      <c r="M142" s="115">
        <v>0.6</v>
      </c>
      <c r="N142" s="115">
        <v>0.56999999999999995</v>
      </c>
      <c r="O142" s="115">
        <v>0.54</v>
      </c>
      <c r="P142" s="115">
        <v>0.51</v>
      </c>
      <c r="Q142" s="115">
        <v>0.48</v>
      </c>
      <c r="R142" s="115">
        <v>0.45</v>
      </c>
      <c r="S142" s="118">
        <v>0.45</v>
      </c>
      <c r="T142" s="119">
        <v>1.25</v>
      </c>
      <c r="U142" s="105">
        <v>1.21</v>
      </c>
      <c r="V142" s="105">
        <v>1.1499999999999999</v>
      </c>
      <c r="W142" s="105">
        <v>1.0900000000000001</v>
      </c>
      <c r="X142" s="105">
        <v>1.05</v>
      </c>
      <c r="Y142" s="105">
        <v>1.02</v>
      </c>
      <c r="Z142" s="115">
        <v>1</v>
      </c>
      <c r="AA142" s="122">
        <v>1</v>
      </c>
      <c r="AB142" s="119">
        <v>0.83</v>
      </c>
      <c r="AC142" s="115">
        <v>0.8</v>
      </c>
      <c r="AD142" s="115">
        <v>0.76</v>
      </c>
      <c r="AE142" s="115">
        <v>0.7</v>
      </c>
      <c r="AF142" s="115">
        <v>0.66</v>
      </c>
      <c r="AG142" s="105">
        <v>0.61</v>
      </c>
      <c r="AH142" s="105">
        <v>0.55000000000000004</v>
      </c>
      <c r="AI142" s="120">
        <v>0.55000000000000004</v>
      </c>
    </row>
    <row r="143" spans="1:35">
      <c r="A143" s="32" t="s">
        <v>1310</v>
      </c>
      <c r="B143" s="32" t="s">
        <v>1349</v>
      </c>
      <c r="C143" s="32" t="s">
        <v>1496</v>
      </c>
      <c r="D143" s="32">
        <v>0.98</v>
      </c>
      <c r="E143" s="32">
        <v>0.94</v>
      </c>
      <c r="F143" s="32">
        <v>0.89</v>
      </c>
      <c r="G143" s="112">
        <v>0.85</v>
      </c>
      <c r="H143" s="112">
        <v>0.83</v>
      </c>
      <c r="I143" s="112">
        <v>0.82</v>
      </c>
      <c r="J143" s="112">
        <v>0.8</v>
      </c>
      <c r="K143" s="112">
        <v>0.8</v>
      </c>
      <c r="L143" s="115">
        <v>0.61</v>
      </c>
      <c r="M143" s="115">
        <v>0.6</v>
      </c>
      <c r="N143" s="115">
        <v>0.56999999999999995</v>
      </c>
      <c r="O143" s="115">
        <v>0.54</v>
      </c>
      <c r="P143" s="115">
        <v>0.51</v>
      </c>
      <c r="Q143" s="115">
        <v>0.48</v>
      </c>
      <c r="R143" s="115">
        <v>0.45</v>
      </c>
      <c r="S143" s="118">
        <v>0.45</v>
      </c>
      <c r="T143" s="119">
        <v>1.25</v>
      </c>
      <c r="U143" s="105">
        <v>1.21</v>
      </c>
      <c r="V143" s="105">
        <v>1.1499999999999999</v>
      </c>
      <c r="W143" s="105">
        <v>1.0900000000000001</v>
      </c>
      <c r="X143" s="105">
        <v>1.05</v>
      </c>
      <c r="Y143" s="105">
        <v>1.02</v>
      </c>
      <c r="Z143" s="115">
        <v>1</v>
      </c>
      <c r="AA143" s="122">
        <v>1</v>
      </c>
      <c r="AB143" s="119">
        <v>0.83</v>
      </c>
      <c r="AC143" s="115">
        <v>0.8</v>
      </c>
      <c r="AD143" s="115">
        <v>0.76</v>
      </c>
      <c r="AE143" s="115">
        <v>0.7</v>
      </c>
      <c r="AF143" s="115">
        <v>0.66</v>
      </c>
      <c r="AG143" s="105">
        <v>0.61</v>
      </c>
      <c r="AH143" s="105">
        <v>0.55000000000000004</v>
      </c>
      <c r="AI143" s="120">
        <v>0.55000000000000004</v>
      </c>
    </row>
    <row r="144" spans="1:35">
      <c r="A144" s="32" t="s">
        <v>1310</v>
      </c>
      <c r="B144" s="32" t="s">
        <v>1432</v>
      </c>
      <c r="C144" s="32" t="s">
        <v>1433</v>
      </c>
      <c r="D144" s="32">
        <v>0.98</v>
      </c>
      <c r="E144" s="32">
        <v>0.94</v>
      </c>
      <c r="F144" s="32">
        <v>0.89</v>
      </c>
      <c r="G144" s="112">
        <v>0.85</v>
      </c>
      <c r="H144" s="112">
        <v>0.83</v>
      </c>
      <c r="I144" s="112">
        <v>0.82</v>
      </c>
      <c r="J144" s="112">
        <v>0.8</v>
      </c>
      <c r="K144" s="112">
        <v>0.8</v>
      </c>
      <c r="L144" s="115">
        <v>0.61</v>
      </c>
      <c r="M144" s="115">
        <v>0.6</v>
      </c>
      <c r="N144" s="115">
        <v>0.56999999999999995</v>
      </c>
      <c r="O144" s="115">
        <v>0.54</v>
      </c>
      <c r="P144" s="115">
        <v>0.51</v>
      </c>
      <c r="Q144" s="115">
        <v>0.48</v>
      </c>
      <c r="R144" s="115">
        <v>0.45</v>
      </c>
      <c r="S144" s="118">
        <v>0.45</v>
      </c>
      <c r="T144" s="119">
        <v>1.25</v>
      </c>
      <c r="U144" s="105">
        <v>1.21</v>
      </c>
      <c r="V144" s="105">
        <v>1.1499999999999999</v>
      </c>
      <c r="W144" s="105">
        <v>1.0900000000000001</v>
      </c>
      <c r="X144" s="105">
        <v>1.05</v>
      </c>
      <c r="Y144" s="105">
        <v>1.02</v>
      </c>
      <c r="Z144" s="115">
        <v>1</v>
      </c>
      <c r="AA144" s="122">
        <v>1</v>
      </c>
      <c r="AB144" s="119">
        <v>0.83</v>
      </c>
      <c r="AC144" s="115">
        <v>0.8</v>
      </c>
      <c r="AD144" s="115">
        <v>0.76</v>
      </c>
      <c r="AE144" s="115">
        <v>0.7</v>
      </c>
      <c r="AF144" s="115">
        <v>0.66</v>
      </c>
      <c r="AG144" s="105">
        <v>0.61</v>
      </c>
      <c r="AH144" s="105">
        <v>0.55000000000000004</v>
      </c>
      <c r="AI144" s="120">
        <v>0.55000000000000004</v>
      </c>
    </row>
    <row r="145" spans="1:35">
      <c r="A145" s="32" t="s">
        <v>1310</v>
      </c>
      <c r="B145" s="32" t="s">
        <v>1432</v>
      </c>
      <c r="C145" s="32" t="s">
        <v>1507</v>
      </c>
      <c r="D145" s="32">
        <v>0.98</v>
      </c>
      <c r="E145" s="32">
        <v>0.94</v>
      </c>
      <c r="F145" s="32">
        <v>0.89</v>
      </c>
      <c r="G145" s="112">
        <v>0.85</v>
      </c>
      <c r="H145" s="112">
        <v>0.83</v>
      </c>
      <c r="I145" s="112">
        <v>0.82</v>
      </c>
      <c r="J145" s="112">
        <v>0.8</v>
      </c>
      <c r="K145" s="112">
        <v>0.8</v>
      </c>
      <c r="L145" s="115">
        <v>0.61</v>
      </c>
      <c r="M145" s="115">
        <v>0.6</v>
      </c>
      <c r="N145" s="115">
        <v>0.56999999999999995</v>
      </c>
      <c r="O145" s="115">
        <v>0.54</v>
      </c>
      <c r="P145" s="115">
        <v>0.51</v>
      </c>
      <c r="Q145" s="115">
        <v>0.48</v>
      </c>
      <c r="R145" s="115">
        <v>0.45</v>
      </c>
      <c r="S145" s="118">
        <v>0.45</v>
      </c>
      <c r="T145" s="119">
        <v>1.25</v>
      </c>
      <c r="U145" s="105">
        <v>1.21</v>
      </c>
      <c r="V145" s="105">
        <v>1.1499999999999999</v>
      </c>
      <c r="W145" s="105">
        <v>1.0900000000000001</v>
      </c>
      <c r="X145" s="105">
        <v>1.05</v>
      </c>
      <c r="Y145" s="105">
        <v>1.02</v>
      </c>
      <c r="Z145" s="115">
        <v>1</v>
      </c>
      <c r="AA145" s="122">
        <v>1</v>
      </c>
      <c r="AB145" s="119">
        <v>0.83</v>
      </c>
      <c r="AC145" s="115">
        <v>0.8</v>
      </c>
      <c r="AD145" s="115">
        <v>0.76</v>
      </c>
      <c r="AE145" s="115">
        <v>0.7</v>
      </c>
      <c r="AF145" s="115">
        <v>0.66</v>
      </c>
      <c r="AG145" s="105">
        <v>0.61</v>
      </c>
      <c r="AH145" s="105">
        <v>0.55000000000000004</v>
      </c>
      <c r="AI145" s="120">
        <v>0.55000000000000004</v>
      </c>
    </row>
    <row r="146" spans="1:35">
      <c r="A146" s="32" t="s">
        <v>1310</v>
      </c>
      <c r="B146" s="32" t="s">
        <v>1432</v>
      </c>
      <c r="C146" s="32" t="s">
        <v>1434</v>
      </c>
      <c r="D146" s="32">
        <v>0.98</v>
      </c>
      <c r="E146" s="32">
        <v>0.94</v>
      </c>
      <c r="F146" s="32">
        <v>0.89</v>
      </c>
      <c r="G146" s="112">
        <v>0.85</v>
      </c>
      <c r="H146" s="112">
        <v>0.83</v>
      </c>
      <c r="I146" s="112">
        <v>0.82</v>
      </c>
      <c r="J146" s="112">
        <v>0.8</v>
      </c>
      <c r="K146" s="112">
        <v>0.8</v>
      </c>
      <c r="L146" s="115">
        <v>0.61</v>
      </c>
      <c r="M146" s="115">
        <v>0.6</v>
      </c>
      <c r="N146" s="115">
        <v>0.56999999999999995</v>
      </c>
      <c r="O146" s="115">
        <v>0.54</v>
      </c>
      <c r="P146" s="115">
        <v>0.51</v>
      </c>
      <c r="Q146" s="115">
        <v>0.48</v>
      </c>
      <c r="R146" s="115">
        <v>0.45</v>
      </c>
      <c r="S146" s="118">
        <v>0.45</v>
      </c>
      <c r="T146" s="119">
        <v>1.25</v>
      </c>
      <c r="U146" s="105">
        <v>1.21</v>
      </c>
      <c r="V146" s="105">
        <v>1.1499999999999999</v>
      </c>
      <c r="W146" s="105">
        <v>1.0900000000000001</v>
      </c>
      <c r="X146" s="105">
        <v>1.05</v>
      </c>
      <c r="Y146" s="105">
        <v>1.02</v>
      </c>
      <c r="Z146" s="115">
        <v>1</v>
      </c>
      <c r="AA146" s="122">
        <v>1</v>
      </c>
      <c r="AB146" s="119">
        <v>0.83</v>
      </c>
      <c r="AC146" s="115">
        <v>0.8</v>
      </c>
      <c r="AD146" s="115">
        <v>0.76</v>
      </c>
      <c r="AE146" s="115">
        <v>0.7</v>
      </c>
      <c r="AF146" s="115">
        <v>0.66</v>
      </c>
      <c r="AG146" s="105">
        <v>0.61</v>
      </c>
      <c r="AH146" s="105">
        <v>0.55000000000000004</v>
      </c>
      <c r="AI146" s="120">
        <v>0.55000000000000004</v>
      </c>
    </row>
    <row r="147" spans="1:35">
      <c r="A147" s="32" t="s">
        <v>1310</v>
      </c>
      <c r="B147" s="32" t="s">
        <v>1432</v>
      </c>
      <c r="C147" s="32" t="s">
        <v>1435</v>
      </c>
      <c r="D147" s="32">
        <v>0.98</v>
      </c>
      <c r="E147" s="32">
        <v>0.94</v>
      </c>
      <c r="F147" s="32">
        <v>0.89</v>
      </c>
      <c r="G147" s="112">
        <v>0.85</v>
      </c>
      <c r="H147" s="112">
        <v>0.83</v>
      </c>
      <c r="I147" s="112">
        <v>0.82</v>
      </c>
      <c r="J147" s="112">
        <v>0.8</v>
      </c>
      <c r="K147" s="112">
        <v>0.8</v>
      </c>
      <c r="L147" s="115">
        <v>0.61</v>
      </c>
      <c r="M147" s="115">
        <v>0.6</v>
      </c>
      <c r="N147" s="115">
        <v>0.56999999999999995</v>
      </c>
      <c r="O147" s="115">
        <v>0.54</v>
      </c>
      <c r="P147" s="115">
        <v>0.51</v>
      </c>
      <c r="Q147" s="115">
        <v>0.48</v>
      </c>
      <c r="R147" s="115">
        <v>0.45</v>
      </c>
      <c r="S147" s="118">
        <v>0.45</v>
      </c>
      <c r="T147" s="119">
        <v>1.25</v>
      </c>
      <c r="U147" s="105">
        <v>1.21</v>
      </c>
      <c r="V147" s="105">
        <v>1.1499999999999999</v>
      </c>
      <c r="W147" s="105">
        <v>1.0900000000000001</v>
      </c>
      <c r="X147" s="105">
        <v>1.05</v>
      </c>
      <c r="Y147" s="105">
        <v>1.02</v>
      </c>
      <c r="Z147" s="115">
        <v>1</v>
      </c>
      <c r="AA147" s="122">
        <v>1</v>
      </c>
      <c r="AB147" s="119">
        <v>0.83</v>
      </c>
      <c r="AC147" s="115">
        <v>0.8</v>
      </c>
      <c r="AD147" s="115">
        <v>0.76</v>
      </c>
      <c r="AE147" s="115">
        <v>0.7</v>
      </c>
      <c r="AF147" s="115">
        <v>0.66</v>
      </c>
      <c r="AG147" s="105">
        <v>0.61</v>
      </c>
      <c r="AH147" s="105">
        <v>0.55000000000000004</v>
      </c>
      <c r="AI147" s="120">
        <v>0.55000000000000004</v>
      </c>
    </row>
    <row r="148" spans="1:35">
      <c r="A148" s="32" t="s">
        <v>1310</v>
      </c>
      <c r="B148" s="32" t="s">
        <v>1432</v>
      </c>
      <c r="C148" s="32" t="s">
        <v>1436</v>
      </c>
      <c r="D148" s="32">
        <v>0.98</v>
      </c>
      <c r="E148" s="32">
        <v>0.94</v>
      </c>
      <c r="F148" s="32">
        <v>0.89</v>
      </c>
      <c r="G148" s="112">
        <v>0.85</v>
      </c>
      <c r="H148" s="112">
        <v>0.83</v>
      </c>
      <c r="I148" s="112">
        <v>0.82</v>
      </c>
      <c r="J148" s="112">
        <v>0.8</v>
      </c>
      <c r="K148" s="112">
        <v>0.8</v>
      </c>
      <c r="L148" s="115">
        <v>0.61</v>
      </c>
      <c r="M148" s="115">
        <v>0.6</v>
      </c>
      <c r="N148" s="115">
        <v>0.56999999999999995</v>
      </c>
      <c r="O148" s="115">
        <v>0.54</v>
      </c>
      <c r="P148" s="115">
        <v>0.51</v>
      </c>
      <c r="Q148" s="115">
        <v>0.48</v>
      </c>
      <c r="R148" s="115">
        <v>0.45</v>
      </c>
      <c r="S148" s="118">
        <v>0.45</v>
      </c>
      <c r="T148" s="119">
        <v>1.25</v>
      </c>
      <c r="U148" s="105">
        <v>1.21</v>
      </c>
      <c r="V148" s="105">
        <v>1.1499999999999999</v>
      </c>
      <c r="W148" s="105">
        <v>1.0900000000000001</v>
      </c>
      <c r="X148" s="105">
        <v>1.05</v>
      </c>
      <c r="Y148" s="105">
        <v>1.02</v>
      </c>
      <c r="Z148" s="115">
        <v>1</v>
      </c>
      <c r="AA148" s="122">
        <v>1</v>
      </c>
      <c r="AB148" s="119">
        <v>0.83</v>
      </c>
      <c r="AC148" s="115">
        <v>0.8</v>
      </c>
      <c r="AD148" s="115">
        <v>0.76</v>
      </c>
      <c r="AE148" s="115">
        <v>0.7</v>
      </c>
      <c r="AF148" s="115">
        <v>0.66</v>
      </c>
      <c r="AG148" s="105">
        <v>0.61</v>
      </c>
      <c r="AH148" s="105">
        <v>0.55000000000000004</v>
      </c>
      <c r="AI148" s="120">
        <v>0.55000000000000004</v>
      </c>
    </row>
    <row r="149" spans="1:35">
      <c r="A149" s="32" t="s">
        <v>1310</v>
      </c>
      <c r="B149" s="32" t="s">
        <v>1432</v>
      </c>
      <c r="C149" s="32" t="s">
        <v>1437</v>
      </c>
      <c r="D149" s="32">
        <v>0.98</v>
      </c>
      <c r="E149" s="32">
        <v>0.94</v>
      </c>
      <c r="F149" s="32">
        <v>0.89</v>
      </c>
      <c r="G149" s="112">
        <v>0.85</v>
      </c>
      <c r="H149" s="112">
        <v>0.83</v>
      </c>
      <c r="I149" s="112">
        <v>0.82</v>
      </c>
      <c r="J149" s="112">
        <v>0.8</v>
      </c>
      <c r="K149" s="112">
        <v>0.8</v>
      </c>
      <c r="L149" s="115">
        <v>0.61</v>
      </c>
      <c r="M149" s="115">
        <v>0.6</v>
      </c>
      <c r="N149" s="115">
        <v>0.56999999999999995</v>
      </c>
      <c r="O149" s="115">
        <v>0.54</v>
      </c>
      <c r="P149" s="115">
        <v>0.51</v>
      </c>
      <c r="Q149" s="115">
        <v>0.48</v>
      </c>
      <c r="R149" s="115">
        <v>0.45</v>
      </c>
      <c r="S149" s="118">
        <v>0.45</v>
      </c>
      <c r="T149" s="119">
        <v>1.25</v>
      </c>
      <c r="U149" s="105">
        <v>1.21</v>
      </c>
      <c r="V149" s="105">
        <v>1.1499999999999999</v>
      </c>
      <c r="W149" s="105">
        <v>1.0900000000000001</v>
      </c>
      <c r="X149" s="105">
        <v>1.05</v>
      </c>
      <c r="Y149" s="105">
        <v>1.02</v>
      </c>
      <c r="Z149" s="115">
        <v>1</v>
      </c>
      <c r="AA149" s="122">
        <v>1</v>
      </c>
      <c r="AB149" s="119">
        <v>0.83</v>
      </c>
      <c r="AC149" s="115">
        <v>0.8</v>
      </c>
      <c r="AD149" s="115">
        <v>0.76</v>
      </c>
      <c r="AE149" s="115">
        <v>0.7</v>
      </c>
      <c r="AF149" s="115">
        <v>0.66</v>
      </c>
      <c r="AG149" s="105">
        <v>0.61</v>
      </c>
      <c r="AH149" s="105">
        <v>0.55000000000000004</v>
      </c>
      <c r="AI149" s="120">
        <v>0.55000000000000004</v>
      </c>
    </row>
    <row r="150" spans="1:35">
      <c r="A150" s="32" t="s">
        <v>1310</v>
      </c>
      <c r="B150" s="32" t="s">
        <v>1432</v>
      </c>
      <c r="C150" s="32" t="s">
        <v>1438</v>
      </c>
      <c r="D150" s="32">
        <v>0.98</v>
      </c>
      <c r="E150" s="32">
        <v>0.94</v>
      </c>
      <c r="F150" s="32">
        <v>0.89</v>
      </c>
      <c r="G150" s="112">
        <v>0.85</v>
      </c>
      <c r="H150" s="112">
        <v>0.83</v>
      </c>
      <c r="I150" s="112">
        <v>0.82</v>
      </c>
      <c r="J150" s="112">
        <v>0.8</v>
      </c>
      <c r="K150" s="112">
        <v>0.8</v>
      </c>
      <c r="L150" s="115">
        <v>0.61</v>
      </c>
      <c r="M150" s="115">
        <v>0.6</v>
      </c>
      <c r="N150" s="115">
        <v>0.56999999999999995</v>
      </c>
      <c r="O150" s="115">
        <v>0.54</v>
      </c>
      <c r="P150" s="115">
        <v>0.51</v>
      </c>
      <c r="Q150" s="115">
        <v>0.48</v>
      </c>
      <c r="R150" s="115">
        <v>0.45</v>
      </c>
      <c r="S150" s="118">
        <v>0.45</v>
      </c>
      <c r="T150" s="119">
        <v>1.25</v>
      </c>
      <c r="U150" s="105">
        <v>1.21</v>
      </c>
      <c r="V150" s="105">
        <v>1.1499999999999999</v>
      </c>
      <c r="W150" s="105">
        <v>1.0900000000000001</v>
      </c>
      <c r="X150" s="105">
        <v>1.05</v>
      </c>
      <c r="Y150" s="105">
        <v>1.02</v>
      </c>
      <c r="Z150" s="115">
        <v>1</v>
      </c>
      <c r="AA150" s="122">
        <v>1</v>
      </c>
      <c r="AB150" s="119">
        <v>0.83</v>
      </c>
      <c r="AC150" s="115">
        <v>0.8</v>
      </c>
      <c r="AD150" s="115">
        <v>0.76</v>
      </c>
      <c r="AE150" s="115">
        <v>0.7</v>
      </c>
      <c r="AF150" s="115">
        <v>0.66</v>
      </c>
      <c r="AG150" s="105">
        <v>0.61</v>
      </c>
      <c r="AH150" s="105">
        <v>0.55000000000000004</v>
      </c>
      <c r="AI150" s="120">
        <v>0.55000000000000004</v>
      </c>
    </row>
    <row r="151" spans="1:35">
      <c r="A151" s="32" t="s">
        <v>1310</v>
      </c>
      <c r="B151" s="32" t="s">
        <v>1432</v>
      </c>
      <c r="C151" s="32" t="s">
        <v>1439</v>
      </c>
      <c r="D151" s="32">
        <v>0.98</v>
      </c>
      <c r="E151" s="32">
        <v>0.94</v>
      </c>
      <c r="F151" s="32">
        <v>0.89</v>
      </c>
      <c r="G151" s="112">
        <v>0.85</v>
      </c>
      <c r="H151" s="112">
        <v>0.83</v>
      </c>
      <c r="I151" s="112">
        <v>0.82</v>
      </c>
      <c r="J151" s="112">
        <v>0.8</v>
      </c>
      <c r="K151" s="112">
        <v>0.8</v>
      </c>
      <c r="L151" s="115">
        <v>0.61</v>
      </c>
      <c r="M151" s="115">
        <v>0.6</v>
      </c>
      <c r="N151" s="115">
        <v>0.56999999999999995</v>
      </c>
      <c r="O151" s="115">
        <v>0.54</v>
      </c>
      <c r="P151" s="115">
        <v>0.51</v>
      </c>
      <c r="Q151" s="115">
        <v>0.48</v>
      </c>
      <c r="R151" s="115">
        <v>0.45</v>
      </c>
      <c r="S151" s="118">
        <v>0.45</v>
      </c>
      <c r="T151" s="119">
        <v>1.25</v>
      </c>
      <c r="U151" s="105">
        <v>1.21</v>
      </c>
      <c r="V151" s="105">
        <v>1.1499999999999999</v>
      </c>
      <c r="W151" s="105">
        <v>1.0900000000000001</v>
      </c>
      <c r="X151" s="105">
        <v>1.05</v>
      </c>
      <c r="Y151" s="105">
        <v>1.02</v>
      </c>
      <c r="Z151" s="115">
        <v>1</v>
      </c>
      <c r="AA151" s="122">
        <v>1</v>
      </c>
      <c r="AB151" s="119">
        <v>0.83</v>
      </c>
      <c r="AC151" s="115">
        <v>0.8</v>
      </c>
      <c r="AD151" s="115">
        <v>0.76</v>
      </c>
      <c r="AE151" s="115">
        <v>0.7</v>
      </c>
      <c r="AF151" s="115">
        <v>0.66</v>
      </c>
      <c r="AG151" s="105">
        <v>0.61</v>
      </c>
      <c r="AH151" s="105">
        <v>0.55000000000000004</v>
      </c>
      <c r="AI151" s="120">
        <v>0.55000000000000004</v>
      </c>
    </row>
    <row r="152" spans="1:35">
      <c r="A152" s="32" t="s">
        <v>1310</v>
      </c>
      <c r="B152" s="32" t="s">
        <v>1432</v>
      </c>
      <c r="C152" s="32" t="s">
        <v>1440</v>
      </c>
      <c r="D152" s="32">
        <v>0.98</v>
      </c>
      <c r="E152" s="32">
        <v>0.94</v>
      </c>
      <c r="F152" s="32">
        <v>0.89</v>
      </c>
      <c r="G152" s="112">
        <v>0.85</v>
      </c>
      <c r="H152" s="112">
        <v>0.83</v>
      </c>
      <c r="I152" s="112">
        <v>0.82</v>
      </c>
      <c r="J152" s="112">
        <v>0.8</v>
      </c>
      <c r="K152" s="112">
        <v>0.8</v>
      </c>
      <c r="L152" s="115">
        <v>0.61</v>
      </c>
      <c r="M152" s="115">
        <v>0.6</v>
      </c>
      <c r="N152" s="115">
        <v>0.56999999999999995</v>
      </c>
      <c r="O152" s="115">
        <v>0.54</v>
      </c>
      <c r="P152" s="115">
        <v>0.51</v>
      </c>
      <c r="Q152" s="115">
        <v>0.48</v>
      </c>
      <c r="R152" s="115">
        <v>0.45</v>
      </c>
      <c r="S152" s="118">
        <v>0.45</v>
      </c>
      <c r="T152" s="119">
        <v>1.25</v>
      </c>
      <c r="U152" s="105">
        <v>1.21</v>
      </c>
      <c r="V152" s="105">
        <v>1.1499999999999999</v>
      </c>
      <c r="W152" s="105">
        <v>1.0900000000000001</v>
      </c>
      <c r="X152" s="105">
        <v>1.05</v>
      </c>
      <c r="Y152" s="105">
        <v>1.02</v>
      </c>
      <c r="Z152" s="115">
        <v>1</v>
      </c>
      <c r="AA152" s="122">
        <v>1</v>
      </c>
      <c r="AB152" s="119">
        <v>0.83</v>
      </c>
      <c r="AC152" s="115">
        <v>0.8</v>
      </c>
      <c r="AD152" s="115">
        <v>0.76</v>
      </c>
      <c r="AE152" s="115">
        <v>0.7</v>
      </c>
      <c r="AF152" s="115">
        <v>0.66</v>
      </c>
      <c r="AG152" s="105">
        <v>0.61</v>
      </c>
      <c r="AH152" s="105">
        <v>0.55000000000000004</v>
      </c>
      <c r="AI152" s="120">
        <v>0.55000000000000004</v>
      </c>
    </row>
    <row r="153" spans="1:35">
      <c r="A153" s="32" t="s">
        <v>1310</v>
      </c>
      <c r="B153" s="32" t="s">
        <v>1432</v>
      </c>
      <c r="C153" s="32" t="s">
        <v>1491</v>
      </c>
      <c r="D153" s="32">
        <v>0.98</v>
      </c>
      <c r="E153" s="32">
        <v>0.94</v>
      </c>
      <c r="F153" s="32">
        <v>0.89</v>
      </c>
      <c r="G153" s="112">
        <v>0.85</v>
      </c>
      <c r="H153" s="112">
        <v>0.83</v>
      </c>
      <c r="I153" s="112">
        <v>0.82</v>
      </c>
      <c r="J153" s="112">
        <v>0.8</v>
      </c>
      <c r="K153" s="112">
        <v>0.8</v>
      </c>
      <c r="L153" s="115">
        <v>0.61</v>
      </c>
      <c r="M153" s="115">
        <v>0.6</v>
      </c>
      <c r="N153" s="115">
        <v>0.56999999999999995</v>
      </c>
      <c r="O153" s="115">
        <v>0.54</v>
      </c>
      <c r="P153" s="115">
        <v>0.51</v>
      </c>
      <c r="Q153" s="115">
        <v>0.48</v>
      </c>
      <c r="R153" s="115">
        <v>0.45</v>
      </c>
      <c r="S153" s="118">
        <v>0.45</v>
      </c>
      <c r="T153" s="119">
        <v>1.25</v>
      </c>
      <c r="U153" s="105">
        <v>1.21</v>
      </c>
      <c r="V153" s="105">
        <v>1.1499999999999999</v>
      </c>
      <c r="W153" s="105">
        <v>1.0900000000000001</v>
      </c>
      <c r="X153" s="105">
        <v>1.05</v>
      </c>
      <c r="Y153" s="105">
        <v>1.02</v>
      </c>
      <c r="Z153" s="115">
        <v>1</v>
      </c>
      <c r="AA153" s="122">
        <v>1</v>
      </c>
      <c r="AB153" s="119">
        <v>0.83</v>
      </c>
      <c r="AC153" s="115">
        <v>0.8</v>
      </c>
      <c r="AD153" s="115">
        <v>0.76</v>
      </c>
      <c r="AE153" s="115">
        <v>0.7</v>
      </c>
      <c r="AF153" s="115">
        <v>0.66</v>
      </c>
      <c r="AG153" s="105">
        <v>0.61</v>
      </c>
      <c r="AH153" s="105">
        <v>0.55000000000000004</v>
      </c>
      <c r="AI153" s="120">
        <v>0.55000000000000004</v>
      </c>
    </row>
    <row r="154" spans="1:35">
      <c r="A154" s="32" t="s">
        <v>1310</v>
      </c>
      <c r="B154" s="32" t="s">
        <v>1432</v>
      </c>
      <c r="C154" s="32" t="s">
        <v>1442</v>
      </c>
      <c r="D154" s="32">
        <v>0.98</v>
      </c>
      <c r="E154" s="32">
        <v>0.94</v>
      </c>
      <c r="F154" s="32">
        <v>0.89</v>
      </c>
      <c r="G154" s="112">
        <v>0.85</v>
      </c>
      <c r="H154" s="112">
        <v>0.83</v>
      </c>
      <c r="I154" s="112">
        <v>0.82</v>
      </c>
      <c r="J154" s="112">
        <v>0.8</v>
      </c>
      <c r="K154" s="112">
        <v>0.8</v>
      </c>
      <c r="L154" s="115">
        <v>0.61</v>
      </c>
      <c r="M154" s="115">
        <v>0.6</v>
      </c>
      <c r="N154" s="115">
        <v>0.56999999999999995</v>
      </c>
      <c r="O154" s="115">
        <v>0.54</v>
      </c>
      <c r="P154" s="115">
        <v>0.51</v>
      </c>
      <c r="Q154" s="115">
        <v>0.48</v>
      </c>
      <c r="R154" s="115">
        <v>0.45</v>
      </c>
      <c r="S154" s="118">
        <v>0.45</v>
      </c>
      <c r="T154" s="119">
        <v>1.25</v>
      </c>
      <c r="U154" s="105">
        <v>1.21</v>
      </c>
      <c r="V154" s="105">
        <v>1.1499999999999999</v>
      </c>
      <c r="W154" s="105">
        <v>1.0900000000000001</v>
      </c>
      <c r="X154" s="105">
        <v>1.05</v>
      </c>
      <c r="Y154" s="105">
        <v>1.02</v>
      </c>
      <c r="Z154" s="115">
        <v>1</v>
      </c>
      <c r="AA154" s="122">
        <v>1</v>
      </c>
      <c r="AB154" s="119">
        <v>0.83</v>
      </c>
      <c r="AC154" s="115">
        <v>0.8</v>
      </c>
      <c r="AD154" s="115">
        <v>0.76</v>
      </c>
      <c r="AE154" s="115">
        <v>0.7</v>
      </c>
      <c r="AF154" s="115">
        <v>0.66</v>
      </c>
      <c r="AG154" s="105">
        <v>0.61</v>
      </c>
      <c r="AH154" s="105">
        <v>0.55000000000000004</v>
      </c>
      <c r="AI154" s="120">
        <v>0.55000000000000004</v>
      </c>
    </row>
    <row r="155" spans="1:35">
      <c r="A155" s="32" t="s">
        <v>1310</v>
      </c>
      <c r="B155" s="32" t="s">
        <v>1432</v>
      </c>
      <c r="C155" s="32" t="s">
        <v>1443</v>
      </c>
      <c r="D155" s="32">
        <v>0.98</v>
      </c>
      <c r="E155" s="32">
        <v>0.94</v>
      </c>
      <c r="F155" s="32">
        <v>0.89</v>
      </c>
      <c r="G155" s="112">
        <v>0.85</v>
      </c>
      <c r="H155" s="112">
        <v>0.83</v>
      </c>
      <c r="I155" s="112">
        <v>0.82</v>
      </c>
      <c r="J155" s="112">
        <v>0.8</v>
      </c>
      <c r="K155" s="112">
        <v>0.8</v>
      </c>
      <c r="L155" s="115">
        <v>0.61</v>
      </c>
      <c r="M155" s="115">
        <v>0.6</v>
      </c>
      <c r="N155" s="115">
        <v>0.56999999999999995</v>
      </c>
      <c r="O155" s="115">
        <v>0.54</v>
      </c>
      <c r="P155" s="115">
        <v>0.51</v>
      </c>
      <c r="Q155" s="115">
        <v>0.48</v>
      </c>
      <c r="R155" s="115">
        <v>0.45</v>
      </c>
      <c r="S155" s="118">
        <v>0.45</v>
      </c>
      <c r="T155" s="119">
        <v>1.25</v>
      </c>
      <c r="U155" s="105">
        <v>1.21</v>
      </c>
      <c r="V155" s="105">
        <v>1.1499999999999999</v>
      </c>
      <c r="W155" s="105">
        <v>1.0900000000000001</v>
      </c>
      <c r="X155" s="105">
        <v>1.05</v>
      </c>
      <c r="Y155" s="105">
        <v>1.02</v>
      </c>
      <c r="Z155" s="115">
        <v>1</v>
      </c>
      <c r="AA155" s="122">
        <v>1</v>
      </c>
      <c r="AB155" s="119">
        <v>0.83</v>
      </c>
      <c r="AC155" s="115">
        <v>0.8</v>
      </c>
      <c r="AD155" s="115">
        <v>0.76</v>
      </c>
      <c r="AE155" s="115">
        <v>0.7</v>
      </c>
      <c r="AF155" s="115">
        <v>0.66</v>
      </c>
      <c r="AG155" s="105">
        <v>0.61</v>
      </c>
      <c r="AH155" s="105">
        <v>0.55000000000000004</v>
      </c>
      <c r="AI155" s="120">
        <v>0.55000000000000004</v>
      </c>
    </row>
    <row r="156" spans="1:35">
      <c r="A156" s="32" t="s">
        <v>1310</v>
      </c>
      <c r="B156" s="32" t="s">
        <v>1432</v>
      </c>
      <c r="C156" s="32" t="s">
        <v>1444</v>
      </c>
      <c r="D156" s="32">
        <v>0.98</v>
      </c>
      <c r="E156" s="32">
        <v>0.94</v>
      </c>
      <c r="F156" s="32">
        <v>0.89</v>
      </c>
      <c r="G156" s="112">
        <v>0.85</v>
      </c>
      <c r="H156" s="112">
        <v>0.83</v>
      </c>
      <c r="I156" s="112">
        <v>0.82</v>
      </c>
      <c r="J156" s="112">
        <v>0.8</v>
      </c>
      <c r="K156" s="112">
        <v>0.8</v>
      </c>
      <c r="L156" s="115">
        <v>0.61</v>
      </c>
      <c r="M156" s="115">
        <v>0.6</v>
      </c>
      <c r="N156" s="115">
        <v>0.56999999999999995</v>
      </c>
      <c r="O156" s="115">
        <v>0.54</v>
      </c>
      <c r="P156" s="115">
        <v>0.51</v>
      </c>
      <c r="Q156" s="115">
        <v>0.48</v>
      </c>
      <c r="R156" s="115">
        <v>0.45</v>
      </c>
      <c r="S156" s="118">
        <v>0.45</v>
      </c>
      <c r="T156" s="119">
        <v>1.25</v>
      </c>
      <c r="U156" s="105">
        <v>1.21</v>
      </c>
      <c r="V156" s="105">
        <v>1.1499999999999999</v>
      </c>
      <c r="W156" s="105">
        <v>1.0900000000000001</v>
      </c>
      <c r="X156" s="105">
        <v>1.05</v>
      </c>
      <c r="Y156" s="105">
        <v>1.02</v>
      </c>
      <c r="Z156" s="115">
        <v>1</v>
      </c>
      <c r="AA156" s="122">
        <v>1</v>
      </c>
      <c r="AB156" s="119">
        <v>0.83</v>
      </c>
      <c r="AC156" s="115">
        <v>0.8</v>
      </c>
      <c r="AD156" s="115">
        <v>0.76</v>
      </c>
      <c r="AE156" s="115">
        <v>0.7</v>
      </c>
      <c r="AF156" s="115">
        <v>0.66</v>
      </c>
      <c r="AG156" s="105">
        <v>0.61</v>
      </c>
      <c r="AH156" s="105">
        <v>0.55000000000000004</v>
      </c>
      <c r="AI156" s="120">
        <v>0.55000000000000004</v>
      </c>
    </row>
    <row r="157" spans="1:35">
      <c r="A157" s="32" t="s">
        <v>1310</v>
      </c>
      <c r="B157" s="32" t="s">
        <v>1432</v>
      </c>
      <c r="C157" s="32" t="s">
        <v>1671</v>
      </c>
      <c r="D157" s="32">
        <v>0.98</v>
      </c>
      <c r="E157" s="32">
        <v>0.94</v>
      </c>
      <c r="F157" s="32">
        <v>0.89</v>
      </c>
      <c r="G157" s="112">
        <v>0.85</v>
      </c>
      <c r="H157" s="112">
        <v>0.83</v>
      </c>
      <c r="I157" s="112">
        <v>0.82</v>
      </c>
      <c r="J157" s="112">
        <v>0.8</v>
      </c>
      <c r="K157" s="112">
        <v>0.8</v>
      </c>
      <c r="L157" s="115">
        <v>0.61</v>
      </c>
      <c r="M157" s="115">
        <v>0.6</v>
      </c>
      <c r="N157" s="115">
        <v>0.56999999999999995</v>
      </c>
      <c r="O157" s="115">
        <v>0.54</v>
      </c>
      <c r="P157" s="115">
        <v>0.51</v>
      </c>
      <c r="Q157" s="115">
        <v>0.48</v>
      </c>
      <c r="R157" s="115">
        <v>0.45</v>
      </c>
      <c r="S157" s="118">
        <v>0.45</v>
      </c>
      <c r="T157" s="119">
        <v>1.25</v>
      </c>
      <c r="U157" s="105">
        <v>1.21</v>
      </c>
      <c r="V157" s="105">
        <v>1.1499999999999999</v>
      </c>
      <c r="W157" s="105">
        <v>1.0900000000000001</v>
      </c>
      <c r="X157" s="105">
        <v>1.05</v>
      </c>
      <c r="Y157" s="105">
        <v>1.02</v>
      </c>
      <c r="Z157" s="115">
        <v>1</v>
      </c>
      <c r="AA157" s="122">
        <v>1</v>
      </c>
      <c r="AB157" s="119">
        <v>0.83</v>
      </c>
      <c r="AC157" s="115">
        <v>0.8</v>
      </c>
      <c r="AD157" s="115">
        <v>0.76</v>
      </c>
      <c r="AE157" s="115">
        <v>0.7</v>
      </c>
      <c r="AF157" s="115">
        <v>0.66</v>
      </c>
      <c r="AG157" s="105">
        <v>0.61</v>
      </c>
      <c r="AH157" s="105">
        <v>0.55000000000000004</v>
      </c>
      <c r="AI157" s="120">
        <v>0.55000000000000004</v>
      </c>
    </row>
    <row r="158" spans="1:35">
      <c r="A158" s="32" t="s">
        <v>1310</v>
      </c>
      <c r="B158" s="32" t="s">
        <v>1432</v>
      </c>
      <c r="C158" s="32" t="s">
        <v>1446</v>
      </c>
      <c r="D158" s="32">
        <v>0.98</v>
      </c>
      <c r="E158" s="32">
        <v>0.94</v>
      </c>
      <c r="F158" s="32">
        <v>0.89</v>
      </c>
      <c r="G158" s="112">
        <v>0.85</v>
      </c>
      <c r="H158" s="112">
        <v>0.83</v>
      </c>
      <c r="I158" s="112">
        <v>0.82</v>
      </c>
      <c r="J158" s="112">
        <v>0.8</v>
      </c>
      <c r="K158" s="112">
        <v>0.8</v>
      </c>
      <c r="L158" s="115">
        <v>0.61</v>
      </c>
      <c r="M158" s="115">
        <v>0.6</v>
      </c>
      <c r="N158" s="115">
        <v>0.56999999999999995</v>
      </c>
      <c r="O158" s="115">
        <v>0.54</v>
      </c>
      <c r="P158" s="115">
        <v>0.51</v>
      </c>
      <c r="Q158" s="115">
        <v>0.48</v>
      </c>
      <c r="R158" s="115">
        <v>0.45</v>
      </c>
      <c r="S158" s="118">
        <v>0.45</v>
      </c>
      <c r="T158" s="119">
        <v>1.25</v>
      </c>
      <c r="U158" s="105">
        <v>1.21</v>
      </c>
      <c r="V158" s="105">
        <v>1.1499999999999999</v>
      </c>
      <c r="W158" s="105">
        <v>1.0900000000000001</v>
      </c>
      <c r="X158" s="105">
        <v>1.05</v>
      </c>
      <c r="Y158" s="105">
        <v>1.02</v>
      </c>
      <c r="Z158" s="115">
        <v>1</v>
      </c>
      <c r="AA158" s="122">
        <v>1</v>
      </c>
      <c r="AB158" s="119">
        <v>0.83</v>
      </c>
      <c r="AC158" s="115">
        <v>0.8</v>
      </c>
      <c r="AD158" s="115">
        <v>0.76</v>
      </c>
      <c r="AE158" s="115">
        <v>0.7</v>
      </c>
      <c r="AF158" s="115">
        <v>0.66</v>
      </c>
      <c r="AG158" s="105">
        <v>0.61</v>
      </c>
      <c r="AH158" s="105">
        <v>0.55000000000000004</v>
      </c>
      <c r="AI158" s="120">
        <v>0.55000000000000004</v>
      </c>
    </row>
    <row r="159" spans="1:35">
      <c r="A159" s="32" t="s">
        <v>1310</v>
      </c>
      <c r="B159" s="32" t="s">
        <v>1432</v>
      </c>
      <c r="C159" s="32" t="s">
        <v>1447</v>
      </c>
      <c r="D159" s="32">
        <v>0.98</v>
      </c>
      <c r="E159" s="32">
        <v>0.94</v>
      </c>
      <c r="F159" s="32">
        <v>0.89</v>
      </c>
      <c r="G159" s="112">
        <v>0.85</v>
      </c>
      <c r="H159" s="112">
        <v>0.83</v>
      </c>
      <c r="I159" s="112">
        <v>0.82</v>
      </c>
      <c r="J159" s="112">
        <v>0.8</v>
      </c>
      <c r="K159" s="112">
        <v>0.8</v>
      </c>
      <c r="L159" s="115">
        <v>0.61</v>
      </c>
      <c r="M159" s="115">
        <v>0.6</v>
      </c>
      <c r="N159" s="115">
        <v>0.56999999999999995</v>
      </c>
      <c r="O159" s="115">
        <v>0.54</v>
      </c>
      <c r="P159" s="115">
        <v>0.51</v>
      </c>
      <c r="Q159" s="115">
        <v>0.48</v>
      </c>
      <c r="R159" s="115">
        <v>0.45</v>
      </c>
      <c r="S159" s="118">
        <v>0.45</v>
      </c>
      <c r="T159" s="119">
        <v>1.25</v>
      </c>
      <c r="U159" s="105">
        <v>1.21</v>
      </c>
      <c r="V159" s="105">
        <v>1.1499999999999999</v>
      </c>
      <c r="W159" s="105">
        <v>1.0900000000000001</v>
      </c>
      <c r="X159" s="105">
        <v>1.05</v>
      </c>
      <c r="Y159" s="105">
        <v>1.02</v>
      </c>
      <c r="Z159" s="115">
        <v>1</v>
      </c>
      <c r="AA159" s="122">
        <v>1</v>
      </c>
      <c r="AB159" s="119">
        <v>0.83</v>
      </c>
      <c r="AC159" s="115">
        <v>0.8</v>
      </c>
      <c r="AD159" s="115">
        <v>0.76</v>
      </c>
      <c r="AE159" s="115">
        <v>0.7</v>
      </c>
      <c r="AF159" s="115">
        <v>0.66</v>
      </c>
      <c r="AG159" s="105">
        <v>0.61</v>
      </c>
      <c r="AH159" s="105">
        <v>0.55000000000000004</v>
      </c>
      <c r="AI159" s="120">
        <v>0.55000000000000004</v>
      </c>
    </row>
    <row r="160" spans="1:35">
      <c r="A160" s="32" t="s">
        <v>1310</v>
      </c>
      <c r="B160" s="32" t="s">
        <v>1432</v>
      </c>
      <c r="C160" s="32" t="s">
        <v>1492</v>
      </c>
      <c r="D160" s="32">
        <v>0.98</v>
      </c>
      <c r="E160" s="32">
        <v>0.94</v>
      </c>
      <c r="F160" s="32">
        <v>0.89</v>
      </c>
      <c r="G160" s="112">
        <v>0.85</v>
      </c>
      <c r="H160" s="112">
        <v>0.83</v>
      </c>
      <c r="I160" s="112">
        <v>0.82</v>
      </c>
      <c r="J160" s="112">
        <v>0.8</v>
      </c>
      <c r="K160" s="112">
        <v>0.8</v>
      </c>
      <c r="L160" s="115">
        <v>0.61</v>
      </c>
      <c r="M160" s="115">
        <v>0.6</v>
      </c>
      <c r="N160" s="115">
        <v>0.56999999999999995</v>
      </c>
      <c r="O160" s="115">
        <v>0.54</v>
      </c>
      <c r="P160" s="115">
        <v>0.51</v>
      </c>
      <c r="Q160" s="115">
        <v>0.48</v>
      </c>
      <c r="R160" s="115">
        <v>0.45</v>
      </c>
      <c r="S160" s="118">
        <v>0.45</v>
      </c>
      <c r="T160" s="119">
        <v>1.25</v>
      </c>
      <c r="U160" s="105">
        <v>1.21</v>
      </c>
      <c r="V160" s="105">
        <v>1.1499999999999999</v>
      </c>
      <c r="W160" s="105">
        <v>1.0900000000000001</v>
      </c>
      <c r="X160" s="105">
        <v>1.05</v>
      </c>
      <c r="Y160" s="105">
        <v>1.02</v>
      </c>
      <c r="Z160" s="115">
        <v>1</v>
      </c>
      <c r="AA160" s="122">
        <v>1</v>
      </c>
      <c r="AB160" s="119">
        <v>0.83</v>
      </c>
      <c r="AC160" s="115">
        <v>0.8</v>
      </c>
      <c r="AD160" s="115">
        <v>0.76</v>
      </c>
      <c r="AE160" s="115">
        <v>0.7</v>
      </c>
      <c r="AF160" s="115">
        <v>0.66</v>
      </c>
      <c r="AG160" s="105">
        <v>0.61</v>
      </c>
      <c r="AH160" s="105">
        <v>0.55000000000000004</v>
      </c>
      <c r="AI160" s="120">
        <v>0.55000000000000004</v>
      </c>
    </row>
    <row r="161" spans="1:35">
      <c r="A161" s="32" t="s">
        <v>1310</v>
      </c>
      <c r="B161" s="32" t="s">
        <v>1432</v>
      </c>
      <c r="C161" s="32" t="s">
        <v>1493</v>
      </c>
      <c r="D161" s="32">
        <v>0.98</v>
      </c>
      <c r="E161" s="32">
        <v>0.94</v>
      </c>
      <c r="F161" s="32">
        <v>0.89</v>
      </c>
      <c r="G161" s="112">
        <v>0.85</v>
      </c>
      <c r="H161" s="112">
        <v>0.83</v>
      </c>
      <c r="I161" s="112">
        <v>0.82</v>
      </c>
      <c r="J161" s="112">
        <v>0.8</v>
      </c>
      <c r="K161" s="112">
        <v>0.8</v>
      </c>
      <c r="L161" s="115">
        <v>0.61</v>
      </c>
      <c r="M161" s="115">
        <v>0.6</v>
      </c>
      <c r="N161" s="115">
        <v>0.56999999999999995</v>
      </c>
      <c r="O161" s="115">
        <v>0.54</v>
      </c>
      <c r="P161" s="115">
        <v>0.51</v>
      </c>
      <c r="Q161" s="115">
        <v>0.48</v>
      </c>
      <c r="R161" s="115">
        <v>0.45</v>
      </c>
      <c r="S161" s="118">
        <v>0.45</v>
      </c>
      <c r="T161" s="119">
        <v>1.25</v>
      </c>
      <c r="U161" s="105">
        <v>1.21</v>
      </c>
      <c r="V161" s="105">
        <v>1.1499999999999999</v>
      </c>
      <c r="W161" s="105">
        <v>1.0900000000000001</v>
      </c>
      <c r="X161" s="105">
        <v>1.05</v>
      </c>
      <c r="Y161" s="105">
        <v>1.02</v>
      </c>
      <c r="Z161" s="115">
        <v>1</v>
      </c>
      <c r="AA161" s="122">
        <v>1</v>
      </c>
      <c r="AB161" s="119">
        <v>0.83</v>
      </c>
      <c r="AC161" s="115">
        <v>0.8</v>
      </c>
      <c r="AD161" s="115">
        <v>0.76</v>
      </c>
      <c r="AE161" s="115">
        <v>0.7</v>
      </c>
      <c r="AF161" s="115">
        <v>0.66</v>
      </c>
      <c r="AG161" s="105">
        <v>0.61</v>
      </c>
      <c r="AH161" s="105">
        <v>0.55000000000000004</v>
      </c>
      <c r="AI161" s="120">
        <v>0.55000000000000004</v>
      </c>
    </row>
    <row r="162" spans="1:35">
      <c r="A162" s="32" t="s">
        <v>1310</v>
      </c>
      <c r="B162" s="32" t="s">
        <v>1432</v>
      </c>
      <c r="C162" s="32" t="s">
        <v>1448</v>
      </c>
      <c r="D162" s="32">
        <v>0.98</v>
      </c>
      <c r="E162" s="32">
        <v>0.94</v>
      </c>
      <c r="F162" s="32">
        <v>0.89</v>
      </c>
      <c r="G162" s="112">
        <v>0.85</v>
      </c>
      <c r="H162" s="112">
        <v>0.83</v>
      </c>
      <c r="I162" s="112">
        <v>0.82</v>
      </c>
      <c r="J162" s="112">
        <v>0.8</v>
      </c>
      <c r="K162" s="112">
        <v>0.8</v>
      </c>
      <c r="L162" s="115">
        <v>0.61</v>
      </c>
      <c r="M162" s="115">
        <v>0.6</v>
      </c>
      <c r="N162" s="115">
        <v>0.56999999999999995</v>
      </c>
      <c r="O162" s="115">
        <v>0.54</v>
      </c>
      <c r="P162" s="115">
        <v>0.51</v>
      </c>
      <c r="Q162" s="115">
        <v>0.48</v>
      </c>
      <c r="R162" s="115">
        <v>0.45</v>
      </c>
      <c r="S162" s="118">
        <v>0.45</v>
      </c>
      <c r="T162" s="119">
        <v>1.25</v>
      </c>
      <c r="U162" s="105">
        <v>1.21</v>
      </c>
      <c r="V162" s="105">
        <v>1.1499999999999999</v>
      </c>
      <c r="W162" s="105">
        <v>1.0900000000000001</v>
      </c>
      <c r="X162" s="105">
        <v>1.05</v>
      </c>
      <c r="Y162" s="105">
        <v>1.02</v>
      </c>
      <c r="Z162" s="115">
        <v>1</v>
      </c>
      <c r="AA162" s="122">
        <v>1</v>
      </c>
      <c r="AB162" s="119">
        <v>0.83</v>
      </c>
      <c r="AC162" s="115">
        <v>0.8</v>
      </c>
      <c r="AD162" s="115">
        <v>0.76</v>
      </c>
      <c r="AE162" s="115">
        <v>0.7</v>
      </c>
      <c r="AF162" s="115">
        <v>0.66</v>
      </c>
      <c r="AG162" s="105">
        <v>0.61</v>
      </c>
      <c r="AH162" s="105">
        <v>0.55000000000000004</v>
      </c>
      <c r="AI162" s="120">
        <v>0.55000000000000004</v>
      </c>
    </row>
    <row r="163" spans="1:35">
      <c r="A163" s="32" t="s">
        <v>1310</v>
      </c>
      <c r="B163" s="32" t="s">
        <v>1432</v>
      </c>
      <c r="C163" s="32" t="s">
        <v>1494</v>
      </c>
      <c r="D163" s="32">
        <v>0.98</v>
      </c>
      <c r="E163" s="32">
        <v>0.94</v>
      </c>
      <c r="F163" s="32">
        <v>0.89</v>
      </c>
      <c r="G163" s="112">
        <v>0.85</v>
      </c>
      <c r="H163" s="112">
        <v>0.83</v>
      </c>
      <c r="I163" s="112">
        <v>0.82</v>
      </c>
      <c r="J163" s="112">
        <v>0.8</v>
      </c>
      <c r="K163" s="112">
        <v>0.8</v>
      </c>
      <c r="L163" s="115">
        <v>0.61</v>
      </c>
      <c r="M163" s="115">
        <v>0.6</v>
      </c>
      <c r="N163" s="115">
        <v>0.56999999999999995</v>
      </c>
      <c r="O163" s="115">
        <v>0.54</v>
      </c>
      <c r="P163" s="115">
        <v>0.51</v>
      </c>
      <c r="Q163" s="115">
        <v>0.48</v>
      </c>
      <c r="R163" s="115">
        <v>0.45</v>
      </c>
      <c r="S163" s="118">
        <v>0.45</v>
      </c>
      <c r="T163" s="119">
        <v>1.25</v>
      </c>
      <c r="U163" s="105">
        <v>1.21</v>
      </c>
      <c r="V163" s="105">
        <v>1.1499999999999999</v>
      </c>
      <c r="W163" s="105">
        <v>1.0900000000000001</v>
      </c>
      <c r="X163" s="105">
        <v>1.05</v>
      </c>
      <c r="Y163" s="105">
        <v>1.02</v>
      </c>
      <c r="Z163" s="115">
        <v>1</v>
      </c>
      <c r="AA163" s="122">
        <v>1</v>
      </c>
      <c r="AB163" s="119">
        <v>0.83</v>
      </c>
      <c r="AC163" s="115">
        <v>0.8</v>
      </c>
      <c r="AD163" s="115">
        <v>0.76</v>
      </c>
      <c r="AE163" s="115">
        <v>0.7</v>
      </c>
      <c r="AF163" s="115">
        <v>0.66</v>
      </c>
      <c r="AG163" s="105">
        <v>0.61</v>
      </c>
      <c r="AH163" s="105">
        <v>0.55000000000000004</v>
      </c>
      <c r="AI163" s="120">
        <v>0.55000000000000004</v>
      </c>
    </row>
    <row r="164" spans="1:35">
      <c r="A164" s="32" t="s">
        <v>1310</v>
      </c>
      <c r="B164" s="32" t="s">
        <v>1432</v>
      </c>
      <c r="C164" s="32" t="s">
        <v>1450</v>
      </c>
      <c r="D164" s="32">
        <v>0.98</v>
      </c>
      <c r="E164" s="32">
        <v>0.94</v>
      </c>
      <c r="F164" s="32">
        <v>0.89</v>
      </c>
      <c r="G164" s="112">
        <v>0.85</v>
      </c>
      <c r="H164" s="112">
        <v>0.83</v>
      </c>
      <c r="I164" s="112">
        <v>0.82</v>
      </c>
      <c r="J164" s="112">
        <v>0.8</v>
      </c>
      <c r="K164" s="112">
        <v>0.8</v>
      </c>
      <c r="L164" s="115">
        <v>0.61</v>
      </c>
      <c r="M164" s="115">
        <v>0.6</v>
      </c>
      <c r="N164" s="115">
        <v>0.56999999999999995</v>
      </c>
      <c r="O164" s="115">
        <v>0.54</v>
      </c>
      <c r="P164" s="115">
        <v>0.51</v>
      </c>
      <c r="Q164" s="115">
        <v>0.48</v>
      </c>
      <c r="R164" s="115">
        <v>0.45</v>
      </c>
      <c r="S164" s="118">
        <v>0.45</v>
      </c>
      <c r="T164" s="119">
        <v>1.25</v>
      </c>
      <c r="U164" s="105">
        <v>1.21</v>
      </c>
      <c r="V164" s="105">
        <v>1.1499999999999999</v>
      </c>
      <c r="W164" s="105">
        <v>1.0900000000000001</v>
      </c>
      <c r="X164" s="105">
        <v>1.05</v>
      </c>
      <c r="Y164" s="105">
        <v>1.02</v>
      </c>
      <c r="Z164" s="115">
        <v>1</v>
      </c>
      <c r="AA164" s="122">
        <v>1</v>
      </c>
      <c r="AB164" s="119">
        <v>0.83</v>
      </c>
      <c r="AC164" s="115">
        <v>0.8</v>
      </c>
      <c r="AD164" s="115">
        <v>0.76</v>
      </c>
      <c r="AE164" s="115">
        <v>0.7</v>
      </c>
      <c r="AF164" s="115">
        <v>0.66</v>
      </c>
      <c r="AG164" s="105">
        <v>0.61</v>
      </c>
      <c r="AH164" s="105">
        <v>0.55000000000000004</v>
      </c>
      <c r="AI164" s="120">
        <v>0.55000000000000004</v>
      </c>
    </row>
    <row r="165" spans="1:35">
      <c r="A165" s="32" t="s">
        <v>1310</v>
      </c>
      <c r="B165" s="32" t="s">
        <v>1432</v>
      </c>
      <c r="C165" s="32" t="s">
        <v>1453</v>
      </c>
      <c r="D165" s="32">
        <v>0.98</v>
      </c>
      <c r="E165" s="32">
        <v>0.94</v>
      </c>
      <c r="F165" s="32">
        <v>0.89</v>
      </c>
      <c r="G165" s="112">
        <v>0.85</v>
      </c>
      <c r="H165" s="112">
        <v>0.83</v>
      </c>
      <c r="I165" s="112">
        <v>0.82</v>
      </c>
      <c r="J165" s="112">
        <v>0.8</v>
      </c>
      <c r="K165" s="112">
        <v>0.8</v>
      </c>
      <c r="L165" s="115">
        <v>0.61</v>
      </c>
      <c r="M165" s="115">
        <v>0.6</v>
      </c>
      <c r="N165" s="115">
        <v>0.56999999999999995</v>
      </c>
      <c r="O165" s="115">
        <v>0.54</v>
      </c>
      <c r="P165" s="115">
        <v>0.51</v>
      </c>
      <c r="Q165" s="115">
        <v>0.48</v>
      </c>
      <c r="R165" s="115">
        <v>0.45</v>
      </c>
      <c r="S165" s="118">
        <v>0.45</v>
      </c>
      <c r="T165" s="119">
        <v>1.25</v>
      </c>
      <c r="U165" s="105">
        <v>1.21</v>
      </c>
      <c r="V165" s="105">
        <v>1.1499999999999999</v>
      </c>
      <c r="W165" s="105">
        <v>1.0900000000000001</v>
      </c>
      <c r="X165" s="105">
        <v>1.05</v>
      </c>
      <c r="Y165" s="105">
        <v>1.02</v>
      </c>
      <c r="Z165" s="115">
        <v>1</v>
      </c>
      <c r="AA165" s="122">
        <v>1</v>
      </c>
      <c r="AB165" s="119">
        <v>0.83</v>
      </c>
      <c r="AC165" s="115">
        <v>0.8</v>
      </c>
      <c r="AD165" s="115">
        <v>0.76</v>
      </c>
      <c r="AE165" s="115">
        <v>0.7</v>
      </c>
      <c r="AF165" s="115">
        <v>0.66</v>
      </c>
      <c r="AG165" s="105">
        <v>0.61</v>
      </c>
      <c r="AH165" s="105">
        <v>0.55000000000000004</v>
      </c>
      <c r="AI165" s="120">
        <v>0.55000000000000004</v>
      </c>
    </row>
    <row r="166" spans="1:35">
      <c r="A166" s="32" t="s">
        <v>1310</v>
      </c>
      <c r="B166" s="32" t="s">
        <v>1432</v>
      </c>
      <c r="C166" s="32" t="s">
        <v>1454</v>
      </c>
      <c r="D166" s="32">
        <v>0.98</v>
      </c>
      <c r="E166" s="32">
        <v>0.94</v>
      </c>
      <c r="F166" s="32">
        <v>0.89</v>
      </c>
      <c r="G166" s="112">
        <v>0.85</v>
      </c>
      <c r="H166" s="112">
        <v>0.83</v>
      </c>
      <c r="I166" s="112">
        <v>0.82</v>
      </c>
      <c r="J166" s="112">
        <v>0.8</v>
      </c>
      <c r="K166" s="112">
        <v>0.8</v>
      </c>
      <c r="L166" s="115">
        <v>0.61</v>
      </c>
      <c r="M166" s="115">
        <v>0.6</v>
      </c>
      <c r="N166" s="115">
        <v>0.56999999999999995</v>
      </c>
      <c r="O166" s="115">
        <v>0.54</v>
      </c>
      <c r="P166" s="115">
        <v>0.51</v>
      </c>
      <c r="Q166" s="115">
        <v>0.48</v>
      </c>
      <c r="R166" s="115">
        <v>0.45</v>
      </c>
      <c r="S166" s="118">
        <v>0.45</v>
      </c>
      <c r="T166" s="119">
        <v>1.25</v>
      </c>
      <c r="U166" s="105">
        <v>1.21</v>
      </c>
      <c r="V166" s="105">
        <v>1.1499999999999999</v>
      </c>
      <c r="W166" s="105">
        <v>1.0900000000000001</v>
      </c>
      <c r="X166" s="105">
        <v>1.05</v>
      </c>
      <c r="Y166" s="105">
        <v>1.02</v>
      </c>
      <c r="Z166" s="115">
        <v>1</v>
      </c>
      <c r="AA166" s="122">
        <v>1</v>
      </c>
      <c r="AB166" s="119">
        <v>0.83</v>
      </c>
      <c r="AC166" s="115">
        <v>0.8</v>
      </c>
      <c r="AD166" s="115">
        <v>0.76</v>
      </c>
      <c r="AE166" s="115">
        <v>0.7</v>
      </c>
      <c r="AF166" s="115">
        <v>0.66</v>
      </c>
      <c r="AG166" s="105">
        <v>0.61</v>
      </c>
      <c r="AH166" s="105">
        <v>0.55000000000000004</v>
      </c>
      <c r="AI166" s="120">
        <v>0.55000000000000004</v>
      </c>
    </row>
    <row r="167" spans="1:35">
      <c r="A167" s="32" t="s">
        <v>1310</v>
      </c>
      <c r="B167" s="32" t="s">
        <v>1455</v>
      </c>
      <c r="C167" s="32" t="s">
        <v>1456</v>
      </c>
      <c r="D167" s="32">
        <v>0.98</v>
      </c>
      <c r="E167" s="32">
        <v>0.94</v>
      </c>
      <c r="F167" s="32">
        <v>0.89</v>
      </c>
      <c r="G167" s="112">
        <v>0.85</v>
      </c>
      <c r="H167" s="112">
        <v>0.83</v>
      </c>
      <c r="I167" s="112">
        <v>0.82</v>
      </c>
      <c r="J167" s="112">
        <v>0.8</v>
      </c>
      <c r="K167" s="112">
        <v>0.8</v>
      </c>
      <c r="L167" s="115">
        <v>0.61</v>
      </c>
      <c r="M167" s="115">
        <v>0.6</v>
      </c>
      <c r="N167" s="115">
        <v>0.56999999999999995</v>
      </c>
      <c r="O167" s="115">
        <v>0.54</v>
      </c>
      <c r="P167" s="115">
        <v>0.51</v>
      </c>
      <c r="Q167" s="115">
        <v>0.48</v>
      </c>
      <c r="R167" s="115">
        <v>0.45</v>
      </c>
      <c r="S167" s="118">
        <v>0.45</v>
      </c>
      <c r="T167" s="119">
        <v>1.25</v>
      </c>
      <c r="U167" s="105">
        <v>1.21</v>
      </c>
      <c r="V167" s="105">
        <v>1.1499999999999999</v>
      </c>
      <c r="W167" s="105">
        <v>1.0900000000000001</v>
      </c>
      <c r="X167" s="105">
        <v>1.05</v>
      </c>
      <c r="Y167" s="105">
        <v>1.02</v>
      </c>
      <c r="Z167" s="115">
        <v>1</v>
      </c>
      <c r="AA167" s="122">
        <v>1</v>
      </c>
      <c r="AB167" s="119">
        <v>0.83</v>
      </c>
      <c r="AC167" s="115">
        <v>0.8</v>
      </c>
      <c r="AD167" s="115">
        <v>0.76</v>
      </c>
      <c r="AE167" s="115">
        <v>0.7</v>
      </c>
      <c r="AF167" s="115">
        <v>0.66</v>
      </c>
      <c r="AG167" s="105">
        <v>0.61</v>
      </c>
      <c r="AH167" s="105">
        <v>0.55000000000000004</v>
      </c>
      <c r="AI167" s="120">
        <v>0.55000000000000004</v>
      </c>
    </row>
    <row r="168" spans="1:35">
      <c r="A168" s="32" t="s">
        <v>1310</v>
      </c>
      <c r="B168" s="32" t="s">
        <v>1455</v>
      </c>
      <c r="C168" s="32" t="s">
        <v>1459</v>
      </c>
      <c r="D168" s="32">
        <v>0.98</v>
      </c>
      <c r="E168" s="32">
        <v>0.94</v>
      </c>
      <c r="F168" s="32">
        <v>0.89</v>
      </c>
      <c r="G168" s="112">
        <v>0.85</v>
      </c>
      <c r="H168" s="112">
        <v>0.83</v>
      </c>
      <c r="I168" s="112">
        <v>0.82</v>
      </c>
      <c r="J168" s="112">
        <v>0.8</v>
      </c>
      <c r="K168" s="112">
        <v>0.8</v>
      </c>
      <c r="L168" s="115">
        <v>0.61</v>
      </c>
      <c r="M168" s="115">
        <v>0.6</v>
      </c>
      <c r="N168" s="115">
        <v>0.56999999999999995</v>
      </c>
      <c r="O168" s="115">
        <v>0.54</v>
      </c>
      <c r="P168" s="115">
        <v>0.51</v>
      </c>
      <c r="Q168" s="115">
        <v>0.48</v>
      </c>
      <c r="R168" s="115">
        <v>0.45</v>
      </c>
      <c r="S168" s="118">
        <v>0.45</v>
      </c>
      <c r="T168" s="119">
        <v>1.25</v>
      </c>
      <c r="U168" s="105">
        <v>1.21</v>
      </c>
      <c r="V168" s="105">
        <v>1.1499999999999999</v>
      </c>
      <c r="W168" s="105">
        <v>1.0900000000000001</v>
      </c>
      <c r="X168" s="105">
        <v>1.05</v>
      </c>
      <c r="Y168" s="105">
        <v>1.02</v>
      </c>
      <c r="Z168" s="115">
        <v>1</v>
      </c>
      <c r="AA168" s="122">
        <v>1</v>
      </c>
      <c r="AB168" s="119">
        <v>0.83</v>
      </c>
      <c r="AC168" s="115">
        <v>0.8</v>
      </c>
      <c r="AD168" s="115">
        <v>0.76</v>
      </c>
      <c r="AE168" s="115">
        <v>0.7</v>
      </c>
      <c r="AF168" s="115">
        <v>0.66</v>
      </c>
      <c r="AG168" s="105">
        <v>0.61</v>
      </c>
      <c r="AH168" s="105">
        <v>0.55000000000000004</v>
      </c>
      <c r="AI168" s="120">
        <v>0.55000000000000004</v>
      </c>
    </row>
    <row r="169" spans="1:35">
      <c r="A169" s="32" t="s">
        <v>1310</v>
      </c>
      <c r="B169" s="32" t="s">
        <v>1455</v>
      </c>
      <c r="C169" s="32" t="s">
        <v>1460</v>
      </c>
      <c r="D169" s="32">
        <v>0.98</v>
      </c>
      <c r="E169" s="32">
        <v>0.94</v>
      </c>
      <c r="F169" s="32">
        <v>0.89</v>
      </c>
      <c r="G169" s="112">
        <v>0.85</v>
      </c>
      <c r="H169" s="112">
        <v>0.83</v>
      </c>
      <c r="I169" s="112">
        <v>0.82</v>
      </c>
      <c r="J169" s="112">
        <v>0.8</v>
      </c>
      <c r="K169" s="112">
        <v>0.8</v>
      </c>
      <c r="L169" s="115">
        <v>0.61</v>
      </c>
      <c r="M169" s="115">
        <v>0.6</v>
      </c>
      <c r="N169" s="115">
        <v>0.56999999999999995</v>
      </c>
      <c r="O169" s="115">
        <v>0.54</v>
      </c>
      <c r="P169" s="115">
        <v>0.51</v>
      </c>
      <c r="Q169" s="115">
        <v>0.48</v>
      </c>
      <c r="R169" s="115">
        <v>0.45</v>
      </c>
      <c r="S169" s="118">
        <v>0.45</v>
      </c>
      <c r="T169" s="119">
        <v>1.25</v>
      </c>
      <c r="U169" s="105">
        <v>1.21</v>
      </c>
      <c r="V169" s="105">
        <v>1.1499999999999999</v>
      </c>
      <c r="W169" s="105">
        <v>1.0900000000000001</v>
      </c>
      <c r="X169" s="105">
        <v>1.05</v>
      </c>
      <c r="Y169" s="105">
        <v>1.02</v>
      </c>
      <c r="Z169" s="115">
        <v>1</v>
      </c>
      <c r="AA169" s="122">
        <v>1</v>
      </c>
      <c r="AB169" s="119">
        <v>0.83</v>
      </c>
      <c r="AC169" s="115">
        <v>0.8</v>
      </c>
      <c r="AD169" s="115">
        <v>0.76</v>
      </c>
      <c r="AE169" s="115">
        <v>0.7</v>
      </c>
      <c r="AF169" s="115">
        <v>0.66</v>
      </c>
      <c r="AG169" s="105">
        <v>0.61</v>
      </c>
      <c r="AH169" s="105">
        <v>0.55000000000000004</v>
      </c>
      <c r="AI169" s="120">
        <v>0.55000000000000004</v>
      </c>
    </row>
    <row r="170" spans="1:35">
      <c r="A170" s="32" t="s">
        <v>1310</v>
      </c>
      <c r="B170" s="32" t="s">
        <v>1455</v>
      </c>
      <c r="C170" s="32" t="s">
        <v>1462</v>
      </c>
      <c r="D170" s="32">
        <v>0.98</v>
      </c>
      <c r="E170" s="32">
        <v>0.94</v>
      </c>
      <c r="F170" s="32">
        <v>0.89</v>
      </c>
      <c r="G170" s="112">
        <v>0.85</v>
      </c>
      <c r="H170" s="112">
        <v>0.83</v>
      </c>
      <c r="I170" s="112">
        <v>0.82</v>
      </c>
      <c r="J170" s="112">
        <v>0.8</v>
      </c>
      <c r="K170" s="112">
        <v>0.8</v>
      </c>
      <c r="L170" s="115">
        <v>0.61</v>
      </c>
      <c r="M170" s="115">
        <v>0.6</v>
      </c>
      <c r="N170" s="115">
        <v>0.56999999999999995</v>
      </c>
      <c r="O170" s="115">
        <v>0.54</v>
      </c>
      <c r="P170" s="115">
        <v>0.51</v>
      </c>
      <c r="Q170" s="115">
        <v>0.48</v>
      </c>
      <c r="R170" s="115">
        <v>0.45</v>
      </c>
      <c r="S170" s="118">
        <v>0.45</v>
      </c>
      <c r="T170" s="119">
        <v>1.25</v>
      </c>
      <c r="U170" s="105">
        <v>1.21</v>
      </c>
      <c r="V170" s="105">
        <v>1.1499999999999999</v>
      </c>
      <c r="W170" s="105">
        <v>1.0900000000000001</v>
      </c>
      <c r="X170" s="105">
        <v>1.05</v>
      </c>
      <c r="Y170" s="105">
        <v>1.02</v>
      </c>
      <c r="Z170" s="115">
        <v>1</v>
      </c>
      <c r="AA170" s="122">
        <v>1</v>
      </c>
      <c r="AB170" s="119">
        <v>0.83</v>
      </c>
      <c r="AC170" s="115">
        <v>0.8</v>
      </c>
      <c r="AD170" s="115">
        <v>0.76</v>
      </c>
      <c r="AE170" s="115">
        <v>0.7</v>
      </c>
      <c r="AF170" s="115">
        <v>0.66</v>
      </c>
      <c r="AG170" s="105">
        <v>0.61</v>
      </c>
      <c r="AH170" s="105">
        <v>0.55000000000000004</v>
      </c>
      <c r="AI170" s="120">
        <v>0.55000000000000004</v>
      </c>
    </row>
    <row r="171" spans="1:35">
      <c r="A171" s="32" t="s">
        <v>1310</v>
      </c>
      <c r="B171" s="32" t="s">
        <v>1455</v>
      </c>
      <c r="C171" s="32" t="s">
        <v>1463</v>
      </c>
      <c r="D171" s="32">
        <v>0.98</v>
      </c>
      <c r="E171" s="32">
        <v>0.94</v>
      </c>
      <c r="F171" s="32">
        <v>0.89</v>
      </c>
      <c r="G171" s="112">
        <v>0.85</v>
      </c>
      <c r="H171" s="112">
        <v>0.83</v>
      </c>
      <c r="I171" s="112">
        <v>0.82</v>
      </c>
      <c r="J171" s="112">
        <v>0.8</v>
      </c>
      <c r="K171" s="112">
        <v>0.8</v>
      </c>
      <c r="L171" s="115">
        <v>0.61</v>
      </c>
      <c r="M171" s="115">
        <v>0.6</v>
      </c>
      <c r="N171" s="115">
        <v>0.56999999999999995</v>
      </c>
      <c r="O171" s="115">
        <v>0.54</v>
      </c>
      <c r="P171" s="115">
        <v>0.51</v>
      </c>
      <c r="Q171" s="115">
        <v>0.48</v>
      </c>
      <c r="R171" s="115">
        <v>0.45</v>
      </c>
      <c r="S171" s="118">
        <v>0.45</v>
      </c>
      <c r="T171" s="119">
        <v>1.25</v>
      </c>
      <c r="U171" s="105">
        <v>1.21</v>
      </c>
      <c r="V171" s="105">
        <v>1.1499999999999999</v>
      </c>
      <c r="W171" s="105">
        <v>1.0900000000000001</v>
      </c>
      <c r="X171" s="105">
        <v>1.05</v>
      </c>
      <c r="Y171" s="105">
        <v>1.02</v>
      </c>
      <c r="Z171" s="115">
        <v>1</v>
      </c>
      <c r="AA171" s="122">
        <v>1</v>
      </c>
      <c r="AB171" s="119">
        <v>0.83</v>
      </c>
      <c r="AC171" s="115">
        <v>0.8</v>
      </c>
      <c r="AD171" s="115">
        <v>0.76</v>
      </c>
      <c r="AE171" s="115">
        <v>0.7</v>
      </c>
      <c r="AF171" s="115">
        <v>0.66</v>
      </c>
      <c r="AG171" s="105">
        <v>0.61</v>
      </c>
      <c r="AH171" s="105">
        <v>0.55000000000000004</v>
      </c>
      <c r="AI171" s="120">
        <v>0.55000000000000004</v>
      </c>
    </row>
    <row r="172" spans="1:35">
      <c r="A172" s="32" t="s">
        <v>1310</v>
      </c>
      <c r="B172" s="32" t="s">
        <v>1455</v>
      </c>
      <c r="C172" s="32" t="s">
        <v>1464</v>
      </c>
      <c r="D172" s="32">
        <v>0.98</v>
      </c>
      <c r="E172" s="32">
        <v>0.94</v>
      </c>
      <c r="F172" s="32">
        <v>0.89</v>
      </c>
      <c r="G172" s="112">
        <v>0.85</v>
      </c>
      <c r="H172" s="112">
        <v>0.83</v>
      </c>
      <c r="I172" s="112">
        <v>0.82</v>
      </c>
      <c r="J172" s="112">
        <v>0.8</v>
      </c>
      <c r="K172" s="112">
        <v>0.8</v>
      </c>
      <c r="L172" s="115">
        <v>0.61</v>
      </c>
      <c r="M172" s="115">
        <v>0.6</v>
      </c>
      <c r="N172" s="115">
        <v>0.56999999999999995</v>
      </c>
      <c r="O172" s="115">
        <v>0.54</v>
      </c>
      <c r="P172" s="115">
        <v>0.51</v>
      </c>
      <c r="Q172" s="115">
        <v>0.48</v>
      </c>
      <c r="R172" s="115">
        <v>0.45</v>
      </c>
      <c r="S172" s="118">
        <v>0.45</v>
      </c>
      <c r="T172" s="119">
        <v>1.25</v>
      </c>
      <c r="U172" s="105">
        <v>1.21</v>
      </c>
      <c r="V172" s="105">
        <v>1.1499999999999999</v>
      </c>
      <c r="W172" s="105">
        <v>1.0900000000000001</v>
      </c>
      <c r="X172" s="105">
        <v>1.05</v>
      </c>
      <c r="Y172" s="105">
        <v>1.02</v>
      </c>
      <c r="Z172" s="115">
        <v>1</v>
      </c>
      <c r="AA172" s="122">
        <v>1</v>
      </c>
      <c r="AB172" s="119">
        <v>0.83</v>
      </c>
      <c r="AC172" s="115">
        <v>0.8</v>
      </c>
      <c r="AD172" s="115">
        <v>0.76</v>
      </c>
      <c r="AE172" s="115">
        <v>0.7</v>
      </c>
      <c r="AF172" s="115">
        <v>0.66</v>
      </c>
      <c r="AG172" s="105">
        <v>0.61</v>
      </c>
      <c r="AH172" s="105">
        <v>0.55000000000000004</v>
      </c>
      <c r="AI172" s="120">
        <v>0.55000000000000004</v>
      </c>
    </row>
    <row r="173" spans="1:35">
      <c r="A173" s="32" t="s">
        <v>1310</v>
      </c>
      <c r="B173" s="32" t="s">
        <v>1455</v>
      </c>
      <c r="C173" s="32" t="s">
        <v>1467</v>
      </c>
      <c r="D173" s="32">
        <v>0.98</v>
      </c>
      <c r="E173" s="32">
        <v>0.94</v>
      </c>
      <c r="F173" s="32">
        <v>0.89</v>
      </c>
      <c r="G173" s="112">
        <v>0.85</v>
      </c>
      <c r="H173" s="112">
        <v>0.83</v>
      </c>
      <c r="I173" s="112">
        <v>0.82</v>
      </c>
      <c r="J173" s="112">
        <v>0.8</v>
      </c>
      <c r="K173" s="112">
        <v>0.8</v>
      </c>
      <c r="L173" s="115">
        <v>0.61</v>
      </c>
      <c r="M173" s="115">
        <v>0.6</v>
      </c>
      <c r="N173" s="115">
        <v>0.56999999999999995</v>
      </c>
      <c r="O173" s="115">
        <v>0.54</v>
      </c>
      <c r="P173" s="115">
        <v>0.51</v>
      </c>
      <c r="Q173" s="115">
        <v>0.48</v>
      </c>
      <c r="R173" s="115">
        <v>0.45</v>
      </c>
      <c r="S173" s="118">
        <v>0.45</v>
      </c>
      <c r="T173" s="119">
        <v>1.25</v>
      </c>
      <c r="U173" s="105">
        <v>1.21</v>
      </c>
      <c r="V173" s="105">
        <v>1.1499999999999999</v>
      </c>
      <c r="W173" s="105">
        <v>1.0900000000000001</v>
      </c>
      <c r="X173" s="105">
        <v>1.05</v>
      </c>
      <c r="Y173" s="105">
        <v>1.02</v>
      </c>
      <c r="Z173" s="115">
        <v>1</v>
      </c>
      <c r="AA173" s="122">
        <v>1</v>
      </c>
      <c r="AB173" s="119">
        <v>0.83</v>
      </c>
      <c r="AC173" s="115">
        <v>0.8</v>
      </c>
      <c r="AD173" s="115">
        <v>0.76</v>
      </c>
      <c r="AE173" s="115">
        <v>0.7</v>
      </c>
      <c r="AF173" s="115">
        <v>0.66</v>
      </c>
      <c r="AG173" s="105">
        <v>0.61</v>
      </c>
      <c r="AH173" s="105">
        <v>0.55000000000000004</v>
      </c>
      <c r="AI173" s="120">
        <v>0.55000000000000004</v>
      </c>
    </row>
    <row r="174" spans="1:35">
      <c r="A174" s="32" t="s">
        <v>1310</v>
      </c>
      <c r="B174" s="32" t="s">
        <v>1455</v>
      </c>
      <c r="C174" s="32" t="s">
        <v>1468</v>
      </c>
      <c r="D174" s="32">
        <v>0.98</v>
      </c>
      <c r="E174" s="32">
        <v>0.94</v>
      </c>
      <c r="F174" s="32">
        <v>0.89</v>
      </c>
      <c r="G174" s="112">
        <v>0.85</v>
      </c>
      <c r="H174" s="112">
        <v>0.83</v>
      </c>
      <c r="I174" s="112">
        <v>0.82</v>
      </c>
      <c r="J174" s="112">
        <v>0.8</v>
      </c>
      <c r="K174" s="112">
        <v>0.8</v>
      </c>
      <c r="L174" s="115">
        <v>0.61</v>
      </c>
      <c r="M174" s="115">
        <v>0.6</v>
      </c>
      <c r="N174" s="115">
        <v>0.56999999999999995</v>
      </c>
      <c r="O174" s="115">
        <v>0.54</v>
      </c>
      <c r="P174" s="115">
        <v>0.51</v>
      </c>
      <c r="Q174" s="115">
        <v>0.48</v>
      </c>
      <c r="R174" s="115">
        <v>0.45</v>
      </c>
      <c r="S174" s="118">
        <v>0.45</v>
      </c>
      <c r="T174" s="119">
        <v>1.25</v>
      </c>
      <c r="U174" s="105">
        <v>1.21</v>
      </c>
      <c r="V174" s="105">
        <v>1.1499999999999999</v>
      </c>
      <c r="W174" s="105">
        <v>1.0900000000000001</v>
      </c>
      <c r="X174" s="105">
        <v>1.05</v>
      </c>
      <c r="Y174" s="105">
        <v>1.02</v>
      </c>
      <c r="Z174" s="115">
        <v>1</v>
      </c>
      <c r="AA174" s="122">
        <v>1</v>
      </c>
      <c r="AB174" s="119">
        <v>0.83</v>
      </c>
      <c r="AC174" s="115">
        <v>0.8</v>
      </c>
      <c r="AD174" s="115">
        <v>0.76</v>
      </c>
      <c r="AE174" s="115">
        <v>0.7</v>
      </c>
      <c r="AF174" s="115">
        <v>0.66</v>
      </c>
      <c r="AG174" s="105">
        <v>0.61</v>
      </c>
      <c r="AH174" s="105">
        <v>0.55000000000000004</v>
      </c>
      <c r="AI174" s="120">
        <v>0.55000000000000004</v>
      </c>
    </row>
    <row r="175" spans="1:35">
      <c r="A175" s="32" t="s">
        <v>1310</v>
      </c>
      <c r="B175" s="32" t="s">
        <v>1331</v>
      </c>
      <c r="C175" s="32" t="s">
        <v>1473</v>
      </c>
      <c r="D175" s="32">
        <v>0.98</v>
      </c>
      <c r="E175" s="32">
        <v>0.94</v>
      </c>
      <c r="F175" s="32">
        <v>0.89</v>
      </c>
      <c r="G175" s="112">
        <v>0.85</v>
      </c>
      <c r="H175" s="112">
        <v>0.83</v>
      </c>
      <c r="I175" s="112">
        <v>0.82</v>
      </c>
      <c r="J175" s="112">
        <v>0.8</v>
      </c>
      <c r="K175" s="112">
        <v>0.8</v>
      </c>
      <c r="L175" s="115">
        <v>0.61</v>
      </c>
      <c r="M175" s="115">
        <v>0.6</v>
      </c>
      <c r="N175" s="115">
        <v>0.56999999999999995</v>
      </c>
      <c r="O175" s="115">
        <v>0.54</v>
      </c>
      <c r="P175" s="115">
        <v>0.51</v>
      </c>
      <c r="Q175" s="115">
        <v>0.48</v>
      </c>
      <c r="R175" s="115">
        <v>0.45</v>
      </c>
      <c r="S175" s="118">
        <v>0.45</v>
      </c>
      <c r="T175" s="119">
        <v>1.25</v>
      </c>
      <c r="U175" s="105">
        <v>1.21</v>
      </c>
      <c r="V175" s="105">
        <v>1.1499999999999999</v>
      </c>
      <c r="W175" s="105">
        <v>1.0900000000000001</v>
      </c>
      <c r="X175" s="105">
        <v>1.05</v>
      </c>
      <c r="Y175" s="105">
        <v>1.02</v>
      </c>
      <c r="Z175" s="115">
        <v>1</v>
      </c>
      <c r="AA175" s="122">
        <v>1</v>
      </c>
      <c r="AB175" s="119">
        <v>0.83</v>
      </c>
      <c r="AC175" s="115">
        <v>0.8</v>
      </c>
      <c r="AD175" s="115">
        <v>0.76</v>
      </c>
      <c r="AE175" s="115">
        <v>0.7</v>
      </c>
      <c r="AF175" s="115">
        <v>0.66</v>
      </c>
      <c r="AG175" s="105">
        <v>0.61</v>
      </c>
      <c r="AH175" s="105">
        <v>0.55000000000000004</v>
      </c>
      <c r="AI175" s="120">
        <v>0.55000000000000004</v>
      </c>
    </row>
    <row r="176" spans="1:35">
      <c r="A176" s="32" t="s">
        <v>1310</v>
      </c>
      <c r="B176" s="32" t="s">
        <v>1331</v>
      </c>
      <c r="C176" s="32" t="s">
        <v>1474</v>
      </c>
      <c r="D176" s="32">
        <v>0.98</v>
      </c>
      <c r="E176" s="32">
        <v>0.94</v>
      </c>
      <c r="F176" s="32">
        <v>0.89</v>
      </c>
      <c r="G176" s="112">
        <v>0.85</v>
      </c>
      <c r="H176" s="112">
        <v>0.83</v>
      </c>
      <c r="I176" s="112">
        <v>0.82</v>
      </c>
      <c r="J176" s="112">
        <v>0.8</v>
      </c>
      <c r="K176" s="112">
        <v>0.8</v>
      </c>
      <c r="L176" s="115">
        <v>0.61</v>
      </c>
      <c r="M176" s="115">
        <v>0.6</v>
      </c>
      <c r="N176" s="115">
        <v>0.56999999999999995</v>
      </c>
      <c r="O176" s="115">
        <v>0.54</v>
      </c>
      <c r="P176" s="115">
        <v>0.51</v>
      </c>
      <c r="Q176" s="115">
        <v>0.48</v>
      </c>
      <c r="R176" s="115">
        <v>0.45</v>
      </c>
      <c r="S176" s="118">
        <v>0.45</v>
      </c>
      <c r="T176" s="119">
        <v>1.25</v>
      </c>
      <c r="U176" s="105">
        <v>1.21</v>
      </c>
      <c r="V176" s="105">
        <v>1.1499999999999999</v>
      </c>
      <c r="W176" s="105">
        <v>1.0900000000000001</v>
      </c>
      <c r="X176" s="105">
        <v>1.05</v>
      </c>
      <c r="Y176" s="105">
        <v>1.02</v>
      </c>
      <c r="Z176" s="115">
        <v>1</v>
      </c>
      <c r="AA176" s="122">
        <v>1</v>
      </c>
      <c r="AB176" s="119">
        <v>0.83</v>
      </c>
      <c r="AC176" s="115">
        <v>0.8</v>
      </c>
      <c r="AD176" s="115">
        <v>0.76</v>
      </c>
      <c r="AE176" s="115">
        <v>0.7</v>
      </c>
      <c r="AF176" s="115">
        <v>0.66</v>
      </c>
      <c r="AG176" s="105">
        <v>0.61</v>
      </c>
      <c r="AH176" s="105">
        <v>0.55000000000000004</v>
      </c>
      <c r="AI176" s="120">
        <v>0.55000000000000004</v>
      </c>
    </row>
    <row r="177" spans="1:35">
      <c r="A177" s="32" t="s">
        <v>1310</v>
      </c>
      <c r="B177" s="32" t="s">
        <v>1331</v>
      </c>
      <c r="C177" s="32" t="s">
        <v>1475</v>
      </c>
      <c r="D177" s="32">
        <v>0.98</v>
      </c>
      <c r="E177" s="32">
        <v>0.94</v>
      </c>
      <c r="F177" s="32">
        <v>0.89</v>
      </c>
      <c r="G177" s="112">
        <v>0.85</v>
      </c>
      <c r="H177" s="112">
        <v>0.83</v>
      </c>
      <c r="I177" s="112">
        <v>0.82</v>
      </c>
      <c r="J177" s="112">
        <v>0.8</v>
      </c>
      <c r="K177" s="112">
        <v>0.8</v>
      </c>
      <c r="L177" s="115">
        <v>0.61</v>
      </c>
      <c r="M177" s="115">
        <v>0.6</v>
      </c>
      <c r="N177" s="115">
        <v>0.56999999999999995</v>
      </c>
      <c r="O177" s="115">
        <v>0.54</v>
      </c>
      <c r="P177" s="115">
        <v>0.51</v>
      </c>
      <c r="Q177" s="115">
        <v>0.48</v>
      </c>
      <c r="R177" s="115">
        <v>0.45</v>
      </c>
      <c r="S177" s="118">
        <v>0.45</v>
      </c>
      <c r="T177" s="119">
        <v>1.25</v>
      </c>
      <c r="U177" s="105">
        <v>1.21</v>
      </c>
      <c r="V177" s="105">
        <v>1.1499999999999999</v>
      </c>
      <c r="W177" s="105">
        <v>1.0900000000000001</v>
      </c>
      <c r="X177" s="105">
        <v>1.05</v>
      </c>
      <c r="Y177" s="105">
        <v>1.02</v>
      </c>
      <c r="Z177" s="115">
        <v>1</v>
      </c>
      <c r="AA177" s="122">
        <v>1</v>
      </c>
      <c r="AB177" s="119">
        <v>0.83</v>
      </c>
      <c r="AC177" s="115">
        <v>0.8</v>
      </c>
      <c r="AD177" s="115">
        <v>0.76</v>
      </c>
      <c r="AE177" s="115">
        <v>0.7</v>
      </c>
      <c r="AF177" s="115">
        <v>0.66</v>
      </c>
      <c r="AG177" s="105">
        <v>0.61</v>
      </c>
      <c r="AH177" s="105">
        <v>0.55000000000000004</v>
      </c>
      <c r="AI177" s="120">
        <v>0.55000000000000004</v>
      </c>
    </row>
    <row r="178" spans="1:35">
      <c r="A178" s="32" t="s">
        <v>1310</v>
      </c>
      <c r="B178" s="32" t="s">
        <v>1331</v>
      </c>
      <c r="C178" s="32" t="s">
        <v>1476</v>
      </c>
      <c r="D178" s="32">
        <v>0.98</v>
      </c>
      <c r="E178" s="32">
        <v>0.94</v>
      </c>
      <c r="F178" s="32">
        <v>0.89</v>
      </c>
      <c r="G178" s="112">
        <v>0.85</v>
      </c>
      <c r="H178" s="112">
        <v>0.83</v>
      </c>
      <c r="I178" s="112">
        <v>0.82</v>
      </c>
      <c r="J178" s="112">
        <v>0.8</v>
      </c>
      <c r="K178" s="112">
        <v>0.8</v>
      </c>
      <c r="L178" s="115">
        <v>0.61</v>
      </c>
      <c r="M178" s="115">
        <v>0.6</v>
      </c>
      <c r="N178" s="115">
        <v>0.56999999999999995</v>
      </c>
      <c r="O178" s="115">
        <v>0.54</v>
      </c>
      <c r="P178" s="115">
        <v>0.51</v>
      </c>
      <c r="Q178" s="115">
        <v>0.48</v>
      </c>
      <c r="R178" s="115">
        <v>0.45</v>
      </c>
      <c r="S178" s="118">
        <v>0.45</v>
      </c>
      <c r="T178" s="119">
        <v>1.25</v>
      </c>
      <c r="U178" s="105">
        <v>1.21</v>
      </c>
      <c r="V178" s="105">
        <v>1.1499999999999999</v>
      </c>
      <c r="W178" s="105">
        <v>1.0900000000000001</v>
      </c>
      <c r="X178" s="105">
        <v>1.05</v>
      </c>
      <c r="Y178" s="105">
        <v>1.02</v>
      </c>
      <c r="Z178" s="115">
        <v>1</v>
      </c>
      <c r="AA178" s="122">
        <v>1</v>
      </c>
      <c r="AB178" s="119">
        <v>0.83</v>
      </c>
      <c r="AC178" s="115">
        <v>0.8</v>
      </c>
      <c r="AD178" s="115">
        <v>0.76</v>
      </c>
      <c r="AE178" s="115">
        <v>0.7</v>
      </c>
      <c r="AF178" s="115">
        <v>0.66</v>
      </c>
      <c r="AG178" s="105">
        <v>0.61</v>
      </c>
      <c r="AH178" s="105">
        <v>0.55000000000000004</v>
      </c>
      <c r="AI178" s="120">
        <v>0.55000000000000004</v>
      </c>
    </row>
    <row r="179" spans="1:35">
      <c r="A179" s="32" t="s">
        <v>1310</v>
      </c>
      <c r="B179" s="32" t="s">
        <v>1331</v>
      </c>
      <c r="C179" s="32" t="s">
        <v>1477</v>
      </c>
      <c r="D179" s="32">
        <v>0.98</v>
      </c>
      <c r="E179" s="32">
        <v>0.94</v>
      </c>
      <c r="F179" s="32">
        <v>0.89</v>
      </c>
      <c r="G179" s="112">
        <v>0.85</v>
      </c>
      <c r="H179" s="112">
        <v>0.83</v>
      </c>
      <c r="I179" s="112">
        <v>0.82</v>
      </c>
      <c r="J179" s="112">
        <v>0.8</v>
      </c>
      <c r="K179" s="112">
        <v>0.8</v>
      </c>
      <c r="L179" s="115">
        <v>0.61</v>
      </c>
      <c r="M179" s="115">
        <v>0.6</v>
      </c>
      <c r="N179" s="115">
        <v>0.56999999999999995</v>
      </c>
      <c r="O179" s="115">
        <v>0.54</v>
      </c>
      <c r="P179" s="115">
        <v>0.51</v>
      </c>
      <c r="Q179" s="115">
        <v>0.48</v>
      </c>
      <c r="R179" s="115">
        <v>0.45</v>
      </c>
      <c r="S179" s="118">
        <v>0.45</v>
      </c>
      <c r="T179" s="119">
        <v>1.25</v>
      </c>
      <c r="U179" s="105">
        <v>1.21</v>
      </c>
      <c r="V179" s="105">
        <v>1.1499999999999999</v>
      </c>
      <c r="W179" s="105">
        <v>1.0900000000000001</v>
      </c>
      <c r="X179" s="105">
        <v>1.05</v>
      </c>
      <c r="Y179" s="105">
        <v>1.02</v>
      </c>
      <c r="Z179" s="115">
        <v>1</v>
      </c>
      <c r="AA179" s="122">
        <v>1</v>
      </c>
      <c r="AB179" s="119">
        <v>0.83</v>
      </c>
      <c r="AC179" s="115">
        <v>0.8</v>
      </c>
      <c r="AD179" s="115">
        <v>0.76</v>
      </c>
      <c r="AE179" s="115">
        <v>0.7</v>
      </c>
      <c r="AF179" s="115">
        <v>0.66</v>
      </c>
      <c r="AG179" s="105">
        <v>0.61</v>
      </c>
      <c r="AH179" s="105">
        <v>0.55000000000000004</v>
      </c>
      <c r="AI179" s="120">
        <v>0.55000000000000004</v>
      </c>
    </row>
    <row r="180" spans="1:35">
      <c r="A180" s="32" t="s">
        <v>1310</v>
      </c>
      <c r="B180" s="32" t="s">
        <v>1331</v>
      </c>
      <c r="C180" s="32" t="s">
        <v>1504</v>
      </c>
      <c r="D180" s="32">
        <v>0.98</v>
      </c>
      <c r="E180" s="32">
        <v>0.94</v>
      </c>
      <c r="F180" s="32">
        <v>0.89</v>
      </c>
      <c r="G180" s="112">
        <v>0.85</v>
      </c>
      <c r="H180" s="112">
        <v>0.83</v>
      </c>
      <c r="I180" s="112">
        <v>0.82</v>
      </c>
      <c r="J180" s="112">
        <v>0.8</v>
      </c>
      <c r="K180" s="112">
        <v>0.8</v>
      </c>
      <c r="L180" s="115">
        <v>0.61</v>
      </c>
      <c r="M180" s="115">
        <v>0.6</v>
      </c>
      <c r="N180" s="115">
        <v>0.56999999999999995</v>
      </c>
      <c r="O180" s="115">
        <v>0.54</v>
      </c>
      <c r="P180" s="115">
        <v>0.51</v>
      </c>
      <c r="Q180" s="115">
        <v>0.48</v>
      </c>
      <c r="R180" s="115">
        <v>0.45</v>
      </c>
      <c r="S180" s="118">
        <v>0.45</v>
      </c>
      <c r="T180" s="119">
        <v>1.25</v>
      </c>
      <c r="U180" s="105">
        <v>1.21</v>
      </c>
      <c r="V180" s="105">
        <v>1.1499999999999999</v>
      </c>
      <c r="W180" s="105">
        <v>1.0900000000000001</v>
      </c>
      <c r="X180" s="105">
        <v>1.05</v>
      </c>
      <c r="Y180" s="105">
        <v>1.02</v>
      </c>
      <c r="Z180" s="115">
        <v>1</v>
      </c>
      <c r="AA180" s="122">
        <v>1</v>
      </c>
      <c r="AB180" s="119">
        <v>0.83</v>
      </c>
      <c r="AC180" s="115">
        <v>0.8</v>
      </c>
      <c r="AD180" s="115">
        <v>0.76</v>
      </c>
      <c r="AE180" s="115">
        <v>0.7</v>
      </c>
      <c r="AF180" s="115">
        <v>0.66</v>
      </c>
      <c r="AG180" s="105">
        <v>0.61</v>
      </c>
      <c r="AH180" s="105">
        <v>0.55000000000000004</v>
      </c>
      <c r="AI180" s="120">
        <v>0.55000000000000004</v>
      </c>
    </row>
    <row r="181" spans="1:35">
      <c r="A181" s="32" t="s">
        <v>1310</v>
      </c>
      <c r="B181" s="32" t="s">
        <v>1331</v>
      </c>
      <c r="C181" s="32" t="s">
        <v>1505</v>
      </c>
      <c r="D181" s="32">
        <v>0.98</v>
      </c>
      <c r="E181" s="32">
        <v>0.94</v>
      </c>
      <c r="F181" s="32">
        <v>0.89</v>
      </c>
      <c r="G181" s="112">
        <v>0.85</v>
      </c>
      <c r="H181" s="112">
        <v>0.83</v>
      </c>
      <c r="I181" s="112">
        <v>0.82</v>
      </c>
      <c r="J181" s="112">
        <v>0.8</v>
      </c>
      <c r="K181" s="112">
        <v>0.8</v>
      </c>
      <c r="L181" s="115">
        <v>0.61</v>
      </c>
      <c r="M181" s="115">
        <v>0.6</v>
      </c>
      <c r="N181" s="115">
        <v>0.56999999999999995</v>
      </c>
      <c r="O181" s="115">
        <v>0.54</v>
      </c>
      <c r="P181" s="115">
        <v>0.51</v>
      </c>
      <c r="Q181" s="115">
        <v>0.48</v>
      </c>
      <c r="R181" s="115">
        <v>0.45</v>
      </c>
      <c r="S181" s="118">
        <v>0.45</v>
      </c>
      <c r="T181" s="119">
        <v>1.25</v>
      </c>
      <c r="U181" s="105">
        <v>1.21</v>
      </c>
      <c r="V181" s="105">
        <v>1.1499999999999999</v>
      </c>
      <c r="W181" s="105">
        <v>1.0900000000000001</v>
      </c>
      <c r="X181" s="105">
        <v>1.05</v>
      </c>
      <c r="Y181" s="105">
        <v>1.02</v>
      </c>
      <c r="Z181" s="115">
        <v>1</v>
      </c>
      <c r="AA181" s="122">
        <v>1</v>
      </c>
      <c r="AB181" s="119">
        <v>0.83</v>
      </c>
      <c r="AC181" s="115">
        <v>0.8</v>
      </c>
      <c r="AD181" s="115">
        <v>0.76</v>
      </c>
      <c r="AE181" s="115">
        <v>0.7</v>
      </c>
      <c r="AF181" s="115">
        <v>0.66</v>
      </c>
      <c r="AG181" s="105">
        <v>0.61</v>
      </c>
      <c r="AH181" s="105">
        <v>0.55000000000000004</v>
      </c>
      <c r="AI181" s="120">
        <v>0.55000000000000004</v>
      </c>
    </row>
    <row r="182" spans="1:35">
      <c r="A182" s="32" t="s">
        <v>1310</v>
      </c>
      <c r="B182" s="32" t="s">
        <v>1331</v>
      </c>
      <c r="C182" s="32" t="s">
        <v>1506</v>
      </c>
      <c r="D182" s="32">
        <v>0.98</v>
      </c>
      <c r="E182" s="32">
        <v>0.94</v>
      </c>
      <c r="F182" s="32">
        <v>0.89</v>
      </c>
      <c r="G182" s="112">
        <v>0.85</v>
      </c>
      <c r="H182" s="112">
        <v>0.83</v>
      </c>
      <c r="I182" s="112">
        <v>0.82</v>
      </c>
      <c r="J182" s="112">
        <v>0.8</v>
      </c>
      <c r="K182" s="112">
        <v>0.8</v>
      </c>
      <c r="L182" s="115">
        <v>0.61</v>
      </c>
      <c r="M182" s="115">
        <v>0.6</v>
      </c>
      <c r="N182" s="115">
        <v>0.56999999999999995</v>
      </c>
      <c r="O182" s="115">
        <v>0.54</v>
      </c>
      <c r="P182" s="115">
        <v>0.51</v>
      </c>
      <c r="Q182" s="115">
        <v>0.48</v>
      </c>
      <c r="R182" s="115">
        <v>0.45</v>
      </c>
      <c r="S182" s="118">
        <v>0.45</v>
      </c>
      <c r="T182" s="119">
        <v>1.25</v>
      </c>
      <c r="U182" s="105">
        <v>1.21</v>
      </c>
      <c r="V182" s="105">
        <v>1.1499999999999999</v>
      </c>
      <c r="W182" s="105">
        <v>1.0900000000000001</v>
      </c>
      <c r="X182" s="105">
        <v>1.05</v>
      </c>
      <c r="Y182" s="105">
        <v>1.02</v>
      </c>
      <c r="Z182" s="115">
        <v>1</v>
      </c>
      <c r="AA182" s="122">
        <v>1</v>
      </c>
      <c r="AB182" s="119">
        <v>0.83</v>
      </c>
      <c r="AC182" s="115">
        <v>0.8</v>
      </c>
      <c r="AD182" s="115">
        <v>0.76</v>
      </c>
      <c r="AE182" s="115">
        <v>0.7</v>
      </c>
      <c r="AF182" s="115">
        <v>0.66</v>
      </c>
      <c r="AG182" s="105">
        <v>0.61</v>
      </c>
      <c r="AH182" s="105">
        <v>0.55000000000000004</v>
      </c>
      <c r="AI182" s="120">
        <v>0.55000000000000004</v>
      </c>
    </row>
    <row r="183" spans="1:35">
      <c r="A183" s="32" t="s">
        <v>1310</v>
      </c>
      <c r="B183" s="32" t="s">
        <v>1331</v>
      </c>
      <c r="C183" s="32" t="s">
        <v>1660</v>
      </c>
      <c r="D183" s="32">
        <v>0.98</v>
      </c>
      <c r="E183" s="32">
        <v>0.94</v>
      </c>
      <c r="F183" s="32">
        <v>0.89</v>
      </c>
      <c r="G183" s="112">
        <v>0.85</v>
      </c>
      <c r="H183" s="112">
        <v>0.83</v>
      </c>
      <c r="I183" s="112">
        <v>0.82</v>
      </c>
      <c r="J183" s="112">
        <v>0.8</v>
      </c>
      <c r="K183" s="112">
        <v>0.8</v>
      </c>
      <c r="L183" s="115">
        <v>0.61</v>
      </c>
      <c r="M183" s="115">
        <v>0.6</v>
      </c>
      <c r="N183" s="115">
        <v>0.56999999999999995</v>
      </c>
      <c r="O183" s="115">
        <v>0.54</v>
      </c>
      <c r="P183" s="115">
        <v>0.51</v>
      </c>
      <c r="Q183" s="115">
        <v>0.48</v>
      </c>
      <c r="R183" s="115">
        <v>0.45</v>
      </c>
      <c r="S183" s="118">
        <v>0.45</v>
      </c>
      <c r="T183" s="119">
        <v>1.25</v>
      </c>
      <c r="U183" s="105">
        <v>1.21</v>
      </c>
      <c r="V183" s="105">
        <v>1.1499999999999999</v>
      </c>
      <c r="W183" s="105">
        <v>1.0900000000000001</v>
      </c>
      <c r="X183" s="105">
        <v>1.05</v>
      </c>
      <c r="Y183" s="105">
        <v>1.02</v>
      </c>
      <c r="Z183" s="115">
        <v>1</v>
      </c>
      <c r="AA183" s="122">
        <v>1</v>
      </c>
      <c r="AB183" s="119">
        <v>0.83</v>
      </c>
      <c r="AC183" s="115">
        <v>0.8</v>
      </c>
      <c r="AD183" s="115">
        <v>0.76</v>
      </c>
      <c r="AE183" s="115">
        <v>0.7</v>
      </c>
      <c r="AF183" s="115">
        <v>0.66</v>
      </c>
      <c r="AG183" s="105">
        <v>0.61</v>
      </c>
      <c r="AH183" s="105">
        <v>0.55000000000000004</v>
      </c>
      <c r="AI183" s="120">
        <v>0.55000000000000004</v>
      </c>
    </row>
    <row r="184" spans="1:35">
      <c r="A184" s="32" t="s">
        <v>1310</v>
      </c>
      <c r="B184" s="32" t="s">
        <v>1334</v>
      </c>
      <c r="C184" s="32" t="s">
        <v>1478</v>
      </c>
      <c r="D184" s="32">
        <v>0.98</v>
      </c>
      <c r="E184" s="32">
        <v>0.94</v>
      </c>
      <c r="F184" s="32">
        <v>0.89</v>
      </c>
      <c r="G184" s="112">
        <v>0.85</v>
      </c>
      <c r="H184" s="112">
        <v>0.83</v>
      </c>
      <c r="I184" s="112">
        <v>0.82</v>
      </c>
      <c r="J184" s="112">
        <v>0.8</v>
      </c>
      <c r="K184" s="112">
        <v>0.8</v>
      </c>
      <c r="L184" s="115">
        <v>0.61</v>
      </c>
      <c r="M184" s="115">
        <v>0.6</v>
      </c>
      <c r="N184" s="115">
        <v>0.56999999999999995</v>
      </c>
      <c r="O184" s="115">
        <v>0.54</v>
      </c>
      <c r="P184" s="115">
        <v>0.51</v>
      </c>
      <c r="Q184" s="115">
        <v>0.48</v>
      </c>
      <c r="R184" s="115">
        <v>0.45</v>
      </c>
      <c r="S184" s="118">
        <v>0.45</v>
      </c>
      <c r="T184" s="119">
        <v>1.25</v>
      </c>
      <c r="U184" s="105">
        <v>1.21</v>
      </c>
      <c r="V184" s="105">
        <v>1.1499999999999999</v>
      </c>
      <c r="W184" s="105">
        <v>1.0900000000000001</v>
      </c>
      <c r="X184" s="105">
        <v>1.05</v>
      </c>
      <c r="Y184" s="105">
        <v>1.02</v>
      </c>
      <c r="Z184" s="115">
        <v>1</v>
      </c>
      <c r="AA184" s="122">
        <v>1</v>
      </c>
      <c r="AB184" s="119">
        <v>0.83</v>
      </c>
      <c r="AC184" s="115">
        <v>0.8</v>
      </c>
      <c r="AD184" s="115">
        <v>0.76</v>
      </c>
      <c r="AE184" s="115">
        <v>0.7</v>
      </c>
      <c r="AF184" s="115">
        <v>0.66</v>
      </c>
      <c r="AG184" s="105">
        <v>0.61</v>
      </c>
      <c r="AH184" s="105">
        <v>0.55000000000000004</v>
      </c>
      <c r="AI184" s="120">
        <v>0.55000000000000004</v>
      </c>
    </row>
    <row r="185" spans="1:35">
      <c r="A185" s="32" t="s">
        <v>1310</v>
      </c>
      <c r="B185" s="32" t="s">
        <v>1334</v>
      </c>
      <c r="C185" s="32" t="s">
        <v>1480</v>
      </c>
      <c r="D185" s="32">
        <v>0.98</v>
      </c>
      <c r="E185" s="32">
        <v>0.94</v>
      </c>
      <c r="F185" s="32">
        <v>0.89</v>
      </c>
      <c r="G185" s="112">
        <v>0.85</v>
      </c>
      <c r="H185" s="112">
        <v>0.83</v>
      </c>
      <c r="I185" s="112">
        <v>0.82</v>
      </c>
      <c r="J185" s="112">
        <v>0.8</v>
      </c>
      <c r="K185" s="112">
        <v>0.8</v>
      </c>
      <c r="L185" s="115">
        <v>0.61</v>
      </c>
      <c r="M185" s="115">
        <v>0.6</v>
      </c>
      <c r="N185" s="115">
        <v>0.56999999999999995</v>
      </c>
      <c r="O185" s="115">
        <v>0.54</v>
      </c>
      <c r="P185" s="115">
        <v>0.51</v>
      </c>
      <c r="Q185" s="115">
        <v>0.48</v>
      </c>
      <c r="R185" s="115">
        <v>0.45</v>
      </c>
      <c r="S185" s="118">
        <v>0.45</v>
      </c>
      <c r="T185" s="119">
        <v>1.25</v>
      </c>
      <c r="U185" s="105">
        <v>1.21</v>
      </c>
      <c r="V185" s="105">
        <v>1.1499999999999999</v>
      </c>
      <c r="W185" s="105">
        <v>1.0900000000000001</v>
      </c>
      <c r="X185" s="105">
        <v>1.05</v>
      </c>
      <c r="Y185" s="105">
        <v>1.02</v>
      </c>
      <c r="Z185" s="115">
        <v>1</v>
      </c>
      <c r="AA185" s="122">
        <v>1</v>
      </c>
      <c r="AB185" s="119">
        <v>0.83</v>
      </c>
      <c r="AC185" s="115">
        <v>0.8</v>
      </c>
      <c r="AD185" s="115">
        <v>0.76</v>
      </c>
      <c r="AE185" s="115">
        <v>0.7</v>
      </c>
      <c r="AF185" s="115">
        <v>0.66</v>
      </c>
      <c r="AG185" s="105">
        <v>0.61</v>
      </c>
      <c r="AH185" s="105">
        <v>0.55000000000000004</v>
      </c>
      <c r="AI185" s="120">
        <v>0.55000000000000004</v>
      </c>
    </row>
    <row r="186" spans="1:35">
      <c r="A186" s="32" t="s">
        <v>1310</v>
      </c>
      <c r="B186" s="32" t="s">
        <v>1334</v>
      </c>
      <c r="C186" s="32" t="s">
        <v>1337</v>
      </c>
      <c r="D186" s="32">
        <v>0.98</v>
      </c>
      <c r="E186" s="32">
        <v>0.94</v>
      </c>
      <c r="F186" s="32">
        <v>0.89</v>
      </c>
      <c r="G186" s="112">
        <v>0.85</v>
      </c>
      <c r="H186" s="112">
        <v>0.83</v>
      </c>
      <c r="I186" s="112">
        <v>0.82</v>
      </c>
      <c r="J186" s="112">
        <v>0.8</v>
      </c>
      <c r="K186" s="112">
        <v>0.8</v>
      </c>
      <c r="L186" s="115">
        <v>0.61</v>
      </c>
      <c r="M186" s="115">
        <v>0.6</v>
      </c>
      <c r="N186" s="115">
        <v>0.56999999999999995</v>
      </c>
      <c r="O186" s="115">
        <v>0.54</v>
      </c>
      <c r="P186" s="115">
        <v>0.51</v>
      </c>
      <c r="Q186" s="115">
        <v>0.48</v>
      </c>
      <c r="R186" s="115">
        <v>0.45</v>
      </c>
      <c r="S186" s="118">
        <v>0.45</v>
      </c>
      <c r="T186" s="119">
        <v>1.25</v>
      </c>
      <c r="U186" s="105">
        <v>1.21</v>
      </c>
      <c r="V186" s="105">
        <v>1.1499999999999999</v>
      </c>
      <c r="W186" s="105">
        <v>1.0900000000000001</v>
      </c>
      <c r="X186" s="105">
        <v>1.05</v>
      </c>
      <c r="Y186" s="105">
        <v>1.02</v>
      </c>
      <c r="Z186" s="115">
        <v>1</v>
      </c>
      <c r="AA186" s="122">
        <v>1</v>
      </c>
      <c r="AB186" s="119">
        <v>0.83</v>
      </c>
      <c r="AC186" s="115">
        <v>0.8</v>
      </c>
      <c r="AD186" s="115">
        <v>0.76</v>
      </c>
      <c r="AE186" s="115">
        <v>0.7</v>
      </c>
      <c r="AF186" s="115">
        <v>0.66</v>
      </c>
      <c r="AG186" s="105">
        <v>0.61</v>
      </c>
      <c r="AH186" s="105">
        <v>0.55000000000000004</v>
      </c>
      <c r="AI186" s="120">
        <v>0.55000000000000004</v>
      </c>
    </row>
    <row r="187" spans="1:35">
      <c r="A187" s="32" t="s">
        <v>1310</v>
      </c>
      <c r="B187" s="32" t="s">
        <v>1328</v>
      </c>
      <c r="C187" s="32" t="s">
        <v>1338</v>
      </c>
      <c r="D187" s="32">
        <v>0.98</v>
      </c>
      <c r="E187" s="32">
        <v>0.94</v>
      </c>
      <c r="F187" s="32">
        <v>0.89</v>
      </c>
      <c r="G187" s="112">
        <v>0.85</v>
      </c>
      <c r="H187" s="112">
        <v>0.83</v>
      </c>
      <c r="I187" s="112">
        <v>0.82</v>
      </c>
      <c r="J187" s="112">
        <v>0.8</v>
      </c>
      <c r="K187" s="112">
        <v>0.8</v>
      </c>
      <c r="L187" s="115">
        <v>0.61</v>
      </c>
      <c r="M187" s="115">
        <v>0.6</v>
      </c>
      <c r="N187" s="115">
        <v>0.56999999999999995</v>
      </c>
      <c r="O187" s="115">
        <v>0.54</v>
      </c>
      <c r="P187" s="115">
        <v>0.51</v>
      </c>
      <c r="Q187" s="115">
        <v>0.48</v>
      </c>
      <c r="R187" s="115">
        <v>0.45</v>
      </c>
      <c r="S187" s="118">
        <v>0.45</v>
      </c>
      <c r="T187" s="119">
        <v>1.25</v>
      </c>
      <c r="U187" s="105">
        <v>1.21</v>
      </c>
      <c r="V187" s="105">
        <v>1.1499999999999999</v>
      </c>
      <c r="W187" s="105">
        <v>1.0900000000000001</v>
      </c>
      <c r="X187" s="105">
        <v>1.05</v>
      </c>
      <c r="Y187" s="105">
        <v>1.02</v>
      </c>
      <c r="Z187" s="115">
        <v>1</v>
      </c>
      <c r="AA187" s="122">
        <v>1</v>
      </c>
      <c r="AB187" s="119">
        <v>0.83</v>
      </c>
      <c r="AC187" s="115">
        <v>0.8</v>
      </c>
      <c r="AD187" s="115">
        <v>0.76</v>
      </c>
      <c r="AE187" s="115">
        <v>0.7</v>
      </c>
      <c r="AF187" s="115">
        <v>0.66</v>
      </c>
      <c r="AG187" s="105">
        <v>0.61</v>
      </c>
      <c r="AH187" s="105">
        <v>0.55000000000000004</v>
      </c>
      <c r="AI187" s="120">
        <v>0.55000000000000004</v>
      </c>
    </row>
    <row r="188" spans="1:35">
      <c r="A188" s="32" t="s">
        <v>1310</v>
      </c>
      <c r="B188" s="32" t="s">
        <v>1328</v>
      </c>
      <c r="C188" s="32" t="s">
        <v>1341</v>
      </c>
      <c r="D188" s="32">
        <v>0.98</v>
      </c>
      <c r="E188" s="32">
        <v>0.94</v>
      </c>
      <c r="F188" s="32">
        <v>0.89</v>
      </c>
      <c r="G188" s="112">
        <v>0.85</v>
      </c>
      <c r="H188" s="112">
        <v>0.83</v>
      </c>
      <c r="I188" s="112">
        <v>0.82</v>
      </c>
      <c r="J188" s="112">
        <v>0.8</v>
      </c>
      <c r="K188" s="112">
        <v>0.8</v>
      </c>
      <c r="L188" s="115">
        <v>0.61</v>
      </c>
      <c r="M188" s="115">
        <v>0.6</v>
      </c>
      <c r="N188" s="115">
        <v>0.56999999999999995</v>
      </c>
      <c r="O188" s="115">
        <v>0.54</v>
      </c>
      <c r="P188" s="115">
        <v>0.51</v>
      </c>
      <c r="Q188" s="115">
        <v>0.48</v>
      </c>
      <c r="R188" s="115">
        <v>0.45</v>
      </c>
      <c r="S188" s="118">
        <v>0.45</v>
      </c>
      <c r="T188" s="119">
        <v>1.25</v>
      </c>
      <c r="U188" s="105">
        <v>1.21</v>
      </c>
      <c r="V188" s="105">
        <v>1.1499999999999999</v>
      </c>
      <c r="W188" s="105">
        <v>1.0900000000000001</v>
      </c>
      <c r="X188" s="105">
        <v>1.05</v>
      </c>
      <c r="Y188" s="105">
        <v>1.02</v>
      </c>
      <c r="Z188" s="115">
        <v>1</v>
      </c>
      <c r="AA188" s="122">
        <v>1</v>
      </c>
      <c r="AB188" s="119">
        <v>0.83</v>
      </c>
      <c r="AC188" s="115">
        <v>0.8</v>
      </c>
      <c r="AD188" s="115">
        <v>0.76</v>
      </c>
      <c r="AE188" s="115">
        <v>0.7</v>
      </c>
      <c r="AF188" s="115">
        <v>0.66</v>
      </c>
      <c r="AG188" s="105">
        <v>0.61</v>
      </c>
      <c r="AH188" s="105">
        <v>0.55000000000000004</v>
      </c>
      <c r="AI188" s="120">
        <v>0.55000000000000004</v>
      </c>
    </row>
    <row r="189" spans="1:35">
      <c r="A189" s="32" t="s">
        <v>1310</v>
      </c>
      <c r="B189" s="32" t="s">
        <v>1328</v>
      </c>
      <c r="C189" s="32" t="s">
        <v>1342</v>
      </c>
      <c r="D189" s="32">
        <v>0.98</v>
      </c>
      <c r="E189" s="32">
        <v>0.94</v>
      </c>
      <c r="F189" s="32">
        <v>0.89</v>
      </c>
      <c r="G189" s="112">
        <v>0.85</v>
      </c>
      <c r="H189" s="112">
        <v>0.83</v>
      </c>
      <c r="I189" s="112">
        <v>0.82</v>
      </c>
      <c r="J189" s="112">
        <v>0.8</v>
      </c>
      <c r="K189" s="112">
        <v>0.8</v>
      </c>
      <c r="L189" s="115">
        <v>0.61</v>
      </c>
      <c r="M189" s="115">
        <v>0.6</v>
      </c>
      <c r="N189" s="115">
        <v>0.56999999999999995</v>
      </c>
      <c r="O189" s="115">
        <v>0.54</v>
      </c>
      <c r="P189" s="115">
        <v>0.51</v>
      </c>
      <c r="Q189" s="115">
        <v>0.48</v>
      </c>
      <c r="R189" s="115">
        <v>0.45</v>
      </c>
      <c r="S189" s="118">
        <v>0.45</v>
      </c>
      <c r="T189" s="119">
        <v>1.25</v>
      </c>
      <c r="U189" s="105">
        <v>1.21</v>
      </c>
      <c r="V189" s="105">
        <v>1.1499999999999999</v>
      </c>
      <c r="W189" s="105">
        <v>1.0900000000000001</v>
      </c>
      <c r="X189" s="105">
        <v>1.05</v>
      </c>
      <c r="Y189" s="105">
        <v>1.02</v>
      </c>
      <c r="Z189" s="115">
        <v>1</v>
      </c>
      <c r="AA189" s="122">
        <v>1</v>
      </c>
      <c r="AB189" s="119">
        <v>0.83</v>
      </c>
      <c r="AC189" s="115">
        <v>0.8</v>
      </c>
      <c r="AD189" s="115">
        <v>0.76</v>
      </c>
      <c r="AE189" s="115">
        <v>0.7</v>
      </c>
      <c r="AF189" s="115">
        <v>0.66</v>
      </c>
      <c r="AG189" s="105">
        <v>0.61</v>
      </c>
      <c r="AH189" s="105">
        <v>0.55000000000000004</v>
      </c>
      <c r="AI189" s="120">
        <v>0.55000000000000004</v>
      </c>
    </row>
    <row r="190" spans="1:35">
      <c r="A190" s="32" t="s">
        <v>1310</v>
      </c>
      <c r="B190" s="32" t="s">
        <v>1501</v>
      </c>
      <c r="C190" s="32" t="s">
        <v>1503</v>
      </c>
      <c r="D190" s="32">
        <v>0.98</v>
      </c>
      <c r="E190" s="32">
        <v>0.94</v>
      </c>
      <c r="F190" s="32">
        <v>0.89</v>
      </c>
      <c r="G190" s="112">
        <v>0.85</v>
      </c>
      <c r="H190" s="112">
        <v>0.83</v>
      </c>
      <c r="I190" s="112">
        <v>0.82</v>
      </c>
      <c r="J190" s="112">
        <v>0.8</v>
      </c>
      <c r="K190" s="113">
        <v>0.7</v>
      </c>
      <c r="L190" s="115">
        <v>0.61</v>
      </c>
      <c r="M190" s="115">
        <v>0.6</v>
      </c>
      <c r="N190" s="115">
        <v>0.56999999999999995</v>
      </c>
      <c r="O190" s="115">
        <v>0.54</v>
      </c>
      <c r="P190" s="115">
        <v>0.51</v>
      </c>
      <c r="Q190" s="115">
        <v>0.48</v>
      </c>
      <c r="R190" s="115">
        <v>0.45</v>
      </c>
      <c r="S190" s="117">
        <v>0.4</v>
      </c>
      <c r="T190" s="119">
        <v>1.25</v>
      </c>
      <c r="U190" s="105">
        <v>1.21</v>
      </c>
      <c r="V190" s="105">
        <v>1.1499999999999999</v>
      </c>
      <c r="W190" s="105">
        <v>1.0900000000000001</v>
      </c>
      <c r="X190" s="105">
        <v>1.05</v>
      </c>
      <c r="Y190" s="105">
        <v>1.02</v>
      </c>
      <c r="Z190" s="115">
        <v>1</v>
      </c>
      <c r="AA190" s="123">
        <v>0.9</v>
      </c>
      <c r="AB190" s="119">
        <v>0.83</v>
      </c>
      <c r="AC190" s="115">
        <v>0.8</v>
      </c>
      <c r="AD190" s="115">
        <v>0.76</v>
      </c>
      <c r="AE190" s="115">
        <v>0.7</v>
      </c>
      <c r="AF190" s="115">
        <v>0.66</v>
      </c>
      <c r="AG190" s="105">
        <v>0.61</v>
      </c>
      <c r="AH190" s="105">
        <v>0.55000000000000004</v>
      </c>
      <c r="AI190" s="123">
        <v>0.5</v>
      </c>
    </row>
    <row r="191" spans="1:35">
      <c r="A191" s="32" t="s">
        <v>1310</v>
      </c>
      <c r="B191" s="32" t="s">
        <v>1499</v>
      </c>
      <c r="C191" s="32" t="s">
        <v>1500</v>
      </c>
      <c r="D191" s="32">
        <v>0.98</v>
      </c>
      <c r="E191" s="32">
        <v>0.94</v>
      </c>
      <c r="F191" s="32">
        <v>0.89</v>
      </c>
      <c r="G191" s="112">
        <v>0.85</v>
      </c>
      <c r="H191" s="112">
        <v>0.83</v>
      </c>
      <c r="I191" s="112">
        <v>0.82</v>
      </c>
      <c r="J191" s="112">
        <v>0.8</v>
      </c>
      <c r="K191" s="113">
        <v>0.7</v>
      </c>
      <c r="L191" s="115">
        <v>0.61</v>
      </c>
      <c r="M191" s="115">
        <v>0.6</v>
      </c>
      <c r="N191" s="115">
        <v>0.56999999999999995</v>
      </c>
      <c r="O191" s="115">
        <v>0.54</v>
      </c>
      <c r="P191" s="115">
        <v>0.51</v>
      </c>
      <c r="Q191" s="115">
        <v>0.48</v>
      </c>
      <c r="R191" s="115">
        <v>0.45</v>
      </c>
      <c r="S191" s="117">
        <v>0.4</v>
      </c>
      <c r="T191" s="119">
        <v>1.25</v>
      </c>
      <c r="U191" s="105">
        <v>1.21</v>
      </c>
      <c r="V191" s="105">
        <v>1.1499999999999999</v>
      </c>
      <c r="W191" s="105">
        <v>1.0900000000000001</v>
      </c>
      <c r="X191" s="105">
        <v>1.05</v>
      </c>
      <c r="Y191" s="105">
        <v>1.02</v>
      </c>
      <c r="Z191" s="115">
        <v>1</v>
      </c>
      <c r="AA191" s="123">
        <v>0.9</v>
      </c>
      <c r="AB191" s="119">
        <v>0.83</v>
      </c>
      <c r="AC191" s="115">
        <v>0.8</v>
      </c>
      <c r="AD191" s="115">
        <v>0.76</v>
      </c>
      <c r="AE191" s="115">
        <v>0.7</v>
      </c>
      <c r="AF191" s="115">
        <v>0.66</v>
      </c>
      <c r="AG191" s="105">
        <v>0.61</v>
      </c>
      <c r="AH191" s="105">
        <v>0.55000000000000004</v>
      </c>
      <c r="AI191" s="123">
        <v>0.5</v>
      </c>
    </row>
    <row r="192" spans="1:35">
      <c r="A192" s="32" t="s">
        <v>1670</v>
      </c>
      <c r="B192" s="32" t="s">
        <v>1349</v>
      </c>
      <c r="C192" s="32" t="s">
        <v>1490</v>
      </c>
      <c r="D192" s="32">
        <v>1.08</v>
      </c>
      <c r="E192" s="32">
        <v>1.02</v>
      </c>
      <c r="F192" s="32">
        <v>0.94</v>
      </c>
      <c r="G192" s="112">
        <v>0.87</v>
      </c>
      <c r="H192" s="112">
        <v>0.85</v>
      </c>
      <c r="I192" s="112">
        <v>0.83</v>
      </c>
      <c r="J192" s="112">
        <v>0.8</v>
      </c>
      <c r="K192" s="112">
        <v>0.8</v>
      </c>
      <c r="L192" s="105">
        <v>0.63</v>
      </c>
      <c r="M192" s="105">
        <v>0.57999999999999996</v>
      </c>
      <c r="N192" s="105">
        <v>0.53</v>
      </c>
      <c r="O192" s="105">
        <v>0.49</v>
      </c>
      <c r="P192" s="105">
        <v>0.48</v>
      </c>
      <c r="Q192" s="105">
        <v>0.46</v>
      </c>
      <c r="R192" s="105">
        <v>0.45</v>
      </c>
      <c r="S192" s="116">
        <v>0.45</v>
      </c>
      <c r="T192" s="119">
        <v>1.25</v>
      </c>
      <c r="U192" s="105">
        <v>1.17</v>
      </c>
      <c r="V192" s="105">
        <v>1.1299999999999999</v>
      </c>
      <c r="W192" s="105">
        <v>1.0900000000000001</v>
      </c>
      <c r="X192" s="105">
        <v>1.06</v>
      </c>
      <c r="Y192" s="105">
        <v>1.03</v>
      </c>
      <c r="Z192" s="115">
        <v>1</v>
      </c>
      <c r="AA192" s="122">
        <v>1</v>
      </c>
      <c r="AB192" s="119">
        <v>0.83</v>
      </c>
      <c r="AC192" s="115">
        <v>0.76</v>
      </c>
      <c r="AD192" s="115">
        <v>0.7</v>
      </c>
      <c r="AE192" s="115">
        <v>0.65</v>
      </c>
      <c r="AF192" s="115">
        <v>0.62</v>
      </c>
      <c r="AG192" s="105">
        <v>0.59</v>
      </c>
      <c r="AH192" s="105">
        <v>0.55000000000000004</v>
      </c>
      <c r="AI192" s="120">
        <v>0.55000000000000004</v>
      </c>
    </row>
    <row r="193" spans="1:35">
      <c r="A193" s="32" t="s">
        <v>1670</v>
      </c>
      <c r="B193" s="32" t="s">
        <v>1349</v>
      </c>
      <c r="C193" s="32" t="s">
        <v>1495</v>
      </c>
      <c r="D193" s="32">
        <v>1.08</v>
      </c>
      <c r="E193" s="32">
        <v>1.02</v>
      </c>
      <c r="F193" s="32">
        <v>0.94</v>
      </c>
      <c r="G193" s="112">
        <v>0.87</v>
      </c>
      <c r="H193" s="112">
        <v>0.85</v>
      </c>
      <c r="I193" s="112">
        <v>0.83</v>
      </c>
      <c r="J193" s="112">
        <v>0.8</v>
      </c>
      <c r="K193" s="112">
        <v>0.8</v>
      </c>
      <c r="L193" s="105">
        <v>0.63</v>
      </c>
      <c r="M193" s="105">
        <v>0.57999999999999996</v>
      </c>
      <c r="N193" s="105">
        <v>0.53</v>
      </c>
      <c r="O193" s="105">
        <v>0.49</v>
      </c>
      <c r="P193" s="105">
        <v>0.48</v>
      </c>
      <c r="Q193" s="105">
        <v>0.46</v>
      </c>
      <c r="R193" s="105">
        <v>0.45</v>
      </c>
      <c r="S193" s="116">
        <v>0.45</v>
      </c>
      <c r="T193" s="119">
        <v>1.25</v>
      </c>
      <c r="U193" s="105">
        <v>1.17</v>
      </c>
      <c r="V193" s="105">
        <v>1.1299999999999999</v>
      </c>
      <c r="W193" s="105">
        <v>1.0900000000000001</v>
      </c>
      <c r="X193" s="105">
        <v>1.06</v>
      </c>
      <c r="Y193" s="105">
        <v>1.03</v>
      </c>
      <c r="Z193" s="115">
        <v>1</v>
      </c>
      <c r="AA193" s="122">
        <v>1</v>
      </c>
      <c r="AB193" s="119">
        <v>0.83</v>
      </c>
      <c r="AC193" s="115">
        <v>0.76</v>
      </c>
      <c r="AD193" s="115">
        <v>0.7</v>
      </c>
      <c r="AE193" s="115">
        <v>0.65</v>
      </c>
      <c r="AF193" s="115">
        <v>0.62</v>
      </c>
      <c r="AG193" s="105">
        <v>0.59</v>
      </c>
      <c r="AH193" s="105">
        <v>0.55000000000000004</v>
      </c>
      <c r="AI193" s="120">
        <v>0.55000000000000004</v>
      </c>
    </row>
    <row r="194" spans="1:35">
      <c r="A194" s="32" t="s">
        <v>1670</v>
      </c>
      <c r="B194" s="32" t="s">
        <v>1432</v>
      </c>
      <c r="C194" s="32" t="s">
        <v>1507</v>
      </c>
      <c r="D194" s="32">
        <v>1.08</v>
      </c>
      <c r="E194" s="32">
        <v>1.02</v>
      </c>
      <c r="F194" s="32">
        <v>0.94</v>
      </c>
      <c r="G194" s="112">
        <v>0.87</v>
      </c>
      <c r="H194" s="112">
        <v>0.85</v>
      </c>
      <c r="I194" s="112">
        <v>0.83</v>
      </c>
      <c r="J194" s="112">
        <v>0.8</v>
      </c>
      <c r="K194" s="112">
        <v>0.8</v>
      </c>
      <c r="L194" s="105">
        <v>0.63</v>
      </c>
      <c r="M194" s="105">
        <v>0.57999999999999996</v>
      </c>
      <c r="N194" s="105">
        <v>0.53</v>
      </c>
      <c r="O194" s="105">
        <v>0.49</v>
      </c>
      <c r="P194" s="105">
        <v>0.48</v>
      </c>
      <c r="Q194" s="105">
        <v>0.46</v>
      </c>
      <c r="R194" s="105">
        <v>0.45</v>
      </c>
      <c r="S194" s="116">
        <v>0.45</v>
      </c>
      <c r="T194" s="119">
        <v>1.25</v>
      </c>
      <c r="U194" s="105">
        <v>1.17</v>
      </c>
      <c r="V194" s="105">
        <v>1.1299999999999999</v>
      </c>
      <c r="W194" s="105">
        <v>1.0900000000000001</v>
      </c>
      <c r="X194" s="105">
        <v>1.06</v>
      </c>
      <c r="Y194" s="105">
        <v>1.03</v>
      </c>
      <c r="Z194" s="115">
        <v>1</v>
      </c>
      <c r="AA194" s="122">
        <v>1</v>
      </c>
      <c r="AB194" s="119">
        <v>0.83</v>
      </c>
      <c r="AC194" s="115">
        <v>0.76</v>
      </c>
      <c r="AD194" s="115">
        <v>0.7</v>
      </c>
      <c r="AE194" s="115">
        <v>0.65</v>
      </c>
      <c r="AF194" s="115">
        <v>0.62</v>
      </c>
      <c r="AG194" s="105">
        <v>0.59</v>
      </c>
      <c r="AH194" s="105">
        <v>0.55000000000000004</v>
      </c>
      <c r="AI194" s="120">
        <v>0.55000000000000004</v>
      </c>
    </row>
    <row r="195" spans="1:35">
      <c r="A195" s="32" t="s">
        <v>1670</v>
      </c>
      <c r="B195" s="32" t="s">
        <v>1432</v>
      </c>
      <c r="C195" s="32" t="s">
        <v>1433</v>
      </c>
      <c r="D195" s="32">
        <v>1.08</v>
      </c>
      <c r="E195" s="32">
        <v>1.02</v>
      </c>
      <c r="F195" s="32">
        <v>0.94</v>
      </c>
      <c r="G195" s="112">
        <v>0.87</v>
      </c>
      <c r="H195" s="112">
        <v>0.85</v>
      </c>
      <c r="I195" s="112">
        <v>0.83</v>
      </c>
      <c r="J195" s="112">
        <v>0.8</v>
      </c>
      <c r="K195" s="112">
        <v>0.8</v>
      </c>
      <c r="L195" s="105">
        <v>0.63</v>
      </c>
      <c r="M195" s="105">
        <v>0.57999999999999996</v>
      </c>
      <c r="N195" s="105">
        <v>0.53</v>
      </c>
      <c r="O195" s="105">
        <v>0.49</v>
      </c>
      <c r="P195" s="105">
        <v>0.48</v>
      </c>
      <c r="Q195" s="105">
        <v>0.46</v>
      </c>
      <c r="R195" s="105">
        <v>0.45</v>
      </c>
      <c r="S195" s="116">
        <v>0.45</v>
      </c>
      <c r="T195" s="119">
        <v>1.25</v>
      </c>
      <c r="U195" s="105">
        <v>1.17</v>
      </c>
      <c r="V195" s="105">
        <v>1.1299999999999999</v>
      </c>
      <c r="W195" s="105">
        <v>1.0900000000000001</v>
      </c>
      <c r="X195" s="105">
        <v>1.06</v>
      </c>
      <c r="Y195" s="105">
        <v>1.03</v>
      </c>
      <c r="Z195" s="115">
        <v>1</v>
      </c>
      <c r="AA195" s="122">
        <v>1</v>
      </c>
      <c r="AB195" s="119">
        <v>0.83</v>
      </c>
      <c r="AC195" s="115">
        <v>0.76</v>
      </c>
      <c r="AD195" s="115">
        <v>0.7</v>
      </c>
      <c r="AE195" s="115">
        <v>0.65</v>
      </c>
      <c r="AF195" s="115">
        <v>0.62</v>
      </c>
      <c r="AG195" s="105">
        <v>0.59</v>
      </c>
      <c r="AH195" s="105">
        <v>0.55000000000000004</v>
      </c>
      <c r="AI195" s="120">
        <v>0.55000000000000004</v>
      </c>
    </row>
    <row r="196" spans="1:35">
      <c r="A196" s="32" t="s">
        <v>1670</v>
      </c>
      <c r="B196" s="32" t="s">
        <v>1432</v>
      </c>
      <c r="C196" s="32" t="s">
        <v>1434</v>
      </c>
      <c r="D196" s="32">
        <v>1.08</v>
      </c>
      <c r="E196" s="32">
        <v>1.02</v>
      </c>
      <c r="F196" s="32">
        <v>0.94</v>
      </c>
      <c r="G196" s="112">
        <v>0.87</v>
      </c>
      <c r="H196" s="112">
        <v>0.85</v>
      </c>
      <c r="I196" s="112">
        <v>0.83</v>
      </c>
      <c r="J196" s="112">
        <v>0.8</v>
      </c>
      <c r="K196" s="112">
        <v>0.8</v>
      </c>
      <c r="L196" s="105">
        <v>0.63</v>
      </c>
      <c r="M196" s="105">
        <v>0.57999999999999996</v>
      </c>
      <c r="N196" s="105">
        <v>0.53</v>
      </c>
      <c r="O196" s="105">
        <v>0.49</v>
      </c>
      <c r="P196" s="105">
        <v>0.48</v>
      </c>
      <c r="Q196" s="105">
        <v>0.46</v>
      </c>
      <c r="R196" s="105">
        <v>0.45</v>
      </c>
      <c r="S196" s="116">
        <v>0.45</v>
      </c>
      <c r="T196" s="119">
        <v>1.25</v>
      </c>
      <c r="U196" s="105">
        <v>1.17</v>
      </c>
      <c r="V196" s="105">
        <v>1.1299999999999999</v>
      </c>
      <c r="W196" s="105">
        <v>1.0900000000000001</v>
      </c>
      <c r="X196" s="105">
        <v>1.06</v>
      </c>
      <c r="Y196" s="105">
        <v>1.03</v>
      </c>
      <c r="Z196" s="115">
        <v>1</v>
      </c>
      <c r="AA196" s="122">
        <v>1</v>
      </c>
      <c r="AB196" s="119">
        <v>0.83</v>
      </c>
      <c r="AC196" s="115">
        <v>0.76</v>
      </c>
      <c r="AD196" s="115">
        <v>0.7</v>
      </c>
      <c r="AE196" s="115">
        <v>0.65</v>
      </c>
      <c r="AF196" s="115">
        <v>0.62</v>
      </c>
      <c r="AG196" s="105">
        <v>0.59</v>
      </c>
      <c r="AH196" s="105">
        <v>0.55000000000000004</v>
      </c>
      <c r="AI196" s="120">
        <v>0.55000000000000004</v>
      </c>
    </row>
    <row r="197" spans="1:35">
      <c r="A197" s="32" t="s">
        <v>1670</v>
      </c>
      <c r="B197" s="32" t="s">
        <v>1432</v>
      </c>
      <c r="C197" s="32" t="s">
        <v>1435</v>
      </c>
      <c r="D197" s="32">
        <v>1.08</v>
      </c>
      <c r="E197" s="32">
        <v>1.02</v>
      </c>
      <c r="F197" s="32">
        <v>0.94</v>
      </c>
      <c r="G197" s="112">
        <v>0.87</v>
      </c>
      <c r="H197" s="112">
        <v>0.85</v>
      </c>
      <c r="I197" s="112">
        <v>0.83</v>
      </c>
      <c r="J197" s="112">
        <v>0.8</v>
      </c>
      <c r="K197" s="112">
        <v>0.8</v>
      </c>
      <c r="L197" s="105">
        <v>0.63</v>
      </c>
      <c r="M197" s="105">
        <v>0.57999999999999996</v>
      </c>
      <c r="N197" s="105">
        <v>0.53</v>
      </c>
      <c r="O197" s="105">
        <v>0.49</v>
      </c>
      <c r="P197" s="105">
        <v>0.48</v>
      </c>
      <c r="Q197" s="105">
        <v>0.46</v>
      </c>
      <c r="R197" s="105">
        <v>0.45</v>
      </c>
      <c r="S197" s="116">
        <v>0.45</v>
      </c>
      <c r="T197" s="119">
        <v>1.25</v>
      </c>
      <c r="U197" s="105">
        <v>1.17</v>
      </c>
      <c r="V197" s="105">
        <v>1.1299999999999999</v>
      </c>
      <c r="W197" s="105">
        <v>1.0900000000000001</v>
      </c>
      <c r="X197" s="105">
        <v>1.06</v>
      </c>
      <c r="Y197" s="105">
        <v>1.03</v>
      </c>
      <c r="Z197" s="115">
        <v>1</v>
      </c>
      <c r="AA197" s="122">
        <v>1</v>
      </c>
      <c r="AB197" s="119">
        <v>0.83</v>
      </c>
      <c r="AC197" s="115">
        <v>0.76</v>
      </c>
      <c r="AD197" s="115">
        <v>0.7</v>
      </c>
      <c r="AE197" s="115">
        <v>0.65</v>
      </c>
      <c r="AF197" s="115">
        <v>0.62</v>
      </c>
      <c r="AG197" s="105">
        <v>0.59</v>
      </c>
      <c r="AH197" s="105">
        <v>0.55000000000000004</v>
      </c>
      <c r="AI197" s="120">
        <v>0.55000000000000004</v>
      </c>
    </row>
    <row r="198" spans="1:35">
      <c r="A198" s="32" t="s">
        <v>1670</v>
      </c>
      <c r="B198" s="32" t="s">
        <v>1432</v>
      </c>
      <c r="C198" s="32" t="s">
        <v>1436</v>
      </c>
      <c r="D198" s="32">
        <v>1.08</v>
      </c>
      <c r="E198" s="32">
        <v>1.02</v>
      </c>
      <c r="F198" s="32">
        <v>0.94</v>
      </c>
      <c r="G198" s="112">
        <v>0.87</v>
      </c>
      <c r="H198" s="112">
        <v>0.85</v>
      </c>
      <c r="I198" s="112">
        <v>0.83</v>
      </c>
      <c r="J198" s="112">
        <v>0.8</v>
      </c>
      <c r="K198" s="112">
        <v>0.8</v>
      </c>
      <c r="L198" s="105">
        <v>0.63</v>
      </c>
      <c r="M198" s="105">
        <v>0.57999999999999996</v>
      </c>
      <c r="N198" s="105">
        <v>0.53</v>
      </c>
      <c r="O198" s="105">
        <v>0.49</v>
      </c>
      <c r="P198" s="105">
        <v>0.48</v>
      </c>
      <c r="Q198" s="105">
        <v>0.46</v>
      </c>
      <c r="R198" s="105">
        <v>0.45</v>
      </c>
      <c r="S198" s="116">
        <v>0.45</v>
      </c>
      <c r="T198" s="119">
        <v>1.25</v>
      </c>
      <c r="U198" s="105">
        <v>1.17</v>
      </c>
      <c r="V198" s="105">
        <v>1.1299999999999999</v>
      </c>
      <c r="W198" s="105">
        <v>1.0900000000000001</v>
      </c>
      <c r="X198" s="105">
        <v>1.06</v>
      </c>
      <c r="Y198" s="105">
        <v>1.03</v>
      </c>
      <c r="Z198" s="115">
        <v>1</v>
      </c>
      <c r="AA198" s="122">
        <v>1</v>
      </c>
      <c r="AB198" s="119">
        <v>0.83</v>
      </c>
      <c r="AC198" s="115">
        <v>0.76</v>
      </c>
      <c r="AD198" s="115">
        <v>0.7</v>
      </c>
      <c r="AE198" s="115">
        <v>0.65</v>
      </c>
      <c r="AF198" s="115">
        <v>0.62</v>
      </c>
      <c r="AG198" s="105">
        <v>0.59</v>
      </c>
      <c r="AH198" s="105">
        <v>0.55000000000000004</v>
      </c>
      <c r="AI198" s="120">
        <v>0.55000000000000004</v>
      </c>
    </row>
    <row r="199" spans="1:35">
      <c r="A199" s="32" t="s">
        <v>1670</v>
      </c>
      <c r="B199" s="32" t="s">
        <v>1432</v>
      </c>
      <c r="C199" s="32" t="s">
        <v>1438</v>
      </c>
      <c r="D199" s="32">
        <v>1.08</v>
      </c>
      <c r="E199" s="32">
        <v>1.02</v>
      </c>
      <c r="F199" s="32">
        <v>0.94</v>
      </c>
      <c r="G199" s="112">
        <v>0.87</v>
      </c>
      <c r="H199" s="112">
        <v>0.85</v>
      </c>
      <c r="I199" s="112">
        <v>0.83</v>
      </c>
      <c r="J199" s="112">
        <v>0.8</v>
      </c>
      <c r="K199" s="112">
        <v>0.8</v>
      </c>
      <c r="L199" s="105">
        <v>0.63</v>
      </c>
      <c r="M199" s="105">
        <v>0.57999999999999996</v>
      </c>
      <c r="N199" s="105">
        <v>0.53</v>
      </c>
      <c r="O199" s="105">
        <v>0.49</v>
      </c>
      <c r="P199" s="105">
        <v>0.48</v>
      </c>
      <c r="Q199" s="105">
        <v>0.46</v>
      </c>
      <c r="R199" s="105">
        <v>0.45</v>
      </c>
      <c r="S199" s="116">
        <v>0.45</v>
      </c>
      <c r="T199" s="119">
        <v>1.25</v>
      </c>
      <c r="U199" s="105">
        <v>1.17</v>
      </c>
      <c r="V199" s="105">
        <v>1.1299999999999999</v>
      </c>
      <c r="W199" s="105">
        <v>1.0900000000000001</v>
      </c>
      <c r="X199" s="105">
        <v>1.06</v>
      </c>
      <c r="Y199" s="105">
        <v>1.03</v>
      </c>
      <c r="Z199" s="115">
        <v>1</v>
      </c>
      <c r="AA199" s="122">
        <v>1</v>
      </c>
      <c r="AB199" s="119">
        <v>0.83</v>
      </c>
      <c r="AC199" s="115">
        <v>0.76</v>
      </c>
      <c r="AD199" s="115">
        <v>0.7</v>
      </c>
      <c r="AE199" s="115">
        <v>0.65</v>
      </c>
      <c r="AF199" s="115">
        <v>0.62</v>
      </c>
      <c r="AG199" s="105">
        <v>0.59</v>
      </c>
      <c r="AH199" s="105">
        <v>0.55000000000000004</v>
      </c>
      <c r="AI199" s="120">
        <v>0.55000000000000004</v>
      </c>
    </row>
    <row r="200" spans="1:35">
      <c r="A200" s="32" t="s">
        <v>1670</v>
      </c>
      <c r="B200" s="32" t="s">
        <v>1432</v>
      </c>
      <c r="C200" s="32" t="s">
        <v>1440</v>
      </c>
      <c r="D200" s="32">
        <v>1.08</v>
      </c>
      <c r="E200" s="32">
        <v>1.02</v>
      </c>
      <c r="F200" s="32">
        <v>0.94</v>
      </c>
      <c r="G200" s="112">
        <v>0.87</v>
      </c>
      <c r="H200" s="112">
        <v>0.85</v>
      </c>
      <c r="I200" s="112">
        <v>0.83</v>
      </c>
      <c r="J200" s="112">
        <v>0.8</v>
      </c>
      <c r="K200" s="112">
        <v>0.8</v>
      </c>
      <c r="L200" s="105">
        <v>0.63</v>
      </c>
      <c r="M200" s="105">
        <v>0.57999999999999996</v>
      </c>
      <c r="N200" s="105">
        <v>0.53</v>
      </c>
      <c r="O200" s="105">
        <v>0.49</v>
      </c>
      <c r="P200" s="105">
        <v>0.48</v>
      </c>
      <c r="Q200" s="105">
        <v>0.46</v>
      </c>
      <c r="R200" s="105">
        <v>0.45</v>
      </c>
      <c r="S200" s="116">
        <v>0.45</v>
      </c>
      <c r="T200" s="119">
        <v>1.25</v>
      </c>
      <c r="U200" s="105">
        <v>1.17</v>
      </c>
      <c r="V200" s="105">
        <v>1.1299999999999999</v>
      </c>
      <c r="W200" s="105">
        <v>1.0900000000000001</v>
      </c>
      <c r="X200" s="105">
        <v>1.06</v>
      </c>
      <c r="Y200" s="105">
        <v>1.03</v>
      </c>
      <c r="Z200" s="115">
        <v>1</v>
      </c>
      <c r="AA200" s="122">
        <v>1</v>
      </c>
      <c r="AB200" s="119">
        <v>0.83</v>
      </c>
      <c r="AC200" s="115">
        <v>0.76</v>
      </c>
      <c r="AD200" s="115">
        <v>0.7</v>
      </c>
      <c r="AE200" s="115">
        <v>0.65</v>
      </c>
      <c r="AF200" s="115">
        <v>0.62</v>
      </c>
      <c r="AG200" s="105">
        <v>0.59</v>
      </c>
      <c r="AH200" s="105">
        <v>0.55000000000000004</v>
      </c>
      <c r="AI200" s="120">
        <v>0.55000000000000004</v>
      </c>
    </row>
    <row r="201" spans="1:35">
      <c r="A201" s="32" t="s">
        <v>1670</v>
      </c>
      <c r="B201" s="32" t="s">
        <v>1432</v>
      </c>
      <c r="C201" s="32" t="s">
        <v>1491</v>
      </c>
      <c r="D201" s="32">
        <v>1.08</v>
      </c>
      <c r="E201" s="32">
        <v>1.02</v>
      </c>
      <c r="F201" s="32">
        <v>0.94</v>
      </c>
      <c r="G201" s="112">
        <v>0.87</v>
      </c>
      <c r="H201" s="112">
        <v>0.85</v>
      </c>
      <c r="I201" s="112">
        <v>0.83</v>
      </c>
      <c r="J201" s="112">
        <v>0.8</v>
      </c>
      <c r="K201" s="112">
        <v>0.8</v>
      </c>
      <c r="L201" s="105">
        <v>0.63</v>
      </c>
      <c r="M201" s="105">
        <v>0.57999999999999996</v>
      </c>
      <c r="N201" s="105">
        <v>0.53</v>
      </c>
      <c r="O201" s="105">
        <v>0.49</v>
      </c>
      <c r="P201" s="105">
        <v>0.48</v>
      </c>
      <c r="Q201" s="105">
        <v>0.46</v>
      </c>
      <c r="R201" s="105">
        <v>0.45</v>
      </c>
      <c r="S201" s="116">
        <v>0.45</v>
      </c>
      <c r="T201" s="119">
        <v>1.25</v>
      </c>
      <c r="U201" s="105">
        <v>1.17</v>
      </c>
      <c r="V201" s="105">
        <v>1.1299999999999999</v>
      </c>
      <c r="W201" s="105">
        <v>1.0900000000000001</v>
      </c>
      <c r="X201" s="105">
        <v>1.06</v>
      </c>
      <c r="Y201" s="105">
        <v>1.03</v>
      </c>
      <c r="Z201" s="115">
        <v>1</v>
      </c>
      <c r="AA201" s="122">
        <v>1</v>
      </c>
      <c r="AB201" s="119">
        <v>0.83</v>
      </c>
      <c r="AC201" s="115">
        <v>0.76</v>
      </c>
      <c r="AD201" s="115">
        <v>0.7</v>
      </c>
      <c r="AE201" s="115">
        <v>0.65</v>
      </c>
      <c r="AF201" s="115">
        <v>0.62</v>
      </c>
      <c r="AG201" s="105">
        <v>0.59</v>
      </c>
      <c r="AH201" s="105">
        <v>0.55000000000000004</v>
      </c>
      <c r="AI201" s="120">
        <v>0.55000000000000004</v>
      </c>
    </row>
    <row r="202" spans="1:35">
      <c r="A202" s="32" t="s">
        <v>1670</v>
      </c>
      <c r="B202" s="32" t="s">
        <v>1432</v>
      </c>
      <c r="C202" s="32" t="s">
        <v>1446</v>
      </c>
      <c r="D202" s="32">
        <v>1.08</v>
      </c>
      <c r="E202" s="32">
        <v>1.02</v>
      </c>
      <c r="F202" s="32">
        <v>0.94</v>
      </c>
      <c r="G202" s="112">
        <v>0.87</v>
      </c>
      <c r="H202" s="112">
        <v>0.85</v>
      </c>
      <c r="I202" s="112">
        <v>0.83</v>
      </c>
      <c r="J202" s="112">
        <v>0.8</v>
      </c>
      <c r="K202" s="112">
        <v>0.8</v>
      </c>
      <c r="L202" s="105">
        <v>0.63</v>
      </c>
      <c r="M202" s="105">
        <v>0.57999999999999996</v>
      </c>
      <c r="N202" s="105">
        <v>0.53</v>
      </c>
      <c r="O202" s="105">
        <v>0.49</v>
      </c>
      <c r="P202" s="105">
        <v>0.48</v>
      </c>
      <c r="Q202" s="105">
        <v>0.46</v>
      </c>
      <c r="R202" s="105">
        <v>0.45</v>
      </c>
      <c r="S202" s="116">
        <v>0.45</v>
      </c>
      <c r="T202" s="119">
        <v>1.25</v>
      </c>
      <c r="U202" s="105">
        <v>1.17</v>
      </c>
      <c r="V202" s="105">
        <v>1.1299999999999999</v>
      </c>
      <c r="W202" s="105">
        <v>1.0900000000000001</v>
      </c>
      <c r="X202" s="105">
        <v>1.06</v>
      </c>
      <c r="Y202" s="105">
        <v>1.03</v>
      </c>
      <c r="Z202" s="115">
        <v>1</v>
      </c>
      <c r="AA202" s="122">
        <v>1</v>
      </c>
      <c r="AB202" s="119">
        <v>0.83</v>
      </c>
      <c r="AC202" s="115">
        <v>0.76</v>
      </c>
      <c r="AD202" s="115">
        <v>0.7</v>
      </c>
      <c r="AE202" s="115">
        <v>0.65</v>
      </c>
      <c r="AF202" s="115">
        <v>0.62</v>
      </c>
      <c r="AG202" s="105">
        <v>0.59</v>
      </c>
      <c r="AH202" s="105">
        <v>0.55000000000000004</v>
      </c>
      <c r="AI202" s="120">
        <v>0.55000000000000004</v>
      </c>
    </row>
    <row r="203" spans="1:35">
      <c r="A203" s="32" t="s">
        <v>1670</v>
      </c>
      <c r="B203" s="32" t="s">
        <v>1432</v>
      </c>
      <c r="C203" s="32" t="s">
        <v>1492</v>
      </c>
      <c r="D203" s="32">
        <v>1.08</v>
      </c>
      <c r="E203" s="32">
        <v>1.02</v>
      </c>
      <c r="F203" s="32">
        <v>0.94</v>
      </c>
      <c r="G203" s="112">
        <v>0.87</v>
      </c>
      <c r="H203" s="112">
        <v>0.85</v>
      </c>
      <c r="I203" s="112">
        <v>0.83</v>
      </c>
      <c r="J203" s="112">
        <v>0.8</v>
      </c>
      <c r="K203" s="112">
        <v>0.8</v>
      </c>
      <c r="L203" s="105">
        <v>0.63</v>
      </c>
      <c r="M203" s="105">
        <v>0.57999999999999996</v>
      </c>
      <c r="N203" s="105">
        <v>0.53</v>
      </c>
      <c r="O203" s="105">
        <v>0.49</v>
      </c>
      <c r="P203" s="105">
        <v>0.48</v>
      </c>
      <c r="Q203" s="105">
        <v>0.46</v>
      </c>
      <c r="R203" s="105">
        <v>0.45</v>
      </c>
      <c r="S203" s="116">
        <v>0.45</v>
      </c>
      <c r="T203" s="119">
        <v>1.25</v>
      </c>
      <c r="U203" s="105">
        <v>1.17</v>
      </c>
      <c r="V203" s="105">
        <v>1.1299999999999999</v>
      </c>
      <c r="W203" s="105">
        <v>1.0900000000000001</v>
      </c>
      <c r="X203" s="105">
        <v>1.06</v>
      </c>
      <c r="Y203" s="105">
        <v>1.03</v>
      </c>
      <c r="Z203" s="115">
        <v>1</v>
      </c>
      <c r="AA203" s="122">
        <v>1</v>
      </c>
      <c r="AB203" s="119">
        <v>0.83</v>
      </c>
      <c r="AC203" s="115">
        <v>0.76</v>
      </c>
      <c r="AD203" s="115">
        <v>0.7</v>
      </c>
      <c r="AE203" s="115">
        <v>0.65</v>
      </c>
      <c r="AF203" s="115">
        <v>0.62</v>
      </c>
      <c r="AG203" s="105">
        <v>0.59</v>
      </c>
      <c r="AH203" s="105">
        <v>0.55000000000000004</v>
      </c>
      <c r="AI203" s="120">
        <v>0.55000000000000004</v>
      </c>
    </row>
    <row r="204" spans="1:35">
      <c r="A204" s="32" t="s">
        <v>1670</v>
      </c>
      <c r="B204" s="32" t="s">
        <v>1432</v>
      </c>
      <c r="C204" s="32" t="s">
        <v>1493</v>
      </c>
      <c r="D204" s="32">
        <v>1.08</v>
      </c>
      <c r="E204" s="32">
        <v>1.02</v>
      </c>
      <c r="F204" s="32">
        <v>0.94</v>
      </c>
      <c r="G204" s="112">
        <v>0.87</v>
      </c>
      <c r="H204" s="112">
        <v>0.85</v>
      </c>
      <c r="I204" s="112">
        <v>0.83</v>
      </c>
      <c r="J204" s="112">
        <v>0.8</v>
      </c>
      <c r="K204" s="112">
        <v>0.8</v>
      </c>
      <c r="L204" s="105">
        <v>0.63</v>
      </c>
      <c r="M204" s="105">
        <v>0.57999999999999996</v>
      </c>
      <c r="N204" s="105">
        <v>0.53</v>
      </c>
      <c r="O204" s="105">
        <v>0.49</v>
      </c>
      <c r="P204" s="105">
        <v>0.48</v>
      </c>
      <c r="Q204" s="105">
        <v>0.46</v>
      </c>
      <c r="R204" s="105">
        <v>0.45</v>
      </c>
      <c r="S204" s="116">
        <v>0.45</v>
      </c>
      <c r="T204" s="119">
        <v>1.25</v>
      </c>
      <c r="U204" s="105">
        <v>1.17</v>
      </c>
      <c r="V204" s="105">
        <v>1.1299999999999999</v>
      </c>
      <c r="W204" s="105">
        <v>1.0900000000000001</v>
      </c>
      <c r="X204" s="105">
        <v>1.06</v>
      </c>
      <c r="Y204" s="105">
        <v>1.03</v>
      </c>
      <c r="Z204" s="115">
        <v>1</v>
      </c>
      <c r="AA204" s="122">
        <v>1</v>
      </c>
      <c r="AB204" s="119">
        <v>0.83</v>
      </c>
      <c r="AC204" s="115">
        <v>0.76</v>
      </c>
      <c r="AD204" s="115">
        <v>0.7</v>
      </c>
      <c r="AE204" s="115">
        <v>0.65</v>
      </c>
      <c r="AF204" s="115">
        <v>0.62</v>
      </c>
      <c r="AG204" s="105">
        <v>0.59</v>
      </c>
      <c r="AH204" s="105">
        <v>0.55000000000000004</v>
      </c>
      <c r="AI204" s="120">
        <v>0.55000000000000004</v>
      </c>
    </row>
    <row r="205" spans="1:35">
      <c r="A205" s="32" t="s">
        <v>1670</v>
      </c>
      <c r="B205" s="32" t="s">
        <v>1432</v>
      </c>
      <c r="C205" s="32" t="s">
        <v>1453</v>
      </c>
      <c r="D205" s="32">
        <v>1.08</v>
      </c>
      <c r="E205" s="32">
        <v>1.02</v>
      </c>
      <c r="F205" s="32">
        <v>0.94</v>
      </c>
      <c r="G205" s="112">
        <v>0.87</v>
      </c>
      <c r="H205" s="112">
        <v>0.85</v>
      </c>
      <c r="I205" s="112">
        <v>0.83</v>
      </c>
      <c r="J205" s="112">
        <v>0.8</v>
      </c>
      <c r="K205" s="112">
        <v>0.8</v>
      </c>
      <c r="L205" s="105">
        <v>0.63</v>
      </c>
      <c r="M205" s="105">
        <v>0.57999999999999996</v>
      </c>
      <c r="N205" s="105">
        <v>0.53</v>
      </c>
      <c r="O205" s="105">
        <v>0.49</v>
      </c>
      <c r="P205" s="105">
        <v>0.48</v>
      </c>
      <c r="Q205" s="105">
        <v>0.46</v>
      </c>
      <c r="R205" s="105">
        <v>0.45</v>
      </c>
      <c r="S205" s="116">
        <v>0.45</v>
      </c>
      <c r="T205" s="119">
        <v>1.25</v>
      </c>
      <c r="U205" s="105">
        <v>1.17</v>
      </c>
      <c r="V205" s="105">
        <v>1.1299999999999999</v>
      </c>
      <c r="W205" s="105">
        <v>1.0900000000000001</v>
      </c>
      <c r="X205" s="105">
        <v>1.06</v>
      </c>
      <c r="Y205" s="105">
        <v>1.03</v>
      </c>
      <c r="Z205" s="115">
        <v>1</v>
      </c>
      <c r="AA205" s="122">
        <v>1</v>
      </c>
      <c r="AB205" s="119">
        <v>0.83</v>
      </c>
      <c r="AC205" s="115">
        <v>0.76</v>
      </c>
      <c r="AD205" s="115">
        <v>0.7</v>
      </c>
      <c r="AE205" s="115">
        <v>0.65</v>
      </c>
      <c r="AF205" s="115">
        <v>0.62</v>
      </c>
      <c r="AG205" s="105">
        <v>0.59</v>
      </c>
      <c r="AH205" s="105">
        <v>0.55000000000000004</v>
      </c>
      <c r="AI205" s="120">
        <v>0.55000000000000004</v>
      </c>
    </row>
    <row r="206" spans="1:35">
      <c r="A206" s="32" t="s">
        <v>1670</v>
      </c>
      <c r="B206" s="32" t="s">
        <v>1432</v>
      </c>
      <c r="C206" s="32" t="s">
        <v>1494</v>
      </c>
      <c r="D206" s="32">
        <v>1.08</v>
      </c>
      <c r="E206" s="32">
        <v>1.02</v>
      </c>
      <c r="F206" s="32">
        <v>0.94</v>
      </c>
      <c r="G206" s="112">
        <v>0.87</v>
      </c>
      <c r="H206" s="112">
        <v>0.85</v>
      </c>
      <c r="I206" s="112">
        <v>0.83</v>
      </c>
      <c r="J206" s="112">
        <v>0.8</v>
      </c>
      <c r="K206" s="112">
        <v>0.8</v>
      </c>
      <c r="L206" s="105">
        <v>0.63</v>
      </c>
      <c r="M206" s="105">
        <v>0.57999999999999996</v>
      </c>
      <c r="N206" s="105">
        <v>0.53</v>
      </c>
      <c r="O206" s="105">
        <v>0.49</v>
      </c>
      <c r="P206" s="105">
        <v>0.48</v>
      </c>
      <c r="Q206" s="105">
        <v>0.46</v>
      </c>
      <c r="R206" s="105">
        <v>0.45</v>
      </c>
      <c r="S206" s="116">
        <v>0.45</v>
      </c>
      <c r="T206" s="119">
        <v>1.25</v>
      </c>
      <c r="U206" s="105">
        <v>1.17</v>
      </c>
      <c r="V206" s="105">
        <v>1.1299999999999999</v>
      </c>
      <c r="W206" s="105">
        <v>1.0900000000000001</v>
      </c>
      <c r="X206" s="105">
        <v>1.06</v>
      </c>
      <c r="Y206" s="105">
        <v>1.03</v>
      </c>
      <c r="Z206" s="115">
        <v>1</v>
      </c>
      <c r="AA206" s="122">
        <v>1</v>
      </c>
      <c r="AB206" s="119">
        <v>0.83</v>
      </c>
      <c r="AC206" s="115">
        <v>0.76</v>
      </c>
      <c r="AD206" s="115">
        <v>0.7</v>
      </c>
      <c r="AE206" s="115">
        <v>0.65</v>
      </c>
      <c r="AF206" s="115">
        <v>0.62</v>
      </c>
      <c r="AG206" s="105">
        <v>0.59</v>
      </c>
      <c r="AH206" s="105">
        <v>0.55000000000000004</v>
      </c>
      <c r="AI206" s="120">
        <v>0.55000000000000004</v>
      </c>
    </row>
    <row r="207" spans="1:35">
      <c r="A207" s="32" t="s">
        <v>1670</v>
      </c>
      <c r="B207" s="32" t="s">
        <v>1432</v>
      </c>
      <c r="C207" s="32" t="s">
        <v>1454</v>
      </c>
      <c r="D207" s="32">
        <v>1.08</v>
      </c>
      <c r="E207" s="32">
        <v>1.02</v>
      </c>
      <c r="F207" s="32">
        <v>0.94</v>
      </c>
      <c r="G207" s="112">
        <v>0.87</v>
      </c>
      <c r="H207" s="112">
        <v>0.85</v>
      </c>
      <c r="I207" s="112">
        <v>0.83</v>
      </c>
      <c r="J207" s="112">
        <v>0.8</v>
      </c>
      <c r="K207" s="112">
        <v>0.8</v>
      </c>
      <c r="L207" s="105">
        <v>0.63</v>
      </c>
      <c r="M207" s="105">
        <v>0.57999999999999996</v>
      </c>
      <c r="N207" s="105">
        <v>0.53</v>
      </c>
      <c r="O207" s="105">
        <v>0.49</v>
      </c>
      <c r="P207" s="105">
        <v>0.48</v>
      </c>
      <c r="Q207" s="105">
        <v>0.46</v>
      </c>
      <c r="R207" s="105">
        <v>0.45</v>
      </c>
      <c r="S207" s="116">
        <v>0.45</v>
      </c>
      <c r="T207" s="119">
        <v>1.25</v>
      </c>
      <c r="U207" s="105">
        <v>1.17</v>
      </c>
      <c r="V207" s="105">
        <v>1.1299999999999999</v>
      </c>
      <c r="W207" s="105">
        <v>1.0900000000000001</v>
      </c>
      <c r="X207" s="105">
        <v>1.06</v>
      </c>
      <c r="Y207" s="105">
        <v>1.03</v>
      </c>
      <c r="Z207" s="115">
        <v>1</v>
      </c>
      <c r="AA207" s="122">
        <v>1</v>
      </c>
      <c r="AB207" s="119">
        <v>0.83</v>
      </c>
      <c r="AC207" s="115">
        <v>0.76</v>
      </c>
      <c r="AD207" s="115">
        <v>0.7</v>
      </c>
      <c r="AE207" s="115">
        <v>0.65</v>
      </c>
      <c r="AF207" s="115">
        <v>0.62</v>
      </c>
      <c r="AG207" s="105">
        <v>0.59</v>
      </c>
      <c r="AH207" s="105">
        <v>0.55000000000000004</v>
      </c>
      <c r="AI207" s="120">
        <v>0.55000000000000004</v>
      </c>
    </row>
    <row r="208" spans="1:35">
      <c r="A208" s="32" t="s">
        <v>1670</v>
      </c>
      <c r="B208" s="32" t="s">
        <v>1331</v>
      </c>
      <c r="C208" s="32" t="s">
        <v>1473</v>
      </c>
      <c r="D208" s="32">
        <v>1.08</v>
      </c>
      <c r="E208" s="32">
        <v>1.02</v>
      </c>
      <c r="F208" s="32">
        <v>0.94</v>
      </c>
      <c r="G208" s="112">
        <v>0.87</v>
      </c>
      <c r="H208" s="112">
        <v>0.85</v>
      </c>
      <c r="I208" s="112">
        <v>0.83</v>
      </c>
      <c r="J208" s="112">
        <v>0.8</v>
      </c>
      <c r="K208" s="112">
        <v>0.8</v>
      </c>
      <c r="L208" s="105">
        <v>0.63</v>
      </c>
      <c r="M208" s="105">
        <v>0.57999999999999996</v>
      </c>
      <c r="N208" s="105">
        <v>0.53</v>
      </c>
      <c r="O208" s="105">
        <v>0.49</v>
      </c>
      <c r="P208" s="105">
        <v>0.48</v>
      </c>
      <c r="Q208" s="105">
        <v>0.46</v>
      </c>
      <c r="R208" s="105">
        <v>0.45</v>
      </c>
      <c r="S208" s="116">
        <v>0.45</v>
      </c>
      <c r="T208" s="119">
        <v>1.25</v>
      </c>
      <c r="U208" s="105">
        <v>1.17</v>
      </c>
      <c r="V208" s="105">
        <v>1.1299999999999999</v>
      </c>
      <c r="W208" s="105">
        <v>1.0900000000000001</v>
      </c>
      <c r="X208" s="105">
        <v>1.06</v>
      </c>
      <c r="Y208" s="105">
        <v>1.03</v>
      </c>
      <c r="Z208" s="115">
        <v>1</v>
      </c>
      <c r="AA208" s="122">
        <v>1</v>
      </c>
      <c r="AB208" s="119">
        <v>0.83</v>
      </c>
      <c r="AC208" s="115">
        <v>0.76</v>
      </c>
      <c r="AD208" s="115">
        <v>0.7</v>
      </c>
      <c r="AE208" s="115">
        <v>0.65</v>
      </c>
      <c r="AF208" s="115">
        <v>0.62</v>
      </c>
      <c r="AG208" s="105">
        <v>0.59</v>
      </c>
      <c r="AH208" s="105">
        <v>0.55000000000000004</v>
      </c>
      <c r="AI208" s="120">
        <v>0.55000000000000004</v>
      </c>
    </row>
    <row r="209" spans="1:35">
      <c r="A209" s="32" t="s">
        <v>1670</v>
      </c>
      <c r="B209" s="32" t="s">
        <v>1331</v>
      </c>
      <c r="C209" s="32" t="s">
        <v>1474</v>
      </c>
      <c r="D209" s="32">
        <v>1.08</v>
      </c>
      <c r="E209" s="32">
        <v>1.02</v>
      </c>
      <c r="F209" s="32">
        <v>0.94</v>
      </c>
      <c r="G209" s="112">
        <v>0.87</v>
      </c>
      <c r="H209" s="112">
        <v>0.85</v>
      </c>
      <c r="I209" s="112">
        <v>0.83</v>
      </c>
      <c r="J209" s="112">
        <v>0.8</v>
      </c>
      <c r="K209" s="112">
        <v>0.8</v>
      </c>
      <c r="L209" s="105">
        <v>0.63</v>
      </c>
      <c r="M209" s="105">
        <v>0.57999999999999996</v>
      </c>
      <c r="N209" s="105">
        <v>0.53</v>
      </c>
      <c r="O209" s="105">
        <v>0.49</v>
      </c>
      <c r="P209" s="105">
        <v>0.48</v>
      </c>
      <c r="Q209" s="105">
        <v>0.46</v>
      </c>
      <c r="R209" s="105">
        <v>0.45</v>
      </c>
      <c r="S209" s="116">
        <v>0.45</v>
      </c>
      <c r="T209" s="119">
        <v>1.25</v>
      </c>
      <c r="U209" s="105">
        <v>1.17</v>
      </c>
      <c r="V209" s="105">
        <v>1.1299999999999999</v>
      </c>
      <c r="W209" s="105">
        <v>1.0900000000000001</v>
      </c>
      <c r="X209" s="105">
        <v>1.06</v>
      </c>
      <c r="Y209" s="105">
        <v>1.03</v>
      </c>
      <c r="Z209" s="115">
        <v>1</v>
      </c>
      <c r="AA209" s="122">
        <v>1</v>
      </c>
      <c r="AB209" s="119">
        <v>0.83</v>
      </c>
      <c r="AC209" s="115">
        <v>0.76</v>
      </c>
      <c r="AD209" s="115">
        <v>0.7</v>
      </c>
      <c r="AE209" s="115">
        <v>0.65</v>
      </c>
      <c r="AF209" s="115">
        <v>0.62</v>
      </c>
      <c r="AG209" s="105">
        <v>0.59</v>
      </c>
      <c r="AH209" s="105">
        <v>0.55000000000000004</v>
      </c>
      <c r="AI209" s="120">
        <v>0.55000000000000004</v>
      </c>
    </row>
    <row r="210" spans="1:35">
      <c r="A210" s="32" t="s">
        <v>1670</v>
      </c>
      <c r="B210" s="32" t="s">
        <v>1331</v>
      </c>
      <c r="C210" s="32" t="s">
        <v>1475</v>
      </c>
      <c r="D210" s="32">
        <v>1.08</v>
      </c>
      <c r="E210" s="32">
        <v>1.02</v>
      </c>
      <c r="F210" s="32">
        <v>0.94</v>
      </c>
      <c r="G210" s="112">
        <v>0.87</v>
      </c>
      <c r="H210" s="112">
        <v>0.85</v>
      </c>
      <c r="I210" s="112">
        <v>0.83</v>
      </c>
      <c r="J210" s="112">
        <v>0.8</v>
      </c>
      <c r="K210" s="112">
        <v>0.8</v>
      </c>
      <c r="L210" s="105">
        <v>0.63</v>
      </c>
      <c r="M210" s="105">
        <v>0.57999999999999996</v>
      </c>
      <c r="N210" s="105">
        <v>0.53</v>
      </c>
      <c r="O210" s="105">
        <v>0.49</v>
      </c>
      <c r="P210" s="105">
        <v>0.48</v>
      </c>
      <c r="Q210" s="105">
        <v>0.46</v>
      </c>
      <c r="R210" s="105">
        <v>0.45</v>
      </c>
      <c r="S210" s="116">
        <v>0.45</v>
      </c>
      <c r="T210" s="119">
        <v>1.25</v>
      </c>
      <c r="U210" s="105">
        <v>1.17</v>
      </c>
      <c r="V210" s="105">
        <v>1.1299999999999999</v>
      </c>
      <c r="W210" s="105">
        <v>1.0900000000000001</v>
      </c>
      <c r="X210" s="105">
        <v>1.06</v>
      </c>
      <c r="Y210" s="105">
        <v>1.03</v>
      </c>
      <c r="Z210" s="115">
        <v>1</v>
      </c>
      <c r="AA210" s="122">
        <v>1</v>
      </c>
      <c r="AB210" s="119">
        <v>0.83</v>
      </c>
      <c r="AC210" s="115">
        <v>0.76</v>
      </c>
      <c r="AD210" s="115">
        <v>0.7</v>
      </c>
      <c r="AE210" s="115">
        <v>0.65</v>
      </c>
      <c r="AF210" s="115">
        <v>0.62</v>
      </c>
      <c r="AG210" s="105">
        <v>0.59</v>
      </c>
      <c r="AH210" s="105">
        <v>0.55000000000000004</v>
      </c>
      <c r="AI210" s="120">
        <v>0.55000000000000004</v>
      </c>
    </row>
    <row r="211" spans="1:35">
      <c r="A211" s="32" t="s">
        <v>1670</v>
      </c>
      <c r="B211" s="32" t="s">
        <v>1331</v>
      </c>
      <c r="C211" s="32" t="s">
        <v>1476</v>
      </c>
      <c r="D211" s="32">
        <v>1.08</v>
      </c>
      <c r="E211" s="32">
        <v>1.02</v>
      </c>
      <c r="F211" s="32">
        <v>0.94</v>
      </c>
      <c r="G211" s="112">
        <v>0.87</v>
      </c>
      <c r="H211" s="112">
        <v>0.85</v>
      </c>
      <c r="I211" s="112">
        <v>0.83</v>
      </c>
      <c r="J211" s="112">
        <v>0.8</v>
      </c>
      <c r="K211" s="112">
        <v>0.8</v>
      </c>
      <c r="L211" s="105">
        <v>0.63</v>
      </c>
      <c r="M211" s="105">
        <v>0.57999999999999996</v>
      </c>
      <c r="N211" s="105">
        <v>0.53</v>
      </c>
      <c r="O211" s="105">
        <v>0.49</v>
      </c>
      <c r="P211" s="105">
        <v>0.48</v>
      </c>
      <c r="Q211" s="105">
        <v>0.46</v>
      </c>
      <c r="R211" s="105">
        <v>0.45</v>
      </c>
      <c r="S211" s="116">
        <v>0.45</v>
      </c>
      <c r="T211" s="119">
        <v>1.25</v>
      </c>
      <c r="U211" s="105">
        <v>1.17</v>
      </c>
      <c r="V211" s="105">
        <v>1.1299999999999999</v>
      </c>
      <c r="W211" s="105">
        <v>1.0900000000000001</v>
      </c>
      <c r="X211" s="105">
        <v>1.06</v>
      </c>
      <c r="Y211" s="105">
        <v>1.03</v>
      </c>
      <c r="Z211" s="115">
        <v>1</v>
      </c>
      <c r="AA211" s="122">
        <v>1</v>
      </c>
      <c r="AB211" s="119">
        <v>0.83</v>
      </c>
      <c r="AC211" s="115">
        <v>0.76</v>
      </c>
      <c r="AD211" s="115">
        <v>0.7</v>
      </c>
      <c r="AE211" s="115">
        <v>0.65</v>
      </c>
      <c r="AF211" s="115">
        <v>0.62</v>
      </c>
      <c r="AG211" s="105">
        <v>0.59</v>
      </c>
      <c r="AH211" s="105">
        <v>0.55000000000000004</v>
      </c>
      <c r="AI211" s="120">
        <v>0.55000000000000004</v>
      </c>
    </row>
    <row r="212" spans="1:35">
      <c r="A212" s="32" t="s">
        <v>1670</v>
      </c>
      <c r="B212" s="32" t="s">
        <v>1331</v>
      </c>
      <c r="C212" s="32" t="s">
        <v>1477</v>
      </c>
      <c r="D212" s="32">
        <v>1.08</v>
      </c>
      <c r="E212" s="32">
        <v>1.02</v>
      </c>
      <c r="F212" s="32">
        <v>0.94</v>
      </c>
      <c r="G212" s="112">
        <v>0.87</v>
      </c>
      <c r="H212" s="112">
        <v>0.85</v>
      </c>
      <c r="I212" s="112">
        <v>0.83</v>
      </c>
      <c r="J212" s="112">
        <v>0.8</v>
      </c>
      <c r="K212" s="112">
        <v>0.8</v>
      </c>
      <c r="L212" s="105">
        <v>0.63</v>
      </c>
      <c r="M212" s="105">
        <v>0.57999999999999996</v>
      </c>
      <c r="N212" s="105">
        <v>0.53</v>
      </c>
      <c r="O212" s="105">
        <v>0.49</v>
      </c>
      <c r="P212" s="105">
        <v>0.48</v>
      </c>
      <c r="Q212" s="105">
        <v>0.46</v>
      </c>
      <c r="R212" s="105">
        <v>0.45</v>
      </c>
      <c r="S212" s="116">
        <v>0.45</v>
      </c>
      <c r="T212" s="119">
        <v>1.25</v>
      </c>
      <c r="U212" s="105">
        <v>1.17</v>
      </c>
      <c r="V212" s="105">
        <v>1.1299999999999999</v>
      </c>
      <c r="W212" s="105">
        <v>1.0900000000000001</v>
      </c>
      <c r="X212" s="105">
        <v>1.06</v>
      </c>
      <c r="Y212" s="105">
        <v>1.03</v>
      </c>
      <c r="Z212" s="115">
        <v>1</v>
      </c>
      <c r="AA212" s="122">
        <v>1</v>
      </c>
      <c r="AB212" s="119">
        <v>0.83</v>
      </c>
      <c r="AC212" s="115">
        <v>0.76</v>
      </c>
      <c r="AD212" s="115">
        <v>0.7</v>
      </c>
      <c r="AE212" s="115">
        <v>0.65</v>
      </c>
      <c r="AF212" s="115">
        <v>0.62</v>
      </c>
      <c r="AG212" s="105">
        <v>0.59</v>
      </c>
      <c r="AH212" s="105">
        <v>0.55000000000000004</v>
      </c>
      <c r="AI212" s="120">
        <v>0.55000000000000004</v>
      </c>
    </row>
    <row r="213" spans="1:35">
      <c r="A213" s="32" t="s">
        <v>1670</v>
      </c>
      <c r="B213" s="32" t="s">
        <v>1331</v>
      </c>
      <c r="C213" s="32" t="s">
        <v>1504</v>
      </c>
      <c r="D213" s="32">
        <v>1.08</v>
      </c>
      <c r="E213" s="32">
        <v>1.02</v>
      </c>
      <c r="F213" s="32">
        <v>0.94</v>
      </c>
      <c r="G213" s="112">
        <v>0.87</v>
      </c>
      <c r="H213" s="112">
        <v>0.85</v>
      </c>
      <c r="I213" s="112">
        <v>0.83</v>
      </c>
      <c r="J213" s="112">
        <v>0.8</v>
      </c>
      <c r="K213" s="112">
        <v>0.8</v>
      </c>
      <c r="L213" s="105">
        <v>0.63</v>
      </c>
      <c r="M213" s="105">
        <v>0.57999999999999996</v>
      </c>
      <c r="N213" s="105">
        <v>0.53</v>
      </c>
      <c r="O213" s="105">
        <v>0.49</v>
      </c>
      <c r="P213" s="105">
        <v>0.48</v>
      </c>
      <c r="Q213" s="105">
        <v>0.46</v>
      </c>
      <c r="R213" s="105">
        <v>0.45</v>
      </c>
      <c r="S213" s="116">
        <v>0.45</v>
      </c>
      <c r="T213" s="119">
        <v>1.25</v>
      </c>
      <c r="U213" s="105">
        <v>1.17</v>
      </c>
      <c r="V213" s="105">
        <v>1.1299999999999999</v>
      </c>
      <c r="W213" s="105">
        <v>1.0900000000000001</v>
      </c>
      <c r="X213" s="105">
        <v>1.06</v>
      </c>
      <c r="Y213" s="105">
        <v>1.03</v>
      </c>
      <c r="Z213" s="115">
        <v>1</v>
      </c>
      <c r="AA213" s="122">
        <v>1</v>
      </c>
      <c r="AB213" s="119">
        <v>0.83</v>
      </c>
      <c r="AC213" s="115">
        <v>0.76</v>
      </c>
      <c r="AD213" s="115">
        <v>0.7</v>
      </c>
      <c r="AE213" s="115">
        <v>0.65</v>
      </c>
      <c r="AF213" s="115">
        <v>0.62</v>
      </c>
      <c r="AG213" s="105">
        <v>0.59</v>
      </c>
      <c r="AH213" s="105">
        <v>0.55000000000000004</v>
      </c>
      <c r="AI213" s="120">
        <v>0.55000000000000004</v>
      </c>
    </row>
    <row r="214" spans="1:35">
      <c r="A214" s="32" t="s">
        <v>1670</v>
      </c>
      <c r="B214" s="32" t="s">
        <v>1331</v>
      </c>
      <c r="C214" s="32" t="s">
        <v>1505</v>
      </c>
      <c r="D214" s="32">
        <v>1.08</v>
      </c>
      <c r="E214" s="32">
        <v>1.02</v>
      </c>
      <c r="F214" s="32">
        <v>0.94</v>
      </c>
      <c r="G214" s="112">
        <v>0.87</v>
      </c>
      <c r="H214" s="112">
        <v>0.85</v>
      </c>
      <c r="I214" s="112">
        <v>0.83</v>
      </c>
      <c r="J214" s="112">
        <v>0.8</v>
      </c>
      <c r="K214" s="112">
        <v>0.8</v>
      </c>
      <c r="L214" s="105">
        <v>0.63</v>
      </c>
      <c r="M214" s="105">
        <v>0.57999999999999996</v>
      </c>
      <c r="N214" s="105">
        <v>0.53</v>
      </c>
      <c r="O214" s="105">
        <v>0.49</v>
      </c>
      <c r="P214" s="105">
        <v>0.48</v>
      </c>
      <c r="Q214" s="105">
        <v>0.46</v>
      </c>
      <c r="R214" s="105">
        <v>0.45</v>
      </c>
      <c r="S214" s="116">
        <v>0.45</v>
      </c>
      <c r="T214" s="119">
        <v>1.25</v>
      </c>
      <c r="U214" s="105">
        <v>1.17</v>
      </c>
      <c r="V214" s="105">
        <v>1.1299999999999999</v>
      </c>
      <c r="W214" s="105">
        <v>1.0900000000000001</v>
      </c>
      <c r="X214" s="105">
        <v>1.06</v>
      </c>
      <c r="Y214" s="105">
        <v>1.03</v>
      </c>
      <c r="Z214" s="115">
        <v>1</v>
      </c>
      <c r="AA214" s="122">
        <v>1</v>
      </c>
      <c r="AB214" s="119">
        <v>0.83</v>
      </c>
      <c r="AC214" s="115">
        <v>0.76</v>
      </c>
      <c r="AD214" s="115">
        <v>0.7</v>
      </c>
      <c r="AE214" s="115">
        <v>0.65</v>
      </c>
      <c r="AF214" s="115">
        <v>0.62</v>
      </c>
      <c r="AG214" s="105">
        <v>0.59</v>
      </c>
      <c r="AH214" s="105">
        <v>0.55000000000000004</v>
      </c>
      <c r="AI214" s="120">
        <v>0.55000000000000004</v>
      </c>
    </row>
    <row r="215" spans="1:35">
      <c r="A215" s="32" t="s">
        <v>1670</v>
      </c>
      <c r="B215" s="32" t="s">
        <v>1331</v>
      </c>
      <c r="C215" s="32" t="s">
        <v>1506</v>
      </c>
      <c r="D215" s="32">
        <v>1.08</v>
      </c>
      <c r="E215" s="32">
        <v>1.02</v>
      </c>
      <c r="F215" s="32">
        <v>0.94</v>
      </c>
      <c r="G215" s="112">
        <v>0.87</v>
      </c>
      <c r="H215" s="112">
        <v>0.85</v>
      </c>
      <c r="I215" s="112">
        <v>0.83</v>
      </c>
      <c r="J215" s="112">
        <v>0.8</v>
      </c>
      <c r="K215" s="112">
        <v>0.8</v>
      </c>
      <c r="L215" s="105">
        <v>0.63</v>
      </c>
      <c r="M215" s="105">
        <v>0.57999999999999996</v>
      </c>
      <c r="N215" s="105">
        <v>0.53</v>
      </c>
      <c r="O215" s="105">
        <v>0.49</v>
      </c>
      <c r="P215" s="105">
        <v>0.48</v>
      </c>
      <c r="Q215" s="105">
        <v>0.46</v>
      </c>
      <c r="R215" s="105">
        <v>0.45</v>
      </c>
      <c r="S215" s="116">
        <v>0.45</v>
      </c>
      <c r="T215" s="119">
        <v>1.25</v>
      </c>
      <c r="U215" s="105">
        <v>1.17</v>
      </c>
      <c r="V215" s="105">
        <v>1.1299999999999999</v>
      </c>
      <c r="W215" s="105">
        <v>1.0900000000000001</v>
      </c>
      <c r="X215" s="105">
        <v>1.06</v>
      </c>
      <c r="Y215" s="105">
        <v>1.03</v>
      </c>
      <c r="Z215" s="115">
        <v>1</v>
      </c>
      <c r="AA215" s="122">
        <v>1</v>
      </c>
      <c r="AB215" s="119">
        <v>0.83</v>
      </c>
      <c r="AC215" s="115">
        <v>0.76</v>
      </c>
      <c r="AD215" s="115">
        <v>0.7</v>
      </c>
      <c r="AE215" s="115">
        <v>0.65</v>
      </c>
      <c r="AF215" s="115">
        <v>0.62</v>
      </c>
      <c r="AG215" s="105">
        <v>0.59</v>
      </c>
      <c r="AH215" s="105">
        <v>0.55000000000000004</v>
      </c>
      <c r="AI215" s="120">
        <v>0.55000000000000004</v>
      </c>
    </row>
    <row r="216" spans="1:35">
      <c r="A216" s="32" t="s">
        <v>1670</v>
      </c>
      <c r="B216" s="32" t="s">
        <v>1331</v>
      </c>
      <c r="C216" s="32" t="s">
        <v>1660</v>
      </c>
      <c r="D216" s="32">
        <v>1.08</v>
      </c>
      <c r="E216" s="32">
        <v>1.02</v>
      </c>
      <c r="F216" s="32">
        <v>0.94</v>
      </c>
      <c r="G216" s="112">
        <v>0.87</v>
      </c>
      <c r="H216" s="112">
        <v>0.85</v>
      </c>
      <c r="I216" s="112">
        <v>0.83</v>
      </c>
      <c r="J216" s="112">
        <v>0.8</v>
      </c>
      <c r="K216" s="112">
        <v>0.8</v>
      </c>
      <c r="L216" s="105">
        <v>0.63</v>
      </c>
      <c r="M216" s="105">
        <v>0.57999999999999996</v>
      </c>
      <c r="N216" s="105">
        <v>0.53</v>
      </c>
      <c r="O216" s="105">
        <v>0.49</v>
      </c>
      <c r="P216" s="105">
        <v>0.48</v>
      </c>
      <c r="Q216" s="105">
        <v>0.46</v>
      </c>
      <c r="R216" s="105">
        <v>0.45</v>
      </c>
      <c r="S216" s="116">
        <v>0.45</v>
      </c>
      <c r="T216" s="119">
        <v>1.25</v>
      </c>
      <c r="U216" s="105">
        <v>1.17</v>
      </c>
      <c r="V216" s="105">
        <v>1.1299999999999999</v>
      </c>
      <c r="W216" s="105">
        <v>1.0900000000000001</v>
      </c>
      <c r="X216" s="105">
        <v>1.06</v>
      </c>
      <c r="Y216" s="105">
        <v>1.03</v>
      </c>
      <c r="Z216" s="115">
        <v>1</v>
      </c>
      <c r="AA216" s="122">
        <v>1</v>
      </c>
      <c r="AB216" s="119">
        <v>0.83</v>
      </c>
      <c r="AC216" s="115">
        <v>0.76</v>
      </c>
      <c r="AD216" s="115">
        <v>0.7</v>
      </c>
      <c r="AE216" s="115">
        <v>0.65</v>
      </c>
      <c r="AF216" s="115">
        <v>0.62</v>
      </c>
      <c r="AG216" s="105">
        <v>0.59</v>
      </c>
      <c r="AH216" s="105">
        <v>0.55000000000000004</v>
      </c>
      <c r="AI216" s="120">
        <v>0.55000000000000004</v>
      </c>
    </row>
    <row r="217" spans="1:35">
      <c r="A217" s="32" t="s">
        <v>1670</v>
      </c>
      <c r="B217" s="32" t="s">
        <v>1501</v>
      </c>
      <c r="C217" s="32" t="s">
        <v>1503</v>
      </c>
      <c r="D217" s="32">
        <v>1.08</v>
      </c>
      <c r="E217" s="32">
        <v>1.02</v>
      </c>
      <c r="F217" s="32">
        <v>0.94</v>
      </c>
      <c r="G217" s="112">
        <v>0.87</v>
      </c>
      <c r="H217" s="112">
        <v>0.85</v>
      </c>
      <c r="I217" s="112">
        <v>0.83</v>
      </c>
      <c r="J217" s="112">
        <v>0.8</v>
      </c>
      <c r="K217" s="113">
        <v>0.7</v>
      </c>
      <c r="L217" s="105">
        <v>0.63</v>
      </c>
      <c r="M217" s="105">
        <v>0.57999999999999996</v>
      </c>
      <c r="N217" s="105">
        <v>0.53</v>
      </c>
      <c r="O217" s="105">
        <v>0.49</v>
      </c>
      <c r="P217" s="105">
        <v>0.48</v>
      </c>
      <c r="Q217" s="105">
        <v>0.46</v>
      </c>
      <c r="R217" s="105">
        <v>0.45</v>
      </c>
      <c r="S217" s="117">
        <v>0.4</v>
      </c>
      <c r="T217" s="119">
        <v>1.25</v>
      </c>
      <c r="U217" s="105">
        <v>1.17</v>
      </c>
      <c r="V217" s="105">
        <v>1.1299999999999999</v>
      </c>
      <c r="W217" s="105">
        <v>1.0900000000000001</v>
      </c>
      <c r="X217" s="105">
        <v>1.06</v>
      </c>
      <c r="Y217" s="105">
        <v>1.03</v>
      </c>
      <c r="Z217" s="115">
        <v>1</v>
      </c>
      <c r="AA217" s="123">
        <v>0.9</v>
      </c>
      <c r="AB217" s="119">
        <v>0.83</v>
      </c>
      <c r="AC217" s="115">
        <v>0.76</v>
      </c>
      <c r="AD217" s="115">
        <v>0.7</v>
      </c>
      <c r="AE217" s="115">
        <v>0.65</v>
      </c>
      <c r="AF217" s="115">
        <v>0.62</v>
      </c>
      <c r="AG217" s="105">
        <v>0.59</v>
      </c>
      <c r="AH217" s="105">
        <v>0.55000000000000004</v>
      </c>
      <c r="AI217" s="123">
        <v>0.5</v>
      </c>
    </row>
    <row r="218" spans="1:35">
      <c r="A218" s="32" t="s">
        <v>1670</v>
      </c>
      <c r="B218" s="32" t="s">
        <v>1499</v>
      </c>
      <c r="C218" s="32" t="s">
        <v>1500</v>
      </c>
      <c r="D218" s="32">
        <v>1.08</v>
      </c>
      <c r="E218" s="32">
        <v>1.02</v>
      </c>
      <c r="F218" s="32">
        <v>0.94</v>
      </c>
      <c r="G218" s="112">
        <v>0.87</v>
      </c>
      <c r="H218" s="112">
        <v>0.85</v>
      </c>
      <c r="I218" s="112">
        <v>0.83</v>
      </c>
      <c r="J218" s="112">
        <v>0.8</v>
      </c>
      <c r="K218" s="113">
        <v>0.7</v>
      </c>
      <c r="L218" s="105">
        <v>0.63</v>
      </c>
      <c r="M218" s="105">
        <v>0.57999999999999996</v>
      </c>
      <c r="N218" s="105">
        <v>0.53</v>
      </c>
      <c r="O218" s="105">
        <v>0.49</v>
      </c>
      <c r="P218" s="105">
        <v>0.48</v>
      </c>
      <c r="Q218" s="105">
        <v>0.46</v>
      </c>
      <c r="R218" s="105">
        <v>0.45</v>
      </c>
      <c r="S218" s="117">
        <v>0.4</v>
      </c>
      <c r="T218" s="119">
        <v>1.25</v>
      </c>
      <c r="U218" s="105">
        <v>1.17</v>
      </c>
      <c r="V218" s="105">
        <v>1.1299999999999999</v>
      </c>
      <c r="W218" s="105">
        <v>1.0900000000000001</v>
      </c>
      <c r="X218" s="105">
        <v>1.06</v>
      </c>
      <c r="Y218" s="105">
        <v>1.03</v>
      </c>
      <c r="Z218" s="115">
        <v>1</v>
      </c>
      <c r="AA218" s="123">
        <v>0.9</v>
      </c>
      <c r="AB218" s="119">
        <v>0.83</v>
      </c>
      <c r="AC218" s="115">
        <v>0.76</v>
      </c>
      <c r="AD218" s="115">
        <v>0.7</v>
      </c>
      <c r="AE218" s="115">
        <v>0.65</v>
      </c>
      <c r="AF218" s="115">
        <v>0.62</v>
      </c>
      <c r="AG218" s="105">
        <v>0.59</v>
      </c>
      <c r="AH218" s="105">
        <v>0.55000000000000004</v>
      </c>
      <c r="AI218" s="123">
        <v>0.5</v>
      </c>
    </row>
    <row r="219" spans="1:35">
      <c r="A219" s="32" t="s">
        <v>1670</v>
      </c>
      <c r="B219" s="32" t="s">
        <v>1331</v>
      </c>
      <c r="C219" s="32" t="s">
        <v>1518</v>
      </c>
      <c r="D219" s="32">
        <v>1.08</v>
      </c>
      <c r="E219" s="32">
        <v>1.02</v>
      </c>
      <c r="F219" s="32">
        <v>0.94</v>
      </c>
      <c r="G219" s="112">
        <v>0.87</v>
      </c>
      <c r="H219" s="112">
        <v>0.85</v>
      </c>
      <c r="I219" s="112">
        <v>0.83</v>
      </c>
      <c r="J219" s="112">
        <v>0.8</v>
      </c>
      <c r="K219" s="113">
        <v>0.7</v>
      </c>
      <c r="L219" s="105">
        <v>0.63</v>
      </c>
      <c r="M219" s="105">
        <v>0.57999999999999996</v>
      </c>
      <c r="N219" s="105">
        <v>0.53</v>
      </c>
      <c r="O219" s="105">
        <v>0.49</v>
      </c>
      <c r="P219" s="105">
        <v>0.48</v>
      </c>
      <c r="Q219" s="105">
        <v>0.46</v>
      </c>
      <c r="R219" s="105">
        <v>0.45</v>
      </c>
      <c r="S219" s="117">
        <v>0.4</v>
      </c>
      <c r="T219" s="119">
        <v>1.25</v>
      </c>
      <c r="U219" s="105">
        <v>1.17</v>
      </c>
      <c r="V219" s="105">
        <v>1.1299999999999999</v>
      </c>
      <c r="W219" s="105">
        <v>1.0900000000000001</v>
      </c>
      <c r="X219" s="105">
        <v>1.06</v>
      </c>
      <c r="Y219" s="105">
        <v>1.03</v>
      </c>
      <c r="Z219" s="115">
        <v>1</v>
      </c>
      <c r="AA219" s="123">
        <v>0.9</v>
      </c>
      <c r="AB219" s="119">
        <v>0.83</v>
      </c>
      <c r="AC219" s="115">
        <v>0.76</v>
      </c>
      <c r="AD219" s="115">
        <v>0.7</v>
      </c>
      <c r="AE219" s="115">
        <v>0.65</v>
      </c>
      <c r="AF219" s="115">
        <v>0.62</v>
      </c>
      <c r="AG219" s="105">
        <v>0.59</v>
      </c>
      <c r="AH219" s="105">
        <v>0.55000000000000004</v>
      </c>
      <c r="AI219" s="123">
        <v>0.5</v>
      </c>
    </row>
    <row r="220" spans="1:35">
      <c r="A220" s="32" t="s">
        <v>1670</v>
      </c>
      <c r="B220" s="32" t="s">
        <v>1331</v>
      </c>
      <c r="C220" s="32" t="s">
        <v>1519</v>
      </c>
      <c r="D220" s="32">
        <v>1.08</v>
      </c>
      <c r="E220" s="32">
        <v>1.02</v>
      </c>
      <c r="F220" s="32">
        <v>0.94</v>
      </c>
      <c r="G220" s="112">
        <v>0.87</v>
      </c>
      <c r="H220" s="112">
        <v>0.85</v>
      </c>
      <c r="I220" s="112">
        <v>0.83</v>
      </c>
      <c r="J220" s="112">
        <v>0.8</v>
      </c>
      <c r="K220" s="113">
        <v>0.7</v>
      </c>
      <c r="L220" s="105">
        <v>0.63</v>
      </c>
      <c r="M220" s="105">
        <v>0.57999999999999996</v>
      </c>
      <c r="N220" s="105">
        <v>0.53</v>
      </c>
      <c r="O220" s="105">
        <v>0.49</v>
      </c>
      <c r="P220" s="105">
        <v>0.48</v>
      </c>
      <c r="Q220" s="105">
        <v>0.46</v>
      </c>
      <c r="R220" s="105">
        <v>0.45</v>
      </c>
      <c r="S220" s="117">
        <v>0.4</v>
      </c>
      <c r="T220" s="119">
        <v>1.25</v>
      </c>
      <c r="U220" s="105">
        <v>1.17</v>
      </c>
      <c r="V220" s="105">
        <v>1.1299999999999999</v>
      </c>
      <c r="W220" s="105">
        <v>1.0900000000000001</v>
      </c>
      <c r="X220" s="105">
        <v>1.06</v>
      </c>
      <c r="Y220" s="105">
        <v>1.03</v>
      </c>
      <c r="Z220" s="115">
        <v>1</v>
      </c>
      <c r="AA220" s="123">
        <v>0.9</v>
      </c>
      <c r="AB220" s="119">
        <v>0.83</v>
      </c>
      <c r="AC220" s="115">
        <v>0.76</v>
      </c>
      <c r="AD220" s="115">
        <v>0.7</v>
      </c>
      <c r="AE220" s="115">
        <v>0.65</v>
      </c>
      <c r="AF220" s="115">
        <v>0.62</v>
      </c>
      <c r="AG220" s="105">
        <v>0.59</v>
      </c>
      <c r="AH220" s="105">
        <v>0.55000000000000004</v>
      </c>
      <c r="AI220" s="123">
        <v>0.5</v>
      </c>
    </row>
    <row r="221" spans="1:35">
      <c r="A221" s="32" t="s">
        <v>1670</v>
      </c>
      <c r="B221" s="32" t="s">
        <v>1331</v>
      </c>
      <c r="C221" s="32" t="s">
        <v>1520</v>
      </c>
      <c r="D221" s="32">
        <v>1.08</v>
      </c>
      <c r="E221" s="32">
        <v>1.02</v>
      </c>
      <c r="F221" s="32">
        <v>0.94</v>
      </c>
      <c r="G221" s="112">
        <v>0.87</v>
      </c>
      <c r="H221" s="112">
        <v>0.85</v>
      </c>
      <c r="I221" s="112">
        <v>0.83</v>
      </c>
      <c r="J221" s="112">
        <v>0.8</v>
      </c>
      <c r="K221" s="113">
        <v>0.7</v>
      </c>
      <c r="L221" s="105">
        <v>0.63</v>
      </c>
      <c r="M221" s="105">
        <v>0.57999999999999996</v>
      </c>
      <c r="N221" s="105">
        <v>0.53</v>
      </c>
      <c r="O221" s="105">
        <v>0.49</v>
      </c>
      <c r="P221" s="105">
        <v>0.48</v>
      </c>
      <c r="Q221" s="105">
        <v>0.46</v>
      </c>
      <c r="R221" s="105">
        <v>0.45</v>
      </c>
      <c r="S221" s="117">
        <v>0.4</v>
      </c>
      <c r="T221" s="119">
        <v>1.25</v>
      </c>
      <c r="U221" s="105">
        <v>1.17</v>
      </c>
      <c r="V221" s="105">
        <v>1.1299999999999999</v>
      </c>
      <c r="W221" s="105">
        <v>1.0900000000000001</v>
      </c>
      <c r="X221" s="105">
        <v>1.06</v>
      </c>
      <c r="Y221" s="105">
        <v>1.03</v>
      </c>
      <c r="Z221" s="115">
        <v>1</v>
      </c>
      <c r="AA221" s="123">
        <v>0.9</v>
      </c>
      <c r="AB221" s="119">
        <v>0.83</v>
      </c>
      <c r="AC221" s="115">
        <v>0.76</v>
      </c>
      <c r="AD221" s="115">
        <v>0.7</v>
      </c>
      <c r="AE221" s="115">
        <v>0.65</v>
      </c>
      <c r="AF221" s="115">
        <v>0.62</v>
      </c>
      <c r="AG221" s="105">
        <v>0.59</v>
      </c>
      <c r="AH221" s="105">
        <v>0.55000000000000004</v>
      </c>
      <c r="AI221" s="123">
        <v>0.5</v>
      </c>
    </row>
    <row r="222" spans="1:35">
      <c r="A222" s="32" t="s">
        <v>1589</v>
      </c>
      <c r="B222" s="32" t="s">
        <v>1334</v>
      </c>
      <c r="C222" s="32" t="s">
        <v>1335</v>
      </c>
      <c r="D222" s="32">
        <v>1.1000000000000001</v>
      </c>
      <c r="E222" s="32">
        <v>1.04</v>
      </c>
      <c r="F222" s="32">
        <v>0.97</v>
      </c>
      <c r="G222" s="112">
        <v>0.9</v>
      </c>
      <c r="H222" s="112">
        <v>0.8</v>
      </c>
      <c r="I222" s="112">
        <v>0.8</v>
      </c>
      <c r="J222" s="112">
        <v>0.8</v>
      </c>
      <c r="K222" s="112">
        <v>0.8</v>
      </c>
      <c r="L222" s="105">
        <v>0.65</v>
      </c>
      <c r="M222" s="105">
        <v>0.62</v>
      </c>
      <c r="N222" s="105">
        <v>0.57999999999999996</v>
      </c>
      <c r="O222" s="105">
        <v>0.52</v>
      </c>
      <c r="P222" s="105">
        <v>0.45</v>
      </c>
      <c r="Q222" s="105">
        <v>0.45</v>
      </c>
      <c r="R222" s="105">
        <v>0.45</v>
      </c>
      <c r="S222" s="116">
        <v>0.45</v>
      </c>
      <c r="T222" s="121">
        <v>1.3</v>
      </c>
      <c r="U222" s="105">
        <v>1.22</v>
      </c>
      <c r="V222" s="105">
        <v>1.1299999999999999</v>
      </c>
      <c r="W222" s="105">
        <v>1.04</v>
      </c>
      <c r="X222" s="115">
        <v>1</v>
      </c>
      <c r="Y222" s="115">
        <v>1</v>
      </c>
      <c r="Z222" s="115">
        <v>1</v>
      </c>
      <c r="AA222" s="122">
        <v>1</v>
      </c>
      <c r="AB222" s="119">
        <v>0.81</v>
      </c>
      <c r="AC222" s="115">
        <v>0.76</v>
      </c>
      <c r="AD222" s="115">
        <v>0.69</v>
      </c>
      <c r="AE222" s="115">
        <v>0.62</v>
      </c>
      <c r="AF222" s="115">
        <v>0.55000000000000004</v>
      </c>
      <c r="AG222" s="105">
        <v>0.55000000000000004</v>
      </c>
      <c r="AH222" s="105">
        <v>0.55000000000000004</v>
      </c>
      <c r="AI222" s="120">
        <v>0.55000000000000004</v>
      </c>
    </row>
    <row r="223" spans="1:35">
      <c r="A223" s="32" t="s">
        <v>1508</v>
      </c>
      <c r="B223" s="32" t="s">
        <v>1334</v>
      </c>
      <c r="C223" s="32" t="s">
        <v>1337</v>
      </c>
      <c r="D223" s="32">
        <v>1.1000000000000001</v>
      </c>
      <c r="E223" s="32">
        <v>1.04</v>
      </c>
      <c r="F223" s="32">
        <v>0.97</v>
      </c>
      <c r="G223" s="112">
        <v>0.9</v>
      </c>
      <c r="H223" s="112">
        <v>0.8</v>
      </c>
      <c r="I223" s="112">
        <v>0.8</v>
      </c>
      <c r="J223" s="112">
        <v>0.8</v>
      </c>
      <c r="K223" s="112">
        <v>0.8</v>
      </c>
      <c r="L223" s="105">
        <v>0.65</v>
      </c>
      <c r="M223" s="105">
        <v>0.62</v>
      </c>
      <c r="N223" s="105">
        <v>0.57999999999999996</v>
      </c>
      <c r="O223" s="105">
        <v>0.52</v>
      </c>
      <c r="P223" s="105">
        <v>0.45</v>
      </c>
      <c r="Q223" s="105">
        <v>0.45</v>
      </c>
      <c r="R223" s="105">
        <v>0.45</v>
      </c>
      <c r="S223" s="116">
        <v>0.45</v>
      </c>
      <c r="T223" s="121">
        <v>1.3</v>
      </c>
      <c r="U223" s="105">
        <v>1.22</v>
      </c>
      <c r="V223" s="105">
        <v>1.1299999999999999</v>
      </c>
      <c r="W223" s="105">
        <v>1.04</v>
      </c>
      <c r="X223" s="115">
        <v>1</v>
      </c>
      <c r="Y223" s="115">
        <v>1</v>
      </c>
      <c r="Z223" s="115">
        <v>1</v>
      </c>
      <c r="AA223" s="122">
        <v>1</v>
      </c>
      <c r="AB223" s="119">
        <v>0.81</v>
      </c>
      <c r="AC223" s="115">
        <v>0.76</v>
      </c>
      <c r="AD223" s="115">
        <v>0.69</v>
      </c>
      <c r="AE223" s="115">
        <v>0.62</v>
      </c>
      <c r="AF223" s="115">
        <v>0.55000000000000004</v>
      </c>
      <c r="AG223" s="105">
        <v>0.55000000000000004</v>
      </c>
      <c r="AH223" s="105">
        <v>0.55000000000000004</v>
      </c>
      <c r="AI223" s="120">
        <v>0.55000000000000004</v>
      </c>
    </row>
    <row r="224" spans="1:35">
      <c r="A224" s="32" t="s">
        <v>1508</v>
      </c>
      <c r="B224" s="32" t="s">
        <v>1328</v>
      </c>
      <c r="C224" s="32" t="s">
        <v>1338</v>
      </c>
      <c r="D224" s="32">
        <v>1.1000000000000001</v>
      </c>
      <c r="E224" s="32">
        <v>1.04</v>
      </c>
      <c r="F224" s="32">
        <v>0.97</v>
      </c>
      <c r="G224" s="112">
        <v>0.9</v>
      </c>
      <c r="H224" s="112">
        <v>0.8</v>
      </c>
      <c r="I224" s="112">
        <v>0.8</v>
      </c>
      <c r="J224" s="112">
        <v>0.8</v>
      </c>
      <c r="K224" s="112">
        <v>0.8</v>
      </c>
      <c r="L224" s="105">
        <v>0.65</v>
      </c>
      <c r="M224" s="105">
        <v>0.62</v>
      </c>
      <c r="N224" s="105">
        <v>0.57999999999999996</v>
      </c>
      <c r="O224" s="105">
        <v>0.52</v>
      </c>
      <c r="P224" s="105">
        <v>0.45</v>
      </c>
      <c r="Q224" s="105">
        <v>0.45</v>
      </c>
      <c r="R224" s="105">
        <v>0.45</v>
      </c>
      <c r="S224" s="116">
        <v>0.45</v>
      </c>
      <c r="T224" s="121">
        <v>1.3</v>
      </c>
      <c r="U224" s="105">
        <v>1.22</v>
      </c>
      <c r="V224" s="105">
        <v>1.1299999999999999</v>
      </c>
      <c r="W224" s="105">
        <v>1.04</v>
      </c>
      <c r="X224" s="115">
        <v>1</v>
      </c>
      <c r="Y224" s="115">
        <v>1</v>
      </c>
      <c r="Z224" s="115">
        <v>1</v>
      </c>
      <c r="AA224" s="122">
        <v>1</v>
      </c>
      <c r="AB224" s="119">
        <v>0.81</v>
      </c>
      <c r="AC224" s="115">
        <v>0.76</v>
      </c>
      <c r="AD224" s="115">
        <v>0.69</v>
      </c>
      <c r="AE224" s="115">
        <v>0.62</v>
      </c>
      <c r="AF224" s="115">
        <v>0.55000000000000004</v>
      </c>
      <c r="AG224" s="105">
        <v>0.55000000000000004</v>
      </c>
      <c r="AH224" s="105">
        <v>0.55000000000000004</v>
      </c>
      <c r="AI224" s="120">
        <v>0.55000000000000004</v>
      </c>
    </row>
    <row r="225" spans="1:38">
      <c r="A225" s="32" t="s">
        <v>1508</v>
      </c>
      <c r="B225" s="32" t="s">
        <v>1328</v>
      </c>
      <c r="C225" s="32" t="s">
        <v>1513</v>
      </c>
      <c r="D225" s="32">
        <v>1.1000000000000001</v>
      </c>
      <c r="E225" s="32">
        <v>1.04</v>
      </c>
      <c r="F225" s="32">
        <v>0.97</v>
      </c>
      <c r="G225" s="112">
        <v>0.9</v>
      </c>
      <c r="H225" s="112">
        <v>0.8</v>
      </c>
      <c r="I225" s="112">
        <v>0.8</v>
      </c>
      <c r="J225" s="112">
        <v>0.8</v>
      </c>
      <c r="K225" s="112">
        <v>0.8</v>
      </c>
      <c r="L225" s="105">
        <v>0.65</v>
      </c>
      <c r="M225" s="105">
        <v>0.62</v>
      </c>
      <c r="N225" s="105">
        <v>0.57999999999999996</v>
      </c>
      <c r="O225" s="105">
        <v>0.52</v>
      </c>
      <c r="P225" s="105">
        <v>0.45</v>
      </c>
      <c r="Q225" s="105">
        <v>0.45</v>
      </c>
      <c r="R225" s="105">
        <v>0.45</v>
      </c>
      <c r="S225" s="116">
        <v>0.45</v>
      </c>
      <c r="T225" s="121">
        <v>1.3</v>
      </c>
      <c r="U225" s="105">
        <v>1.22</v>
      </c>
      <c r="V225" s="105">
        <v>1.1299999999999999</v>
      </c>
      <c r="W225" s="105">
        <v>1.04</v>
      </c>
      <c r="X225" s="115">
        <v>1</v>
      </c>
      <c r="Y225" s="115">
        <v>1</v>
      </c>
      <c r="Z225" s="115">
        <v>1</v>
      </c>
      <c r="AA225" s="122">
        <v>1</v>
      </c>
      <c r="AB225" s="119">
        <v>0.81</v>
      </c>
      <c r="AC225" s="115">
        <v>0.76</v>
      </c>
      <c r="AD225" s="115">
        <v>0.69</v>
      </c>
      <c r="AE225" s="115">
        <v>0.62</v>
      </c>
      <c r="AF225" s="115">
        <v>0.55000000000000004</v>
      </c>
      <c r="AG225" s="105">
        <v>0.55000000000000004</v>
      </c>
      <c r="AH225" s="105">
        <v>0.55000000000000004</v>
      </c>
      <c r="AI225" s="120">
        <v>0.55000000000000004</v>
      </c>
    </row>
    <row r="226" spans="1:38">
      <c r="A226" s="32" t="s">
        <v>1508</v>
      </c>
      <c r="B226" s="32" t="s">
        <v>1328</v>
      </c>
      <c r="C226" s="32" t="s">
        <v>1514</v>
      </c>
      <c r="D226" s="32">
        <v>1.1000000000000001</v>
      </c>
      <c r="E226" s="32">
        <v>1.04</v>
      </c>
      <c r="F226" s="32">
        <v>0.97</v>
      </c>
      <c r="G226" s="112">
        <v>0.9</v>
      </c>
      <c r="H226" s="112">
        <v>0.8</v>
      </c>
      <c r="I226" s="112">
        <v>0.8</v>
      </c>
      <c r="J226" s="112">
        <v>0.8</v>
      </c>
      <c r="K226" s="112">
        <v>0.8</v>
      </c>
      <c r="L226" s="105">
        <v>0.65</v>
      </c>
      <c r="M226" s="105">
        <v>0.62</v>
      </c>
      <c r="N226" s="105">
        <v>0.57999999999999996</v>
      </c>
      <c r="O226" s="105">
        <v>0.52</v>
      </c>
      <c r="P226" s="105">
        <v>0.45</v>
      </c>
      <c r="Q226" s="105">
        <v>0.45</v>
      </c>
      <c r="R226" s="105">
        <v>0.45</v>
      </c>
      <c r="S226" s="116">
        <v>0.45</v>
      </c>
      <c r="T226" s="121">
        <v>1.3</v>
      </c>
      <c r="U226" s="105">
        <v>1.22</v>
      </c>
      <c r="V226" s="105">
        <v>1.1299999999999999</v>
      </c>
      <c r="W226" s="105">
        <v>1.04</v>
      </c>
      <c r="X226" s="115">
        <v>1</v>
      </c>
      <c r="Y226" s="115">
        <v>1</v>
      </c>
      <c r="Z226" s="115">
        <v>1</v>
      </c>
      <c r="AA226" s="122">
        <v>1</v>
      </c>
      <c r="AB226" s="119">
        <v>0.81</v>
      </c>
      <c r="AC226" s="115">
        <v>0.76</v>
      </c>
      <c r="AD226" s="115">
        <v>0.69</v>
      </c>
      <c r="AE226" s="115">
        <v>0.62</v>
      </c>
      <c r="AF226" s="115">
        <v>0.55000000000000004</v>
      </c>
      <c r="AG226" s="105">
        <v>0.55000000000000004</v>
      </c>
      <c r="AH226" s="105">
        <v>0.55000000000000004</v>
      </c>
      <c r="AI226" s="120">
        <v>0.55000000000000004</v>
      </c>
    </row>
    <row r="227" spans="1:38">
      <c r="A227" s="32" t="s">
        <v>1508</v>
      </c>
      <c r="B227" s="32" t="s">
        <v>1328</v>
      </c>
      <c r="C227" s="32" t="s">
        <v>1515</v>
      </c>
      <c r="D227" s="32">
        <v>1.1000000000000001</v>
      </c>
      <c r="E227" s="32">
        <v>1.04</v>
      </c>
      <c r="F227" s="32">
        <v>0.97</v>
      </c>
      <c r="G227" s="112">
        <v>0.9</v>
      </c>
      <c r="H227" s="112">
        <v>0.8</v>
      </c>
      <c r="I227" s="112">
        <v>0.8</v>
      </c>
      <c r="J227" s="112">
        <v>0.8</v>
      </c>
      <c r="K227" s="112">
        <v>0.8</v>
      </c>
      <c r="L227" s="105">
        <v>0.65</v>
      </c>
      <c r="M227" s="105">
        <v>0.62</v>
      </c>
      <c r="N227" s="105">
        <v>0.57999999999999996</v>
      </c>
      <c r="O227" s="105">
        <v>0.52</v>
      </c>
      <c r="P227" s="105">
        <v>0.45</v>
      </c>
      <c r="Q227" s="105">
        <v>0.45</v>
      </c>
      <c r="R227" s="105">
        <v>0.45</v>
      </c>
      <c r="S227" s="116">
        <v>0.45</v>
      </c>
      <c r="T227" s="121">
        <v>1.3</v>
      </c>
      <c r="U227" s="105">
        <v>1.22</v>
      </c>
      <c r="V227" s="105">
        <v>1.1299999999999999</v>
      </c>
      <c r="W227" s="105">
        <v>1.04</v>
      </c>
      <c r="X227" s="115">
        <v>1</v>
      </c>
      <c r="Y227" s="115">
        <v>1</v>
      </c>
      <c r="Z227" s="115">
        <v>1</v>
      </c>
      <c r="AA227" s="122">
        <v>1</v>
      </c>
      <c r="AB227" s="119">
        <v>0.81</v>
      </c>
      <c r="AC227" s="115">
        <v>0.76</v>
      </c>
      <c r="AD227" s="115">
        <v>0.69</v>
      </c>
      <c r="AE227" s="115">
        <v>0.62</v>
      </c>
      <c r="AF227" s="115">
        <v>0.55000000000000004</v>
      </c>
      <c r="AG227" s="105">
        <v>0.55000000000000004</v>
      </c>
      <c r="AH227" s="105">
        <v>0.55000000000000004</v>
      </c>
      <c r="AI227" s="120">
        <v>0.55000000000000004</v>
      </c>
    </row>
    <row r="228" spans="1:38">
      <c r="A228" s="32" t="s">
        <v>1508</v>
      </c>
      <c r="B228" s="32" t="s">
        <v>1328</v>
      </c>
      <c r="C228" s="32" t="s">
        <v>1516</v>
      </c>
      <c r="D228" s="32">
        <v>1.1000000000000001</v>
      </c>
      <c r="E228" s="32">
        <v>1.04</v>
      </c>
      <c r="F228" s="32">
        <v>0.97</v>
      </c>
      <c r="G228" s="112">
        <v>0.9</v>
      </c>
      <c r="H228" s="112">
        <v>0.8</v>
      </c>
      <c r="I228" s="112">
        <v>0.8</v>
      </c>
      <c r="J228" s="112">
        <v>0.8</v>
      </c>
      <c r="K228" s="112">
        <v>0.8</v>
      </c>
      <c r="L228" s="105">
        <v>0.65</v>
      </c>
      <c r="M228" s="105">
        <v>0.62</v>
      </c>
      <c r="N228" s="105">
        <v>0.57999999999999996</v>
      </c>
      <c r="O228" s="105">
        <v>0.52</v>
      </c>
      <c r="P228" s="105">
        <v>0.45</v>
      </c>
      <c r="Q228" s="105">
        <v>0.45</v>
      </c>
      <c r="R228" s="105">
        <v>0.45</v>
      </c>
      <c r="S228" s="116">
        <v>0.45</v>
      </c>
      <c r="T228" s="121">
        <v>1.3</v>
      </c>
      <c r="U228" s="105">
        <v>1.22</v>
      </c>
      <c r="V228" s="105">
        <v>1.1299999999999999</v>
      </c>
      <c r="W228" s="105">
        <v>1.04</v>
      </c>
      <c r="X228" s="115">
        <v>1</v>
      </c>
      <c r="Y228" s="115">
        <v>1</v>
      </c>
      <c r="Z228" s="115">
        <v>1</v>
      </c>
      <c r="AA228" s="122">
        <v>1</v>
      </c>
      <c r="AB228" s="119">
        <v>0.81</v>
      </c>
      <c r="AC228" s="115">
        <v>0.76</v>
      </c>
      <c r="AD228" s="115">
        <v>0.69</v>
      </c>
      <c r="AE228" s="115">
        <v>0.62</v>
      </c>
      <c r="AF228" s="115">
        <v>0.55000000000000004</v>
      </c>
      <c r="AG228" s="105">
        <v>0.55000000000000004</v>
      </c>
      <c r="AH228" s="105">
        <v>0.55000000000000004</v>
      </c>
      <c r="AI228" s="120">
        <v>0.55000000000000004</v>
      </c>
    </row>
    <row r="229" spans="1:38">
      <c r="A229" s="32" t="s">
        <v>1508</v>
      </c>
      <c r="B229" s="32" t="s">
        <v>1517</v>
      </c>
      <c r="C229" s="32" t="s">
        <v>1507</v>
      </c>
      <c r="D229" s="32">
        <v>1.1000000000000001</v>
      </c>
      <c r="E229" s="32">
        <v>1.04</v>
      </c>
      <c r="F229" s="32">
        <v>0.97</v>
      </c>
      <c r="G229" s="112">
        <v>0.9</v>
      </c>
      <c r="H229" s="112">
        <v>0.8</v>
      </c>
      <c r="I229" s="112">
        <v>0.8</v>
      </c>
      <c r="J229" s="112">
        <v>0.8</v>
      </c>
      <c r="K229" s="112">
        <v>0.8</v>
      </c>
      <c r="L229" s="105">
        <v>0.65</v>
      </c>
      <c r="M229" s="105">
        <v>0.62</v>
      </c>
      <c r="N229" s="105">
        <v>0.57999999999999996</v>
      </c>
      <c r="O229" s="105">
        <v>0.52</v>
      </c>
      <c r="P229" s="105">
        <v>0.45</v>
      </c>
      <c r="Q229" s="105">
        <v>0.45</v>
      </c>
      <c r="R229" s="105">
        <v>0.45</v>
      </c>
      <c r="S229" s="116">
        <v>0.45</v>
      </c>
      <c r="T229" s="121">
        <v>1.3</v>
      </c>
      <c r="U229" s="105">
        <v>1.22</v>
      </c>
      <c r="V229" s="105">
        <v>1.1299999999999999</v>
      </c>
      <c r="W229" s="105">
        <v>1.04</v>
      </c>
      <c r="X229" s="115">
        <v>1</v>
      </c>
      <c r="Y229" s="115">
        <v>1</v>
      </c>
      <c r="Z229" s="115">
        <v>1</v>
      </c>
      <c r="AA229" s="122">
        <v>1</v>
      </c>
      <c r="AB229" s="119">
        <v>0.81</v>
      </c>
      <c r="AC229" s="115">
        <v>0.76</v>
      </c>
      <c r="AD229" s="115">
        <v>0.69</v>
      </c>
      <c r="AE229" s="115">
        <v>0.62</v>
      </c>
      <c r="AF229" s="115">
        <v>0.55000000000000004</v>
      </c>
      <c r="AG229" s="105">
        <v>0.55000000000000004</v>
      </c>
      <c r="AH229" s="105">
        <v>0.55000000000000004</v>
      </c>
      <c r="AI229" s="120">
        <v>0.55000000000000004</v>
      </c>
    </row>
    <row r="230" spans="1:38">
      <c r="A230" s="32" t="s">
        <v>1508</v>
      </c>
      <c r="B230" s="32" t="s">
        <v>1517</v>
      </c>
      <c r="C230" s="32" t="s">
        <v>1434</v>
      </c>
      <c r="D230" s="32">
        <v>1.1000000000000001</v>
      </c>
      <c r="E230" s="32">
        <v>1.04</v>
      </c>
      <c r="F230" s="32">
        <v>0.97</v>
      </c>
      <c r="G230" s="112">
        <v>0.9</v>
      </c>
      <c r="H230" s="112">
        <v>0.8</v>
      </c>
      <c r="I230" s="112">
        <v>0.8</v>
      </c>
      <c r="J230" s="112">
        <v>0.8</v>
      </c>
      <c r="K230" s="112">
        <v>0.8</v>
      </c>
      <c r="L230" s="105">
        <v>0.65</v>
      </c>
      <c r="M230" s="105">
        <v>0.62</v>
      </c>
      <c r="N230" s="105">
        <v>0.57999999999999996</v>
      </c>
      <c r="O230" s="105">
        <v>0.52</v>
      </c>
      <c r="P230" s="105">
        <v>0.45</v>
      </c>
      <c r="Q230" s="105">
        <v>0.45</v>
      </c>
      <c r="R230" s="105">
        <v>0.45</v>
      </c>
      <c r="S230" s="116">
        <v>0.45</v>
      </c>
      <c r="T230" s="121">
        <v>1.3</v>
      </c>
      <c r="U230" s="105">
        <v>1.22</v>
      </c>
      <c r="V230" s="105">
        <v>1.1299999999999999</v>
      </c>
      <c r="W230" s="105">
        <v>1.04</v>
      </c>
      <c r="X230" s="115">
        <v>1</v>
      </c>
      <c r="Y230" s="115">
        <v>1</v>
      </c>
      <c r="Z230" s="115">
        <v>1</v>
      </c>
      <c r="AA230" s="122">
        <v>1</v>
      </c>
      <c r="AB230" s="119">
        <v>0.81</v>
      </c>
      <c r="AC230" s="115">
        <v>0.76</v>
      </c>
      <c r="AD230" s="115">
        <v>0.69</v>
      </c>
      <c r="AE230" s="115">
        <v>0.62</v>
      </c>
      <c r="AF230" s="115">
        <v>0.55000000000000004</v>
      </c>
      <c r="AG230" s="105">
        <v>0.55000000000000004</v>
      </c>
      <c r="AH230" s="105">
        <v>0.55000000000000004</v>
      </c>
      <c r="AI230" s="120">
        <v>0.55000000000000004</v>
      </c>
    </row>
    <row r="231" spans="1:38">
      <c r="A231" s="32" t="s">
        <v>1508</v>
      </c>
      <c r="B231" s="32" t="s">
        <v>1334</v>
      </c>
      <c r="C231" s="32" t="s">
        <v>1509</v>
      </c>
      <c r="D231" s="32">
        <v>1.1000000000000001</v>
      </c>
      <c r="E231" s="32">
        <v>1.04</v>
      </c>
      <c r="F231" s="32">
        <v>0.97</v>
      </c>
      <c r="G231" s="112">
        <v>0.9</v>
      </c>
      <c r="H231" s="112">
        <v>0.8</v>
      </c>
      <c r="I231" s="113">
        <v>0.7</v>
      </c>
      <c r="J231" s="113">
        <v>0.7</v>
      </c>
      <c r="K231" s="113">
        <v>0.7</v>
      </c>
      <c r="L231" s="105">
        <v>0.65</v>
      </c>
      <c r="M231" s="105">
        <v>0.62</v>
      </c>
      <c r="N231" s="105">
        <v>0.57999999999999996</v>
      </c>
      <c r="O231" s="105">
        <v>0.52</v>
      </c>
      <c r="P231" s="105">
        <v>0.45</v>
      </c>
      <c r="Q231" s="114">
        <v>0.4</v>
      </c>
      <c r="R231" s="114">
        <v>0.4</v>
      </c>
      <c r="S231" s="117">
        <v>0.4</v>
      </c>
      <c r="T231" s="121">
        <v>1.3</v>
      </c>
      <c r="U231" s="105">
        <v>1.22</v>
      </c>
      <c r="V231" s="105">
        <v>1.1299999999999999</v>
      </c>
      <c r="W231" s="105">
        <v>1.04</v>
      </c>
      <c r="X231" s="115">
        <v>1</v>
      </c>
      <c r="Y231" s="114">
        <v>0.9</v>
      </c>
      <c r="Z231" s="114">
        <v>0.9</v>
      </c>
      <c r="AA231" s="123">
        <v>0.9</v>
      </c>
      <c r="AB231" s="119">
        <v>0.81</v>
      </c>
      <c r="AC231" s="115">
        <v>0.76</v>
      </c>
      <c r="AD231" s="115">
        <v>0.69</v>
      </c>
      <c r="AE231" s="115">
        <v>0.62</v>
      </c>
      <c r="AF231" s="115">
        <v>0.55000000000000004</v>
      </c>
      <c r="AG231" s="114">
        <v>0.5</v>
      </c>
      <c r="AH231" s="114">
        <v>0.5</v>
      </c>
      <c r="AI231" s="123">
        <v>0.5</v>
      </c>
    </row>
    <row r="232" spans="1:38">
      <c r="A232" s="32" t="s">
        <v>1508</v>
      </c>
      <c r="B232" s="32" t="s">
        <v>1334</v>
      </c>
      <c r="C232" s="32" t="s">
        <v>1510</v>
      </c>
      <c r="D232" s="32">
        <v>1.1000000000000001</v>
      </c>
      <c r="E232" s="32">
        <v>1.04</v>
      </c>
      <c r="F232" s="32">
        <v>0.97</v>
      </c>
      <c r="G232" s="112">
        <v>0.9</v>
      </c>
      <c r="H232" s="112">
        <v>0.8</v>
      </c>
      <c r="I232" s="113">
        <v>0.7</v>
      </c>
      <c r="J232" s="113">
        <v>0.7</v>
      </c>
      <c r="K232" s="113">
        <v>0.7</v>
      </c>
      <c r="L232" s="105">
        <v>0.65</v>
      </c>
      <c r="M232" s="105">
        <v>0.62</v>
      </c>
      <c r="N232" s="105">
        <v>0.57999999999999996</v>
      </c>
      <c r="O232" s="105">
        <v>0.52</v>
      </c>
      <c r="P232" s="105">
        <v>0.45</v>
      </c>
      <c r="Q232" s="114">
        <v>0.4</v>
      </c>
      <c r="R232" s="114">
        <v>0.4</v>
      </c>
      <c r="S232" s="117">
        <v>0.4</v>
      </c>
      <c r="T232" s="121">
        <v>1.3</v>
      </c>
      <c r="U232" s="105">
        <v>1.22</v>
      </c>
      <c r="V232" s="105">
        <v>1.1299999999999999</v>
      </c>
      <c r="W232" s="105">
        <v>1.04</v>
      </c>
      <c r="X232" s="115">
        <v>1</v>
      </c>
      <c r="Y232" s="114">
        <v>0.9</v>
      </c>
      <c r="Z232" s="114">
        <v>0.9</v>
      </c>
      <c r="AA232" s="123">
        <v>0.9</v>
      </c>
      <c r="AB232" s="119">
        <v>0.81</v>
      </c>
      <c r="AC232" s="115">
        <v>0.76</v>
      </c>
      <c r="AD232" s="115">
        <v>0.69</v>
      </c>
      <c r="AE232" s="115">
        <v>0.62</v>
      </c>
      <c r="AF232" s="115">
        <v>0.55000000000000004</v>
      </c>
      <c r="AG232" s="114">
        <v>0.5</v>
      </c>
      <c r="AH232" s="114">
        <v>0.5</v>
      </c>
      <c r="AI232" s="123">
        <v>0.5</v>
      </c>
    </row>
    <row r="233" spans="1:38">
      <c r="A233" s="32" t="s">
        <v>1508</v>
      </c>
      <c r="B233" s="32" t="s">
        <v>1328</v>
      </c>
      <c r="C233" s="32" t="s">
        <v>1511</v>
      </c>
      <c r="D233" s="32">
        <v>1.1000000000000001</v>
      </c>
      <c r="E233" s="32">
        <v>1.04</v>
      </c>
      <c r="F233" s="32">
        <v>0.97</v>
      </c>
      <c r="G233" s="112">
        <v>0.9</v>
      </c>
      <c r="H233" s="112">
        <v>0.8</v>
      </c>
      <c r="I233" s="113">
        <v>0.7</v>
      </c>
      <c r="J233" s="113">
        <v>0.7</v>
      </c>
      <c r="K233" s="113">
        <v>0.7</v>
      </c>
      <c r="L233" s="105">
        <v>0.65</v>
      </c>
      <c r="M233" s="105">
        <v>0.62</v>
      </c>
      <c r="N233" s="105">
        <v>0.57999999999999996</v>
      </c>
      <c r="O233" s="105">
        <v>0.52</v>
      </c>
      <c r="P233" s="105">
        <v>0.45</v>
      </c>
      <c r="Q233" s="114">
        <v>0.4</v>
      </c>
      <c r="R233" s="114">
        <v>0.4</v>
      </c>
      <c r="S233" s="117">
        <v>0.4</v>
      </c>
      <c r="T233" s="121">
        <v>1.3</v>
      </c>
      <c r="U233" s="105">
        <v>1.22</v>
      </c>
      <c r="V233" s="105">
        <v>1.1299999999999999</v>
      </c>
      <c r="W233" s="105">
        <v>1.04</v>
      </c>
      <c r="X233" s="115">
        <v>1</v>
      </c>
      <c r="Y233" s="114">
        <v>0.9</v>
      </c>
      <c r="Z233" s="114">
        <v>0.9</v>
      </c>
      <c r="AA233" s="123">
        <v>0.9</v>
      </c>
      <c r="AB233" s="119">
        <v>0.81</v>
      </c>
      <c r="AC233" s="115">
        <v>0.76</v>
      </c>
      <c r="AD233" s="115">
        <v>0.69</v>
      </c>
      <c r="AE233" s="115">
        <v>0.62</v>
      </c>
      <c r="AF233" s="115">
        <v>0.55000000000000004</v>
      </c>
      <c r="AG233" s="114">
        <v>0.5</v>
      </c>
      <c r="AH233" s="114">
        <v>0.5</v>
      </c>
      <c r="AI233" s="123">
        <v>0.5</v>
      </c>
    </row>
    <row r="234" spans="1:38">
      <c r="A234" s="32" t="s">
        <v>1508</v>
      </c>
      <c r="B234" s="32" t="s">
        <v>1328</v>
      </c>
      <c r="C234" s="32" t="s">
        <v>1512</v>
      </c>
      <c r="D234" s="32">
        <v>1.1000000000000001</v>
      </c>
      <c r="E234" s="32">
        <v>1.04</v>
      </c>
      <c r="F234" s="32">
        <v>0.97</v>
      </c>
      <c r="G234" s="112">
        <v>0.9</v>
      </c>
      <c r="H234" s="112">
        <v>0.8</v>
      </c>
      <c r="I234" s="113">
        <v>0.7</v>
      </c>
      <c r="J234" s="113">
        <v>0.7</v>
      </c>
      <c r="K234" s="113">
        <v>0.7</v>
      </c>
      <c r="L234" s="105">
        <v>0.65</v>
      </c>
      <c r="M234" s="105">
        <v>0.62</v>
      </c>
      <c r="N234" s="105">
        <v>0.57999999999999996</v>
      </c>
      <c r="O234" s="105">
        <v>0.52</v>
      </c>
      <c r="P234" s="105">
        <v>0.45</v>
      </c>
      <c r="Q234" s="114">
        <v>0.4</v>
      </c>
      <c r="R234" s="114">
        <v>0.4</v>
      </c>
      <c r="S234" s="117">
        <v>0.4</v>
      </c>
      <c r="T234" s="121">
        <v>1.3</v>
      </c>
      <c r="U234" s="105">
        <v>1.22</v>
      </c>
      <c r="V234" s="105">
        <v>1.1299999999999999</v>
      </c>
      <c r="W234" s="105">
        <v>1.04</v>
      </c>
      <c r="X234" s="115">
        <v>1</v>
      </c>
      <c r="Y234" s="114">
        <v>0.9</v>
      </c>
      <c r="Z234" s="114">
        <v>0.9</v>
      </c>
      <c r="AA234" s="123">
        <v>0.9</v>
      </c>
      <c r="AB234" s="119">
        <v>0.81</v>
      </c>
      <c r="AC234" s="115">
        <v>0.76</v>
      </c>
      <c r="AD234" s="115">
        <v>0.69</v>
      </c>
      <c r="AE234" s="115">
        <v>0.62</v>
      </c>
      <c r="AF234" s="115">
        <v>0.55000000000000004</v>
      </c>
      <c r="AG234" s="114">
        <v>0.5</v>
      </c>
      <c r="AH234" s="114">
        <v>0.5</v>
      </c>
      <c r="AI234" s="123">
        <v>0.5</v>
      </c>
    </row>
    <row r="235" spans="1:38" ht="31.5">
      <c r="A235" s="33" t="s">
        <v>1312</v>
      </c>
      <c r="B235" s="32" t="s">
        <v>1331</v>
      </c>
      <c r="C235" s="32" t="s">
        <v>1332</v>
      </c>
      <c r="D235" s="112">
        <v>0.92</v>
      </c>
      <c r="E235" s="112">
        <v>0.88</v>
      </c>
      <c r="F235" s="112">
        <v>0.83</v>
      </c>
      <c r="G235" s="112">
        <v>0.8</v>
      </c>
      <c r="H235" s="112">
        <v>0.8</v>
      </c>
      <c r="I235" s="112">
        <v>0.8</v>
      </c>
      <c r="J235" s="112">
        <v>0.8</v>
      </c>
      <c r="K235" s="112">
        <v>0.8</v>
      </c>
      <c r="L235" s="112">
        <v>0.52</v>
      </c>
      <c r="M235" s="112">
        <v>0.5</v>
      </c>
      <c r="N235" s="112">
        <v>0.48</v>
      </c>
      <c r="O235" s="112">
        <v>0.46</v>
      </c>
      <c r="P235" s="112">
        <v>0.45</v>
      </c>
      <c r="Q235" s="112">
        <v>0.45</v>
      </c>
      <c r="R235" s="112">
        <v>0.45</v>
      </c>
      <c r="S235" s="112">
        <v>0.45</v>
      </c>
      <c r="T235" s="112">
        <v>1.21</v>
      </c>
      <c r="U235" s="112">
        <v>1.18</v>
      </c>
      <c r="V235" s="112">
        <v>1.1100000000000001</v>
      </c>
      <c r="W235" s="112">
        <v>1.04</v>
      </c>
      <c r="X235" s="112">
        <v>1</v>
      </c>
      <c r="Y235" s="112">
        <v>1</v>
      </c>
      <c r="Z235" s="112">
        <v>1</v>
      </c>
      <c r="AA235" s="112">
        <v>1</v>
      </c>
      <c r="AB235" s="112">
        <v>0.78</v>
      </c>
      <c r="AC235" s="112">
        <v>0.75</v>
      </c>
      <c r="AD235" s="112">
        <v>0.69</v>
      </c>
      <c r="AE235" s="112">
        <v>0.62</v>
      </c>
      <c r="AF235" s="112">
        <v>0.55000000000000004</v>
      </c>
      <c r="AG235" s="112">
        <v>0.55000000000000004</v>
      </c>
      <c r="AH235" s="112">
        <v>0.55000000000000004</v>
      </c>
      <c r="AI235" s="112">
        <v>0.55000000000000004</v>
      </c>
      <c r="AJ235" s="32" t="s">
        <v>1331</v>
      </c>
      <c r="AK235" s="32" t="s">
        <v>1332</v>
      </c>
      <c r="AL235" s="33" t="s">
        <v>1345</v>
      </c>
    </row>
    <row r="236" spans="1:38" ht="31.5">
      <c r="A236" s="33" t="s">
        <v>1312</v>
      </c>
      <c r="B236" s="32" t="s">
        <v>1331</v>
      </c>
      <c r="C236" s="32" t="s">
        <v>1333</v>
      </c>
      <c r="D236" s="112">
        <v>0.92</v>
      </c>
      <c r="E236" s="112">
        <v>0.88</v>
      </c>
      <c r="F236" s="112">
        <v>0.83</v>
      </c>
      <c r="G236" s="112">
        <v>0.8</v>
      </c>
      <c r="H236" s="112">
        <v>0.8</v>
      </c>
      <c r="I236" s="112">
        <v>0.8</v>
      </c>
      <c r="J236" s="112">
        <v>0.8</v>
      </c>
      <c r="K236" s="112">
        <v>0.8</v>
      </c>
      <c r="L236" s="112">
        <v>0.52</v>
      </c>
      <c r="M236" s="112">
        <v>0.5</v>
      </c>
      <c r="N236" s="112">
        <v>0.48</v>
      </c>
      <c r="O236" s="112">
        <v>0.46</v>
      </c>
      <c r="P236" s="112">
        <v>0.45</v>
      </c>
      <c r="Q236" s="112">
        <v>0.45</v>
      </c>
      <c r="R236" s="112">
        <v>0.45</v>
      </c>
      <c r="S236" s="112">
        <v>0.45</v>
      </c>
      <c r="T236" s="112">
        <v>1.21</v>
      </c>
      <c r="U236" s="112">
        <v>1.18</v>
      </c>
      <c r="V236" s="112">
        <v>1.1100000000000001</v>
      </c>
      <c r="W236" s="112">
        <v>1.04</v>
      </c>
      <c r="X236" s="112">
        <v>1</v>
      </c>
      <c r="Y236" s="112">
        <v>1</v>
      </c>
      <c r="Z236" s="112">
        <v>1</v>
      </c>
      <c r="AA236" s="112">
        <v>1</v>
      </c>
      <c r="AB236" s="112">
        <v>0.78</v>
      </c>
      <c r="AC236" s="112">
        <v>0.75</v>
      </c>
      <c r="AD236" s="112">
        <v>0.69</v>
      </c>
      <c r="AE236" s="112">
        <v>0.62</v>
      </c>
      <c r="AF236" s="112">
        <v>0.55000000000000004</v>
      </c>
      <c r="AG236" s="112">
        <v>0.55000000000000004</v>
      </c>
      <c r="AH236" s="112">
        <v>0.55000000000000004</v>
      </c>
      <c r="AI236" s="112">
        <v>0.55000000000000004</v>
      </c>
      <c r="AJ236" s="32" t="s">
        <v>1331</v>
      </c>
      <c r="AK236" s="32" t="s">
        <v>1333</v>
      </c>
    </row>
    <row r="237" spans="1:38" ht="31.5">
      <c r="A237" s="33" t="s">
        <v>1312</v>
      </c>
      <c r="B237" s="32" t="s">
        <v>1334</v>
      </c>
      <c r="C237" s="32" t="s">
        <v>1335</v>
      </c>
      <c r="D237" s="112">
        <v>0.92</v>
      </c>
      <c r="E237" s="112">
        <v>0.88</v>
      </c>
      <c r="F237" s="112">
        <v>0.83</v>
      </c>
      <c r="G237" s="112">
        <v>0.8</v>
      </c>
      <c r="H237" s="112">
        <v>0.8</v>
      </c>
      <c r="I237" s="112">
        <v>0.8</v>
      </c>
      <c r="J237" s="112">
        <v>0.8</v>
      </c>
      <c r="K237" s="112">
        <v>0.8</v>
      </c>
      <c r="L237" s="112">
        <v>0.52</v>
      </c>
      <c r="M237" s="112">
        <v>0.5</v>
      </c>
      <c r="N237" s="112">
        <v>0.48</v>
      </c>
      <c r="O237" s="112">
        <v>0.46</v>
      </c>
      <c r="P237" s="112">
        <v>0.45</v>
      </c>
      <c r="Q237" s="112">
        <v>0.45</v>
      </c>
      <c r="R237" s="112">
        <v>0.45</v>
      </c>
      <c r="S237" s="112">
        <v>0.45</v>
      </c>
      <c r="T237" s="112">
        <v>1.21</v>
      </c>
      <c r="U237" s="112">
        <v>1.18</v>
      </c>
      <c r="V237" s="112">
        <v>1.1100000000000001</v>
      </c>
      <c r="W237" s="112">
        <v>1.04</v>
      </c>
      <c r="X237" s="112">
        <v>1</v>
      </c>
      <c r="Y237" s="112">
        <v>1</v>
      </c>
      <c r="Z237" s="112">
        <v>1</v>
      </c>
      <c r="AA237" s="112">
        <v>1</v>
      </c>
      <c r="AB237" s="112">
        <v>0.78</v>
      </c>
      <c r="AC237" s="112">
        <v>0.75</v>
      </c>
      <c r="AD237" s="112">
        <v>0.69</v>
      </c>
      <c r="AE237" s="112">
        <v>0.62</v>
      </c>
      <c r="AF237" s="112">
        <v>0.55000000000000004</v>
      </c>
      <c r="AG237" s="112">
        <v>0.55000000000000004</v>
      </c>
      <c r="AH237" s="112">
        <v>0.55000000000000004</v>
      </c>
      <c r="AI237" s="112">
        <v>0.55000000000000004</v>
      </c>
      <c r="AJ237" s="32" t="s">
        <v>1334</v>
      </c>
      <c r="AK237" s="32" t="s">
        <v>1335</v>
      </c>
    </row>
    <row r="238" spans="1:38" ht="31.5">
      <c r="A238" s="33" t="s">
        <v>1312</v>
      </c>
      <c r="B238" s="32" t="s">
        <v>1334</v>
      </c>
      <c r="C238" s="32" t="s">
        <v>1336</v>
      </c>
      <c r="D238" s="112">
        <v>0.92</v>
      </c>
      <c r="E238" s="112">
        <v>0.88</v>
      </c>
      <c r="F238" s="112">
        <v>0.83</v>
      </c>
      <c r="G238" s="112">
        <v>0.8</v>
      </c>
      <c r="H238" s="112">
        <v>0.8</v>
      </c>
      <c r="I238" s="112">
        <v>0.8</v>
      </c>
      <c r="J238" s="112">
        <v>0.8</v>
      </c>
      <c r="K238" s="112">
        <v>0.8</v>
      </c>
      <c r="L238" s="112">
        <v>0.52</v>
      </c>
      <c r="M238" s="112">
        <v>0.5</v>
      </c>
      <c r="N238" s="112">
        <v>0.48</v>
      </c>
      <c r="O238" s="112">
        <v>0.46</v>
      </c>
      <c r="P238" s="112">
        <v>0.45</v>
      </c>
      <c r="Q238" s="112">
        <v>0.45</v>
      </c>
      <c r="R238" s="112">
        <v>0.45</v>
      </c>
      <c r="S238" s="112">
        <v>0.45</v>
      </c>
      <c r="T238" s="112">
        <v>1.21</v>
      </c>
      <c r="U238" s="112">
        <v>1.18</v>
      </c>
      <c r="V238" s="112">
        <v>1.1100000000000001</v>
      </c>
      <c r="W238" s="112">
        <v>1.04</v>
      </c>
      <c r="X238" s="112">
        <v>1</v>
      </c>
      <c r="Y238" s="112">
        <v>1</v>
      </c>
      <c r="Z238" s="112">
        <v>1</v>
      </c>
      <c r="AA238" s="112">
        <v>1</v>
      </c>
      <c r="AB238" s="112">
        <v>0.78</v>
      </c>
      <c r="AC238" s="112">
        <v>0.75</v>
      </c>
      <c r="AD238" s="112">
        <v>0.69</v>
      </c>
      <c r="AE238" s="112">
        <v>0.62</v>
      </c>
      <c r="AF238" s="112">
        <v>0.55000000000000004</v>
      </c>
      <c r="AG238" s="112">
        <v>0.55000000000000004</v>
      </c>
      <c r="AH238" s="112">
        <v>0.55000000000000004</v>
      </c>
      <c r="AI238" s="112">
        <v>0.55000000000000004</v>
      </c>
      <c r="AJ238" s="32" t="s">
        <v>1334</v>
      </c>
      <c r="AK238" s="32" t="s">
        <v>1336</v>
      </c>
    </row>
    <row r="239" spans="1:38" ht="31.5">
      <c r="A239" s="33" t="s">
        <v>1312</v>
      </c>
      <c r="B239" s="32" t="s">
        <v>1334</v>
      </c>
      <c r="C239" s="32" t="s">
        <v>1337</v>
      </c>
      <c r="D239" s="112">
        <v>0.92</v>
      </c>
      <c r="E239" s="112">
        <v>0.88</v>
      </c>
      <c r="F239" s="112">
        <v>0.83</v>
      </c>
      <c r="G239" s="112">
        <v>0.8</v>
      </c>
      <c r="H239" s="112">
        <v>0.8</v>
      </c>
      <c r="I239" s="112">
        <v>0.8</v>
      </c>
      <c r="J239" s="112">
        <v>0.8</v>
      </c>
      <c r="K239" s="112">
        <v>0.8</v>
      </c>
      <c r="L239" s="112">
        <v>0.52</v>
      </c>
      <c r="M239" s="112">
        <v>0.5</v>
      </c>
      <c r="N239" s="112">
        <v>0.48</v>
      </c>
      <c r="O239" s="112">
        <v>0.46</v>
      </c>
      <c r="P239" s="112">
        <v>0.45</v>
      </c>
      <c r="Q239" s="112">
        <v>0.45</v>
      </c>
      <c r="R239" s="112">
        <v>0.45</v>
      </c>
      <c r="S239" s="112">
        <v>0.45</v>
      </c>
      <c r="T239" s="112">
        <v>1.21</v>
      </c>
      <c r="U239" s="112">
        <v>1.18</v>
      </c>
      <c r="V239" s="112">
        <v>1.1100000000000001</v>
      </c>
      <c r="W239" s="112">
        <v>1.04</v>
      </c>
      <c r="X239" s="112">
        <v>1</v>
      </c>
      <c r="Y239" s="112">
        <v>1</v>
      </c>
      <c r="Z239" s="112">
        <v>1</v>
      </c>
      <c r="AA239" s="112">
        <v>1</v>
      </c>
      <c r="AB239" s="112">
        <v>0.78</v>
      </c>
      <c r="AC239" s="112">
        <v>0.75</v>
      </c>
      <c r="AD239" s="112">
        <v>0.69</v>
      </c>
      <c r="AE239" s="112">
        <v>0.62</v>
      </c>
      <c r="AF239" s="112">
        <v>0.55000000000000004</v>
      </c>
      <c r="AG239" s="112">
        <v>0.55000000000000004</v>
      </c>
      <c r="AH239" s="112">
        <v>0.55000000000000004</v>
      </c>
      <c r="AI239" s="112">
        <v>0.55000000000000004</v>
      </c>
      <c r="AJ239" s="32" t="s">
        <v>1334</v>
      </c>
      <c r="AK239" s="32" t="s">
        <v>1337</v>
      </c>
    </row>
    <row r="240" spans="1:38" ht="31.5">
      <c r="A240" s="33" t="s">
        <v>1312</v>
      </c>
      <c r="B240" s="32" t="s">
        <v>1328</v>
      </c>
      <c r="C240" s="32" t="s">
        <v>1338</v>
      </c>
      <c r="D240" s="112">
        <v>0.92</v>
      </c>
      <c r="E240" s="112">
        <v>0.88</v>
      </c>
      <c r="F240" s="112">
        <v>0.83</v>
      </c>
      <c r="G240" s="112">
        <v>0.8</v>
      </c>
      <c r="H240" s="112">
        <v>0.8</v>
      </c>
      <c r="I240" s="112">
        <v>0.8</v>
      </c>
      <c r="J240" s="112">
        <v>0.8</v>
      </c>
      <c r="K240" s="112">
        <v>0.8</v>
      </c>
      <c r="L240" s="112">
        <v>0.52</v>
      </c>
      <c r="M240" s="112">
        <v>0.5</v>
      </c>
      <c r="N240" s="112">
        <v>0.48</v>
      </c>
      <c r="O240" s="112">
        <v>0.46</v>
      </c>
      <c r="P240" s="112">
        <v>0.45</v>
      </c>
      <c r="Q240" s="112">
        <v>0.45</v>
      </c>
      <c r="R240" s="112">
        <v>0.45</v>
      </c>
      <c r="S240" s="112">
        <v>0.45</v>
      </c>
      <c r="T240" s="112">
        <v>1.21</v>
      </c>
      <c r="U240" s="112">
        <v>1.18</v>
      </c>
      <c r="V240" s="112">
        <v>1.1100000000000001</v>
      </c>
      <c r="W240" s="112">
        <v>1.04</v>
      </c>
      <c r="X240" s="112">
        <v>1</v>
      </c>
      <c r="Y240" s="112">
        <v>1</v>
      </c>
      <c r="Z240" s="112">
        <v>1</v>
      </c>
      <c r="AA240" s="112">
        <v>1</v>
      </c>
      <c r="AB240" s="112">
        <v>0.78</v>
      </c>
      <c r="AC240" s="112">
        <v>0.75</v>
      </c>
      <c r="AD240" s="112">
        <v>0.69</v>
      </c>
      <c r="AE240" s="112">
        <v>0.62</v>
      </c>
      <c r="AF240" s="112">
        <v>0.55000000000000004</v>
      </c>
      <c r="AG240" s="112">
        <v>0.55000000000000004</v>
      </c>
      <c r="AH240" s="112">
        <v>0.55000000000000004</v>
      </c>
      <c r="AI240" s="112">
        <v>0.55000000000000004</v>
      </c>
      <c r="AJ240" s="32" t="s">
        <v>1328</v>
      </c>
      <c r="AK240" s="32" t="s">
        <v>1338</v>
      </c>
    </row>
    <row r="241" spans="1:38" ht="31.5">
      <c r="A241" s="33" t="s">
        <v>1312</v>
      </c>
      <c r="B241" s="32" t="s">
        <v>1328</v>
      </c>
      <c r="C241" s="32" t="s">
        <v>1339</v>
      </c>
      <c r="D241" s="112">
        <v>0.92</v>
      </c>
      <c r="E241" s="112">
        <v>0.88</v>
      </c>
      <c r="F241" s="112">
        <v>0.83</v>
      </c>
      <c r="G241" s="112">
        <v>0.8</v>
      </c>
      <c r="H241" s="112">
        <v>0.8</v>
      </c>
      <c r="I241" s="112">
        <v>0.8</v>
      </c>
      <c r="J241" s="112">
        <v>0.8</v>
      </c>
      <c r="K241" s="112">
        <v>0.8</v>
      </c>
      <c r="L241" s="112">
        <v>0.52</v>
      </c>
      <c r="M241" s="112">
        <v>0.5</v>
      </c>
      <c r="N241" s="112">
        <v>0.48</v>
      </c>
      <c r="O241" s="112">
        <v>0.46</v>
      </c>
      <c r="P241" s="112">
        <v>0.45</v>
      </c>
      <c r="Q241" s="112">
        <v>0.45</v>
      </c>
      <c r="R241" s="112">
        <v>0.45</v>
      </c>
      <c r="S241" s="112">
        <v>0.45</v>
      </c>
      <c r="T241" s="112">
        <v>1.21</v>
      </c>
      <c r="U241" s="112">
        <v>1.18</v>
      </c>
      <c r="V241" s="112">
        <v>1.1100000000000001</v>
      </c>
      <c r="W241" s="112">
        <v>1.04</v>
      </c>
      <c r="X241" s="112">
        <v>1</v>
      </c>
      <c r="Y241" s="112">
        <v>1</v>
      </c>
      <c r="Z241" s="112">
        <v>1</v>
      </c>
      <c r="AA241" s="112">
        <v>1</v>
      </c>
      <c r="AB241" s="112">
        <v>0.78</v>
      </c>
      <c r="AC241" s="112">
        <v>0.75</v>
      </c>
      <c r="AD241" s="112">
        <v>0.69</v>
      </c>
      <c r="AE241" s="112">
        <v>0.62</v>
      </c>
      <c r="AF241" s="112">
        <v>0.55000000000000004</v>
      </c>
      <c r="AG241" s="112">
        <v>0.55000000000000004</v>
      </c>
      <c r="AH241" s="112">
        <v>0.55000000000000004</v>
      </c>
      <c r="AI241" s="112">
        <v>0.55000000000000004</v>
      </c>
      <c r="AJ241" s="32" t="s">
        <v>1328</v>
      </c>
      <c r="AK241" s="32" t="s">
        <v>1339</v>
      </c>
    </row>
    <row r="242" spans="1:38" ht="31.5">
      <c r="A242" s="33" t="s">
        <v>1312</v>
      </c>
      <c r="B242" s="32" t="s">
        <v>1328</v>
      </c>
      <c r="C242" s="32" t="s">
        <v>1340</v>
      </c>
      <c r="D242" s="112">
        <v>0.92</v>
      </c>
      <c r="E242" s="112">
        <v>0.88</v>
      </c>
      <c r="F242" s="112">
        <v>0.83</v>
      </c>
      <c r="G242" s="112">
        <v>0.8</v>
      </c>
      <c r="H242" s="112">
        <v>0.8</v>
      </c>
      <c r="I242" s="112">
        <v>0.8</v>
      </c>
      <c r="J242" s="112">
        <v>0.8</v>
      </c>
      <c r="K242" s="112">
        <v>0.8</v>
      </c>
      <c r="L242" s="112">
        <v>0.52</v>
      </c>
      <c r="M242" s="112">
        <v>0.5</v>
      </c>
      <c r="N242" s="112">
        <v>0.48</v>
      </c>
      <c r="O242" s="112">
        <v>0.46</v>
      </c>
      <c r="P242" s="112">
        <v>0.45</v>
      </c>
      <c r="Q242" s="112">
        <v>0.45</v>
      </c>
      <c r="R242" s="112">
        <v>0.45</v>
      </c>
      <c r="S242" s="112">
        <v>0.45</v>
      </c>
      <c r="T242" s="112">
        <v>1.21</v>
      </c>
      <c r="U242" s="112">
        <v>1.18</v>
      </c>
      <c r="V242" s="112">
        <v>1.1100000000000001</v>
      </c>
      <c r="W242" s="112">
        <v>1.04</v>
      </c>
      <c r="X242" s="112">
        <v>1</v>
      </c>
      <c r="Y242" s="112">
        <v>1</v>
      </c>
      <c r="Z242" s="112">
        <v>1</v>
      </c>
      <c r="AA242" s="112">
        <v>1</v>
      </c>
      <c r="AB242" s="112">
        <v>0.78</v>
      </c>
      <c r="AC242" s="112">
        <v>0.75</v>
      </c>
      <c r="AD242" s="112">
        <v>0.69</v>
      </c>
      <c r="AE242" s="112">
        <v>0.62</v>
      </c>
      <c r="AF242" s="112">
        <v>0.55000000000000004</v>
      </c>
      <c r="AG242" s="112">
        <v>0.55000000000000004</v>
      </c>
      <c r="AH242" s="112">
        <v>0.55000000000000004</v>
      </c>
      <c r="AI242" s="112">
        <v>0.55000000000000004</v>
      </c>
      <c r="AJ242" s="32" t="s">
        <v>1328</v>
      </c>
      <c r="AK242" s="32" t="s">
        <v>1340</v>
      </c>
    </row>
    <row r="243" spans="1:38" ht="31.5">
      <c r="A243" s="33" t="s">
        <v>1312</v>
      </c>
      <c r="B243" s="32" t="s">
        <v>1328</v>
      </c>
      <c r="C243" s="32" t="s">
        <v>1341</v>
      </c>
      <c r="D243" s="112">
        <v>0.92</v>
      </c>
      <c r="E243" s="112">
        <v>0.88</v>
      </c>
      <c r="F243" s="112">
        <v>0.83</v>
      </c>
      <c r="G243" s="112">
        <v>0.8</v>
      </c>
      <c r="H243" s="112">
        <v>0.8</v>
      </c>
      <c r="I243" s="112">
        <v>0.8</v>
      </c>
      <c r="J243" s="112">
        <v>0.8</v>
      </c>
      <c r="K243" s="112">
        <v>0.8</v>
      </c>
      <c r="L243" s="112">
        <v>0.52</v>
      </c>
      <c r="M243" s="112">
        <v>0.5</v>
      </c>
      <c r="N243" s="112">
        <v>0.48</v>
      </c>
      <c r="O243" s="112">
        <v>0.46</v>
      </c>
      <c r="P243" s="112">
        <v>0.45</v>
      </c>
      <c r="Q243" s="112">
        <v>0.45</v>
      </c>
      <c r="R243" s="112">
        <v>0.45</v>
      </c>
      <c r="S243" s="112">
        <v>0.45</v>
      </c>
      <c r="T243" s="112">
        <v>1.21</v>
      </c>
      <c r="U243" s="112">
        <v>1.18</v>
      </c>
      <c r="V243" s="112">
        <v>1.1100000000000001</v>
      </c>
      <c r="W243" s="112">
        <v>1.04</v>
      </c>
      <c r="X243" s="112">
        <v>1</v>
      </c>
      <c r="Y243" s="112">
        <v>1</v>
      </c>
      <c r="Z243" s="112">
        <v>1</v>
      </c>
      <c r="AA243" s="112">
        <v>1</v>
      </c>
      <c r="AB243" s="112">
        <v>0.78</v>
      </c>
      <c r="AC243" s="112">
        <v>0.75</v>
      </c>
      <c r="AD243" s="112">
        <v>0.69</v>
      </c>
      <c r="AE243" s="112">
        <v>0.62</v>
      </c>
      <c r="AF243" s="112">
        <v>0.55000000000000004</v>
      </c>
      <c r="AG243" s="112">
        <v>0.55000000000000004</v>
      </c>
      <c r="AH243" s="112">
        <v>0.55000000000000004</v>
      </c>
      <c r="AI243" s="112">
        <v>0.55000000000000004</v>
      </c>
      <c r="AJ243" s="32" t="s">
        <v>1328</v>
      </c>
      <c r="AK243" s="32" t="s">
        <v>1341</v>
      </c>
    </row>
    <row r="244" spans="1:38" ht="31.5">
      <c r="A244" s="33" t="s">
        <v>1312</v>
      </c>
      <c r="B244" s="32" t="s">
        <v>1328</v>
      </c>
      <c r="C244" s="32" t="s">
        <v>1342</v>
      </c>
      <c r="D244" s="112">
        <v>0.92</v>
      </c>
      <c r="E244" s="112">
        <v>0.88</v>
      </c>
      <c r="F244" s="112">
        <v>0.83</v>
      </c>
      <c r="G244" s="112">
        <v>0.8</v>
      </c>
      <c r="H244" s="112">
        <v>0.8</v>
      </c>
      <c r="I244" s="112">
        <v>0.8</v>
      </c>
      <c r="J244" s="112">
        <v>0.8</v>
      </c>
      <c r="K244" s="112">
        <v>0.8</v>
      </c>
      <c r="L244" s="112">
        <v>0.52</v>
      </c>
      <c r="M244" s="112">
        <v>0.5</v>
      </c>
      <c r="N244" s="112">
        <v>0.48</v>
      </c>
      <c r="O244" s="112">
        <v>0.46</v>
      </c>
      <c r="P244" s="112">
        <v>0.45</v>
      </c>
      <c r="Q244" s="112">
        <v>0.45</v>
      </c>
      <c r="R244" s="112">
        <v>0.45</v>
      </c>
      <c r="S244" s="112">
        <v>0.45</v>
      </c>
      <c r="T244" s="112">
        <v>1.21</v>
      </c>
      <c r="U244" s="112">
        <v>1.18</v>
      </c>
      <c r="V244" s="112">
        <v>1.1100000000000001</v>
      </c>
      <c r="W244" s="112">
        <v>1.04</v>
      </c>
      <c r="X244" s="112">
        <v>1</v>
      </c>
      <c r="Y244" s="112">
        <v>1</v>
      </c>
      <c r="Z244" s="112">
        <v>1</v>
      </c>
      <c r="AA244" s="112">
        <v>1</v>
      </c>
      <c r="AB244" s="112">
        <v>0.78</v>
      </c>
      <c r="AC244" s="112">
        <v>0.75</v>
      </c>
      <c r="AD244" s="112">
        <v>0.69</v>
      </c>
      <c r="AE244" s="112">
        <v>0.62</v>
      </c>
      <c r="AF244" s="112">
        <v>0.55000000000000004</v>
      </c>
      <c r="AG244" s="112">
        <v>0.55000000000000004</v>
      </c>
      <c r="AH244" s="112">
        <v>0.55000000000000004</v>
      </c>
      <c r="AI244" s="112">
        <v>0.55000000000000004</v>
      </c>
      <c r="AJ244" s="32" t="s">
        <v>1328</v>
      </c>
      <c r="AK244" s="32" t="s">
        <v>1342</v>
      </c>
    </row>
    <row r="245" spans="1:38" ht="31.5">
      <c r="A245" s="33" t="s">
        <v>1312</v>
      </c>
      <c r="B245" s="32" t="s">
        <v>1328</v>
      </c>
      <c r="C245" s="32" t="s">
        <v>1343</v>
      </c>
      <c r="D245" s="112">
        <v>0.92</v>
      </c>
      <c r="E245" s="112">
        <v>0.88</v>
      </c>
      <c r="F245" s="112">
        <v>0.83</v>
      </c>
      <c r="G245" s="112">
        <v>0.8</v>
      </c>
      <c r="H245" s="112">
        <v>0.8</v>
      </c>
      <c r="I245" s="112">
        <v>0.8</v>
      </c>
      <c r="J245" s="112">
        <v>0.8</v>
      </c>
      <c r="K245" s="112">
        <v>0.8</v>
      </c>
      <c r="L245" s="112">
        <v>0.52</v>
      </c>
      <c r="M245" s="112">
        <v>0.5</v>
      </c>
      <c r="N245" s="112">
        <v>0.48</v>
      </c>
      <c r="O245" s="112">
        <v>0.46</v>
      </c>
      <c r="P245" s="112">
        <v>0.45</v>
      </c>
      <c r="Q245" s="112">
        <v>0.45</v>
      </c>
      <c r="R245" s="112">
        <v>0.45</v>
      </c>
      <c r="S245" s="112">
        <v>0.45</v>
      </c>
      <c r="T245" s="112">
        <v>1.21</v>
      </c>
      <c r="U245" s="112">
        <v>1.18</v>
      </c>
      <c r="V245" s="112">
        <v>1.1100000000000001</v>
      </c>
      <c r="W245" s="112">
        <v>1.04</v>
      </c>
      <c r="X245" s="112">
        <v>1</v>
      </c>
      <c r="Y245" s="112">
        <v>1</v>
      </c>
      <c r="Z245" s="112">
        <v>1</v>
      </c>
      <c r="AA245" s="112">
        <v>1</v>
      </c>
      <c r="AB245" s="112">
        <v>0.78</v>
      </c>
      <c r="AC245" s="112">
        <v>0.75</v>
      </c>
      <c r="AD245" s="112">
        <v>0.69</v>
      </c>
      <c r="AE245" s="112">
        <v>0.62</v>
      </c>
      <c r="AF245" s="112">
        <v>0.55000000000000004</v>
      </c>
      <c r="AG245" s="112">
        <v>0.55000000000000004</v>
      </c>
      <c r="AH245" s="112">
        <v>0.55000000000000004</v>
      </c>
      <c r="AI245" s="112">
        <v>0.55000000000000004</v>
      </c>
      <c r="AJ245" s="32" t="s">
        <v>1328</v>
      </c>
      <c r="AK245" s="32" t="s">
        <v>1343</v>
      </c>
    </row>
    <row r="246" spans="1:38" ht="31.5">
      <c r="A246" s="33" t="s">
        <v>1312</v>
      </c>
      <c r="B246" s="32" t="s">
        <v>1328</v>
      </c>
      <c r="C246" s="32" t="s">
        <v>1344</v>
      </c>
      <c r="D246" s="112">
        <v>0.92</v>
      </c>
      <c r="E246" s="112">
        <v>0.88</v>
      </c>
      <c r="F246" s="112">
        <v>0.83</v>
      </c>
      <c r="G246" s="112">
        <v>0.8</v>
      </c>
      <c r="H246" s="112">
        <v>0.8</v>
      </c>
      <c r="I246" s="112">
        <v>0.8</v>
      </c>
      <c r="J246" s="112">
        <v>0.8</v>
      </c>
      <c r="K246" s="112">
        <v>0.8</v>
      </c>
      <c r="L246" s="112">
        <v>0.52</v>
      </c>
      <c r="M246" s="112">
        <v>0.5</v>
      </c>
      <c r="N246" s="112">
        <v>0.48</v>
      </c>
      <c r="O246" s="112">
        <v>0.46</v>
      </c>
      <c r="P246" s="112">
        <v>0.45</v>
      </c>
      <c r="Q246" s="112">
        <v>0.45</v>
      </c>
      <c r="R246" s="112">
        <v>0.45</v>
      </c>
      <c r="S246" s="112">
        <v>0.45</v>
      </c>
      <c r="T246" s="112">
        <v>1.21</v>
      </c>
      <c r="U246" s="112">
        <v>1.18</v>
      </c>
      <c r="V246" s="112">
        <v>1.1100000000000001</v>
      </c>
      <c r="W246" s="112">
        <v>1.04</v>
      </c>
      <c r="X246" s="112">
        <v>1</v>
      </c>
      <c r="Y246" s="112">
        <v>1</v>
      </c>
      <c r="Z246" s="112">
        <v>1</v>
      </c>
      <c r="AA246" s="112">
        <v>1</v>
      </c>
      <c r="AB246" s="112">
        <v>0.78</v>
      </c>
      <c r="AC246" s="112">
        <v>0.75</v>
      </c>
      <c r="AD246" s="112">
        <v>0.69</v>
      </c>
      <c r="AE246" s="112">
        <v>0.62</v>
      </c>
      <c r="AF246" s="112">
        <v>0.55000000000000004</v>
      </c>
      <c r="AG246" s="112">
        <v>0.55000000000000004</v>
      </c>
      <c r="AH246" s="112">
        <v>0.55000000000000004</v>
      </c>
      <c r="AI246" s="112">
        <v>0.55000000000000004</v>
      </c>
      <c r="AJ246" s="32" t="s">
        <v>1328</v>
      </c>
      <c r="AK246" s="32" t="s">
        <v>1344</v>
      </c>
    </row>
    <row r="247" spans="1:38" ht="31.5">
      <c r="A247" s="33" t="s">
        <v>1312</v>
      </c>
      <c r="B247" s="32" t="s">
        <v>1292</v>
      </c>
      <c r="C247" s="32" t="s">
        <v>1317</v>
      </c>
      <c r="D247" s="112">
        <v>0.92</v>
      </c>
      <c r="E247" s="112">
        <v>0.88</v>
      </c>
      <c r="F247" s="112">
        <v>0.83</v>
      </c>
      <c r="G247" s="112">
        <v>0.8</v>
      </c>
      <c r="H247" s="112">
        <v>0.8</v>
      </c>
      <c r="I247" s="112">
        <v>0.8</v>
      </c>
      <c r="J247" s="112">
        <v>0.8</v>
      </c>
      <c r="K247" s="112">
        <v>0.8</v>
      </c>
      <c r="L247" s="112">
        <v>0.52</v>
      </c>
      <c r="M247" s="112">
        <v>0.5</v>
      </c>
      <c r="N247" s="112">
        <v>0.48</v>
      </c>
      <c r="O247" s="112">
        <v>0.46</v>
      </c>
      <c r="P247" s="112">
        <v>0.45</v>
      </c>
      <c r="Q247" s="112">
        <v>0.45</v>
      </c>
      <c r="R247" s="112">
        <v>0.45</v>
      </c>
      <c r="S247" s="112">
        <v>0.45</v>
      </c>
      <c r="T247" s="112">
        <v>1.21</v>
      </c>
      <c r="U247" s="112">
        <v>1.18</v>
      </c>
      <c r="V247" s="112">
        <v>1.1100000000000001</v>
      </c>
      <c r="W247" s="112">
        <v>1.04</v>
      </c>
      <c r="X247" s="112">
        <v>1</v>
      </c>
      <c r="Y247" s="112">
        <v>1</v>
      </c>
      <c r="Z247" s="112">
        <v>1</v>
      </c>
      <c r="AA247" s="112">
        <v>1</v>
      </c>
      <c r="AB247" s="112">
        <v>0.78</v>
      </c>
      <c r="AC247" s="112">
        <v>0.75</v>
      </c>
      <c r="AD247" s="112">
        <v>0.69</v>
      </c>
      <c r="AE247" s="112">
        <v>0.62</v>
      </c>
      <c r="AF247" s="112">
        <v>0.55000000000000004</v>
      </c>
      <c r="AG247" s="112">
        <v>0.55000000000000004</v>
      </c>
      <c r="AH247" s="112">
        <v>0.55000000000000004</v>
      </c>
      <c r="AI247" s="112">
        <v>0.55000000000000004</v>
      </c>
      <c r="AJ247" s="32" t="s">
        <v>1292</v>
      </c>
      <c r="AK247" s="32" t="s">
        <v>1317</v>
      </c>
    </row>
    <row r="248" spans="1:38" ht="31.5">
      <c r="A248" s="33" t="s">
        <v>1312</v>
      </c>
      <c r="B248" s="32" t="s">
        <v>1292</v>
      </c>
      <c r="C248" s="32" t="s">
        <v>1321</v>
      </c>
      <c r="D248" s="112">
        <v>0.92</v>
      </c>
      <c r="E248" s="112">
        <v>0.88</v>
      </c>
      <c r="F248" s="112">
        <v>0.83</v>
      </c>
      <c r="G248" s="112">
        <v>0.8</v>
      </c>
      <c r="H248" s="112">
        <v>0.8</v>
      </c>
      <c r="I248" s="112">
        <v>0.8</v>
      </c>
      <c r="J248" s="112">
        <v>0.8</v>
      </c>
      <c r="K248" s="112">
        <v>0.8</v>
      </c>
      <c r="L248" s="112">
        <v>0.52</v>
      </c>
      <c r="M248" s="112">
        <v>0.5</v>
      </c>
      <c r="N248" s="112">
        <v>0.48</v>
      </c>
      <c r="O248" s="112">
        <v>0.46</v>
      </c>
      <c r="P248" s="112">
        <v>0.45</v>
      </c>
      <c r="Q248" s="112">
        <v>0.45</v>
      </c>
      <c r="R248" s="112">
        <v>0.45</v>
      </c>
      <c r="S248" s="112">
        <v>0.45</v>
      </c>
      <c r="T248" s="112">
        <v>1.21</v>
      </c>
      <c r="U248" s="112">
        <v>1.18</v>
      </c>
      <c r="V248" s="112">
        <v>1.1100000000000001</v>
      </c>
      <c r="W248" s="112">
        <v>1.04</v>
      </c>
      <c r="X248" s="112">
        <v>1</v>
      </c>
      <c r="Y248" s="112">
        <v>1</v>
      </c>
      <c r="Z248" s="112">
        <v>1</v>
      </c>
      <c r="AA248" s="112">
        <v>1</v>
      </c>
      <c r="AB248" s="112">
        <v>0.78</v>
      </c>
      <c r="AC248" s="112">
        <v>0.75</v>
      </c>
      <c r="AD248" s="112">
        <v>0.69</v>
      </c>
      <c r="AE248" s="112">
        <v>0.62</v>
      </c>
      <c r="AF248" s="112">
        <v>0.55000000000000004</v>
      </c>
      <c r="AG248" s="112">
        <v>0.55000000000000004</v>
      </c>
      <c r="AH248" s="112">
        <v>0.55000000000000004</v>
      </c>
      <c r="AI248" s="112">
        <v>0.55000000000000004</v>
      </c>
      <c r="AJ248" s="32" t="s">
        <v>1292</v>
      </c>
      <c r="AK248" s="32" t="s">
        <v>1321</v>
      </c>
    </row>
    <row r="249" spans="1:38" ht="31.5">
      <c r="A249" s="33" t="s">
        <v>1312</v>
      </c>
      <c r="B249" s="32" t="s">
        <v>1328</v>
      </c>
      <c r="C249" s="32" t="s">
        <v>1329</v>
      </c>
      <c r="D249" s="112">
        <v>0.92</v>
      </c>
      <c r="E249" s="112">
        <v>0.88</v>
      </c>
      <c r="F249" s="112">
        <v>0.83</v>
      </c>
      <c r="G249" s="112">
        <v>0.8</v>
      </c>
      <c r="H249" s="112">
        <v>0.8</v>
      </c>
      <c r="I249" s="113">
        <v>0.7</v>
      </c>
      <c r="J249" s="113">
        <v>0.7</v>
      </c>
      <c r="K249" s="113">
        <v>0.7</v>
      </c>
      <c r="L249" s="112">
        <v>0.52</v>
      </c>
      <c r="M249" s="112">
        <v>0.5</v>
      </c>
      <c r="N249" s="112">
        <v>0.48</v>
      </c>
      <c r="O249" s="112">
        <v>0.46</v>
      </c>
      <c r="P249" s="112">
        <v>0.45</v>
      </c>
      <c r="Q249" s="113">
        <v>0.4</v>
      </c>
      <c r="R249" s="113">
        <v>0.4</v>
      </c>
      <c r="S249" s="113">
        <v>0.4</v>
      </c>
      <c r="T249" s="112">
        <v>1.21</v>
      </c>
      <c r="U249" s="112">
        <v>1.18</v>
      </c>
      <c r="V249" s="112">
        <v>1.1100000000000001</v>
      </c>
      <c r="W249" s="112">
        <v>1.04</v>
      </c>
      <c r="X249" s="112">
        <v>1</v>
      </c>
      <c r="Y249" s="113">
        <v>0.9</v>
      </c>
      <c r="Z249" s="113">
        <v>0.9</v>
      </c>
      <c r="AA249" s="113">
        <v>0.9</v>
      </c>
      <c r="AB249" s="112">
        <v>0.78</v>
      </c>
      <c r="AC249" s="112">
        <v>0.75</v>
      </c>
      <c r="AD249" s="112">
        <v>0.69</v>
      </c>
      <c r="AE249" s="112">
        <v>0.62</v>
      </c>
      <c r="AF249" s="112">
        <v>0.55000000000000004</v>
      </c>
      <c r="AG249" s="113">
        <v>0.5</v>
      </c>
      <c r="AH249" s="113">
        <v>0.5</v>
      </c>
      <c r="AI249" s="113">
        <v>0.5</v>
      </c>
      <c r="AJ249" s="32" t="s">
        <v>1328</v>
      </c>
      <c r="AK249" s="32" t="s">
        <v>1329</v>
      </c>
      <c r="AL249" s="33" t="s">
        <v>1313</v>
      </c>
    </row>
    <row r="250" spans="1:38" ht="31.5">
      <c r="A250" s="33" t="s">
        <v>1312</v>
      </c>
      <c r="B250" s="32" t="s">
        <v>1328</v>
      </c>
      <c r="C250" s="32" t="s">
        <v>1330</v>
      </c>
      <c r="D250" s="112">
        <v>0.92</v>
      </c>
      <c r="E250" s="112">
        <v>0.88</v>
      </c>
      <c r="F250" s="112">
        <v>0.83</v>
      </c>
      <c r="G250" s="112">
        <v>0.8</v>
      </c>
      <c r="H250" s="112">
        <v>0.8</v>
      </c>
      <c r="I250" s="113">
        <v>0.7</v>
      </c>
      <c r="J250" s="113">
        <v>0.7</v>
      </c>
      <c r="K250" s="113">
        <v>0.7</v>
      </c>
      <c r="L250" s="112">
        <v>0.52</v>
      </c>
      <c r="M250" s="112">
        <v>0.5</v>
      </c>
      <c r="N250" s="112">
        <v>0.48</v>
      </c>
      <c r="O250" s="112">
        <v>0.46</v>
      </c>
      <c r="P250" s="112">
        <v>0.45</v>
      </c>
      <c r="Q250" s="113">
        <v>0.4</v>
      </c>
      <c r="R250" s="113">
        <v>0.4</v>
      </c>
      <c r="S250" s="113">
        <v>0.4</v>
      </c>
      <c r="T250" s="112">
        <v>1.21</v>
      </c>
      <c r="U250" s="112">
        <v>1.18</v>
      </c>
      <c r="V250" s="112">
        <v>1.1100000000000001</v>
      </c>
      <c r="W250" s="112">
        <v>1.04</v>
      </c>
      <c r="X250" s="112">
        <v>1</v>
      </c>
      <c r="Y250" s="113">
        <v>0.9</v>
      </c>
      <c r="Z250" s="113">
        <v>0.9</v>
      </c>
      <c r="AA250" s="113">
        <v>0.9</v>
      </c>
      <c r="AB250" s="112">
        <v>0.78</v>
      </c>
      <c r="AC250" s="112">
        <v>0.75</v>
      </c>
      <c r="AD250" s="112">
        <v>0.69</v>
      </c>
      <c r="AE250" s="112">
        <v>0.62</v>
      </c>
      <c r="AF250" s="112">
        <v>0.55000000000000004</v>
      </c>
      <c r="AG250" s="113">
        <v>0.5</v>
      </c>
      <c r="AH250" s="113">
        <v>0.5</v>
      </c>
      <c r="AI250" s="113">
        <v>0.5</v>
      </c>
      <c r="AJ250" s="32" t="s">
        <v>1328</v>
      </c>
      <c r="AK250" s="32" t="s">
        <v>1330</v>
      </c>
    </row>
    <row r="251" spans="1:38">
      <c r="A251" s="32" t="s">
        <v>1311</v>
      </c>
      <c r="B251" s="32" t="s">
        <v>1292</v>
      </c>
      <c r="C251" s="32" t="s">
        <v>1317</v>
      </c>
      <c r="D251" s="112">
        <v>0.88</v>
      </c>
      <c r="E251" s="112">
        <v>0.84</v>
      </c>
      <c r="F251" s="112">
        <v>0.8</v>
      </c>
      <c r="G251" s="112">
        <v>0.8</v>
      </c>
      <c r="H251" s="112">
        <v>0.8</v>
      </c>
      <c r="I251" s="112">
        <v>0.8</v>
      </c>
      <c r="J251" s="112">
        <v>0.8</v>
      </c>
      <c r="K251" s="112">
        <v>0.8</v>
      </c>
      <c r="L251" s="112">
        <v>0.52</v>
      </c>
      <c r="M251" s="112">
        <v>0.5</v>
      </c>
      <c r="N251" s="112">
        <v>0.45</v>
      </c>
      <c r="O251" s="112">
        <v>0.45</v>
      </c>
      <c r="P251" s="112">
        <v>0.45</v>
      </c>
      <c r="Q251" s="112">
        <v>0.45</v>
      </c>
      <c r="R251" s="112">
        <v>0.45</v>
      </c>
      <c r="S251" s="112">
        <v>0.45</v>
      </c>
      <c r="T251" s="112">
        <v>1.1000000000000001</v>
      </c>
      <c r="U251" s="112">
        <v>1.05</v>
      </c>
      <c r="V251" s="112">
        <v>1</v>
      </c>
      <c r="W251" s="112">
        <v>1</v>
      </c>
      <c r="X251" s="112">
        <v>1</v>
      </c>
      <c r="Y251" s="112">
        <v>1</v>
      </c>
      <c r="Z251" s="112">
        <v>1</v>
      </c>
      <c r="AA251" s="112">
        <v>1</v>
      </c>
      <c r="AB251" s="112">
        <v>0.69</v>
      </c>
      <c r="AC251" s="112">
        <v>0.61</v>
      </c>
      <c r="AD251" s="112">
        <v>0.55000000000000004</v>
      </c>
      <c r="AE251" s="112">
        <v>0.55000000000000004</v>
      </c>
      <c r="AF251" s="112">
        <v>0.55000000000000004</v>
      </c>
      <c r="AG251" s="112">
        <v>0.55000000000000004</v>
      </c>
      <c r="AH251" s="112">
        <v>0.55000000000000004</v>
      </c>
      <c r="AI251" s="112">
        <v>0.55000000000000004</v>
      </c>
      <c r="AJ251" s="32" t="s">
        <v>1292</v>
      </c>
      <c r="AK251" s="32" t="s">
        <v>1317</v>
      </c>
      <c r="AL251" s="33" t="s">
        <v>1316</v>
      </c>
    </row>
    <row r="252" spans="1:38">
      <c r="A252" s="32" t="s">
        <v>1311</v>
      </c>
      <c r="B252" s="32" t="s">
        <v>1292</v>
      </c>
      <c r="C252" s="32" t="s">
        <v>1320</v>
      </c>
      <c r="D252" s="112">
        <v>0.88</v>
      </c>
      <c r="E252" s="112">
        <v>0.84</v>
      </c>
      <c r="F252" s="112">
        <v>0.8</v>
      </c>
      <c r="G252" s="112">
        <v>0.8</v>
      </c>
      <c r="H252" s="112">
        <v>0.8</v>
      </c>
      <c r="I252" s="112">
        <v>0.8</v>
      </c>
      <c r="J252" s="112">
        <v>0.8</v>
      </c>
      <c r="K252" s="112">
        <v>0.8</v>
      </c>
      <c r="L252" s="112">
        <v>0.52</v>
      </c>
      <c r="M252" s="112">
        <v>0.5</v>
      </c>
      <c r="N252" s="112">
        <v>0.45</v>
      </c>
      <c r="O252" s="112">
        <v>0.45</v>
      </c>
      <c r="P252" s="112">
        <v>0.45</v>
      </c>
      <c r="Q252" s="112">
        <v>0.45</v>
      </c>
      <c r="R252" s="112">
        <v>0.45</v>
      </c>
      <c r="S252" s="112">
        <v>0.45</v>
      </c>
      <c r="T252" s="112">
        <v>1.1000000000000001</v>
      </c>
      <c r="U252" s="112">
        <v>1.05</v>
      </c>
      <c r="V252" s="112">
        <v>1</v>
      </c>
      <c r="W252" s="112">
        <v>1</v>
      </c>
      <c r="X252" s="112">
        <v>1</v>
      </c>
      <c r="Y252" s="112">
        <v>1</v>
      </c>
      <c r="Z252" s="112">
        <v>1</v>
      </c>
      <c r="AA252" s="112">
        <v>1</v>
      </c>
      <c r="AB252" s="112">
        <v>0.69</v>
      </c>
      <c r="AC252" s="112">
        <v>0.61</v>
      </c>
      <c r="AD252" s="112">
        <v>0.55000000000000004</v>
      </c>
      <c r="AE252" s="112">
        <v>0.55000000000000004</v>
      </c>
      <c r="AF252" s="112">
        <v>0.55000000000000004</v>
      </c>
      <c r="AG252" s="112">
        <v>0.55000000000000004</v>
      </c>
      <c r="AH252" s="112">
        <v>0.55000000000000004</v>
      </c>
      <c r="AI252" s="112">
        <v>0.55000000000000004</v>
      </c>
      <c r="AJ252" s="32" t="s">
        <v>1292</v>
      </c>
      <c r="AK252" s="32" t="s">
        <v>1320</v>
      </c>
    </row>
    <row r="253" spans="1:38">
      <c r="A253" s="32" t="s">
        <v>1311</v>
      </c>
      <c r="B253" s="32" t="s">
        <v>1292</v>
      </c>
      <c r="C253" s="32" t="s">
        <v>1321</v>
      </c>
      <c r="D253" s="112">
        <v>0.88</v>
      </c>
      <c r="E253" s="112">
        <v>0.84</v>
      </c>
      <c r="F253" s="112">
        <v>0.8</v>
      </c>
      <c r="G253" s="112">
        <v>0.8</v>
      </c>
      <c r="H253" s="112">
        <v>0.8</v>
      </c>
      <c r="I253" s="112">
        <v>0.8</v>
      </c>
      <c r="J253" s="112">
        <v>0.8</v>
      </c>
      <c r="K253" s="112">
        <v>0.8</v>
      </c>
      <c r="L253" s="112">
        <v>0.52</v>
      </c>
      <c r="M253" s="112">
        <v>0.5</v>
      </c>
      <c r="N253" s="112">
        <v>0.45</v>
      </c>
      <c r="O253" s="112">
        <v>0.45</v>
      </c>
      <c r="P253" s="112">
        <v>0.45</v>
      </c>
      <c r="Q253" s="112">
        <v>0.45</v>
      </c>
      <c r="R253" s="112">
        <v>0.45</v>
      </c>
      <c r="S253" s="112">
        <v>0.45</v>
      </c>
      <c r="T253" s="112">
        <v>1.1000000000000001</v>
      </c>
      <c r="U253" s="112">
        <v>1.05</v>
      </c>
      <c r="V253" s="112">
        <v>1</v>
      </c>
      <c r="W253" s="112">
        <v>1</v>
      </c>
      <c r="X253" s="112">
        <v>1</v>
      </c>
      <c r="Y253" s="112">
        <v>1</v>
      </c>
      <c r="Z253" s="112">
        <v>1</v>
      </c>
      <c r="AA253" s="112">
        <v>1</v>
      </c>
      <c r="AB253" s="112">
        <v>0.69</v>
      </c>
      <c r="AC253" s="112">
        <v>0.61</v>
      </c>
      <c r="AD253" s="112">
        <v>0.55000000000000004</v>
      </c>
      <c r="AE253" s="112">
        <v>0.55000000000000004</v>
      </c>
      <c r="AF253" s="112">
        <v>0.55000000000000004</v>
      </c>
      <c r="AG253" s="112">
        <v>0.55000000000000004</v>
      </c>
      <c r="AH253" s="112">
        <v>0.55000000000000004</v>
      </c>
      <c r="AI253" s="112">
        <v>0.55000000000000004</v>
      </c>
      <c r="AJ253" s="32" t="s">
        <v>1292</v>
      </c>
      <c r="AK253" s="32" t="s">
        <v>1321</v>
      </c>
    </row>
    <row r="254" spans="1:38">
      <c r="A254" s="32" t="s">
        <v>1311</v>
      </c>
      <c r="B254" s="32" t="s">
        <v>1292</v>
      </c>
      <c r="C254" s="32" t="s">
        <v>1322</v>
      </c>
      <c r="D254" s="112">
        <v>0.88</v>
      </c>
      <c r="E254" s="112">
        <v>0.84</v>
      </c>
      <c r="F254" s="112">
        <v>0.8</v>
      </c>
      <c r="G254" s="112">
        <v>0.8</v>
      </c>
      <c r="H254" s="112">
        <v>0.8</v>
      </c>
      <c r="I254" s="112">
        <v>0.8</v>
      </c>
      <c r="J254" s="112">
        <v>0.8</v>
      </c>
      <c r="K254" s="112">
        <v>0.8</v>
      </c>
      <c r="L254" s="112">
        <v>0.52</v>
      </c>
      <c r="M254" s="112">
        <v>0.5</v>
      </c>
      <c r="N254" s="112">
        <v>0.45</v>
      </c>
      <c r="O254" s="112">
        <v>0.45</v>
      </c>
      <c r="P254" s="112">
        <v>0.45</v>
      </c>
      <c r="Q254" s="112">
        <v>0.45</v>
      </c>
      <c r="R254" s="112">
        <v>0.45</v>
      </c>
      <c r="S254" s="112">
        <v>0.45</v>
      </c>
      <c r="T254" s="112">
        <v>1.1000000000000001</v>
      </c>
      <c r="U254" s="112">
        <v>1.05</v>
      </c>
      <c r="V254" s="112">
        <v>1</v>
      </c>
      <c r="W254" s="112">
        <v>1</v>
      </c>
      <c r="X254" s="112">
        <v>1</v>
      </c>
      <c r="Y254" s="112">
        <v>1</v>
      </c>
      <c r="Z254" s="112">
        <v>1</v>
      </c>
      <c r="AA254" s="112">
        <v>1</v>
      </c>
      <c r="AB254" s="112">
        <v>0.69</v>
      </c>
      <c r="AC254" s="112">
        <v>0.61</v>
      </c>
      <c r="AD254" s="112">
        <v>0.55000000000000004</v>
      </c>
      <c r="AE254" s="112">
        <v>0.55000000000000004</v>
      </c>
      <c r="AF254" s="112">
        <v>0.55000000000000004</v>
      </c>
      <c r="AG254" s="112">
        <v>0.55000000000000004</v>
      </c>
      <c r="AH254" s="112">
        <v>0.55000000000000004</v>
      </c>
      <c r="AI254" s="112">
        <v>0.55000000000000004</v>
      </c>
      <c r="AJ254" s="32" t="s">
        <v>1292</v>
      </c>
      <c r="AK254" s="32" t="s">
        <v>1322</v>
      </c>
    </row>
    <row r="255" spans="1:38">
      <c r="A255" s="32" t="s">
        <v>1311</v>
      </c>
      <c r="B255" s="32" t="s">
        <v>1292</v>
      </c>
      <c r="C255" s="32" t="s">
        <v>1323</v>
      </c>
      <c r="D255" s="112">
        <v>0.88</v>
      </c>
      <c r="E255" s="112">
        <v>0.84</v>
      </c>
      <c r="F255" s="112">
        <v>0.8</v>
      </c>
      <c r="G255" s="112">
        <v>0.8</v>
      </c>
      <c r="H255" s="112">
        <v>0.8</v>
      </c>
      <c r="I255" s="112">
        <v>0.8</v>
      </c>
      <c r="J255" s="112">
        <v>0.8</v>
      </c>
      <c r="K255" s="112">
        <v>0.8</v>
      </c>
      <c r="L255" s="112">
        <v>0.52</v>
      </c>
      <c r="M255" s="112">
        <v>0.5</v>
      </c>
      <c r="N255" s="112">
        <v>0.45</v>
      </c>
      <c r="O255" s="112">
        <v>0.45</v>
      </c>
      <c r="P255" s="112">
        <v>0.45</v>
      </c>
      <c r="Q255" s="112">
        <v>0.45</v>
      </c>
      <c r="R255" s="112">
        <v>0.45</v>
      </c>
      <c r="S255" s="112">
        <v>0.45</v>
      </c>
      <c r="T255" s="112">
        <v>1.1000000000000001</v>
      </c>
      <c r="U255" s="112">
        <v>1.05</v>
      </c>
      <c r="V255" s="112">
        <v>1</v>
      </c>
      <c r="W255" s="112">
        <v>1</v>
      </c>
      <c r="X255" s="112">
        <v>1</v>
      </c>
      <c r="Y255" s="112">
        <v>1</v>
      </c>
      <c r="Z255" s="112">
        <v>1</v>
      </c>
      <c r="AA255" s="112">
        <v>1</v>
      </c>
      <c r="AB255" s="112">
        <v>0.69</v>
      </c>
      <c r="AC255" s="112">
        <v>0.61</v>
      </c>
      <c r="AD255" s="112">
        <v>0.55000000000000004</v>
      </c>
      <c r="AE255" s="112">
        <v>0.55000000000000004</v>
      </c>
      <c r="AF255" s="112">
        <v>0.55000000000000004</v>
      </c>
      <c r="AG255" s="112">
        <v>0.55000000000000004</v>
      </c>
      <c r="AH255" s="112">
        <v>0.55000000000000004</v>
      </c>
      <c r="AI255" s="112">
        <v>0.55000000000000004</v>
      </c>
      <c r="AJ255" s="32" t="s">
        <v>1292</v>
      </c>
      <c r="AK255" s="32" t="s">
        <v>1323</v>
      </c>
    </row>
    <row r="256" spans="1:38">
      <c r="A256" s="32" t="s">
        <v>1293</v>
      </c>
      <c r="B256" s="32" t="s">
        <v>1292</v>
      </c>
      <c r="C256" s="32" t="s">
        <v>1318</v>
      </c>
      <c r="D256" s="130">
        <v>0.98</v>
      </c>
      <c r="E256" s="131">
        <v>0.88</v>
      </c>
      <c r="F256" s="131">
        <v>0.82</v>
      </c>
      <c r="G256" s="131">
        <v>0.8</v>
      </c>
      <c r="H256" s="131">
        <v>0.8</v>
      </c>
      <c r="I256" s="131">
        <v>0.8</v>
      </c>
      <c r="J256" s="131">
        <v>0.8</v>
      </c>
      <c r="K256" s="132">
        <v>0.8</v>
      </c>
      <c r="L256" s="130">
        <v>0.52</v>
      </c>
      <c r="M256" s="131">
        <v>0.48</v>
      </c>
      <c r="N256" s="131">
        <v>0.46</v>
      </c>
      <c r="O256" s="131">
        <v>0.45</v>
      </c>
      <c r="P256" s="131">
        <v>0.45</v>
      </c>
      <c r="Q256" s="131">
        <v>0.45</v>
      </c>
      <c r="R256" s="131">
        <v>0.45</v>
      </c>
      <c r="S256" s="132">
        <v>0.45</v>
      </c>
      <c r="T256" s="130">
        <v>1.29</v>
      </c>
      <c r="U256" s="131">
        <v>1.1399999999999999</v>
      </c>
      <c r="V256" s="131">
        <v>1.05</v>
      </c>
      <c r="W256" s="131">
        <v>1</v>
      </c>
      <c r="X256" s="131">
        <v>1</v>
      </c>
      <c r="Y256" s="131">
        <v>1</v>
      </c>
      <c r="Z256" s="131">
        <v>1</v>
      </c>
      <c r="AA256" s="132">
        <v>1</v>
      </c>
      <c r="AB256" s="130">
        <v>0.72</v>
      </c>
      <c r="AC256" s="131">
        <v>0.65</v>
      </c>
      <c r="AD256" s="131">
        <v>0.59</v>
      </c>
      <c r="AE256" s="131">
        <v>0.55000000000000004</v>
      </c>
      <c r="AF256" s="131">
        <v>0.55000000000000004</v>
      </c>
      <c r="AG256" s="131">
        <v>0.55000000000000004</v>
      </c>
      <c r="AH256" s="131">
        <v>0.55000000000000004</v>
      </c>
      <c r="AI256" s="132">
        <v>0.55000000000000004</v>
      </c>
      <c r="AJ256" s="32" t="s">
        <v>1292</v>
      </c>
      <c r="AK256" s="32" t="s">
        <v>1318</v>
      </c>
      <c r="AL256" s="33" t="s">
        <v>1314</v>
      </c>
    </row>
    <row r="257" spans="1:38">
      <c r="A257" s="32" t="s">
        <v>1293</v>
      </c>
      <c r="B257" s="32" t="s">
        <v>1292</v>
      </c>
      <c r="C257" s="32" t="s">
        <v>1324</v>
      </c>
      <c r="D257" s="133">
        <v>0.98</v>
      </c>
      <c r="E257" s="112">
        <v>0.88</v>
      </c>
      <c r="F257" s="112">
        <v>0.82</v>
      </c>
      <c r="G257" s="112">
        <v>0.8</v>
      </c>
      <c r="H257" s="112">
        <v>0.8</v>
      </c>
      <c r="I257" s="112">
        <v>0.8</v>
      </c>
      <c r="J257" s="112">
        <v>0.8</v>
      </c>
      <c r="K257" s="134">
        <v>0.8</v>
      </c>
      <c r="L257" s="133">
        <v>0.52</v>
      </c>
      <c r="M257" s="112">
        <v>0.48</v>
      </c>
      <c r="N257" s="112">
        <v>0.46</v>
      </c>
      <c r="O257" s="112">
        <v>0.45</v>
      </c>
      <c r="P257" s="112">
        <v>0.45</v>
      </c>
      <c r="Q257" s="112">
        <v>0.45</v>
      </c>
      <c r="R257" s="112">
        <v>0.45</v>
      </c>
      <c r="S257" s="134">
        <v>0.45</v>
      </c>
      <c r="T257" s="133">
        <v>1.29</v>
      </c>
      <c r="U257" s="112">
        <v>1.1399999999999999</v>
      </c>
      <c r="V257" s="112">
        <v>1.05</v>
      </c>
      <c r="W257" s="112">
        <v>1</v>
      </c>
      <c r="X257" s="112">
        <v>1</v>
      </c>
      <c r="Y257" s="112">
        <v>1</v>
      </c>
      <c r="Z257" s="112">
        <v>1</v>
      </c>
      <c r="AA257" s="134">
        <v>1</v>
      </c>
      <c r="AB257" s="133">
        <v>0.72</v>
      </c>
      <c r="AC257" s="112">
        <v>0.65</v>
      </c>
      <c r="AD257" s="112">
        <v>0.59</v>
      </c>
      <c r="AE257" s="112">
        <v>0.55000000000000004</v>
      </c>
      <c r="AF257" s="112">
        <v>0.55000000000000004</v>
      </c>
      <c r="AG257" s="112">
        <v>0.55000000000000004</v>
      </c>
      <c r="AH257" s="112">
        <v>0.55000000000000004</v>
      </c>
      <c r="AI257" s="134">
        <v>0.55000000000000004</v>
      </c>
      <c r="AJ257" s="32" t="s">
        <v>1292</v>
      </c>
      <c r="AK257" s="32" t="s">
        <v>1324</v>
      </c>
    </row>
    <row r="258" spans="1:38">
      <c r="A258" s="32" t="s">
        <v>1293</v>
      </c>
      <c r="B258" s="32" t="s">
        <v>1292</v>
      </c>
      <c r="C258" s="32" t="s">
        <v>1325</v>
      </c>
      <c r="D258" s="133">
        <v>0.98</v>
      </c>
      <c r="E258" s="112">
        <v>0.88</v>
      </c>
      <c r="F258" s="112">
        <v>0.82</v>
      </c>
      <c r="G258" s="112">
        <v>0.8</v>
      </c>
      <c r="H258" s="112">
        <v>0.8</v>
      </c>
      <c r="I258" s="112">
        <v>0.8</v>
      </c>
      <c r="J258" s="112">
        <v>0.8</v>
      </c>
      <c r="K258" s="134">
        <v>0.8</v>
      </c>
      <c r="L258" s="133">
        <v>0.52</v>
      </c>
      <c r="M258" s="112">
        <v>0.48</v>
      </c>
      <c r="N258" s="112">
        <v>0.46</v>
      </c>
      <c r="O258" s="112">
        <v>0.45</v>
      </c>
      <c r="P258" s="112">
        <v>0.45</v>
      </c>
      <c r="Q258" s="112">
        <v>0.45</v>
      </c>
      <c r="R258" s="112">
        <v>0.45</v>
      </c>
      <c r="S258" s="134">
        <v>0.45</v>
      </c>
      <c r="T258" s="133">
        <v>1.29</v>
      </c>
      <c r="U258" s="112">
        <v>1.1399999999999999</v>
      </c>
      <c r="V258" s="112">
        <v>1.05</v>
      </c>
      <c r="W258" s="112">
        <v>1</v>
      </c>
      <c r="X258" s="112">
        <v>1</v>
      </c>
      <c r="Y258" s="112">
        <v>1</v>
      </c>
      <c r="Z258" s="112">
        <v>1</v>
      </c>
      <c r="AA258" s="134">
        <v>1</v>
      </c>
      <c r="AB258" s="133">
        <v>0.72</v>
      </c>
      <c r="AC258" s="112">
        <v>0.65</v>
      </c>
      <c r="AD258" s="112">
        <v>0.59</v>
      </c>
      <c r="AE258" s="112">
        <v>0.55000000000000004</v>
      </c>
      <c r="AF258" s="112">
        <v>0.55000000000000004</v>
      </c>
      <c r="AG258" s="112">
        <v>0.55000000000000004</v>
      </c>
      <c r="AH258" s="112">
        <v>0.55000000000000004</v>
      </c>
      <c r="AI258" s="134">
        <v>0.55000000000000004</v>
      </c>
      <c r="AJ258" s="32" t="s">
        <v>1292</v>
      </c>
      <c r="AK258" s="32" t="s">
        <v>1325</v>
      </c>
    </row>
    <row r="259" spans="1:38">
      <c r="A259" s="32" t="s">
        <v>1293</v>
      </c>
      <c r="B259" s="32" t="s">
        <v>1292</v>
      </c>
      <c r="C259" s="32" t="s">
        <v>1326</v>
      </c>
      <c r="D259" s="133">
        <v>0.98</v>
      </c>
      <c r="E259" s="112">
        <v>0.88</v>
      </c>
      <c r="F259" s="112">
        <v>0.82</v>
      </c>
      <c r="G259" s="112">
        <v>0.8</v>
      </c>
      <c r="H259" s="112">
        <v>0.8</v>
      </c>
      <c r="I259" s="112">
        <v>0.8</v>
      </c>
      <c r="J259" s="112">
        <v>0.8</v>
      </c>
      <c r="K259" s="134">
        <v>0.8</v>
      </c>
      <c r="L259" s="133">
        <v>0.52</v>
      </c>
      <c r="M259" s="112">
        <v>0.48</v>
      </c>
      <c r="N259" s="112">
        <v>0.46</v>
      </c>
      <c r="O259" s="112">
        <v>0.45</v>
      </c>
      <c r="P259" s="112">
        <v>0.45</v>
      </c>
      <c r="Q259" s="112">
        <v>0.45</v>
      </c>
      <c r="R259" s="112">
        <v>0.45</v>
      </c>
      <c r="S259" s="134">
        <v>0.45</v>
      </c>
      <c r="T259" s="133">
        <v>1.29</v>
      </c>
      <c r="U259" s="112">
        <v>1.1399999999999999</v>
      </c>
      <c r="V259" s="112">
        <v>1.05</v>
      </c>
      <c r="W259" s="112">
        <v>1</v>
      </c>
      <c r="X259" s="112">
        <v>1</v>
      </c>
      <c r="Y259" s="112">
        <v>1</v>
      </c>
      <c r="Z259" s="112">
        <v>1</v>
      </c>
      <c r="AA259" s="134">
        <v>1</v>
      </c>
      <c r="AB259" s="133">
        <v>0.72</v>
      </c>
      <c r="AC259" s="112">
        <v>0.65</v>
      </c>
      <c r="AD259" s="112">
        <v>0.59</v>
      </c>
      <c r="AE259" s="112">
        <v>0.55000000000000004</v>
      </c>
      <c r="AF259" s="112">
        <v>0.55000000000000004</v>
      </c>
      <c r="AG259" s="112">
        <v>0.55000000000000004</v>
      </c>
      <c r="AH259" s="112">
        <v>0.55000000000000004</v>
      </c>
      <c r="AI259" s="134">
        <v>0.55000000000000004</v>
      </c>
      <c r="AJ259" s="32" t="s">
        <v>1292</v>
      </c>
      <c r="AK259" s="32" t="s">
        <v>1326</v>
      </c>
    </row>
    <row r="260" spans="1:38">
      <c r="A260" s="32" t="s">
        <v>1293</v>
      </c>
      <c r="B260" s="32" t="s">
        <v>1292</v>
      </c>
      <c r="C260" s="32" t="s">
        <v>1327</v>
      </c>
      <c r="D260" s="133">
        <v>0.98</v>
      </c>
      <c r="E260" s="112">
        <v>0.88</v>
      </c>
      <c r="F260" s="112">
        <v>0.82</v>
      </c>
      <c r="G260" s="112">
        <v>0.8</v>
      </c>
      <c r="H260" s="112">
        <v>0.8</v>
      </c>
      <c r="I260" s="112">
        <v>0.8</v>
      </c>
      <c r="J260" s="112">
        <v>0.8</v>
      </c>
      <c r="K260" s="134">
        <v>0.8</v>
      </c>
      <c r="L260" s="133">
        <v>0.52</v>
      </c>
      <c r="M260" s="112">
        <v>0.48</v>
      </c>
      <c r="N260" s="112">
        <v>0.46</v>
      </c>
      <c r="O260" s="112">
        <v>0.45</v>
      </c>
      <c r="P260" s="112">
        <v>0.45</v>
      </c>
      <c r="Q260" s="112">
        <v>0.45</v>
      </c>
      <c r="R260" s="112">
        <v>0.45</v>
      </c>
      <c r="S260" s="134">
        <v>0.45</v>
      </c>
      <c r="T260" s="133">
        <v>1.29</v>
      </c>
      <c r="U260" s="112">
        <v>1.1399999999999999</v>
      </c>
      <c r="V260" s="112">
        <v>1.05</v>
      </c>
      <c r="W260" s="112">
        <v>1</v>
      </c>
      <c r="X260" s="112">
        <v>1</v>
      </c>
      <c r="Y260" s="112">
        <v>1</v>
      </c>
      <c r="Z260" s="112">
        <v>1</v>
      </c>
      <c r="AA260" s="134">
        <v>1</v>
      </c>
      <c r="AB260" s="133">
        <v>0.72</v>
      </c>
      <c r="AC260" s="112">
        <v>0.65</v>
      </c>
      <c r="AD260" s="112">
        <v>0.59</v>
      </c>
      <c r="AE260" s="112">
        <v>0.55000000000000004</v>
      </c>
      <c r="AF260" s="112">
        <v>0.55000000000000004</v>
      </c>
      <c r="AG260" s="112">
        <v>0.55000000000000004</v>
      </c>
      <c r="AH260" s="112">
        <v>0.55000000000000004</v>
      </c>
      <c r="AI260" s="134">
        <v>0.55000000000000004</v>
      </c>
      <c r="AJ260" s="32" t="s">
        <v>1292</v>
      </c>
      <c r="AK260" s="32" t="s">
        <v>1327</v>
      </c>
    </row>
    <row r="261" spans="1:38">
      <c r="A261" s="32" t="s">
        <v>1293</v>
      </c>
      <c r="B261" s="32" t="s">
        <v>1292</v>
      </c>
      <c r="C261" s="32" t="s">
        <v>1319</v>
      </c>
      <c r="D261" s="133">
        <v>0.98</v>
      </c>
      <c r="E261" s="112">
        <v>0.88</v>
      </c>
      <c r="F261" s="112">
        <v>0.82</v>
      </c>
      <c r="G261" s="112">
        <v>0.8</v>
      </c>
      <c r="H261" s="113">
        <v>0.7</v>
      </c>
      <c r="I261" s="113">
        <v>0.7</v>
      </c>
      <c r="J261" s="113">
        <v>0.7</v>
      </c>
      <c r="K261" s="137">
        <v>0.7</v>
      </c>
      <c r="L261" s="133">
        <v>0.52</v>
      </c>
      <c r="M261" s="112">
        <v>0.48</v>
      </c>
      <c r="N261" s="112">
        <v>0.46</v>
      </c>
      <c r="O261" s="112">
        <v>0.45</v>
      </c>
      <c r="P261" s="113">
        <v>0.4</v>
      </c>
      <c r="Q261" s="113">
        <v>0.4</v>
      </c>
      <c r="R261" s="113">
        <v>0.4</v>
      </c>
      <c r="S261" s="137">
        <v>0.4</v>
      </c>
      <c r="T261" s="133">
        <v>1.29</v>
      </c>
      <c r="U261" s="112">
        <v>1.1399999999999999</v>
      </c>
      <c r="V261" s="112">
        <v>1.05</v>
      </c>
      <c r="W261" s="112">
        <v>1</v>
      </c>
      <c r="X261" s="113">
        <v>0.9</v>
      </c>
      <c r="Y261" s="113">
        <v>0.9</v>
      </c>
      <c r="Z261" s="113">
        <v>0.9</v>
      </c>
      <c r="AA261" s="137">
        <v>0.9</v>
      </c>
      <c r="AB261" s="133">
        <v>0.72</v>
      </c>
      <c r="AC261" s="112">
        <v>0.65</v>
      </c>
      <c r="AD261" s="112">
        <v>0.59</v>
      </c>
      <c r="AE261" s="112">
        <v>0.55000000000000004</v>
      </c>
      <c r="AF261" s="113">
        <v>0.5</v>
      </c>
      <c r="AG261" s="113">
        <v>0.5</v>
      </c>
      <c r="AH261" s="113">
        <v>0.5</v>
      </c>
      <c r="AI261" s="137">
        <v>0.5</v>
      </c>
      <c r="AJ261" s="32" t="s">
        <v>1292</v>
      </c>
      <c r="AK261" s="32" t="s">
        <v>1319</v>
      </c>
      <c r="AL261" s="33" t="s">
        <v>1315</v>
      </c>
    </row>
    <row r="262" spans="1:38">
      <c r="A262" s="32" t="s">
        <v>1293</v>
      </c>
      <c r="B262" s="32" t="s">
        <v>1292</v>
      </c>
      <c r="C262" s="32" t="s">
        <v>1346</v>
      </c>
      <c r="D262" s="133">
        <v>0.98</v>
      </c>
      <c r="E262" s="112">
        <v>0.88</v>
      </c>
      <c r="F262" s="112">
        <v>0.82</v>
      </c>
      <c r="G262" s="112">
        <v>0.8</v>
      </c>
      <c r="H262" s="113">
        <v>0.7</v>
      </c>
      <c r="I262" s="113">
        <v>0.7</v>
      </c>
      <c r="J262" s="113">
        <v>0.7</v>
      </c>
      <c r="K262" s="137">
        <v>0.7</v>
      </c>
      <c r="L262" s="133">
        <v>0.52</v>
      </c>
      <c r="M262" s="112">
        <v>0.48</v>
      </c>
      <c r="N262" s="112">
        <v>0.46</v>
      </c>
      <c r="O262" s="112">
        <v>0.45</v>
      </c>
      <c r="P262" s="113">
        <v>0.4</v>
      </c>
      <c r="Q262" s="113">
        <v>0.4</v>
      </c>
      <c r="R262" s="113">
        <v>0.4</v>
      </c>
      <c r="S262" s="137">
        <v>0.4</v>
      </c>
      <c r="T262" s="133">
        <v>1.29</v>
      </c>
      <c r="U262" s="112">
        <v>1.1399999999999999</v>
      </c>
      <c r="V262" s="112">
        <v>1.05</v>
      </c>
      <c r="W262" s="112">
        <v>1</v>
      </c>
      <c r="X262" s="113">
        <v>0.9</v>
      </c>
      <c r="Y262" s="113">
        <v>0.9</v>
      </c>
      <c r="Z262" s="113">
        <v>0.9</v>
      </c>
      <c r="AA262" s="137">
        <v>0.9</v>
      </c>
      <c r="AB262" s="133">
        <v>0.72</v>
      </c>
      <c r="AC262" s="112">
        <v>0.65</v>
      </c>
      <c r="AD262" s="112">
        <v>0.59</v>
      </c>
      <c r="AE262" s="112">
        <v>0.55000000000000004</v>
      </c>
      <c r="AF262" s="113">
        <v>0.5</v>
      </c>
      <c r="AG262" s="113">
        <v>0.5</v>
      </c>
      <c r="AH262" s="113">
        <v>0.5</v>
      </c>
      <c r="AI262" s="137">
        <v>0.5</v>
      </c>
      <c r="AJ262" s="32" t="s">
        <v>1292</v>
      </c>
      <c r="AK262" s="32" t="s">
        <v>1346</v>
      </c>
    </row>
    <row r="263" spans="1:38">
      <c r="A263" s="32" t="s">
        <v>1293</v>
      </c>
      <c r="B263" s="32" t="s">
        <v>1292</v>
      </c>
      <c r="C263" s="32" t="s">
        <v>1347</v>
      </c>
      <c r="D263" s="133">
        <v>0.98</v>
      </c>
      <c r="E263" s="112">
        <v>0.88</v>
      </c>
      <c r="F263" s="112">
        <v>0.82</v>
      </c>
      <c r="G263" s="112">
        <v>0.8</v>
      </c>
      <c r="H263" s="113">
        <v>0.7</v>
      </c>
      <c r="I263" s="113">
        <v>0.7</v>
      </c>
      <c r="J263" s="113">
        <v>0.7</v>
      </c>
      <c r="K263" s="137">
        <v>0.7</v>
      </c>
      <c r="L263" s="133">
        <v>0.52</v>
      </c>
      <c r="M263" s="112">
        <v>0.48</v>
      </c>
      <c r="N263" s="112">
        <v>0.46</v>
      </c>
      <c r="O263" s="112">
        <v>0.45</v>
      </c>
      <c r="P263" s="113">
        <v>0.4</v>
      </c>
      <c r="Q263" s="113">
        <v>0.4</v>
      </c>
      <c r="R263" s="113">
        <v>0.4</v>
      </c>
      <c r="S263" s="137">
        <v>0.4</v>
      </c>
      <c r="T263" s="133">
        <v>1.29</v>
      </c>
      <c r="U263" s="112">
        <v>1.1399999999999999</v>
      </c>
      <c r="V263" s="112">
        <v>1.05</v>
      </c>
      <c r="W263" s="112">
        <v>1</v>
      </c>
      <c r="X263" s="113">
        <v>0.9</v>
      </c>
      <c r="Y263" s="113">
        <v>0.9</v>
      </c>
      <c r="Z263" s="113">
        <v>0.9</v>
      </c>
      <c r="AA263" s="137">
        <v>0.9</v>
      </c>
      <c r="AB263" s="133">
        <v>0.72</v>
      </c>
      <c r="AC263" s="112">
        <v>0.65</v>
      </c>
      <c r="AD263" s="112">
        <v>0.59</v>
      </c>
      <c r="AE263" s="112">
        <v>0.55000000000000004</v>
      </c>
      <c r="AF263" s="113">
        <v>0.5</v>
      </c>
      <c r="AG263" s="113">
        <v>0.5</v>
      </c>
      <c r="AH263" s="113">
        <v>0.5</v>
      </c>
      <c r="AI263" s="137">
        <v>0.5</v>
      </c>
      <c r="AJ263" s="32" t="s">
        <v>1292</v>
      </c>
      <c r="AK263" s="32" t="s">
        <v>1347</v>
      </c>
    </row>
    <row r="264" spans="1:38">
      <c r="A264" s="32" t="s">
        <v>1293</v>
      </c>
      <c r="B264" s="32" t="s">
        <v>1292</v>
      </c>
      <c r="C264" s="32" t="s">
        <v>1348</v>
      </c>
      <c r="D264" s="135">
        <v>0.98</v>
      </c>
      <c r="E264" s="136">
        <v>0.88</v>
      </c>
      <c r="F264" s="136">
        <v>0.82</v>
      </c>
      <c r="G264" s="136">
        <v>0.8</v>
      </c>
      <c r="H264" s="138">
        <v>0.7</v>
      </c>
      <c r="I264" s="138">
        <v>0.7</v>
      </c>
      <c r="J264" s="138">
        <v>0.7</v>
      </c>
      <c r="K264" s="139">
        <v>0.7</v>
      </c>
      <c r="L264" s="135">
        <v>0.52</v>
      </c>
      <c r="M264" s="136">
        <v>0.48</v>
      </c>
      <c r="N264" s="136">
        <v>0.46</v>
      </c>
      <c r="O264" s="136">
        <v>0.45</v>
      </c>
      <c r="P264" s="138">
        <v>0.4</v>
      </c>
      <c r="Q264" s="138">
        <v>0.4</v>
      </c>
      <c r="R264" s="138">
        <v>0.4</v>
      </c>
      <c r="S264" s="139">
        <v>0.4</v>
      </c>
      <c r="T264" s="133">
        <v>1.29</v>
      </c>
      <c r="U264" s="112">
        <v>1.1399999999999999</v>
      </c>
      <c r="V264" s="112">
        <v>1.05</v>
      </c>
      <c r="W264" s="112">
        <v>1</v>
      </c>
      <c r="X264" s="113">
        <v>0.9</v>
      </c>
      <c r="Y264" s="113">
        <v>0.9</v>
      </c>
      <c r="Z264" s="113">
        <v>0.9</v>
      </c>
      <c r="AA264" s="137">
        <v>0.9</v>
      </c>
      <c r="AB264" s="133">
        <v>0.72</v>
      </c>
      <c r="AC264" s="112">
        <v>0.65</v>
      </c>
      <c r="AD264" s="112">
        <v>0.59</v>
      </c>
      <c r="AE264" s="112">
        <v>0.55000000000000004</v>
      </c>
      <c r="AF264" s="113">
        <v>0.5</v>
      </c>
      <c r="AG264" s="113">
        <v>0.5</v>
      </c>
      <c r="AH264" s="113">
        <v>0.5</v>
      </c>
      <c r="AI264" s="137">
        <v>0.5</v>
      </c>
      <c r="AJ264" s="32" t="s">
        <v>1292</v>
      </c>
      <c r="AK264" s="32" t="s">
        <v>1348</v>
      </c>
    </row>
    <row r="265" spans="1:38">
      <c r="A265" s="32" t="s">
        <v>1357</v>
      </c>
      <c r="B265" s="32" t="s">
        <v>1542</v>
      </c>
      <c r="C265" s="32" t="s">
        <v>1541</v>
      </c>
      <c r="D265" s="32">
        <v>0.92</v>
      </c>
      <c r="E265" s="32">
        <v>0.88</v>
      </c>
      <c r="F265" s="32">
        <v>0.84</v>
      </c>
      <c r="G265" s="32">
        <v>0.8</v>
      </c>
      <c r="H265" s="32">
        <v>0.8</v>
      </c>
      <c r="I265" s="32">
        <v>0.8</v>
      </c>
      <c r="J265" s="32">
        <v>0.8</v>
      </c>
      <c r="K265" s="32">
        <v>0.8</v>
      </c>
      <c r="L265" s="105">
        <v>0.54</v>
      </c>
      <c r="M265" s="105">
        <v>0.5</v>
      </c>
      <c r="N265" s="105">
        <v>0.47</v>
      </c>
      <c r="O265" s="105">
        <v>0.45</v>
      </c>
      <c r="P265" s="105">
        <v>0.45</v>
      </c>
      <c r="Q265" s="105">
        <v>0.45</v>
      </c>
      <c r="R265" s="105">
        <v>0.45</v>
      </c>
      <c r="S265" s="116">
        <v>0.45</v>
      </c>
      <c r="T265" s="121">
        <v>1.2</v>
      </c>
      <c r="U265" s="115">
        <v>1.1000000000000001</v>
      </c>
      <c r="V265" s="115">
        <v>1.05</v>
      </c>
      <c r="W265" s="115">
        <v>1</v>
      </c>
      <c r="X265" s="115">
        <v>1</v>
      </c>
      <c r="Y265" s="115">
        <v>1</v>
      </c>
      <c r="Z265" s="115">
        <v>1</v>
      </c>
      <c r="AA265" s="122">
        <v>1</v>
      </c>
      <c r="AB265" s="119">
        <v>0.74</v>
      </c>
      <c r="AC265" s="115">
        <v>0.66</v>
      </c>
      <c r="AD265" s="115">
        <v>0.61</v>
      </c>
      <c r="AE265" s="115">
        <v>0.55000000000000004</v>
      </c>
      <c r="AF265" s="115">
        <v>0.55000000000000004</v>
      </c>
      <c r="AG265" s="105">
        <v>0.55000000000000004</v>
      </c>
      <c r="AH265" s="105">
        <v>0.55000000000000004</v>
      </c>
      <c r="AI265" s="120">
        <v>0.55000000000000004</v>
      </c>
    </row>
    <row r="266" spans="1:38">
      <c r="A266" s="32" t="s">
        <v>1357</v>
      </c>
      <c r="B266" s="32" t="s">
        <v>1542</v>
      </c>
      <c r="C266" s="32" t="s">
        <v>1543</v>
      </c>
      <c r="D266" s="32">
        <v>0.92</v>
      </c>
      <c r="E266" s="32">
        <v>0.88</v>
      </c>
      <c r="F266" s="32">
        <v>0.84</v>
      </c>
      <c r="G266" s="32">
        <v>0.8</v>
      </c>
      <c r="H266" s="32">
        <v>0.8</v>
      </c>
      <c r="I266" s="32">
        <v>0.8</v>
      </c>
      <c r="J266" s="32">
        <v>0.8</v>
      </c>
      <c r="K266" s="32">
        <v>0.8</v>
      </c>
      <c r="L266" s="105">
        <v>0.54</v>
      </c>
      <c r="M266" s="105">
        <v>0.5</v>
      </c>
      <c r="N266" s="105">
        <v>0.47</v>
      </c>
      <c r="O266" s="105">
        <v>0.45</v>
      </c>
      <c r="P266" s="105">
        <v>0.45</v>
      </c>
      <c r="Q266" s="105">
        <v>0.45</v>
      </c>
      <c r="R266" s="105">
        <v>0.45</v>
      </c>
      <c r="S266" s="116">
        <v>0.45</v>
      </c>
      <c r="T266" s="121">
        <v>1.2</v>
      </c>
      <c r="U266" s="115">
        <v>1.1000000000000001</v>
      </c>
      <c r="V266" s="115">
        <v>1.05</v>
      </c>
      <c r="W266" s="115">
        <v>1</v>
      </c>
      <c r="X266" s="115">
        <v>1</v>
      </c>
      <c r="Y266" s="115">
        <v>1</v>
      </c>
      <c r="Z266" s="115">
        <v>1</v>
      </c>
      <c r="AA266" s="122">
        <v>1</v>
      </c>
      <c r="AB266" s="119">
        <v>0.74</v>
      </c>
      <c r="AC266" s="115">
        <v>0.66</v>
      </c>
      <c r="AD266" s="115">
        <v>0.61</v>
      </c>
      <c r="AE266" s="115">
        <v>0.55000000000000004</v>
      </c>
      <c r="AF266" s="115">
        <v>0.55000000000000004</v>
      </c>
      <c r="AG266" s="105">
        <v>0.55000000000000004</v>
      </c>
      <c r="AH266" s="105">
        <v>0.55000000000000004</v>
      </c>
      <c r="AI266" s="120">
        <v>0.55000000000000004</v>
      </c>
    </row>
    <row r="267" spans="1:38">
      <c r="A267" s="32" t="s">
        <v>1357</v>
      </c>
      <c r="B267" s="32" t="s">
        <v>1542</v>
      </c>
      <c r="C267" s="32" t="s">
        <v>1548</v>
      </c>
      <c r="D267" s="32">
        <v>0.92</v>
      </c>
      <c r="E267" s="32">
        <v>0.88</v>
      </c>
      <c r="F267" s="32">
        <v>0.84</v>
      </c>
      <c r="G267" s="32">
        <v>0.8</v>
      </c>
      <c r="H267" s="32">
        <v>0.8</v>
      </c>
      <c r="I267" s="32">
        <v>0.8</v>
      </c>
      <c r="J267" s="32">
        <v>0.8</v>
      </c>
      <c r="K267" s="32">
        <v>0.8</v>
      </c>
      <c r="L267" s="105">
        <v>0.54</v>
      </c>
      <c r="M267" s="105">
        <v>0.5</v>
      </c>
      <c r="N267" s="105">
        <v>0.47</v>
      </c>
      <c r="O267" s="105">
        <v>0.45</v>
      </c>
      <c r="P267" s="105">
        <v>0.45</v>
      </c>
      <c r="Q267" s="105">
        <v>0.45</v>
      </c>
      <c r="R267" s="105">
        <v>0.45</v>
      </c>
      <c r="S267" s="116">
        <v>0.45</v>
      </c>
      <c r="T267" s="121">
        <v>1.2</v>
      </c>
      <c r="U267" s="115">
        <v>1.1000000000000001</v>
      </c>
      <c r="V267" s="115">
        <v>1.05</v>
      </c>
      <c r="W267" s="115">
        <v>1</v>
      </c>
      <c r="X267" s="115">
        <v>1</v>
      </c>
      <c r="Y267" s="115">
        <v>1</v>
      </c>
      <c r="Z267" s="115">
        <v>1</v>
      </c>
      <c r="AA267" s="122">
        <v>1</v>
      </c>
      <c r="AB267" s="119">
        <v>0.74</v>
      </c>
      <c r="AC267" s="115">
        <v>0.66</v>
      </c>
      <c r="AD267" s="115">
        <v>0.61</v>
      </c>
      <c r="AE267" s="115">
        <v>0.55000000000000004</v>
      </c>
      <c r="AF267" s="115">
        <v>0.55000000000000004</v>
      </c>
      <c r="AG267" s="105">
        <v>0.55000000000000004</v>
      </c>
      <c r="AH267" s="105">
        <v>0.55000000000000004</v>
      </c>
      <c r="AI267" s="120">
        <v>0.55000000000000004</v>
      </c>
    </row>
    <row r="268" spans="1:38">
      <c r="A268" s="32" t="s">
        <v>1357</v>
      </c>
      <c r="B268" s="32" t="s">
        <v>1542</v>
      </c>
      <c r="C268" s="32" t="s">
        <v>1544</v>
      </c>
      <c r="D268" s="32">
        <v>0.92</v>
      </c>
      <c r="E268" s="32">
        <v>0.88</v>
      </c>
      <c r="F268" s="32">
        <v>0.84</v>
      </c>
      <c r="G268" s="32">
        <v>0.8</v>
      </c>
      <c r="H268" s="32">
        <v>0.8</v>
      </c>
      <c r="I268" s="32">
        <v>0.8</v>
      </c>
      <c r="J268" s="32">
        <v>0.8</v>
      </c>
      <c r="K268" s="32">
        <v>0.8</v>
      </c>
      <c r="L268" s="105">
        <v>0.54</v>
      </c>
      <c r="M268" s="105">
        <v>0.5</v>
      </c>
      <c r="N268" s="105">
        <v>0.47</v>
      </c>
      <c r="O268" s="105">
        <v>0.45</v>
      </c>
      <c r="P268" s="105">
        <v>0.45</v>
      </c>
      <c r="Q268" s="105">
        <v>0.45</v>
      </c>
      <c r="R268" s="105">
        <v>0.45</v>
      </c>
      <c r="S268" s="116">
        <v>0.45</v>
      </c>
      <c r="T268" s="121">
        <v>1.2</v>
      </c>
      <c r="U268" s="115">
        <v>1.1000000000000001</v>
      </c>
      <c r="V268" s="115">
        <v>1.05</v>
      </c>
      <c r="W268" s="115">
        <v>1</v>
      </c>
      <c r="X268" s="115">
        <v>1</v>
      </c>
      <c r="Y268" s="115">
        <v>1</v>
      </c>
      <c r="Z268" s="115">
        <v>1</v>
      </c>
      <c r="AA268" s="122">
        <v>1</v>
      </c>
      <c r="AB268" s="119">
        <v>0.74</v>
      </c>
      <c r="AC268" s="115">
        <v>0.66</v>
      </c>
      <c r="AD268" s="115">
        <v>0.61</v>
      </c>
      <c r="AE268" s="115">
        <v>0.55000000000000004</v>
      </c>
      <c r="AF268" s="115">
        <v>0.55000000000000004</v>
      </c>
      <c r="AG268" s="105">
        <v>0.55000000000000004</v>
      </c>
      <c r="AH268" s="105">
        <v>0.55000000000000004</v>
      </c>
      <c r="AI268" s="120">
        <v>0.55000000000000004</v>
      </c>
    </row>
    <row r="269" spans="1:38">
      <c r="A269" s="32" t="s">
        <v>1357</v>
      </c>
      <c r="B269" s="32" t="s">
        <v>1542</v>
      </c>
      <c r="C269" s="32" t="s">
        <v>1547</v>
      </c>
      <c r="D269" s="32">
        <v>0.92</v>
      </c>
      <c r="E269" s="32">
        <v>0.88</v>
      </c>
      <c r="F269" s="32">
        <v>0.84</v>
      </c>
      <c r="G269" s="32">
        <v>0.8</v>
      </c>
      <c r="H269" s="32">
        <v>0.8</v>
      </c>
      <c r="I269" s="32">
        <v>0.8</v>
      </c>
      <c r="J269" s="32">
        <v>0.8</v>
      </c>
      <c r="K269" s="32">
        <v>0.8</v>
      </c>
      <c r="L269" s="105">
        <v>0.54</v>
      </c>
      <c r="M269" s="105">
        <v>0.5</v>
      </c>
      <c r="N269" s="105">
        <v>0.47</v>
      </c>
      <c r="O269" s="105">
        <v>0.45</v>
      </c>
      <c r="P269" s="105">
        <v>0.45</v>
      </c>
      <c r="Q269" s="105">
        <v>0.45</v>
      </c>
      <c r="R269" s="105">
        <v>0.45</v>
      </c>
      <c r="S269" s="116">
        <v>0.45</v>
      </c>
      <c r="T269" s="121">
        <v>1.2</v>
      </c>
      <c r="U269" s="115">
        <v>1.1000000000000001</v>
      </c>
      <c r="V269" s="115">
        <v>1.05</v>
      </c>
      <c r="W269" s="115">
        <v>1</v>
      </c>
      <c r="X269" s="115">
        <v>1</v>
      </c>
      <c r="Y269" s="115">
        <v>1</v>
      </c>
      <c r="Z269" s="115">
        <v>1</v>
      </c>
      <c r="AA269" s="122">
        <v>1</v>
      </c>
      <c r="AB269" s="119">
        <v>0.74</v>
      </c>
      <c r="AC269" s="115">
        <v>0.66</v>
      </c>
      <c r="AD269" s="115">
        <v>0.61</v>
      </c>
      <c r="AE269" s="115">
        <v>0.55000000000000004</v>
      </c>
      <c r="AF269" s="115">
        <v>0.55000000000000004</v>
      </c>
      <c r="AG269" s="105">
        <v>0.55000000000000004</v>
      </c>
      <c r="AH269" s="105">
        <v>0.55000000000000004</v>
      </c>
      <c r="AI269" s="120">
        <v>0.55000000000000004</v>
      </c>
    </row>
    <row r="270" spans="1:38">
      <c r="A270" s="32" t="s">
        <v>1357</v>
      </c>
      <c r="B270" s="32" t="s">
        <v>1542</v>
      </c>
      <c r="C270" s="32" t="s">
        <v>1546</v>
      </c>
      <c r="D270" s="32">
        <v>0.92</v>
      </c>
      <c r="E270" s="32">
        <v>0.88</v>
      </c>
      <c r="F270" s="32">
        <v>0.84</v>
      </c>
      <c r="G270" s="32">
        <v>0.8</v>
      </c>
      <c r="H270" s="32">
        <v>0.8</v>
      </c>
      <c r="I270" s="32">
        <v>0.8</v>
      </c>
      <c r="J270" s="32">
        <v>0.8</v>
      </c>
      <c r="K270" s="32">
        <v>0.8</v>
      </c>
      <c r="L270" s="105">
        <v>0.54</v>
      </c>
      <c r="M270" s="105">
        <v>0.5</v>
      </c>
      <c r="N270" s="105">
        <v>0.47</v>
      </c>
      <c r="O270" s="105">
        <v>0.45</v>
      </c>
      <c r="P270" s="105">
        <v>0.45</v>
      </c>
      <c r="Q270" s="105">
        <v>0.45</v>
      </c>
      <c r="R270" s="105">
        <v>0.45</v>
      </c>
      <c r="S270" s="116">
        <v>0.45</v>
      </c>
      <c r="T270" s="121">
        <v>1.2</v>
      </c>
      <c r="U270" s="115">
        <v>1.1000000000000001</v>
      </c>
      <c r="V270" s="115">
        <v>1.05</v>
      </c>
      <c r="W270" s="115">
        <v>1</v>
      </c>
      <c r="X270" s="115">
        <v>1</v>
      </c>
      <c r="Y270" s="115">
        <v>1</v>
      </c>
      <c r="Z270" s="115">
        <v>1</v>
      </c>
      <c r="AA270" s="122">
        <v>1</v>
      </c>
      <c r="AB270" s="119">
        <v>0.74</v>
      </c>
      <c r="AC270" s="115">
        <v>0.66</v>
      </c>
      <c r="AD270" s="115">
        <v>0.61</v>
      </c>
      <c r="AE270" s="115">
        <v>0.55000000000000004</v>
      </c>
      <c r="AF270" s="115">
        <v>0.55000000000000004</v>
      </c>
      <c r="AG270" s="105">
        <v>0.55000000000000004</v>
      </c>
      <c r="AH270" s="105">
        <v>0.55000000000000004</v>
      </c>
      <c r="AI270" s="120">
        <v>0.55000000000000004</v>
      </c>
    </row>
    <row r="271" spans="1:38">
      <c r="A271" s="32" t="s">
        <v>1357</v>
      </c>
      <c r="B271" s="32" t="s">
        <v>1542</v>
      </c>
      <c r="C271" s="32" t="s">
        <v>1545</v>
      </c>
      <c r="D271" s="32">
        <v>0.92</v>
      </c>
      <c r="E271" s="32">
        <v>0.88</v>
      </c>
      <c r="F271" s="32">
        <v>0.84</v>
      </c>
      <c r="G271" s="32">
        <v>0.8</v>
      </c>
      <c r="H271" s="32">
        <v>0.8</v>
      </c>
      <c r="I271" s="32">
        <v>0.8</v>
      </c>
      <c r="J271" s="32">
        <v>0.8</v>
      </c>
      <c r="K271" s="32">
        <v>0.8</v>
      </c>
      <c r="L271" s="105">
        <v>0.54</v>
      </c>
      <c r="M271" s="105">
        <v>0.5</v>
      </c>
      <c r="N271" s="105">
        <v>0.47</v>
      </c>
      <c r="O271" s="105">
        <v>0.45</v>
      </c>
      <c r="P271" s="105">
        <v>0.45</v>
      </c>
      <c r="Q271" s="105">
        <v>0.45</v>
      </c>
      <c r="R271" s="105">
        <v>0.45</v>
      </c>
      <c r="S271" s="116">
        <v>0.45</v>
      </c>
      <c r="T271" s="121">
        <v>1.2</v>
      </c>
      <c r="U271" s="115">
        <v>1.1000000000000001</v>
      </c>
      <c r="V271" s="115">
        <v>1.05</v>
      </c>
      <c r="W271" s="115">
        <v>1</v>
      </c>
      <c r="X271" s="115">
        <v>1</v>
      </c>
      <c r="Y271" s="115">
        <v>1</v>
      </c>
      <c r="Z271" s="115">
        <v>1</v>
      </c>
      <c r="AA271" s="122">
        <v>1</v>
      </c>
      <c r="AB271" s="119">
        <v>0.74</v>
      </c>
      <c r="AC271" s="115">
        <v>0.66</v>
      </c>
      <c r="AD271" s="115">
        <v>0.61</v>
      </c>
      <c r="AE271" s="115">
        <v>0.55000000000000004</v>
      </c>
      <c r="AF271" s="115">
        <v>0.55000000000000004</v>
      </c>
      <c r="AG271" s="105">
        <v>0.55000000000000004</v>
      </c>
      <c r="AH271" s="105">
        <v>0.55000000000000004</v>
      </c>
      <c r="AI271" s="120">
        <v>0.55000000000000004</v>
      </c>
    </row>
    <row r="272" spans="1:38">
      <c r="A272" s="32" t="s">
        <v>1357</v>
      </c>
      <c r="B272" s="32" t="s">
        <v>1542</v>
      </c>
      <c r="C272" s="32" t="s">
        <v>1549</v>
      </c>
      <c r="D272" s="32">
        <v>0.92</v>
      </c>
      <c r="E272" s="32">
        <v>0.88</v>
      </c>
      <c r="F272" s="32">
        <v>0.84</v>
      </c>
      <c r="G272" s="32">
        <v>0.8</v>
      </c>
      <c r="H272" s="34">
        <v>0.7</v>
      </c>
      <c r="I272" s="34">
        <v>0.7</v>
      </c>
      <c r="J272" s="34">
        <v>0.7</v>
      </c>
      <c r="K272" s="34">
        <v>0.7</v>
      </c>
      <c r="L272" s="105">
        <v>0.54</v>
      </c>
      <c r="M272" s="105">
        <v>0.5</v>
      </c>
      <c r="N272" s="105">
        <v>0.47</v>
      </c>
      <c r="O272" s="105">
        <v>0.45</v>
      </c>
      <c r="P272" s="114">
        <v>0.4</v>
      </c>
      <c r="Q272" s="114">
        <v>0.4</v>
      </c>
      <c r="R272" s="114">
        <v>0.4</v>
      </c>
      <c r="S272" s="117">
        <v>0.4</v>
      </c>
      <c r="T272" s="121">
        <v>1.2</v>
      </c>
      <c r="U272" s="115">
        <v>1.1000000000000001</v>
      </c>
      <c r="V272" s="115">
        <v>1.05</v>
      </c>
      <c r="W272" s="115">
        <v>1</v>
      </c>
      <c r="X272" s="114">
        <v>0.9</v>
      </c>
      <c r="Y272" s="114">
        <v>0.9</v>
      </c>
      <c r="Z272" s="114">
        <v>0.9</v>
      </c>
      <c r="AA272" s="123">
        <v>0.9</v>
      </c>
      <c r="AB272" s="119">
        <v>0.74</v>
      </c>
      <c r="AC272" s="115">
        <v>0.66</v>
      </c>
      <c r="AD272" s="115">
        <v>0.61</v>
      </c>
      <c r="AE272" s="115">
        <v>0.55000000000000004</v>
      </c>
      <c r="AF272" s="114">
        <v>0.5</v>
      </c>
      <c r="AG272" s="114">
        <v>0.5</v>
      </c>
      <c r="AH272" s="114">
        <v>0.5</v>
      </c>
      <c r="AI272" s="123">
        <v>0.5</v>
      </c>
    </row>
    <row r="273" spans="1:35">
      <c r="A273" s="32" t="s">
        <v>1357</v>
      </c>
      <c r="B273" s="32" t="s">
        <v>1542</v>
      </c>
      <c r="C273" s="32" t="s">
        <v>1550</v>
      </c>
      <c r="D273" s="32">
        <v>0.92</v>
      </c>
      <c r="E273" s="32">
        <v>0.88</v>
      </c>
      <c r="F273" s="32">
        <v>0.84</v>
      </c>
      <c r="G273" s="32">
        <v>0.8</v>
      </c>
      <c r="H273" s="34">
        <v>0.7</v>
      </c>
      <c r="I273" s="34">
        <v>0.7</v>
      </c>
      <c r="J273" s="34">
        <v>0.7</v>
      </c>
      <c r="K273" s="34">
        <v>0.7</v>
      </c>
      <c r="L273" s="105">
        <v>0.54</v>
      </c>
      <c r="M273" s="105">
        <v>0.5</v>
      </c>
      <c r="N273" s="105">
        <v>0.47</v>
      </c>
      <c r="O273" s="105">
        <v>0.45</v>
      </c>
      <c r="P273" s="114">
        <v>0.4</v>
      </c>
      <c r="Q273" s="114">
        <v>0.4</v>
      </c>
      <c r="R273" s="114">
        <v>0.4</v>
      </c>
      <c r="S273" s="117">
        <v>0.4</v>
      </c>
      <c r="T273" s="121">
        <v>1.2</v>
      </c>
      <c r="U273" s="115">
        <v>1.1000000000000001</v>
      </c>
      <c r="V273" s="115">
        <v>1.05</v>
      </c>
      <c r="W273" s="115">
        <v>1</v>
      </c>
      <c r="X273" s="114">
        <v>0.9</v>
      </c>
      <c r="Y273" s="114">
        <v>0.9</v>
      </c>
      <c r="Z273" s="114">
        <v>0.9</v>
      </c>
      <c r="AA273" s="123">
        <v>0.9</v>
      </c>
      <c r="AB273" s="119">
        <v>0.74</v>
      </c>
      <c r="AC273" s="115">
        <v>0.66</v>
      </c>
      <c r="AD273" s="115">
        <v>0.61</v>
      </c>
      <c r="AE273" s="115">
        <v>0.55000000000000004</v>
      </c>
      <c r="AF273" s="114">
        <v>0.5</v>
      </c>
      <c r="AG273" s="114">
        <v>0.5</v>
      </c>
      <c r="AH273" s="114">
        <v>0.5</v>
      </c>
      <c r="AI273" s="123">
        <v>0.5</v>
      </c>
    </row>
    <row r="274" spans="1:35">
      <c r="A274" s="32" t="s">
        <v>1357</v>
      </c>
      <c r="B274" s="32" t="s">
        <v>1542</v>
      </c>
      <c r="C274" s="32" t="s">
        <v>1551</v>
      </c>
      <c r="D274" s="32">
        <v>0.92</v>
      </c>
      <c r="E274" s="32">
        <v>0.88</v>
      </c>
      <c r="F274" s="32">
        <v>0.84</v>
      </c>
      <c r="G274" s="32">
        <v>0.8</v>
      </c>
      <c r="H274" s="34">
        <v>0.7</v>
      </c>
      <c r="I274" s="34">
        <v>0.7</v>
      </c>
      <c r="J274" s="34">
        <v>0.7</v>
      </c>
      <c r="K274" s="34">
        <v>0.7</v>
      </c>
      <c r="L274" s="105">
        <v>0.54</v>
      </c>
      <c r="M274" s="105">
        <v>0.5</v>
      </c>
      <c r="N274" s="105">
        <v>0.47</v>
      </c>
      <c r="O274" s="105">
        <v>0.45</v>
      </c>
      <c r="P274" s="114">
        <v>0.4</v>
      </c>
      <c r="Q274" s="114">
        <v>0.4</v>
      </c>
      <c r="R274" s="114">
        <v>0.4</v>
      </c>
      <c r="S274" s="117">
        <v>0.4</v>
      </c>
      <c r="T274" s="121">
        <v>1.2</v>
      </c>
      <c r="U274" s="115">
        <v>1.1000000000000001</v>
      </c>
      <c r="V274" s="115">
        <v>1.05</v>
      </c>
      <c r="W274" s="115">
        <v>1</v>
      </c>
      <c r="X274" s="114">
        <v>0.9</v>
      </c>
      <c r="Y274" s="114">
        <v>0.9</v>
      </c>
      <c r="Z274" s="114">
        <v>0.9</v>
      </c>
      <c r="AA274" s="123">
        <v>0.9</v>
      </c>
      <c r="AB274" s="119">
        <v>0.74</v>
      </c>
      <c r="AC274" s="115">
        <v>0.66</v>
      </c>
      <c r="AD274" s="115">
        <v>0.61</v>
      </c>
      <c r="AE274" s="115">
        <v>0.55000000000000004</v>
      </c>
      <c r="AF274" s="114">
        <v>0.5</v>
      </c>
      <c r="AG274" s="114">
        <v>0.5</v>
      </c>
      <c r="AH274" s="114">
        <v>0.5</v>
      </c>
      <c r="AI274" s="123">
        <v>0.5</v>
      </c>
    </row>
    <row r="275" spans="1:35">
      <c r="A275" s="32" t="s">
        <v>1357</v>
      </c>
      <c r="B275" s="32" t="s">
        <v>1542</v>
      </c>
      <c r="C275" s="32" t="s">
        <v>1553</v>
      </c>
      <c r="D275" s="32">
        <v>0.92</v>
      </c>
      <c r="E275" s="32">
        <v>0.88</v>
      </c>
      <c r="F275" s="32">
        <v>0.84</v>
      </c>
      <c r="G275" s="32">
        <v>0.8</v>
      </c>
      <c r="H275" s="34">
        <v>0.7</v>
      </c>
      <c r="I275" s="34">
        <v>0.7</v>
      </c>
      <c r="J275" s="34">
        <v>0.7</v>
      </c>
      <c r="K275" s="34">
        <v>0.7</v>
      </c>
      <c r="L275" s="105">
        <v>0.54</v>
      </c>
      <c r="M275" s="105">
        <v>0.5</v>
      </c>
      <c r="N275" s="105">
        <v>0.47</v>
      </c>
      <c r="O275" s="105">
        <v>0.45</v>
      </c>
      <c r="P275" s="114">
        <v>0.4</v>
      </c>
      <c r="Q275" s="114">
        <v>0.4</v>
      </c>
      <c r="R275" s="114">
        <v>0.4</v>
      </c>
      <c r="S275" s="117">
        <v>0.4</v>
      </c>
      <c r="T275" s="121">
        <v>1.2</v>
      </c>
      <c r="U275" s="115">
        <v>1.1000000000000001</v>
      </c>
      <c r="V275" s="115">
        <v>1.05</v>
      </c>
      <c r="W275" s="115">
        <v>1</v>
      </c>
      <c r="X275" s="114">
        <v>0.9</v>
      </c>
      <c r="Y275" s="114">
        <v>0.9</v>
      </c>
      <c r="Z275" s="114">
        <v>0.9</v>
      </c>
      <c r="AA275" s="123">
        <v>0.9</v>
      </c>
      <c r="AB275" s="119">
        <v>0.74</v>
      </c>
      <c r="AC275" s="115">
        <v>0.66</v>
      </c>
      <c r="AD275" s="115">
        <v>0.61</v>
      </c>
      <c r="AE275" s="115">
        <v>0.55000000000000004</v>
      </c>
      <c r="AF275" s="114">
        <v>0.5</v>
      </c>
      <c r="AG275" s="114">
        <v>0.5</v>
      </c>
      <c r="AH275" s="114">
        <v>0.5</v>
      </c>
      <c r="AI275" s="123">
        <v>0.5</v>
      </c>
    </row>
    <row r="276" spans="1:35">
      <c r="A276" s="32" t="s">
        <v>1357</v>
      </c>
      <c r="B276" s="32" t="s">
        <v>1542</v>
      </c>
      <c r="C276" s="32" t="s">
        <v>1552</v>
      </c>
      <c r="D276" s="32">
        <v>0.92</v>
      </c>
      <c r="E276" s="32">
        <v>0.88</v>
      </c>
      <c r="F276" s="32">
        <v>0.84</v>
      </c>
      <c r="G276" s="32">
        <v>0.8</v>
      </c>
      <c r="H276" s="34">
        <v>0.7</v>
      </c>
      <c r="I276" s="34">
        <v>0.7</v>
      </c>
      <c r="J276" s="34">
        <v>0.7</v>
      </c>
      <c r="K276" s="34">
        <v>0.7</v>
      </c>
      <c r="L276" s="105">
        <v>0.54</v>
      </c>
      <c r="M276" s="105">
        <v>0.5</v>
      </c>
      <c r="N276" s="105">
        <v>0.47</v>
      </c>
      <c r="O276" s="105">
        <v>0.45</v>
      </c>
      <c r="P276" s="114">
        <v>0.4</v>
      </c>
      <c r="Q276" s="114">
        <v>0.4</v>
      </c>
      <c r="R276" s="114">
        <v>0.4</v>
      </c>
      <c r="S276" s="117">
        <v>0.4</v>
      </c>
      <c r="T276" s="121">
        <v>1.2</v>
      </c>
      <c r="U276" s="115">
        <v>1.1000000000000001</v>
      </c>
      <c r="V276" s="115">
        <v>1.05</v>
      </c>
      <c r="W276" s="115">
        <v>1</v>
      </c>
      <c r="X276" s="114">
        <v>0.9</v>
      </c>
      <c r="Y276" s="114">
        <v>0.9</v>
      </c>
      <c r="Z276" s="114">
        <v>0.9</v>
      </c>
      <c r="AA276" s="123">
        <v>0.9</v>
      </c>
      <c r="AB276" s="119">
        <v>0.74</v>
      </c>
      <c r="AC276" s="115">
        <v>0.66</v>
      </c>
      <c r="AD276" s="115">
        <v>0.61</v>
      </c>
      <c r="AE276" s="115">
        <v>0.55000000000000004</v>
      </c>
      <c r="AF276" s="114">
        <v>0.5</v>
      </c>
      <c r="AG276" s="114">
        <v>0.5</v>
      </c>
      <c r="AH276" s="114">
        <v>0.5</v>
      </c>
      <c r="AI276" s="123">
        <v>0.5</v>
      </c>
    </row>
    <row r="277" spans="1:35">
      <c r="A277" s="32" t="s">
        <v>1357</v>
      </c>
      <c r="B277" s="32" t="s">
        <v>1542</v>
      </c>
      <c r="C277" s="32" t="s">
        <v>1554</v>
      </c>
      <c r="D277" s="32">
        <v>0.92</v>
      </c>
      <c r="E277" s="32">
        <v>0.88</v>
      </c>
      <c r="F277" s="32">
        <v>0.84</v>
      </c>
      <c r="G277" s="32">
        <v>0.8</v>
      </c>
      <c r="H277" s="34">
        <v>0.7</v>
      </c>
      <c r="I277" s="34">
        <v>0.7</v>
      </c>
      <c r="J277" s="34">
        <v>0.7</v>
      </c>
      <c r="K277" s="34">
        <v>0.7</v>
      </c>
      <c r="L277" s="105">
        <v>0.54</v>
      </c>
      <c r="M277" s="105">
        <v>0.5</v>
      </c>
      <c r="N277" s="105">
        <v>0.47</v>
      </c>
      <c r="O277" s="105">
        <v>0.45</v>
      </c>
      <c r="P277" s="114">
        <v>0.4</v>
      </c>
      <c r="Q277" s="114">
        <v>0.4</v>
      </c>
      <c r="R277" s="114">
        <v>0.4</v>
      </c>
      <c r="S277" s="117">
        <v>0.4</v>
      </c>
      <c r="T277" s="121">
        <v>1.2</v>
      </c>
      <c r="U277" s="115">
        <v>1.1000000000000001</v>
      </c>
      <c r="V277" s="115">
        <v>1.05</v>
      </c>
      <c r="W277" s="115">
        <v>1</v>
      </c>
      <c r="X277" s="114">
        <v>0.9</v>
      </c>
      <c r="Y277" s="114">
        <v>0.9</v>
      </c>
      <c r="Z277" s="114">
        <v>0.9</v>
      </c>
      <c r="AA277" s="123">
        <v>0.9</v>
      </c>
      <c r="AB277" s="119">
        <v>0.74</v>
      </c>
      <c r="AC277" s="115">
        <v>0.66</v>
      </c>
      <c r="AD277" s="115">
        <v>0.61</v>
      </c>
      <c r="AE277" s="115">
        <v>0.55000000000000004</v>
      </c>
      <c r="AF277" s="114">
        <v>0.5</v>
      </c>
      <c r="AG277" s="114">
        <v>0.5</v>
      </c>
      <c r="AH277" s="114">
        <v>0.5</v>
      </c>
      <c r="AI277" s="123">
        <v>0.5</v>
      </c>
    </row>
    <row r="278" spans="1:35">
      <c r="A278" s="32" t="s">
        <v>1357</v>
      </c>
      <c r="B278" s="32" t="s">
        <v>1542</v>
      </c>
      <c r="C278" s="32" t="s">
        <v>1555</v>
      </c>
      <c r="D278" s="32">
        <v>0.92</v>
      </c>
      <c r="E278" s="32">
        <v>0.88</v>
      </c>
      <c r="F278" s="32">
        <v>0.84</v>
      </c>
      <c r="G278" s="32">
        <v>0.8</v>
      </c>
      <c r="H278" s="34">
        <v>0.7</v>
      </c>
      <c r="I278" s="34">
        <v>0.7</v>
      </c>
      <c r="J278" s="34">
        <v>0.7</v>
      </c>
      <c r="K278" s="34">
        <v>0.7</v>
      </c>
      <c r="L278" s="105">
        <v>0.54</v>
      </c>
      <c r="M278" s="105">
        <v>0.5</v>
      </c>
      <c r="N278" s="105">
        <v>0.47</v>
      </c>
      <c r="O278" s="105">
        <v>0.45</v>
      </c>
      <c r="P278" s="114">
        <v>0.4</v>
      </c>
      <c r="Q278" s="114">
        <v>0.4</v>
      </c>
      <c r="R278" s="114">
        <v>0.4</v>
      </c>
      <c r="S278" s="117">
        <v>0.4</v>
      </c>
      <c r="T278" s="121">
        <v>1.2</v>
      </c>
      <c r="U278" s="115">
        <v>1.1000000000000001</v>
      </c>
      <c r="V278" s="115">
        <v>1.05</v>
      </c>
      <c r="W278" s="115">
        <v>1</v>
      </c>
      <c r="X278" s="114">
        <v>0.9</v>
      </c>
      <c r="Y278" s="114">
        <v>0.9</v>
      </c>
      <c r="Z278" s="114">
        <v>0.9</v>
      </c>
      <c r="AA278" s="123">
        <v>0.9</v>
      </c>
      <c r="AB278" s="119">
        <v>0.74</v>
      </c>
      <c r="AC278" s="115">
        <v>0.66</v>
      </c>
      <c r="AD278" s="115">
        <v>0.61</v>
      </c>
      <c r="AE278" s="115">
        <v>0.55000000000000004</v>
      </c>
      <c r="AF278" s="114">
        <v>0.5</v>
      </c>
      <c r="AG278" s="114">
        <v>0.5</v>
      </c>
      <c r="AH278" s="114">
        <v>0.5</v>
      </c>
      <c r="AI278" s="123">
        <v>0.5</v>
      </c>
    </row>
    <row r="279" spans="1:35">
      <c r="A279" s="32" t="s">
        <v>1357</v>
      </c>
      <c r="B279" s="32" t="s">
        <v>1542</v>
      </c>
      <c r="C279" s="32" t="s">
        <v>1556</v>
      </c>
      <c r="D279" s="32">
        <v>0.92</v>
      </c>
      <c r="E279" s="32">
        <v>0.88</v>
      </c>
      <c r="F279" s="32">
        <v>0.84</v>
      </c>
      <c r="G279" s="32">
        <v>0.8</v>
      </c>
      <c r="H279" s="34">
        <v>0.7</v>
      </c>
      <c r="I279" s="34">
        <v>0.7</v>
      </c>
      <c r="J279" s="34">
        <v>0.7</v>
      </c>
      <c r="K279" s="34">
        <v>0.7</v>
      </c>
      <c r="L279" s="105">
        <v>0.54</v>
      </c>
      <c r="M279" s="105">
        <v>0.5</v>
      </c>
      <c r="N279" s="105">
        <v>0.47</v>
      </c>
      <c r="O279" s="105">
        <v>0.45</v>
      </c>
      <c r="P279" s="114">
        <v>0.4</v>
      </c>
      <c r="Q279" s="114">
        <v>0.4</v>
      </c>
      <c r="R279" s="114">
        <v>0.4</v>
      </c>
      <c r="S279" s="117">
        <v>0.4</v>
      </c>
      <c r="T279" s="121">
        <v>1.2</v>
      </c>
      <c r="U279" s="115">
        <v>1.1000000000000001</v>
      </c>
      <c r="V279" s="115">
        <v>1.05</v>
      </c>
      <c r="W279" s="115">
        <v>1</v>
      </c>
      <c r="X279" s="114">
        <v>0.9</v>
      </c>
      <c r="Y279" s="114">
        <v>0.9</v>
      </c>
      <c r="Z279" s="114">
        <v>0.9</v>
      </c>
      <c r="AA279" s="123">
        <v>0.9</v>
      </c>
      <c r="AB279" s="119">
        <v>0.74</v>
      </c>
      <c r="AC279" s="115">
        <v>0.66</v>
      </c>
      <c r="AD279" s="115">
        <v>0.61</v>
      </c>
      <c r="AE279" s="115">
        <v>0.55000000000000004</v>
      </c>
      <c r="AF279" s="114">
        <v>0.5</v>
      </c>
      <c r="AG279" s="114">
        <v>0.5</v>
      </c>
      <c r="AH279" s="114">
        <v>0.5</v>
      </c>
      <c r="AI279" s="123">
        <v>0.5</v>
      </c>
    </row>
    <row r="280" spans="1:35">
      <c r="A280" s="32" t="s">
        <v>1357</v>
      </c>
      <c r="B280" s="32" t="s">
        <v>1558</v>
      </c>
      <c r="C280" s="32" t="s">
        <v>1557</v>
      </c>
      <c r="D280" s="32">
        <v>0.92</v>
      </c>
      <c r="E280" s="32">
        <v>0.88</v>
      </c>
      <c r="F280" s="32">
        <v>0.84</v>
      </c>
      <c r="G280" s="32">
        <v>0.8</v>
      </c>
      <c r="H280" s="34">
        <v>0.7</v>
      </c>
      <c r="I280" s="34">
        <v>0.7</v>
      </c>
      <c r="J280" s="34">
        <v>0.7</v>
      </c>
      <c r="K280" s="34">
        <v>0.7</v>
      </c>
      <c r="L280" s="105">
        <v>0.54</v>
      </c>
      <c r="M280" s="105">
        <v>0.5</v>
      </c>
      <c r="N280" s="105">
        <v>0.47</v>
      </c>
      <c r="O280" s="105">
        <v>0.45</v>
      </c>
      <c r="P280" s="114">
        <v>0.4</v>
      </c>
      <c r="Q280" s="114">
        <v>0.4</v>
      </c>
      <c r="R280" s="114">
        <v>0.4</v>
      </c>
      <c r="S280" s="117">
        <v>0.4</v>
      </c>
      <c r="T280" s="121">
        <v>1.2</v>
      </c>
      <c r="U280" s="115">
        <v>1.1000000000000001</v>
      </c>
      <c r="V280" s="115">
        <v>1.05</v>
      </c>
      <c r="W280" s="115">
        <v>1</v>
      </c>
      <c r="X280" s="114">
        <v>0.9</v>
      </c>
      <c r="Y280" s="114">
        <v>0.9</v>
      </c>
      <c r="Z280" s="114">
        <v>0.9</v>
      </c>
      <c r="AA280" s="123">
        <v>0.9</v>
      </c>
      <c r="AB280" s="119">
        <v>0.74</v>
      </c>
      <c r="AC280" s="115">
        <v>0.66</v>
      </c>
      <c r="AD280" s="115">
        <v>0.61</v>
      </c>
      <c r="AE280" s="115">
        <v>0.55000000000000004</v>
      </c>
      <c r="AF280" s="114">
        <v>0.5</v>
      </c>
      <c r="AG280" s="114">
        <v>0.5</v>
      </c>
      <c r="AH280" s="114">
        <v>0.5</v>
      </c>
      <c r="AI280" s="123">
        <v>0.5</v>
      </c>
    </row>
    <row r="281" spans="1:35" ht="110.25">
      <c r="A281" s="33" t="s">
        <v>1481</v>
      </c>
      <c r="B281" s="111" t="s">
        <v>1570</v>
      </c>
      <c r="C281" s="111" t="s">
        <v>1571</v>
      </c>
      <c r="D281" s="32">
        <v>1.1399999999999999</v>
      </c>
      <c r="E281" s="32">
        <v>1.1000000000000001</v>
      </c>
      <c r="F281" s="32">
        <v>1.06</v>
      </c>
      <c r="G281" s="32">
        <v>1.01</v>
      </c>
      <c r="H281" s="32">
        <v>0.94</v>
      </c>
      <c r="I281" s="32">
        <v>0.87</v>
      </c>
      <c r="J281" s="32">
        <v>0.8</v>
      </c>
      <c r="K281" s="32">
        <v>0.8</v>
      </c>
      <c r="L281" s="105">
        <v>0.71</v>
      </c>
      <c r="M281" s="105">
        <v>0.69</v>
      </c>
      <c r="N281" s="105">
        <v>0.65</v>
      </c>
      <c r="O281" s="105">
        <v>0.61</v>
      </c>
      <c r="P281" s="105">
        <v>0.56000000000000005</v>
      </c>
      <c r="Q281" s="105">
        <v>0.51</v>
      </c>
      <c r="R281" s="105">
        <v>0.45</v>
      </c>
      <c r="S281" s="116">
        <v>0.45</v>
      </c>
      <c r="T281" s="119">
        <v>1.32</v>
      </c>
      <c r="U281" s="105">
        <v>1.27</v>
      </c>
      <c r="V281" s="105">
        <v>1.18</v>
      </c>
      <c r="W281" s="105">
        <v>1.0900000000000001</v>
      </c>
      <c r="X281" s="105">
        <v>1.04</v>
      </c>
      <c r="Y281" s="105">
        <v>1.01</v>
      </c>
      <c r="Z281" s="115">
        <v>1</v>
      </c>
      <c r="AA281" s="122">
        <v>1</v>
      </c>
      <c r="AB281" s="119">
        <v>0.87</v>
      </c>
      <c r="AC281" s="115">
        <v>0.83</v>
      </c>
      <c r="AD281" s="115">
        <v>0.76</v>
      </c>
      <c r="AE281" s="115">
        <v>0.7</v>
      </c>
      <c r="AF281" s="115">
        <v>0.66</v>
      </c>
      <c r="AG281" s="105">
        <v>0.61</v>
      </c>
      <c r="AH281" s="105">
        <v>0.55000000000000004</v>
      </c>
      <c r="AI281" s="120">
        <v>0.55000000000000004</v>
      </c>
    </row>
    <row r="282" spans="1:35" ht="110.25">
      <c r="A282" s="33" t="s">
        <v>1481</v>
      </c>
      <c r="B282" s="111" t="s">
        <v>1570</v>
      </c>
      <c r="C282" s="111" t="s">
        <v>1572</v>
      </c>
      <c r="D282" s="32">
        <v>1.1399999999999999</v>
      </c>
      <c r="E282" s="32">
        <v>1.1000000000000001</v>
      </c>
      <c r="F282" s="32">
        <v>1.06</v>
      </c>
      <c r="G282" s="32">
        <v>1.01</v>
      </c>
      <c r="H282" s="32">
        <v>0.94</v>
      </c>
      <c r="I282" s="32">
        <v>0.87</v>
      </c>
      <c r="J282" s="32">
        <v>0.8</v>
      </c>
      <c r="K282" s="32">
        <v>0.8</v>
      </c>
      <c r="L282" s="105">
        <v>0.71</v>
      </c>
      <c r="M282" s="105">
        <v>0.69</v>
      </c>
      <c r="N282" s="105">
        <v>0.65</v>
      </c>
      <c r="O282" s="105">
        <v>0.61</v>
      </c>
      <c r="P282" s="105">
        <v>0.56000000000000005</v>
      </c>
      <c r="Q282" s="105">
        <v>0.51</v>
      </c>
      <c r="R282" s="105">
        <v>0.45</v>
      </c>
      <c r="S282" s="116">
        <v>0.45</v>
      </c>
      <c r="T282" s="119">
        <v>1.32</v>
      </c>
      <c r="U282" s="105">
        <v>1.27</v>
      </c>
      <c r="V282" s="105">
        <v>1.18</v>
      </c>
      <c r="W282" s="105">
        <v>1.0900000000000001</v>
      </c>
      <c r="X282" s="105">
        <v>1.04</v>
      </c>
      <c r="Y282" s="105">
        <v>1.01</v>
      </c>
      <c r="Z282" s="115">
        <v>1</v>
      </c>
      <c r="AA282" s="122">
        <v>1</v>
      </c>
      <c r="AB282" s="119">
        <v>0.87</v>
      </c>
      <c r="AC282" s="115">
        <v>0.83</v>
      </c>
      <c r="AD282" s="115">
        <v>0.76</v>
      </c>
      <c r="AE282" s="115">
        <v>0.7</v>
      </c>
      <c r="AF282" s="115">
        <v>0.66</v>
      </c>
      <c r="AG282" s="105">
        <v>0.61</v>
      </c>
      <c r="AH282" s="105">
        <v>0.55000000000000004</v>
      </c>
      <c r="AI282" s="120">
        <v>0.55000000000000004</v>
      </c>
    </row>
    <row r="283" spans="1:35" ht="110.25">
      <c r="A283" s="33" t="s">
        <v>1481</v>
      </c>
      <c r="B283" s="111" t="s">
        <v>1570</v>
      </c>
      <c r="C283" s="111" t="s">
        <v>1573</v>
      </c>
      <c r="D283" s="32">
        <v>1.1399999999999999</v>
      </c>
      <c r="E283" s="32">
        <v>1.1000000000000001</v>
      </c>
      <c r="F283" s="32">
        <v>1.06</v>
      </c>
      <c r="G283" s="32">
        <v>1.01</v>
      </c>
      <c r="H283" s="32">
        <v>0.94</v>
      </c>
      <c r="I283" s="32">
        <v>0.87</v>
      </c>
      <c r="J283" s="32">
        <v>0.8</v>
      </c>
      <c r="K283" s="32">
        <v>0.8</v>
      </c>
      <c r="L283" s="105">
        <v>0.71</v>
      </c>
      <c r="M283" s="105">
        <v>0.69</v>
      </c>
      <c r="N283" s="105">
        <v>0.65</v>
      </c>
      <c r="O283" s="105">
        <v>0.61</v>
      </c>
      <c r="P283" s="105">
        <v>0.56000000000000005</v>
      </c>
      <c r="Q283" s="105">
        <v>0.51</v>
      </c>
      <c r="R283" s="105">
        <v>0.45</v>
      </c>
      <c r="S283" s="116">
        <v>0.45</v>
      </c>
      <c r="T283" s="119">
        <v>1.32</v>
      </c>
      <c r="U283" s="105">
        <v>1.27</v>
      </c>
      <c r="V283" s="105">
        <v>1.18</v>
      </c>
      <c r="W283" s="105">
        <v>1.0900000000000001</v>
      </c>
      <c r="X283" s="105">
        <v>1.04</v>
      </c>
      <c r="Y283" s="105">
        <v>1.01</v>
      </c>
      <c r="Z283" s="115">
        <v>1</v>
      </c>
      <c r="AA283" s="122">
        <v>1</v>
      </c>
      <c r="AB283" s="119">
        <v>0.87</v>
      </c>
      <c r="AC283" s="115">
        <v>0.83</v>
      </c>
      <c r="AD283" s="115">
        <v>0.76</v>
      </c>
      <c r="AE283" s="115">
        <v>0.7</v>
      </c>
      <c r="AF283" s="115">
        <v>0.66</v>
      </c>
      <c r="AG283" s="105">
        <v>0.61</v>
      </c>
      <c r="AH283" s="105">
        <v>0.55000000000000004</v>
      </c>
      <c r="AI283" s="120">
        <v>0.55000000000000004</v>
      </c>
    </row>
    <row r="284" spans="1:35" ht="110.25">
      <c r="A284" s="33" t="s">
        <v>1481</v>
      </c>
      <c r="B284" s="111" t="s">
        <v>1570</v>
      </c>
      <c r="C284" s="111" t="s">
        <v>1574</v>
      </c>
      <c r="D284" s="32">
        <v>1.1399999999999999</v>
      </c>
      <c r="E284" s="32">
        <v>1.1000000000000001</v>
      </c>
      <c r="F284" s="32">
        <v>1.06</v>
      </c>
      <c r="G284" s="32">
        <v>1.01</v>
      </c>
      <c r="H284" s="32">
        <v>0.94</v>
      </c>
      <c r="I284" s="32">
        <v>0.87</v>
      </c>
      <c r="J284" s="32">
        <v>0.8</v>
      </c>
      <c r="K284" s="32">
        <v>0.8</v>
      </c>
      <c r="L284" s="105">
        <v>0.71</v>
      </c>
      <c r="M284" s="105">
        <v>0.69</v>
      </c>
      <c r="N284" s="105">
        <v>0.65</v>
      </c>
      <c r="O284" s="105">
        <v>0.61</v>
      </c>
      <c r="P284" s="105">
        <v>0.56000000000000005</v>
      </c>
      <c r="Q284" s="105">
        <v>0.51</v>
      </c>
      <c r="R284" s="105">
        <v>0.45</v>
      </c>
      <c r="S284" s="116">
        <v>0.45</v>
      </c>
      <c r="T284" s="119">
        <v>1.32</v>
      </c>
      <c r="U284" s="105">
        <v>1.27</v>
      </c>
      <c r="V284" s="105">
        <v>1.18</v>
      </c>
      <c r="W284" s="105">
        <v>1.0900000000000001</v>
      </c>
      <c r="X284" s="105">
        <v>1.04</v>
      </c>
      <c r="Y284" s="105">
        <v>1.01</v>
      </c>
      <c r="Z284" s="115">
        <v>1</v>
      </c>
      <c r="AA284" s="122">
        <v>1</v>
      </c>
      <c r="AB284" s="119">
        <v>0.87</v>
      </c>
      <c r="AC284" s="115">
        <v>0.83</v>
      </c>
      <c r="AD284" s="115">
        <v>0.76</v>
      </c>
      <c r="AE284" s="115">
        <v>0.7</v>
      </c>
      <c r="AF284" s="115">
        <v>0.66</v>
      </c>
      <c r="AG284" s="105">
        <v>0.61</v>
      </c>
      <c r="AH284" s="105">
        <v>0.55000000000000004</v>
      </c>
      <c r="AI284" s="120">
        <v>0.55000000000000004</v>
      </c>
    </row>
    <row r="285" spans="1:35" ht="110.25">
      <c r="A285" s="33" t="s">
        <v>1481</v>
      </c>
      <c r="B285" s="111" t="s">
        <v>1570</v>
      </c>
      <c r="C285" s="111" t="s">
        <v>1575</v>
      </c>
      <c r="D285" s="32">
        <v>1.1399999999999999</v>
      </c>
      <c r="E285" s="32">
        <v>1.1000000000000001</v>
      </c>
      <c r="F285" s="32">
        <v>1.06</v>
      </c>
      <c r="G285" s="32">
        <v>1.01</v>
      </c>
      <c r="H285" s="32">
        <v>0.94</v>
      </c>
      <c r="I285" s="32">
        <v>0.87</v>
      </c>
      <c r="J285" s="32">
        <v>0.8</v>
      </c>
      <c r="K285" s="32">
        <v>0.8</v>
      </c>
      <c r="L285" s="105">
        <v>0.71</v>
      </c>
      <c r="M285" s="105">
        <v>0.69</v>
      </c>
      <c r="N285" s="105">
        <v>0.65</v>
      </c>
      <c r="O285" s="105">
        <v>0.61</v>
      </c>
      <c r="P285" s="105">
        <v>0.56000000000000005</v>
      </c>
      <c r="Q285" s="105">
        <v>0.51</v>
      </c>
      <c r="R285" s="105">
        <v>0.45</v>
      </c>
      <c r="S285" s="116">
        <v>0.45</v>
      </c>
      <c r="T285" s="119">
        <v>1.32</v>
      </c>
      <c r="U285" s="105">
        <v>1.27</v>
      </c>
      <c r="V285" s="105">
        <v>1.18</v>
      </c>
      <c r="W285" s="105">
        <v>1.0900000000000001</v>
      </c>
      <c r="X285" s="105">
        <v>1.04</v>
      </c>
      <c r="Y285" s="105">
        <v>1.01</v>
      </c>
      <c r="Z285" s="115">
        <v>1</v>
      </c>
      <c r="AA285" s="122">
        <v>1</v>
      </c>
      <c r="AB285" s="119">
        <v>0.87</v>
      </c>
      <c r="AC285" s="115">
        <v>0.83</v>
      </c>
      <c r="AD285" s="115">
        <v>0.76</v>
      </c>
      <c r="AE285" s="115">
        <v>0.7</v>
      </c>
      <c r="AF285" s="115">
        <v>0.66</v>
      </c>
      <c r="AG285" s="105">
        <v>0.61</v>
      </c>
      <c r="AH285" s="105">
        <v>0.55000000000000004</v>
      </c>
      <c r="AI285" s="120">
        <v>0.55000000000000004</v>
      </c>
    </row>
    <row r="286" spans="1:35" ht="110.25">
      <c r="A286" s="33" t="s">
        <v>1481</v>
      </c>
      <c r="B286" s="111" t="s">
        <v>1570</v>
      </c>
      <c r="C286" s="111" t="s">
        <v>1576</v>
      </c>
      <c r="D286" s="32">
        <v>1.1399999999999999</v>
      </c>
      <c r="E286" s="32">
        <v>1.1000000000000001</v>
      </c>
      <c r="F286" s="32">
        <v>1.06</v>
      </c>
      <c r="G286" s="32">
        <v>1.01</v>
      </c>
      <c r="H286" s="32">
        <v>0.94</v>
      </c>
      <c r="I286" s="32">
        <v>0.87</v>
      </c>
      <c r="J286" s="32">
        <v>0.8</v>
      </c>
      <c r="K286" s="32">
        <v>0.8</v>
      </c>
      <c r="L286" s="105">
        <v>0.71</v>
      </c>
      <c r="M286" s="105">
        <v>0.69</v>
      </c>
      <c r="N286" s="105">
        <v>0.65</v>
      </c>
      <c r="O286" s="105">
        <v>0.61</v>
      </c>
      <c r="P286" s="105">
        <v>0.56000000000000005</v>
      </c>
      <c r="Q286" s="105">
        <v>0.51</v>
      </c>
      <c r="R286" s="105">
        <v>0.45</v>
      </c>
      <c r="S286" s="116">
        <v>0.45</v>
      </c>
      <c r="T286" s="119">
        <v>1.32</v>
      </c>
      <c r="U286" s="105">
        <v>1.27</v>
      </c>
      <c r="V286" s="105">
        <v>1.18</v>
      </c>
      <c r="W286" s="105">
        <v>1.0900000000000001</v>
      </c>
      <c r="X286" s="105">
        <v>1.04</v>
      </c>
      <c r="Y286" s="105">
        <v>1.01</v>
      </c>
      <c r="Z286" s="115">
        <v>1</v>
      </c>
      <c r="AA286" s="122">
        <v>1</v>
      </c>
      <c r="AB286" s="119">
        <v>0.87</v>
      </c>
      <c r="AC286" s="115">
        <v>0.83</v>
      </c>
      <c r="AD286" s="115">
        <v>0.76</v>
      </c>
      <c r="AE286" s="115">
        <v>0.7</v>
      </c>
      <c r="AF286" s="115">
        <v>0.66</v>
      </c>
      <c r="AG286" s="105">
        <v>0.61</v>
      </c>
      <c r="AH286" s="105">
        <v>0.55000000000000004</v>
      </c>
      <c r="AI286" s="120">
        <v>0.55000000000000004</v>
      </c>
    </row>
    <row r="287" spans="1:35" ht="110.25">
      <c r="A287" s="33" t="s">
        <v>1481</v>
      </c>
      <c r="B287" s="111" t="s">
        <v>1570</v>
      </c>
      <c r="C287" s="111" t="s">
        <v>1577</v>
      </c>
      <c r="D287" s="32">
        <v>1.1399999999999999</v>
      </c>
      <c r="E287" s="32">
        <v>1.1000000000000001</v>
      </c>
      <c r="F287" s="32">
        <v>1.06</v>
      </c>
      <c r="G287" s="32">
        <v>1.01</v>
      </c>
      <c r="H287" s="32">
        <v>0.94</v>
      </c>
      <c r="I287" s="32">
        <v>0.87</v>
      </c>
      <c r="J287" s="32">
        <v>0.8</v>
      </c>
      <c r="K287" s="32">
        <v>0.8</v>
      </c>
      <c r="L287" s="105">
        <v>0.71</v>
      </c>
      <c r="M287" s="105">
        <v>0.69</v>
      </c>
      <c r="N287" s="105">
        <v>0.65</v>
      </c>
      <c r="O287" s="105">
        <v>0.61</v>
      </c>
      <c r="P287" s="105">
        <v>0.56000000000000005</v>
      </c>
      <c r="Q287" s="105">
        <v>0.51</v>
      </c>
      <c r="R287" s="105">
        <v>0.45</v>
      </c>
      <c r="S287" s="116">
        <v>0.45</v>
      </c>
      <c r="T287" s="119">
        <v>1.32</v>
      </c>
      <c r="U287" s="105">
        <v>1.27</v>
      </c>
      <c r="V287" s="105">
        <v>1.18</v>
      </c>
      <c r="W287" s="105">
        <v>1.0900000000000001</v>
      </c>
      <c r="X287" s="105">
        <v>1.04</v>
      </c>
      <c r="Y287" s="105">
        <v>1.01</v>
      </c>
      <c r="Z287" s="115">
        <v>1</v>
      </c>
      <c r="AA287" s="122">
        <v>1</v>
      </c>
      <c r="AB287" s="119">
        <v>0.87</v>
      </c>
      <c r="AC287" s="115">
        <v>0.83</v>
      </c>
      <c r="AD287" s="115">
        <v>0.76</v>
      </c>
      <c r="AE287" s="115">
        <v>0.7</v>
      </c>
      <c r="AF287" s="115">
        <v>0.66</v>
      </c>
      <c r="AG287" s="105">
        <v>0.61</v>
      </c>
      <c r="AH287" s="105">
        <v>0.55000000000000004</v>
      </c>
      <c r="AI287" s="120">
        <v>0.55000000000000004</v>
      </c>
    </row>
    <row r="288" spans="1:35" ht="110.25">
      <c r="A288" s="33" t="s">
        <v>1481</v>
      </c>
      <c r="B288" s="111" t="s">
        <v>1570</v>
      </c>
      <c r="C288" s="111" t="s">
        <v>1578</v>
      </c>
      <c r="D288" s="32">
        <v>1.1399999999999999</v>
      </c>
      <c r="E288" s="32">
        <v>1.1000000000000001</v>
      </c>
      <c r="F288" s="32">
        <v>1.06</v>
      </c>
      <c r="G288" s="32">
        <v>1.01</v>
      </c>
      <c r="H288" s="32">
        <v>0.94</v>
      </c>
      <c r="I288" s="32">
        <v>0.87</v>
      </c>
      <c r="J288" s="32">
        <v>0.8</v>
      </c>
      <c r="K288" s="32">
        <v>0.8</v>
      </c>
      <c r="L288" s="105">
        <v>0.71</v>
      </c>
      <c r="M288" s="105">
        <v>0.69</v>
      </c>
      <c r="N288" s="105">
        <v>0.65</v>
      </c>
      <c r="O288" s="105">
        <v>0.61</v>
      </c>
      <c r="P288" s="105">
        <v>0.56000000000000005</v>
      </c>
      <c r="Q288" s="105">
        <v>0.51</v>
      </c>
      <c r="R288" s="105">
        <v>0.45</v>
      </c>
      <c r="S288" s="116">
        <v>0.45</v>
      </c>
      <c r="T288" s="119">
        <v>1.32</v>
      </c>
      <c r="U288" s="105">
        <v>1.27</v>
      </c>
      <c r="V288" s="105">
        <v>1.18</v>
      </c>
      <c r="W288" s="105">
        <v>1.0900000000000001</v>
      </c>
      <c r="X288" s="105">
        <v>1.04</v>
      </c>
      <c r="Y288" s="105">
        <v>1.01</v>
      </c>
      <c r="Z288" s="115">
        <v>1</v>
      </c>
      <c r="AA288" s="122">
        <v>1</v>
      </c>
      <c r="AB288" s="119">
        <v>0.87</v>
      </c>
      <c r="AC288" s="115">
        <v>0.83</v>
      </c>
      <c r="AD288" s="115">
        <v>0.76</v>
      </c>
      <c r="AE288" s="115">
        <v>0.7</v>
      </c>
      <c r="AF288" s="115">
        <v>0.66</v>
      </c>
      <c r="AG288" s="105">
        <v>0.61</v>
      </c>
      <c r="AH288" s="105">
        <v>0.55000000000000004</v>
      </c>
      <c r="AI288" s="120">
        <v>0.55000000000000004</v>
      </c>
    </row>
    <row r="289" spans="1:35" ht="110.25">
      <c r="A289" s="33" t="s">
        <v>1481</v>
      </c>
      <c r="B289" s="111" t="s">
        <v>1570</v>
      </c>
      <c r="C289" s="111" t="s">
        <v>1579</v>
      </c>
      <c r="D289" s="32">
        <v>1.1399999999999999</v>
      </c>
      <c r="E289" s="32">
        <v>1.1000000000000001</v>
      </c>
      <c r="F289" s="32">
        <v>1.06</v>
      </c>
      <c r="G289" s="32">
        <v>1.01</v>
      </c>
      <c r="H289" s="32">
        <v>0.94</v>
      </c>
      <c r="I289" s="32">
        <v>0.87</v>
      </c>
      <c r="J289" s="32">
        <v>0.8</v>
      </c>
      <c r="K289" s="32">
        <v>0.8</v>
      </c>
      <c r="L289" s="105">
        <v>0.71</v>
      </c>
      <c r="M289" s="105">
        <v>0.69</v>
      </c>
      <c r="N289" s="105">
        <v>0.65</v>
      </c>
      <c r="O289" s="105">
        <v>0.61</v>
      </c>
      <c r="P289" s="105">
        <v>0.56000000000000005</v>
      </c>
      <c r="Q289" s="105">
        <v>0.51</v>
      </c>
      <c r="R289" s="105">
        <v>0.45</v>
      </c>
      <c r="S289" s="116">
        <v>0.45</v>
      </c>
      <c r="T289" s="119">
        <v>1.32</v>
      </c>
      <c r="U289" s="105">
        <v>1.27</v>
      </c>
      <c r="V289" s="105">
        <v>1.18</v>
      </c>
      <c r="W289" s="105">
        <v>1.0900000000000001</v>
      </c>
      <c r="X289" s="105">
        <v>1.04</v>
      </c>
      <c r="Y289" s="105">
        <v>1.01</v>
      </c>
      <c r="Z289" s="115">
        <v>1</v>
      </c>
      <c r="AA289" s="122">
        <v>1</v>
      </c>
      <c r="AB289" s="119">
        <v>0.87</v>
      </c>
      <c r="AC289" s="115">
        <v>0.83</v>
      </c>
      <c r="AD289" s="115">
        <v>0.76</v>
      </c>
      <c r="AE289" s="115">
        <v>0.7</v>
      </c>
      <c r="AF289" s="115">
        <v>0.66</v>
      </c>
      <c r="AG289" s="105">
        <v>0.61</v>
      </c>
      <c r="AH289" s="105">
        <v>0.55000000000000004</v>
      </c>
      <c r="AI289" s="120">
        <v>0.55000000000000004</v>
      </c>
    </row>
    <row r="290" spans="1:35" ht="110.25">
      <c r="A290" s="33" t="s">
        <v>1481</v>
      </c>
      <c r="B290" s="111" t="s">
        <v>1570</v>
      </c>
      <c r="C290" s="111" t="s">
        <v>1580</v>
      </c>
      <c r="D290" s="32">
        <v>1.1399999999999999</v>
      </c>
      <c r="E290" s="32">
        <v>1.1000000000000001</v>
      </c>
      <c r="F290" s="32">
        <v>1.06</v>
      </c>
      <c r="G290" s="32">
        <v>1.01</v>
      </c>
      <c r="H290" s="32">
        <v>0.94</v>
      </c>
      <c r="I290" s="32">
        <v>0.87</v>
      </c>
      <c r="J290" s="32">
        <v>0.8</v>
      </c>
      <c r="K290" s="32">
        <v>0.8</v>
      </c>
      <c r="L290" s="105">
        <v>0.71</v>
      </c>
      <c r="M290" s="105">
        <v>0.69</v>
      </c>
      <c r="N290" s="105">
        <v>0.65</v>
      </c>
      <c r="O290" s="105">
        <v>0.61</v>
      </c>
      <c r="P290" s="105">
        <v>0.56000000000000005</v>
      </c>
      <c r="Q290" s="105">
        <v>0.51</v>
      </c>
      <c r="R290" s="105">
        <v>0.45</v>
      </c>
      <c r="S290" s="116">
        <v>0.45</v>
      </c>
      <c r="T290" s="119">
        <v>1.32</v>
      </c>
      <c r="U290" s="105">
        <v>1.27</v>
      </c>
      <c r="V290" s="105">
        <v>1.18</v>
      </c>
      <c r="W290" s="105">
        <v>1.0900000000000001</v>
      </c>
      <c r="X290" s="105">
        <v>1.04</v>
      </c>
      <c r="Y290" s="105">
        <v>1.01</v>
      </c>
      <c r="Z290" s="115">
        <v>1</v>
      </c>
      <c r="AA290" s="122">
        <v>1</v>
      </c>
      <c r="AB290" s="119">
        <v>0.87</v>
      </c>
      <c r="AC290" s="115">
        <v>0.83</v>
      </c>
      <c r="AD290" s="115">
        <v>0.76</v>
      </c>
      <c r="AE290" s="115">
        <v>0.7</v>
      </c>
      <c r="AF290" s="115">
        <v>0.66</v>
      </c>
      <c r="AG290" s="105">
        <v>0.61</v>
      </c>
      <c r="AH290" s="105">
        <v>0.55000000000000004</v>
      </c>
      <c r="AI290" s="120">
        <v>0.55000000000000004</v>
      </c>
    </row>
    <row r="291" spans="1:35" ht="110.25">
      <c r="A291" s="33" t="s">
        <v>1481</v>
      </c>
      <c r="B291" s="111" t="s">
        <v>1570</v>
      </c>
      <c r="C291" s="111" t="s">
        <v>1581</v>
      </c>
      <c r="D291" s="32">
        <v>1.1399999999999999</v>
      </c>
      <c r="E291" s="32">
        <v>1.1000000000000001</v>
      </c>
      <c r="F291" s="32">
        <v>1.06</v>
      </c>
      <c r="G291" s="32">
        <v>1.01</v>
      </c>
      <c r="H291" s="32">
        <v>0.94</v>
      </c>
      <c r="I291" s="32">
        <v>0.87</v>
      </c>
      <c r="J291" s="32">
        <v>0.8</v>
      </c>
      <c r="K291" s="32">
        <v>0.8</v>
      </c>
      <c r="L291" s="105">
        <v>0.71</v>
      </c>
      <c r="M291" s="105">
        <v>0.69</v>
      </c>
      <c r="N291" s="105">
        <v>0.65</v>
      </c>
      <c r="O291" s="105">
        <v>0.61</v>
      </c>
      <c r="P291" s="105">
        <v>0.56000000000000005</v>
      </c>
      <c r="Q291" s="105">
        <v>0.51</v>
      </c>
      <c r="R291" s="105">
        <v>0.45</v>
      </c>
      <c r="S291" s="116">
        <v>0.45</v>
      </c>
      <c r="T291" s="119">
        <v>1.32</v>
      </c>
      <c r="U291" s="105">
        <v>1.27</v>
      </c>
      <c r="V291" s="105">
        <v>1.18</v>
      </c>
      <c r="W291" s="105">
        <v>1.0900000000000001</v>
      </c>
      <c r="X291" s="105">
        <v>1.04</v>
      </c>
      <c r="Y291" s="105">
        <v>1.01</v>
      </c>
      <c r="Z291" s="115">
        <v>1</v>
      </c>
      <c r="AA291" s="122">
        <v>1</v>
      </c>
      <c r="AB291" s="119">
        <v>0.87</v>
      </c>
      <c r="AC291" s="115">
        <v>0.83</v>
      </c>
      <c r="AD291" s="115">
        <v>0.76</v>
      </c>
      <c r="AE291" s="115">
        <v>0.7</v>
      </c>
      <c r="AF291" s="115">
        <v>0.66</v>
      </c>
      <c r="AG291" s="105">
        <v>0.61</v>
      </c>
      <c r="AH291" s="105">
        <v>0.55000000000000004</v>
      </c>
      <c r="AI291" s="120">
        <v>0.55000000000000004</v>
      </c>
    </row>
    <row r="292" spans="1:35" ht="110.25">
      <c r="A292" s="33" t="s">
        <v>1481</v>
      </c>
      <c r="B292" s="111" t="s">
        <v>1570</v>
      </c>
      <c r="C292" s="111" t="s">
        <v>1582</v>
      </c>
      <c r="D292" s="32">
        <v>1.1399999999999999</v>
      </c>
      <c r="E292" s="32">
        <v>1.1000000000000001</v>
      </c>
      <c r="F292" s="32">
        <v>1.06</v>
      </c>
      <c r="G292" s="32">
        <v>1.01</v>
      </c>
      <c r="H292" s="32">
        <v>0.94</v>
      </c>
      <c r="I292" s="32">
        <v>0.87</v>
      </c>
      <c r="J292" s="32">
        <v>0.8</v>
      </c>
      <c r="K292" s="32">
        <v>0.8</v>
      </c>
      <c r="L292" s="105">
        <v>0.71</v>
      </c>
      <c r="M292" s="105">
        <v>0.69</v>
      </c>
      <c r="N292" s="105">
        <v>0.65</v>
      </c>
      <c r="O292" s="105">
        <v>0.61</v>
      </c>
      <c r="P292" s="105">
        <v>0.56000000000000005</v>
      </c>
      <c r="Q292" s="105">
        <v>0.51</v>
      </c>
      <c r="R292" s="105">
        <v>0.45</v>
      </c>
      <c r="S292" s="116">
        <v>0.45</v>
      </c>
      <c r="T292" s="119">
        <v>1.32</v>
      </c>
      <c r="U292" s="105">
        <v>1.27</v>
      </c>
      <c r="V292" s="105">
        <v>1.18</v>
      </c>
      <c r="W292" s="105">
        <v>1.0900000000000001</v>
      </c>
      <c r="X292" s="105">
        <v>1.04</v>
      </c>
      <c r="Y292" s="105">
        <v>1.01</v>
      </c>
      <c r="Z292" s="115">
        <v>1</v>
      </c>
      <c r="AA292" s="122">
        <v>1</v>
      </c>
      <c r="AB292" s="119">
        <v>0.87</v>
      </c>
      <c r="AC292" s="115">
        <v>0.83</v>
      </c>
      <c r="AD292" s="115">
        <v>0.76</v>
      </c>
      <c r="AE292" s="115">
        <v>0.7</v>
      </c>
      <c r="AF292" s="115">
        <v>0.66</v>
      </c>
      <c r="AG292" s="105">
        <v>0.61</v>
      </c>
      <c r="AH292" s="105">
        <v>0.55000000000000004</v>
      </c>
      <c r="AI292" s="120">
        <v>0.55000000000000004</v>
      </c>
    </row>
    <row r="293" spans="1:35" ht="110.25">
      <c r="A293" s="33" t="s">
        <v>1481</v>
      </c>
      <c r="B293" s="111" t="s">
        <v>1570</v>
      </c>
      <c r="C293" s="111" t="s">
        <v>1583</v>
      </c>
      <c r="D293" s="32">
        <v>1.1399999999999999</v>
      </c>
      <c r="E293" s="32">
        <v>1.1000000000000001</v>
      </c>
      <c r="F293" s="32">
        <v>1.06</v>
      </c>
      <c r="G293" s="32">
        <v>1.01</v>
      </c>
      <c r="H293" s="32">
        <v>0.94</v>
      </c>
      <c r="I293" s="32">
        <v>0.87</v>
      </c>
      <c r="J293" s="32">
        <v>0.8</v>
      </c>
      <c r="K293" s="32">
        <v>0.8</v>
      </c>
      <c r="L293" s="105">
        <v>0.71</v>
      </c>
      <c r="M293" s="105">
        <v>0.69</v>
      </c>
      <c r="N293" s="105">
        <v>0.65</v>
      </c>
      <c r="O293" s="105">
        <v>0.61</v>
      </c>
      <c r="P293" s="105">
        <v>0.56000000000000005</v>
      </c>
      <c r="Q293" s="105">
        <v>0.51</v>
      </c>
      <c r="R293" s="105">
        <v>0.45</v>
      </c>
      <c r="S293" s="116">
        <v>0.45</v>
      </c>
      <c r="T293" s="119">
        <v>1.32</v>
      </c>
      <c r="U293" s="105">
        <v>1.27</v>
      </c>
      <c r="V293" s="105">
        <v>1.18</v>
      </c>
      <c r="W293" s="105">
        <v>1.0900000000000001</v>
      </c>
      <c r="X293" s="105">
        <v>1.04</v>
      </c>
      <c r="Y293" s="105">
        <v>1.01</v>
      </c>
      <c r="Z293" s="115">
        <v>1</v>
      </c>
      <c r="AA293" s="122">
        <v>1</v>
      </c>
      <c r="AB293" s="119">
        <v>0.87</v>
      </c>
      <c r="AC293" s="115">
        <v>0.83</v>
      </c>
      <c r="AD293" s="115">
        <v>0.76</v>
      </c>
      <c r="AE293" s="115">
        <v>0.7</v>
      </c>
      <c r="AF293" s="115">
        <v>0.66</v>
      </c>
      <c r="AG293" s="105">
        <v>0.61</v>
      </c>
      <c r="AH293" s="105">
        <v>0.55000000000000004</v>
      </c>
      <c r="AI293" s="120">
        <v>0.55000000000000004</v>
      </c>
    </row>
    <row r="294" spans="1:35" ht="110.25">
      <c r="A294" s="33" t="s">
        <v>1481</v>
      </c>
      <c r="B294" s="32" t="s">
        <v>1559</v>
      </c>
      <c r="C294" s="32" t="s">
        <v>1560</v>
      </c>
      <c r="D294" s="32">
        <v>1.1399999999999999</v>
      </c>
      <c r="E294" s="32">
        <v>1.1000000000000001</v>
      </c>
      <c r="F294" s="32">
        <v>1.06</v>
      </c>
      <c r="G294" s="32">
        <v>1.01</v>
      </c>
      <c r="H294" s="32">
        <v>0.94</v>
      </c>
      <c r="I294" s="32">
        <v>0.87</v>
      </c>
      <c r="J294" s="32">
        <v>0.8</v>
      </c>
      <c r="K294" s="32">
        <v>0.8</v>
      </c>
      <c r="L294" s="105">
        <v>0.71</v>
      </c>
      <c r="M294" s="105">
        <v>0.69</v>
      </c>
      <c r="N294" s="105">
        <v>0.65</v>
      </c>
      <c r="O294" s="105">
        <v>0.61</v>
      </c>
      <c r="P294" s="105">
        <v>0.56000000000000005</v>
      </c>
      <c r="Q294" s="105">
        <v>0.51</v>
      </c>
      <c r="R294" s="105">
        <v>0.45</v>
      </c>
      <c r="S294" s="116">
        <v>0.45</v>
      </c>
      <c r="T294" s="119">
        <v>1.32</v>
      </c>
      <c r="U294" s="105">
        <v>1.27</v>
      </c>
      <c r="V294" s="105">
        <v>1.18</v>
      </c>
      <c r="W294" s="105">
        <v>1.0900000000000001</v>
      </c>
      <c r="X294" s="105">
        <v>1.04</v>
      </c>
      <c r="Y294" s="105">
        <v>1.01</v>
      </c>
      <c r="Z294" s="115">
        <v>1</v>
      </c>
      <c r="AA294" s="122">
        <v>1</v>
      </c>
      <c r="AB294" s="119">
        <v>0.87</v>
      </c>
      <c r="AC294" s="115">
        <v>0.83</v>
      </c>
      <c r="AD294" s="115">
        <v>0.76</v>
      </c>
      <c r="AE294" s="115">
        <v>0.7</v>
      </c>
      <c r="AF294" s="115">
        <v>0.66</v>
      </c>
      <c r="AG294" s="105">
        <v>0.61</v>
      </c>
      <c r="AH294" s="105">
        <v>0.55000000000000004</v>
      </c>
      <c r="AI294" s="120">
        <v>0.55000000000000004</v>
      </c>
    </row>
    <row r="295" spans="1:35" ht="110.25">
      <c r="A295" s="33" t="s">
        <v>1481</v>
      </c>
      <c r="B295" s="32" t="s">
        <v>1559</v>
      </c>
      <c r="C295" s="32" t="s">
        <v>1561</v>
      </c>
      <c r="D295" s="32">
        <v>1.1399999999999999</v>
      </c>
      <c r="E295" s="32">
        <v>1.1000000000000001</v>
      </c>
      <c r="F295" s="32">
        <v>1.06</v>
      </c>
      <c r="G295" s="32">
        <v>1.01</v>
      </c>
      <c r="H295" s="32">
        <v>0.94</v>
      </c>
      <c r="I295" s="32">
        <v>0.87</v>
      </c>
      <c r="J295" s="32">
        <v>0.8</v>
      </c>
      <c r="K295" s="32">
        <v>0.8</v>
      </c>
      <c r="L295" s="105">
        <v>0.71</v>
      </c>
      <c r="M295" s="105">
        <v>0.69</v>
      </c>
      <c r="N295" s="105">
        <v>0.65</v>
      </c>
      <c r="O295" s="105">
        <v>0.61</v>
      </c>
      <c r="P295" s="105">
        <v>0.56000000000000005</v>
      </c>
      <c r="Q295" s="105">
        <v>0.51</v>
      </c>
      <c r="R295" s="105">
        <v>0.45</v>
      </c>
      <c r="S295" s="116">
        <v>0.45</v>
      </c>
      <c r="T295" s="119">
        <v>1.32</v>
      </c>
      <c r="U295" s="105">
        <v>1.27</v>
      </c>
      <c r="V295" s="105">
        <v>1.18</v>
      </c>
      <c r="W295" s="105">
        <v>1.0900000000000001</v>
      </c>
      <c r="X295" s="105">
        <v>1.04</v>
      </c>
      <c r="Y295" s="105">
        <v>1.01</v>
      </c>
      <c r="Z295" s="115">
        <v>1</v>
      </c>
      <c r="AA295" s="122">
        <v>1</v>
      </c>
      <c r="AB295" s="119">
        <v>0.87</v>
      </c>
      <c r="AC295" s="115">
        <v>0.83</v>
      </c>
      <c r="AD295" s="115">
        <v>0.76</v>
      </c>
      <c r="AE295" s="115">
        <v>0.7</v>
      </c>
      <c r="AF295" s="115">
        <v>0.66</v>
      </c>
      <c r="AG295" s="105">
        <v>0.61</v>
      </c>
      <c r="AH295" s="105">
        <v>0.55000000000000004</v>
      </c>
      <c r="AI295" s="120">
        <v>0.55000000000000004</v>
      </c>
    </row>
    <row r="296" spans="1:35" ht="110.25">
      <c r="A296" s="33" t="s">
        <v>1481</v>
      </c>
      <c r="B296" s="32" t="s">
        <v>1559</v>
      </c>
      <c r="C296" s="32" t="s">
        <v>1562</v>
      </c>
      <c r="D296" s="32">
        <v>1.1399999999999999</v>
      </c>
      <c r="E296" s="32">
        <v>1.1000000000000001</v>
      </c>
      <c r="F296" s="32">
        <v>1.06</v>
      </c>
      <c r="G296" s="32">
        <v>1.01</v>
      </c>
      <c r="H296" s="32">
        <v>0.94</v>
      </c>
      <c r="I296" s="32">
        <v>0.87</v>
      </c>
      <c r="J296" s="32">
        <v>0.8</v>
      </c>
      <c r="K296" s="32">
        <v>0.8</v>
      </c>
      <c r="L296" s="105">
        <v>0.71</v>
      </c>
      <c r="M296" s="105">
        <v>0.69</v>
      </c>
      <c r="N296" s="105">
        <v>0.65</v>
      </c>
      <c r="O296" s="105">
        <v>0.61</v>
      </c>
      <c r="P296" s="105">
        <v>0.56000000000000005</v>
      </c>
      <c r="Q296" s="105">
        <v>0.51</v>
      </c>
      <c r="R296" s="105">
        <v>0.45</v>
      </c>
      <c r="S296" s="116">
        <v>0.45</v>
      </c>
      <c r="T296" s="119">
        <v>1.32</v>
      </c>
      <c r="U296" s="105">
        <v>1.27</v>
      </c>
      <c r="V296" s="105">
        <v>1.18</v>
      </c>
      <c r="W296" s="105">
        <v>1.0900000000000001</v>
      </c>
      <c r="X296" s="105">
        <v>1.04</v>
      </c>
      <c r="Y296" s="105">
        <v>1.01</v>
      </c>
      <c r="Z296" s="115">
        <v>1</v>
      </c>
      <c r="AA296" s="122">
        <v>1</v>
      </c>
      <c r="AB296" s="119">
        <v>0.87</v>
      </c>
      <c r="AC296" s="115">
        <v>0.83</v>
      </c>
      <c r="AD296" s="115">
        <v>0.76</v>
      </c>
      <c r="AE296" s="115">
        <v>0.7</v>
      </c>
      <c r="AF296" s="115">
        <v>0.66</v>
      </c>
      <c r="AG296" s="105">
        <v>0.61</v>
      </c>
      <c r="AH296" s="105">
        <v>0.55000000000000004</v>
      </c>
      <c r="AI296" s="120">
        <v>0.55000000000000004</v>
      </c>
    </row>
    <row r="297" spans="1:35" ht="110.25">
      <c r="A297" s="33" t="s">
        <v>1481</v>
      </c>
      <c r="B297" s="32" t="s">
        <v>1559</v>
      </c>
      <c r="C297" s="32" t="s">
        <v>1563</v>
      </c>
      <c r="D297" s="32">
        <v>1.1399999999999999</v>
      </c>
      <c r="E297" s="32">
        <v>1.1000000000000001</v>
      </c>
      <c r="F297" s="32">
        <v>1.06</v>
      </c>
      <c r="G297" s="32">
        <v>1.01</v>
      </c>
      <c r="H297" s="32">
        <v>0.94</v>
      </c>
      <c r="I297" s="32">
        <v>0.87</v>
      </c>
      <c r="J297" s="32">
        <v>0.8</v>
      </c>
      <c r="K297" s="32">
        <v>0.8</v>
      </c>
      <c r="L297" s="105">
        <v>0.71</v>
      </c>
      <c r="M297" s="105">
        <v>0.69</v>
      </c>
      <c r="N297" s="105">
        <v>0.65</v>
      </c>
      <c r="O297" s="105">
        <v>0.61</v>
      </c>
      <c r="P297" s="105">
        <v>0.56000000000000005</v>
      </c>
      <c r="Q297" s="105">
        <v>0.51</v>
      </c>
      <c r="R297" s="105">
        <v>0.45</v>
      </c>
      <c r="S297" s="116">
        <v>0.45</v>
      </c>
      <c r="T297" s="119">
        <v>1.32</v>
      </c>
      <c r="U297" s="105">
        <v>1.27</v>
      </c>
      <c r="V297" s="105">
        <v>1.18</v>
      </c>
      <c r="W297" s="105">
        <v>1.0900000000000001</v>
      </c>
      <c r="X297" s="105">
        <v>1.04</v>
      </c>
      <c r="Y297" s="105">
        <v>1.01</v>
      </c>
      <c r="Z297" s="115">
        <v>1</v>
      </c>
      <c r="AA297" s="122">
        <v>1</v>
      </c>
      <c r="AB297" s="119">
        <v>0.87</v>
      </c>
      <c r="AC297" s="115">
        <v>0.83</v>
      </c>
      <c r="AD297" s="115">
        <v>0.76</v>
      </c>
      <c r="AE297" s="115">
        <v>0.7</v>
      </c>
      <c r="AF297" s="115">
        <v>0.66</v>
      </c>
      <c r="AG297" s="105">
        <v>0.61</v>
      </c>
      <c r="AH297" s="105">
        <v>0.55000000000000004</v>
      </c>
      <c r="AI297" s="120">
        <v>0.55000000000000004</v>
      </c>
    </row>
    <row r="298" spans="1:35" ht="110.25">
      <c r="A298" s="33" t="s">
        <v>1481</v>
      </c>
      <c r="B298" s="32" t="s">
        <v>1559</v>
      </c>
      <c r="C298" s="32" t="s">
        <v>1564</v>
      </c>
      <c r="D298" s="32">
        <v>1.1399999999999999</v>
      </c>
      <c r="E298" s="32">
        <v>1.1000000000000001</v>
      </c>
      <c r="F298" s="32">
        <v>1.06</v>
      </c>
      <c r="G298" s="32">
        <v>1.01</v>
      </c>
      <c r="H298" s="32">
        <v>0.94</v>
      </c>
      <c r="I298" s="32">
        <v>0.87</v>
      </c>
      <c r="J298" s="32">
        <v>0.8</v>
      </c>
      <c r="K298" s="32">
        <v>0.8</v>
      </c>
      <c r="L298" s="105">
        <v>0.71</v>
      </c>
      <c r="M298" s="105">
        <v>0.69</v>
      </c>
      <c r="N298" s="105">
        <v>0.65</v>
      </c>
      <c r="O298" s="105">
        <v>0.61</v>
      </c>
      <c r="P298" s="105">
        <v>0.56000000000000005</v>
      </c>
      <c r="Q298" s="105">
        <v>0.51</v>
      </c>
      <c r="R298" s="105">
        <v>0.45</v>
      </c>
      <c r="S298" s="116">
        <v>0.45</v>
      </c>
      <c r="T298" s="119">
        <v>1.32</v>
      </c>
      <c r="U298" s="105">
        <v>1.27</v>
      </c>
      <c r="V298" s="105">
        <v>1.18</v>
      </c>
      <c r="W298" s="105">
        <v>1.0900000000000001</v>
      </c>
      <c r="X298" s="105">
        <v>1.04</v>
      </c>
      <c r="Y298" s="105">
        <v>1.01</v>
      </c>
      <c r="Z298" s="115">
        <v>1</v>
      </c>
      <c r="AA298" s="122">
        <v>1</v>
      </c>
      <c r="AB298" s="119">
        <v>0.87</v>
      </c>
      <c r="AC298" s="115">
        <v>0.83</v>
      </c>
      <c r="AD298" s="115">
        <v>0.76</v>
      </c>
      <c r="AE298" s="115">
        <v>0.7</v>
      </c>
      <c r="AF298" s="115">
        <v>0.66</v>
      </c>
      <c r="AG298" s="105">
        <v>0.61</v>
      </c>
      <c r="AH298" s="105">
        <v>0.55000000000000004</v>
      </c>
      <c r="AI298" s="120">
        <v>0.55000000000000004</v>
      </c>
    </row>
    <row r="299" spans="1:35" ht="110.25">
      <c r="A299" s="33" t="s">
        <v>1481</v>
      </c>
      <c r="B299" s="32" t="s">
        <v>1559</v>
      </c>
      <c r="C299" s="32" t="s">
        <v>1565</v>
      </c>
      <c r="D299" s="32">
        <v>1.1399999999999999</v>
      </c>
      <c r="E299" s="32">
        <v>1.1000000000000001</v>
      </c>
      <c r="F299" s="32">
        <v>1.06</v>
      </c>
      <c r="G299" s="32">
        <v>1.01</v>
      </c>
      <c r="H299" s="32">
        <v>0.94</v>
      </c>
      <c r="I299" s="32">
        <v>0.87</v>
      </c>
      <c r="J299" s="32">
        <v>0.8</v>
      </c>
      <c r="K299" s="32">
        <v>0.8</v>
      </c>
      <c r="L299" s="105">
        <v>0.71</v>
      </c>
      <c r="M299" s="105">
        <v>0.69</v>
      </c>
      <c r="N299" s="105">
        <v>0.65</v>
      </c>
      <c r="O299" s="105">
        <v>0.61</v>
      </c>
      <c r="P299" s="105">
        <v>0.56000000000000005</v>
      </c>
      <c r="Q299" s="105">
        <v>0.51</v>
      </c>
      <c r="R299" s="105">
        <v>0.45</v>
      </c>
      <c r="S299" s="116">
        <v>0.45</v>
      </c>
      <c r="T299" s="119">
        <v>1.32</v>
      </c>
      <c r="U299" s="105">
        <v>1.27</v>
      </c>
      <c r="V299" s="105">
        <v>1.18</v>
      </c>
      <c r="W299" s="105">
        <v>1.0900000000000001</v>
      </c>
      <c r="X299" s="105">
        <v>1.04</v>
      </c>
      <c r="Y299" s="105">
        <v>1.01</v>
      </c>
      <c r="Z299" s="115">
        <v>1</v>
      </c>
      <c r="AA299" s="122">
        <v>1</v>
      </c>
      <c r="AB299" s="119">
        <v>0.87</v>
      </c>
      <c r="AC299" s="115">
        <v>0.83</v>
      </c>
      <c r="AD299" s="115">
        <v>0.76</v>
      </c>
      <c r="AE299" s="115">
        <v>0.7</v>
      </c>
      <c r="AF299" s="115">
        <v>0.66</v>
      </c>
      <c r="AG299" s="105">
        <v>0.61</v>
      </c>
      <c r="AH299" s="105">
        <v>0.55000000000000004</v>
      </c>
      <c r="AI299" s="120">
        <v>0.55000000000000004</v>
      </c>
    </row>
    <row r="300" spans="1:35" ht="110.25">
      <c r="A300" s="33" t="s">
        <v>1481</v>
      </c>
      <c r="B300" s="32" t="s">
        <v>1559</v>
      </c>
      <c r="C300" s="32" t="s">
        <v>1566</v>
      </c>
      <c r="D300" s="32">
        <v>1.1399999999999999</v>
      </c>
      <c r="E300" s="32">
        <v>1.1000000000000001</v>
      </c>
      <c r="F300" s="32">
        <v>1.06</v>
      </c>
      <c r="G300" s="32">
        <v>1.01</v>
      </c>
      <c r="H300" s="32">
        <v>0.94</v>
      </c>
      <c r="I300" s="32">
        <v>0.87</v>
      </c>
      <c r="J300" s="32">
        <v>0.8</v>
      </c>
      <c r="K300" s="32">
        <v>0.8</v>
      </c>
      <c r="L300" s="105">
        <v>0.71</v>
      </c>
      <c r="M300" s="105">
        <v>0.69</v>
      </c>
      <c r="N300" s="105">
        <v>0.65</v>
      </c>
      <c r="O300" s="105">
        <v>0.61</v>
      </c>
      <c r="P300" s="105">
        <v>0.56000000000000005</v>
      </c>
      <c r="Q300" s="105">
        <v>0.51</v>
      </c>
      <c r="R300" s="105">
        <v>0.45</v>
      </c>
      <c r="S300" s="116">
        <v>0.45</v>
      </c>
      <c r="T300" s="119">
        <v>1.32</v>
      </c>
      <c r="U300" s="105">
        <v>1.27</v>
      </c>
      <c r="V300" s="105">
        <v>1.18</v>
      </c>
      <c r="W300" s="105">
        <v>1.0900000000000001</v>
      </c>
      <c r="X300" s="105">
        <v>1.04</v>
      </c>
      <c r="Y300" s="105">
        <v>1.01</v>
      </c>
      <c r="Z300" s="115">
        <v>1</v>
      </c>
      <c r="AA300" s="122">
        <v>1</v>
      </c>
      <c r="AB300" s="119">
        <v>0.87</v>
      </c>
      <c r="AC300" s="115">
        <v>0.83</v>
      </c>
      <c r="AD300" s="115">
        <v>0.76</v>
      </c>
      <c r="AE300" s="115">
        <v>0.7</v>
      </c>
      <c r="AF300" s="115">
        <v>0.66</v>
      </c>
      <c r="AG300" s="105">
        <v>0.61</v>
      </c>
      <c r="AH300" s="105">
        <v>0.55000000000000004</v>
      </c>
      <c r="AI300" s="120">
        <v>0.55000000000000004</v>
      </c>
    </row>
    <row r="301" spans="1:35" ht="110.25">
      <c r="A301" s="33" t="s">
        <v>1481</v>
      </c>
      <c r="B301" s="32" t="s">
        <v>1559</v>
      </c>
      <c r="C301" s="32" t="s">
        <v>1567</v>
      </c>
      <c r="D301" s="32">
        <v>1.1399999999999999</v>
      </c>
      <c r="E301" s="32">
        <v>1.1000000000000001</v>
      </c>
      <c r="F301" s="32">
        <v>1.06</v>
      </c>
      <c r="G301" s="32">
        <v>1.01</v>
      </c>
      <c r="H301" s="32">
        <v>0.94</v>
      </c>
      <c r="I301" s="32">
        <v>0.87</v>
      </c>
      <c r="J301" s="32">
        <v>0.8</v>
      </c>
      <c r="K301" s="32">
        <v>0.8</v>
      </c>
      <c r="L301" s="105">
        <v>0.71</v>
      </c>
      <c r="M301" s="105">
        <v>0.69</v>
      </c>
      <c r="N301" s="105">
        <v>0.65</v>
      </c>
      <c r="O301" s="105">
        <v>0.61</v>
      </c>
      <c r="P301" s="105">
        <v>0.56000000000000005</v>
      </c>
      <c r="Q301" s="105">
        <v>0.51</v>
      </c>
      <c r="R301" s="105">
        <v>0.45</v>
      </c>
      <c r="S301" s="116">
        <v>0.45</v>
      </c>
      <c r="T301" s="119">
        <v>1.32</v>
      </c>
      <c r="U301" s="105">
        <v>1.27</v>
      </c>
      <c r="V301" s="105">
        <v>1.18</v>
      </c>
      <c r="W301" s="105">
        <v>1.0900000000000001</v>
      </c>
      <c r="X301" s="105">
        <v>1.04</v>
      </c>
      <c r="Y301" s="105">
        <v>1.01</v>
      </c>
      <c r="Z301" s="115">
        <v>1</v>
      </c>
      <c r="AA301" s="122">
        <v>1</v>
      </c>
      <c r="AB301" s="119">
        <v>0.87</v>
      </c>
      <c r="AC301" s="115">
        <v>0.83</v>
      </c>
      <c r="AD301" s="115">
        <v>0.76</v>
      </c>
      <c r="AE301" s="115">
        <v>0.7</v>
      </c>
      <c r="AF301" s="115">
        <v>0.66</v>
      </c>
      <c r="AG301" s="105">
        <v>0.61</v>
      </c>
      <c r="AH301" s="105">
        <v>0.55000000000000004</v>
      </c>
      <c r="AI301" s="120">
        <v>0.55000000000000004</v>
      </c>
    </row>
    <row r="302" spans="1:35" ht="110.25">
      <c r="A302" s="33" t="s">
        <v>1481</v>
      </c>
      <c r="B302" s="32" t="s">
        <v>1559</v>
      </c>
      <c r="C302" s="32" t="s">
        <v>1568</v>
      </c>
      <c r="D302" s="32">
        <v>1.1399999999999999</v>
      </c>
      <c r="E302" s="32">
        <v>1.1000000000000001</v>
      </c>
      <c r="F302" s="32">
        <v>1.06</v>
      </c>
      <c r="G302" s="32">
        <v>1.01</v>
      </c>
      <c r="H302" s="32">
        <v>0.94</v>
      </c>
      <c r="I302" s="32">
        <v>0.87</v>
      </c>
      <c r="J302" s="32">
        <v>0.8</v>
      </c>
      <c r="K302" s="32">
        <v>0.8</v>
      </c>
      <c r="L302" s="105">
        <v>0.71</v>
      </c>
      <c r="M302" s="105">
        <v>0.69</v>
      </c>
      <c r="N302" s="105">
        <v>0.65</v>
      </c>
      <c r="O302" s="105">
        <v>0.61</v>
      </c>
      <c r="P302" s="105">
        <v>0.56000000000000005</v>
      </c>
      <c r="Q302" s="105">
        <v>0.51</v>
      </c>
      <c r="R302" s="105">
        <v>0.45</v>
      </c>
      <c r="S302" s="116">
        <v>0.45</v>
      </c>
      <c r="T302" s="119">
        <v>1.32</v>
      </c>
      <c r="U302" s="105">
        <v>1.27</v>
      </c>
      <c r="V302" s="105">
        <v>1.18</v>
      </c>
      <c r="W302" s="105">
        <v>1.0900000000000001</v>
      </c>
      <c r="X302" s="105">
        <v>1.04</v>
      </c>
      <c r="Y302" s="105">
        <v>1.01</v>
      </c>
      <c r="Z302" s="115">
        <v>1</v>
      </c>
      <c r="AA302" s="122">
        <v>1</v>
      </c>
      <c r="AB302" s="119">
        <v>0.87</v>
      </c>
      <c r="AC302" s="115">
        <v>0.83</v>
      </c>
      <c r="AD302" s="115">
        <v>0.76</v>
      </c>
      <c r="AE302" s="115">
        <v>0.7</v>
      </c>
      <c r="AF302" s="115">
        <v>0.66</v>
      </c>
      <c r="AG302" s="105">
        <v>0.61</v>
      </c>
      <c r="AH302" s="105">
        <v>0.55000000000000004</v>
      </c>
      <c r="AI302" s="120">
        <v>0.55000000000000004</v>
      </c>
    </row>
    <row r="303" spans="1:35" ht="111" thickBot="1">
      <c r="A303" s="33" t="s">
        <v>1481</v>
      </c>
      <c r="B303" s="32" t="s">
        <v>1559</v>
      </c>
      <c r="C303" s="32" t="s">
        <v>1569</v>
      </c>
      <c r="D303" s="32">
        <v>1.1399999999999999</v>
      </c>
      <c r="E303" s="32">
        <v>1.1000000000000001</v>
      </c>
      <c r="F303" s="32">
        <v>1.06</v>
      </c>
      <c r="G303" s="32">
        <v>1.01</v>
      </c>
      <c r="H303" s="32">
        <v>0.94</v>
      </c>
      <c r="I303" s="32">
        <v>0.87</v>
      </c>
      <c r="J303" s="32">
        <v>0.8</v>
      </c>
      <c r="K303" s="32">
        <v>0.8</v>
      </c>
      <c r="L303" s="105">
        <v>0.71</v>
      </c>
      <c r="M303" s="105">
        <v>0.69</v>
      </c>
      <c r="N303" s="105">
        <v>0.65</v>
      </c>
      <c r="O303" s="105">
        <v>0.61</v>
      </c>
      <c r="P303" s="105">
        <v>0.56000000000000005</v>
      </c>
      <c r="Q303" s="105">
        <v>0.51</v>
      </c>
      <c r="R303" s="105">
        <v>0.45</v>
      </c>
      <c r="S303" s="116">
        <v>0.45</v>
      </c>
      <c r="T303" s="124">
        <v>1.32</v>
      </c>
      <c r="U303" s="125">
        <v>1.27</v>
      </c>
      <c r="V303" s="125">
        <v>1.18</v>
      </c>
      <c r="W303" s="125">
        <v>1.0900000000000001</v>
      </c>
      <c r="X303" s="125">
        <v>1.04</v>
      </c>
      <c r="Y303" s="125">
        <v>1.01</v>
      </c>
      <c r="Z303" s="126">
        <v>1</v>
      </c>
      <c r="AA303" s="127">
        <v>1</v>
      </c>
      <c r="AB303" s="124">
        <v>0.87</v>
      </c>
      <c r="AC303" s="126">
        <v>0.83</v>
      </c>
      <c r="AD303" s="126">
        <v>0.76</v>
      </c>
      <c r="AE303" s="126">
        <v>0.7</v>
      </c>
      <c r="AF303" s="126">
        <v>0.66</v>
      </c>
      <c r="AG303" s="125">
        <v>0.61</v>
      </c>
      <c r="AH303" s="125">
        <v>0.55000000000000004</v>
      </c>
      <c r="AI303" s="129">
        <v>0.55000000000000004</v>
      </c>
    </row>
    <row r="304" spans="1:35" ht="17.25" thickTop="1"/>
  </sheetData>
  <mergeCells count="4">
    <mergeCell ref="D1:K1"/>
    <mergeCell ref="L1:S1"/>
    <mergeCell ref="T1:AA1"/>
    <mergeCell ref="AB1:AI1"/>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EAFA-8B2A-4298-8D5E-E9386EEA37AC}">
  <sheetPr codeName="工作表8"/>
  <dimension ref="A1:M35"/>
  <sheetViews>
    <sheetView workbookViewId="0">
      <selection activeCell="C14" sqref="C14"/>
    </sheetView>
  </sheetViews>
  <sheetFormatPr defaultRowHeight="16.5"/>
  <cols>
    <col min="1" max="1" width="36.375" bestFit="1" customWidth="1"/>
    <col min="2" max="2" width="4" bestFit="1" customWidth="1"/>
    <col min="3" max="3" width="29.375" bestFit="1" customWidth="1"/>
    <col min="4" max="5" width="11.625" bestFit="1" customWidth="1"/>
    <col min="6" max="6" width="11.875" bestFit="1" customWidth="1"/>
    <col min="8" max="8" width="6.5" bestFit="1" customWidth="1"/>
    <col min="9" max="9" width="7.5" bestFit="1" customWidth="1"/>
    <col min="10" max="10" width="6.25" bestFit="1" customWidth="1"/>
    <col min="11" max="11" width="5.75" bestFit="1" customWidth="1"/>
    <col min="12" max="12" width="18.625" bestFit="1" customWidth="1"/>
    <col min="13" max="16" width="6.25" bestFit="1" customWidth="1"/>
  </cols>
  <sheetData>
    <row r="1" spans="1:13">
      <c r="A1" s="239" t="s">
        <v>1692</v>
      </c>
      <c r="B1" s="187">
        <v>0</v>
      </c>
      <c r="C1" s="239" t="s">
        <v>1692</v>
      </c>
      <c r="D1" s="240"/>
    </row>
    <row r="2" spans="1:13">
      <c r="A2" s="239" t="s">
        <v>73</v>
      </c>
      <c r="B2" s="187">
        <v>1</v>
      </c>
      <c r="C2" s="239" t="s">
        <v>73</v>
      </c>
      <c r="D2" s="2"/>
      <c r="E2" s="2"/>
      <c r="F2" s="2"/>
      <c r="G2" s="2"/>
      <c r="H2" s="2"/>
      <c r="I2" s="2"/>
      <c r="J2" s="2"/>
      <c r="K2" s="2"/>
      <c r="L2" s="2"/>
      <c r="M2" s="2"/>
    </row>
    <row r="3" spans="1:13">
      <c r="A3" s="239" t="s">
        <v>362</v>
      </c>
      <c r="B3" s="187">
        <v>2</v>
      </c>
      <c r="C3" s="239" t="s">
        <v>372</v>
      </c>
      <c r="D3" s="240" t="s">
        <v>1689</v>
      </c>
    </row>
    <row r="4" spans="1:13">
      <c r="A4" s="239" t="s">
        <v>1691</v>
      </c>
      <c r="B4" s="187">
        <v>3</v>
      </c>
      <c r="C4" s="240" t="s">
        <v>1309</v>
      </c>
      <c r="D4" s="2"/>
      <c r="E4" s="2"/>
      <c r="F4" s="2"/>
      <c r="G4" s="2"/>
      <c r="H4" s="2"/>
      <c r="I4" s="2"/>
      <c r="J4" s="2"/>
      <c r="K4" s="2"/>
      <c r="L4" s="31"/>
      <c r="M4" s="2"/>
    </row>
    <row r="5" spans="1:13">
      <c r="A5" s="239" t="s">
        <v>361</v>
      </c>
      <c r="B5" s="187">
        <v>4</v>
      </c>
      <c r="C5" s="239" t="s">
        <v>73</v>
      </c>
      <c r="D5" s="240" t="s">
        <v>1309</v>
      </c>
      <c r="E5" s="240" t="s">
        <v>1689</v>
      </c>
      <c r="F5" s="2"/>
      <c r="G5" s="2"/>
      <c r="H5" s="2"/>
      <c r="I5" s="2"/>
      <c r="J5" s="2"/>
      <c r="K5" s="2"/>
      <c r="L5" s="31"/>
      <c r="M5" s="2"/>
    </row>
    <row r="6" spans="1:13">
      <c r="A6" s="239" t="s">
        <v>363</v>
      </c>
      <c r="B6" s="187">
        <v>5</v>
      </c>
      <c r="C6" s="239" t="s">
        <v>73</v>
      </c>
      <c r="D6" s="240" t="s">
        <v>1689</v>
      </c>
      <c r="E6" s="2"/>
      <c r="F6" s="2"/>
      <c r="G6" s="2"/>
      <c r="H6" s="2"/>
      <c r="I6" s="2"/>
      <c r="J6" s="2"/>
      <c r="K6" s="2"/>
      <c r="L6" s="31"/>
      <c r="M6" s="2"/>
    </row>
    <row r="7" spans="1:13">
      <c r="A7" s="239" t="s">
        <v>81</v>
      </c>
      <c r="B7" s="187">
        <v>6</v>
      </c>
      <c r="C7" s="240" t="s">
        <v>1689</v>
      </c>
      <c r="D7" s="2"/>
      <c r="E7" s="2"/>
      <c r="F7" s="29"/>
      <c r="G7" s="2"/>
    </row>
    <row r="8" spans="1:13">
      <c r="A8" s="239" t="s">
        <v>367</v>
      </c>
      <c r="B8" s="187">
        <v>7</v>
      </c>
      <c r="C8" s="239" t="s">
        <v>156</v>
      </c>
      <c r="D8" s="240" t="s">
        <v>1689</v>
      </c>
      <c r="E8" s="2"/>
      <c r="F8" s="2"/>
      <c r="G8" s="2"/>
    </row>
    <row r="9" spans="1:13">
      <c r="A9" s="239" t="s">
        <v>156</v>
      </c>
      <c r="B9" s="187">
        <v>8</v>
      </c>
      <c r="C9" s="239" t="s">
        <v>156</v>
      </c>
      <c r="D9" s="2"/>
      <c r="E9" s="2"/>
      <c r="F9" s="2"/>
      <c r="G9" s="2"/>
    </row>
    <row r="10" spans="1:13">
      <c r="A10" s="239" t="s">
        <v>169</v>
      </c>
      <c r="B10" s="187">
        <v>9</v>
      </c>
      <c r="C10" s="240" t="s">
        <v>1589</v>
      </c>
      <c r="D10" s="240"/>
      <c r="E10" s="2"/>
      <c r="F10" s="2"/>
      <c r="G10" s="2"/>
    </row>
    <row r="11" spans="1:13">
      <c r="A11" s="239" t="s">
        <v>368</v>
      </c>
      <c r="B11" s="187">
        <v>10</v>
      </c>
      <c r="C11" s="240" t="s">
        <v>1589</v>
      </c>
      <c r="D11" s="240" t="s">
        <v>1689</v>
      </c>
    </row>
    <row r="12" spans="1:13">
      <c r="A12" s="239" t="s">
        <v>365</v>
      </c>
      <c r="B12" s="187">
        <v>11</v>
      </c>
      <c r="C12" s="239" t="s">
        <v>156</v>
      </c>
      <c r="D12" s="240" t="s">
        <v>1589</v>
      </c>
      <c r="E12" s="2"/>
      <c r="F12" s="2"/>
      <c r="G12" s="2"/>
    </row>
    <row r="13" spans="1:13">
      <c r="A13" s="239" t="s">
        <v>220</v>
      </c>
      <c r="B13" s="187">
        <v>12</v>
      </c>
      <c r="C13" s="239" t="s">
        <v>220</v>
      </c>
      <c r="D13" s="240"/>
      <c r="E13" s="2"/>
      <c r="F13" s="2"/>
      <c r="G13" s="2"/>
    </row>
    <row r="14" spans="1:13">
      <c r="A14" s="239" t="s">
        <v>326</v>
      </c>
      <c r="B14" s="187">
        <v>13</v>
      </c>
      <c r="C14" s="239" t="s">
        <v>326</v>
      </c>
      <c r="D14" s="240"/>
      <c r="E14" s="2"/>
      <c r="F14" s="2"/>
      <c r="G14" s="2"/>
    </row>
    <row r="15" spans="1:13">
      <c r="A15" s="190"/>
    </row>
    <row r="16" spans="1:13">
      <c r="A16" s="190"/>
    </row>
    <row r="17" spans="1:12">
      <c r="A17" s="190"/>
      <c r="B17" s="109"/>
    </row>
    <row r="18" spans="1:12">
      <c r="A18" s="190"/>
      <c r="B18" s="109"/>
    </row>
    <row r="19" spans="1:12">
      <c r="A19" s="190"/>
      <c r="B19" s="109"/>
    </row>
    <row r="20" spans="1:12">
      <c r="A20" s="190"/>
      <c r="E20" s="32"/>
      <c r="F20" s="36"/>
    </row>
    <row r="21" spans="1:12">
      <c r="A21" s="190"/>
      <c r="B21" s="40"/>
      <c r="C21" s="40"/>
      <c r="D21" s="41"/>
      <c r="F21" s="176"/>
      <c r="G21" s="32"/>
      <c r="H21" s="32"/>
      <c r="I21" s="32"/>
      <c r="J21" s="32"/>
      <c r="L21" s="176"/>
    </row>
    <row r="22" spans="1:12">
      <c r="A22" s="190"/>
      <c r="B22" s="43"/>
      <c r="C22" s="235"/>
      <c r="D22" s="43"/>
      <c r="E22" s="32"/>
      <c r="F22" s="37"/>
      <c r="G22" s="32"/>
      <c r="H22" s="32"/>
      <c r="I22" s="32"/>
      <c r="J22" s="32"/>
      <c r="L22" s="37"/>
    </row>
    <row r="23" spans="1:12">
      <c r="A23" s="201"/>
      <c r="B23" s="43"/>
      <c r="C23" s="35"/>
      <c r="D23" s="43"/>
      <c r="E23" s="32"/>
      <c r="F23" s="38"/>
      <c r="G23" s="32"/>
      <c r="H23" s="32"/>
      <c r="I23" s="32"/>
      <c r="J23" s="32"/>
      <c r="L23" s="32"/>
    </row>
    <row r="24" spans="1:12">
      <c r="B24" s="43"/>
      <c r="C24" s="35"/>
      <c r="D24" s="43"/>
      <c r="E24" s="32"/>
      <c r="F24" s="38"/>
      <c r="G24" s="32"/>
      <c r="H24" s="32"/>
      <c r="I24" s="32"/>
      <c r="J24" s="32"/>
      <c r="L24" s="32"/>
    </row>
    <row r="25" spans="1:12">
      <c r="E25" s="32"/>
      <c r="F25" s="38"/>
      <c r="G25" s="32"/>
      <c r="H25" s="32"/>
      <c r="I25" s="32"/>
      <c r="J25" s="32"/>
      <c r="L25" s="32"/>
    </row>
    <row r="26" spans="1:12">
      <c r="E26" s="32"/>
      <c r="F26" s="38"/>
      <c r="G26" s="32"/>
      <c r="H26" s="32"/>
      <c r="I26" s="32"/>
      <c r="J26" s="32"/>
      <c r="L26" s="33"/>
    </row>
    <row r="27" spans="1:12">
      <c r="E27" s="32"/>
      <c r="F27" s="38"/>
      <c r="G27" s="32"/>
      <c r="H27" s="32"/>
      <c r="I27" s="32"/>
      <c r="J27" s="32"/>
      <c r="L27" s="32"/>
    </row>
    <row r="28" spans="1:12">
      <c r="E28" s="32"/>
      <c r="F28" s="38"/>
      <c r="G28" s="32"/>
      <c r="H28" s="32"/>
      <c r="I28" s="32"/>
      <c r="J28" s="32"/>
      <c r="L28" s="32"/>
    </row>
    <row r="29" spans="1:12">
      <c r="E29" s="32"/>
      <c r="F29" s="38"/>
      <c r="G29" s="32"/>
      <c r="H29" s="32"/>
      <c r="I29" s="32"/>
      <c r="J29" s="32"/>
      <c r="L29" s="32"/>
    </row>
    <row r="30" spans="1:12">
      <c r="E30" s="32"/>
      <c r="F30" s="38"/>
      <c r="G30" s="32"/>
      <c r="H30" s="32"/>
      <c r="I30" s="32"/>
      <c r="J30" s="32"/>
      <c r="L30" s="32"/>
    </row>
    <row r="31" spans="1:12">
      <c r="E31" s="32"/>
      <c r="F31" s="38"/>
      <c r="G31" s="32"/>
      <c r="H31" s="32"/>
      <c r="I31" s="32"/>
      <c r="J31" s="32"/>
      <c r="L31" s="33"/>
    </row>
    <row r="32" spans="1:12">
      <c r="E32" s="32"/>
      <c r="F32" s="38"/>
      <c r="G32" s="32"/>
      <c r="H32" s="32"/>
      <c r="I32" s="32"/>
      <c r="J32" s="32"/>
      <c r="L32" s="32"/>
    </row>
    <row r="33" spans="5:12">
      <c r="E33" s="32"/>
      <c r="F33" s="38"/>
      <c r="G33" s="32"/>
      <c r="H33" s="32"/>
      <c r="I33" s="32"/>
      <c r="J33" s="32"/>
      <c r="L33" s="32"/>
    </row>
    <row r="34" spans="5:12">
      <c r="E34" s="32"/>
      <c r="F34" s="38"/>
      <c r="G34" s="32"/>
      <c r="H34" s="32"/>
      <c r="I34" s="32"/>
      <c r="J34" s="32"/>
      <c r="L34" s="32"/>
    </row>
    <row r="35" spans="5:12">
      <c r="L35" s="33"/>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452</vt:i4>
      </vt:variant>
    </vt:vector>
  </HeadingPairs>
  <TitlesOfParts>
    <vt:vector size="461" baseType="lpstr">
      <vt:lpstr>一般工址Cs</vt:lpstr>
      <vt:lpstr>一般工址Cs (II)</vt:lpstr>
      <vt:lpstr>包絡線Cs (II)</vt:lpstr>
      <vt:lpstr>台北盆地Cs</vt:lpstr>
      <vt:lpstr>台北盆地設計反應譜</vt:lpstr>
      <vt:lpstr>設計反應譜</vt:lpstr>
      <vt:lpstr>工址放大係數</vt:lpstr>
      <vt:lpstr>斷層</vt:lpstr>
      <vt:lpstr>斷層 (100年版)</vt:lpstr>
      <vt:lpstr>一般工址Cs!Print_Area</vt:lpstr>
      <vt:lpstr>'一般工址Cs (II)'!Print_Area</vt:lpstr>
      <vt:lpstr>'包絡線Cs (II)'!Print_Area</vt:lpstr>
      <vt:lpstr>台北盆地Cs!Print_Area</vt:lpstr>
      <vt:lpstr>八里區</vt:lpstr>
      <vt:lpstr>三重區</vt:lpstr>
      <vt:lpstr>三義斷層</vt:lpstr>
      <vt:lpstr>土城區</vt:lpstr>
      <vt:lpstr>士林區</vt:lpstr>
      <vt:lpstr>大甲斷層全段、鐵砧山斷層、彰化斷層</vt:lpstr>
      <vt:lpstr>大同區</vt:lpstr>
      <vt:lpstr>大安區</vt:lpstr>
      <vt:lpstr>大尖山斷層、觸口斷層</vt:lpstr>
      <vt:lpstr>大茅埔−雙冬斷層</vt:lpstr>
      <vt:lpstr>中山區</vt:lpstr>
      <vt:lpstr>中正區</vt:lpstr>
      <vt:lpstr>中和區</vt:lpstr>
      <vt:lpstr>五股區</vt:lpstr>
      <vt:lpstr>內湖區</vt:lpstr>
      <vt:lpstr>六甲斷層</vt:lpstr>
      <vt:lpstr>屯子腳斷層</vt:lpstr>
      <vt:lpstr>文山區</vt:lpstr>
      <vt:lpstr>北投區</vt:lpstr>
      <vt:lpstr>台北市區里</vt:lpstr>
      <vt:lpstr>永和區</vt:lpstr>
      <vt:lpstr>一般工址Cs!地盤種類</vt:lpstr>
      <vt:lpstr>'一般工址Cs (II)'!地盤種類</vt:lpstr>
      <vt:lpstr>'包絡線Cs (II)'!地盤種類</vt:lpstr>
      <vt:lpstr>汐止區</vt:lpstr>
      <vt:lpstr>米崙斷層、嶺頂斷層、瑞穗斷層、玉里斷層、池上斷層、鹿野斷層、利吉斷層</vt:lpstr>
      <vt:lpstr>行政區</vt:lpstr>
      <vt:lpstr>車籠埔斷層全段</vt:lpstr>
      <vt:lpstr>宜蘭縣</vt:lpstr>
      <vt:lpstr>宜蘭縣三星鄉</vt:lpstr>
      <vt:lpstr>宜蘭縣大同鄉</vt:lpstr>
      <vt:lpstr>宜蘭縣五結鄉</vt:lpstr>
      <vt:lpstr>宜蘭縣冬山鄉</vt:lpstr>
      <vt:lpstr>宜蘭縣壯圍鄉</vt:lpstr>
      <vt:lpstr>宜蘭縣宜蘭市</vt:lpstr>
      <vt:lpstr>宜蘭縣南澳鄉</vt:lpstr>
      <vt:lpstr>宜蘭縣員山鄉</vt:lpstr>
      <vt:lpstr>宜蘭縣頭城鎮</vt:lpstr>
      <vt:lpstr>宜蘭縣礁溪鎮</vt:lpstr>
      <vt:lpstr>宜蘭縣羅東鎮</vt:lpstr>
      <vt:lpstr>宜蘭縣蘇澳鎮</vt:lpstr>
      <vt:lpstr>松山區</vt:lpstr>
      <vt:lpstr>板橋區</vt:lpstr>
      <vt:lpstr>花蓮縣</vt:lpstr>
      <vt:lpstr>花蓮縣玉里鎮</vt:lpstr>
      <vt:lpstr>花蓮縣光復鄉</vt:lpstr>
      <vt:lpstr>花蓮縣吉安鄉</vt:lpstr>
      <vt:lpstr>花蓮縣秀林鄉</vt:lpstr>
      <vt:lpstr>花蓮縣卓溪鄉</vt:lpstr>
      <vt:lpstr>花蓮縣花蓮市</vt:lpstr>
      <vt:lpstr>花蓮縣富里鄉</vt:lpstr>
      <vt:lpstr>花蓮縣新城鄉</vt:lpstr>
      <vt:lpstr>花蓮縣瑞穗鄉</vt:lpstr>
      <vt:lpstr>花蓮縣萬榮鄉</vt:lpstr>
      <vt:lpstr>花蓮縣壽豐鄉</vt:lpstr>
      <vt:lpstr>花蓮縣鳳山鎮</vt:lpstr>
      <vt:lpstr>花蓮縣豐濱鄉</vt:lpstr>
      <vt:lpstr>金門縣</vt:lpstr>
      <vt:lpstr>金門縣金沙鎮</vt:lpstr>
      <vt:lpstr>金門縣金城鎮</vt:lpstr>
      <vt:lpstr>金門縣金湖鎮</vt:lpstr>
      <vt:lpstr>金門縣金寧鄉</vt:lpstr>
      <vt:lpstr>金門縣烈嶼鄉</vt:lpstr>
      <vt:lpstr>金門縣烏坵鄉</vt:lpstr>
      <vt:lpstr>信義區</vt:lpstr>
      <vt:lpstr>南投縣</vt:lpstr>
      <vt:lpstr>南投縣中寮鄉</vt:lpstr>
      <vt:lpstr>南投縣仁愛鄉</vt:lpstr>
      <vt:lpstr>南投縣水里鄉</vt:lpstr>
      <vt:lpstr>南投縣名間鄉</vt:lpstr>
      <vt:lpstr>南投縣竹山鎮</vt:lpstr>
      <vt:lpstr>南投縣信義鄉</vt:lpstr>
      <vt:lpstr>南投縣南投市</vt:lpstr>
      <vt:lpstr>南投縣埔里鎮</vt:lpstr>
      <vt:lpstr>南投縣草屯鎮</vt:lpstr>
      <vt:lpstr>南投縣國姓鄉</vt:lpstr>
      <vt:lpstr>南投縣魚池鄉</vt:lpstr>
      <vt:lpstr>南投縣鹿谷鄉</vt:lpstr>
      <vt:lpstr>南投縣集集鎮</vt:lpstr>
      <vt:lpstr>南海諸島</vt:lpstr>
      <vt:lpstr>南港區</vt:lpstr>
      <vt:lpstr>屏東縣</vt:lpstr>
      <vt:lpstr>屏東縣九如鄉</vt:lpstr>
      <vt:lpstr>屏東縣三地門鄉</vt:lpstr>
      <vt:lpstr>屏東縣內埔鄉</vt:lpstr>
      <vt:lpstr>屏東縣竹田鄉</vt:lpstr>
      <vt:lpstr>屏東縣牡丹鄉</vt:lpstr>
      <vt:lpstr>屏東縣車城鄉</vt:lpstr>
      <vt:lpstr>屏東縣里港鄉</vt:lpstr>
      <vt:lpstr>屏東縣佳冬鄉</vt:lpstr>
      <vt:lpstr>屏東縣來義鄉</vt:lpstr>
      <vt:lpstr>屏東縣東港鎮</vt:lpstr>
      <vt:lpstr>屏東縣枋山鄉</vt:lpstr>
      <vt:lpstr>屏東縣枋寮鄉</vt:lpstr>
      <vt:lpstr>屏東縣林邊鄉</vt:lpstr>
      <vt:lpstr>屏東縣長治鄉</vt:lpstr>
      <vt:lpstr>屏東縣南州鄉</vt:lpstr>
      <vt:lpstr>屏東縣屏東市</vt:lpstr>
      <vt:lpstr>屏東縣恆春鎮</vt:lpstr>
      <vt:lpstr>屏東縣春日鄉</vt:lpstr>
      <vt:lpstr>屏東縣崁頂鄉</vt:lpstr>
      <vt:lpstr>屏東縣泰武鄉</vt:lpstr>
      <vt:lpstr>屏東縣琉球鄉</vt:lpstr>
      <vt:lpstr>屏東縣高樹鄉</vt:lpstr>
      <vt:lpstr>屏東縣新埤鄉</vt:lpstr>
      <vt:lpstr>屏東縣新園鄉</vt:lpstr>
      <vt:lpstr>屏東縣獅子鄉</vt:lpstr>
      <vt:lpstr>屏東縣萬丹鄉</vt:lpstr>
      <vt:lpstr>屏東縣萬巒鄉</vt:lpstr>
      <vt:lpstr>屏東縣滿洲鄉</vt:lpstr>
      <vt:lpstr>屏東縣瑪家鄉</vt:lpstr>
      <vt:lpstr>屏東縣潮州鎮</vt:lpstr>
      <vt:lpstr>屏東縣霧台鄉</vt:lpstr>
      <vt:lpstr>屏東縣麟洛鄉</vt:lpstr>
      <vt:lpstr>屏東縣鹽埔鄉</vt:lpstr>
      <vt:lpstr>苗栗縣</vt:lpstr>
      <vt:lpstr>苗栗縣三義鄉</vt:lpstr>
      <vt:lpstr>苗栗縣三灣鄉</vt:lpstr>
      <vt:lpstr>苗栗縣大湖鄉</vt:lpstr>
      <vt:lpstr>苗栗縣公館鄉</vt:lpstr>
      <vt:lpstr>苗栗縣竹南鎮</vt:lpstr>
      <vt:lpstr>苗栗縣西湖鄉</vt:lpstr>
      <vt:lpstr>苗栗縣卓蘭鎮</vt:lpstr>
      <vt:lpstr>苗栗縣南庄鄉</vt:lpstr>
      <vt:lpstr>苗栗縣後龍鎮</vt:lpstr>
      <vt:lpstr>苗栗縣苑裡鎮</vt:lpstr>
      <vt:lpstr>苗栗縣苗栗市</vt:lpstr>
      <vt:lpstr>苗栗縣泰安鄉</vt:lpstr>
      <vt:lpstr>苗栗縣通霄鎮</vt:lpstr>
      <vt:lpstr>苗栗縣造橋鄉</vt:lpstr>
      <vt:lpstr>苗栗縣獅潭鄉</vt:lpstr>
      <vt:lpstr>苗栗縣銅鑼鄉</vt:lpstr>
      <vt:lpstr>苗栗縣頭份市</vt:lpstr>
      <vt:lpstr>苗栗縣頭屋鄉</vt:lpstr>
      <vt:lpstr>桃園市</vt:lpstr>
      <vt:lpstr>桃園市八德區</vt:lpstr>
      <vt:lpstr>桃園市大園區</vt:lpstr>
      <vt:lpstr>桃園市大溪區</vt:lpstr>
      <vt:lpstr>桃園市中壢區</vt:lpstr>
      <vt:lpstr>桃園市平鎮區</vt:lpstr>
      <vt:lpstr>桃園市桃園區</vt:lpstr>
      <vt:lpstr>桃園市復興區</vt:lpstr>
      <vt:lpstr>桃園市新屋區</vt:lpstr>
      <vt:lpstr>桃園市楊梅區</vt:lpstr>
      <vt:lpstr>桃園市龍潭區</vt:lpstr>
      <vt:lpstr>桃園市龜山區</vt:lpstr>
      <vt:lpstr>桃園市蘆竹區</vt:lpstr>
      <vt:lpstr>桃園市觀音區</vt:lpstr>
      <vt:lpstr>泰山區</vt:lpstr>
      <vt:lpstr>高雄市</vt:lpstr>
      <vt:lpstr>高雄市三民區</vt:lpstr>
      <vt:lpstr>高雄市大社區</vt:lpstr>
      <vt:lpstr>高雄市大寮區</vt:lpstr>
      <vt:lpstr>高雄市大樹區</vt:lpstr>
      <vt:lpstr>高雄市小港區</vt:lpstr>
      <vt:lpstr>高雄市仁武區</vt:lpstr>
      <vt:lpstr>高雄市內門區</vt:lpstr>
      <vt:lpstr>高雄市六龜區</vt:lpstr>
      <vt:lpstr>高雄市左營區</vt:lpstr>
      <vt:lpstr>高雄市永安區</vt:lpstr>
      <vt:lpstr>高雄市田寮區</vt:lpstr>
      <vt:lpstr>高雄市甲仙區</vt:lpstr>
      <vt:lpstr>高雄市杉林區</vt:lpstr>
      <vt:lpstr>高雄市那瑪夏區</vt:lpstr>
      <vt:lpstr>高雄市岡山區</vt:lpstr>
      <vt:lpstr>高雄市林園區</vt:lpstr>
      <vt:lpstr>高雄市阿蓮區</vt:lpstr>
      <vt:lpstr>高雄市前金區</vt:lpstr>
      <vt:lpstr>高雄市前鎮區</vt:lpstr>
      <vt:lpstr>高雄市美濃區</vt:lpstr>
      <vt:lpstr>高雄市苓雅區</vt:lpstr>
      <vt:lpstr>高雄市茂林區</vt:lpstr>
      <vt:lpstr>高雄市茄萣區</vt:lpstr>
      <vt:lpstr>高雄市桃源區</vt:lpstr>
      <vt:lpstr>高雄市梓官區</vt:lpstr>
      <vt:lpstr>高雄市鳥松區</vt:lpstr>
      <vt:lpstr>高雄市湖內區</vt:lpstr>
      <vt:lpstr>高雄市新興區</vt:lpstr>
      <vt:lpstr>高雄市楠梓區</vt:lpstr>
      <vt:lpstr>高雄市路竹區</vt:lpstr>
      <vt:lpstr>高雄市鼓山區</vt:lpstr>
      <vt:lpstr>高雄市旗山區</vt:lpstr>
      <vt:lpstr>高雄市旗津區</vt:lpstr>
      <vt:lpstr>高雄市鳳山區</vt:lpstr>
      <vt:lpstr>高雄市橋頭區</vt:lpstr>
      <vt:lpstr>高雄市燕巢區</vt:lpstr>
      <vt:lpstr>高雄市彌陀區</vt:lpstr>
      <vt:lpstr>高雄市鹽埕區</vt:lpstr>
      <vt:lpstr>基隆市</vt:lpstr>
      <vt:lpstr>基隆市七堵區</vt:lpstr>
      <vt:lpstr>基隆市中山區</vt:lpstr>
      <vt:lpstr>基隆市中正區</vt:lpstr>
      <vt:lpstr>基隆市仁愛區</vt:lpstr>
      <vt:lpstr>基隆市安樂區</vt:lpstr>
      <vt:lpstr>基隆市信義區</vt:lpstr>
      <vt:lpstr>基隆市暖暖區</vt:lpstr>
      <vt:lpstr>梅山斷層</vt:lpstr>
      <vt:lpstr>淡水區</vt:lpstr>
      <vt:lpstr>連江縣</vt:lpstr>
      <vt:lpstr>連江縣北竿鄉</vt:lpstr>
      <vt:lpstr>連江縣東引鄉</vt:lpstr>
      <vt:lpstr>連江縣南竿鄉</vt:lpstr>
      <vt:lpstr>連江縣莒光鄉</vt:lpstr>
      <vt:lpstr>雲林縣</vt:lpstr>
      <vt:lpstr>雲林縣二崙鄉</vt:lpstr>
      <vt:lpstr>雲林縣口湖鄉</vt:lpstr>
      <vt:lpstr>雲林縣土庫鎮</vt:lpstr>
      <vt:lpstr>雲林縣大埤鄉</vt:lpstr>
      <vt:lpstr>雲林縣元長鄉</vt:lpstr>
      <vt:lpstr>雲林縣斗六市</vt:lpstr>
      <vt:lpstr>雲林縣斗南鎮</vt:lpstr>
      <vt:lpstr>雲林縣水林鄉</vt:lpstr>
      <vt:lpstr>雲林縣北港鎮</vt:lpstr>
      <vt:lpstr>雲林縣古坑鄉</vt:lpstr>
      <vt:lpstr>雲林縣四湖鄉</vt:lpstr>
      <vt:lpstr>雲林縣西螺鎮</vt:lpstr>
      <vt:lpstr>雲林縣東勢鄉</vt:lpstr>
      <vt:lpstr>雲林縣林內鄉</vt:lpstr>
      <vt:lpstr>雲林縣虎尾鎮</vt:lpstr>
      <vt:lpstr>雲林縣崙背鄉</vt:lpstr>
      <vt:lpstr>雲林縣麥寮鄉</vt:lpstr>
      <vt:lpstr>雲林縣莿桐鄉</vt:lpstr>
      <vt:lpstr>雲林縣臺西鄉</vt:lpstr>
      <vt:lpstr>雲林縣褒忠鄉</vt:lpstr>
      <vt:lpstr>新化斷層</vt:lpstr>
      <vt:lpstr>新北市</vt:lpstr>
      <vt:lpstr>新北市八里區</vt:lpstr>
      <vt:lpstr>新北市三芝區</vt:lpstr>
      <vt:lpstr>新北市三峽區</vt:lpstr>
      <vt:lpstr>新北市土城區</vt:lpstr>
      <vt:lpstr>新北市中和區</vt:lpstr>
      <vt:lpstr>新北市五股區</vt:lpstr>
      <vt:lpstr>新北市平溪區</vt:lpstr>
      <vt:lpstr>新北市石門區</vt:lpstr>
      <vt:lpstr>新北市石碇區</vt:lpstr>
      <vt:lpstr>新北市汐止區</vt:lpstr>
      <vt:lpstr>新北市坪林區</vt:lpstr>
      <vt:lpstr>新北市林口區</vt:lpstr>
      <vt:lpstr>新北市金山區</vt:lpstr>
      <vt:lpstr>新北市泰山區</vt:lpstr>
      <vt:lpstr>新北市烏來區</vt:lpstr>
      <vt:lpstr>新北市貢寮區</vt:lpstr>
      <vt:lpstr>新北市淡水區</vt:lpstr>
      <vt:lpstr>新北市深坑區</vt:lpstr>
      <vt:lpstr>新北市微分區</vt:lpstr>
      <vt:lpstr>新北市新店區</vt:lpstr>
      <vt:lpstr>新北市瑞芳區</vt:lpstr>
      <vt:lpstr>新北市萬里區</vt:lpstr>
      <vt:lpstr>新北市樹林區</vt:lpstr>
      <vt:lpstr>新北市雙溪區</vt:lpstr>
      <vt:lpstr>新北市鶯歌區</vt:lpstr>
      <vt:lpstr>新竹市</vt:lpstr>
      <vt:lpstr>新竹市北區</vt:lpstr>
      <vt:lpstr>新竹市東區</vt:lpstr>
      <vt:lpstr>新竹市香山區</vt:lpstr>
      <vt:lpstr>新竹縣</vt:lpstr>
      <vt:lpstr>新竹縣五峰鄉</vt:lpstr>
      <vt:lpstr>新竹縣北埔鄉</vt:lpstr>
      <vt:lpstr>新竹縣尖石鄉</vt:lpstr>
      <vt:lpstr>新竹縣竹北市</vt:lpstr>
      <vt:lpstr>新竹縣竹東鎮</vt:lpstr>
      <vt:lpstr>新竹縣芎林鄉</vt:lpstr>
      <vt:lpstr>新竹縣峨嵋鄉</vt:lpstr>
      <vt:lpstr>新竹縣湖口鄉</vt:lpstr>
      <vt:lpstr>新竹縣新埔鎮</vt:lpstr>
      <vt:lpstr>新竹縣新豐鄉</vt:lpstr>
      <vt:lpstr>新竹縣橫山鄉</vt:lpstr>
      <vt:lpstr>新竹縣關西鎮</vt:lpstr>
      <vt:lpstr>新竹縣寶山鄉</vt:lpstr>
      <vt:lpstr>新店區</vt:lpstr>
      <vt:lpstr>新城斷層</vt:lpstr>
      <vt:lpstr>新莊區</vt:lpstr>
      <vt:lpstr>獅潭斷層</vt:lpstr>
      <vt:lpstr>萬華區</vt:lpstr>
      <vt:lpstr>嘉義市</vt:lpstr>
      <vt:lpstr>嘉義市西區</vt:lpstr>
      <vt:lpstr>嘉義市東區</vt:lpstr>
      <vt:lpstr>嘉義縣</vt:lpstr>
      <vt:lpstr>嘉義縣大林鎮</vt:lpstr>
      <vt:lpstr>嘉義縣大埔鄉</vt:lpstr>
      <vt:lpstr>嘉義縣中埔鄉</vt:lpstr>
      <vt:lpstr>嘉義縣六腳鄉</vt:lpstr>
      <vt:lpstr>嘉義縣太保市</vt:lpstr>
      <vt:lpstr>嘉義縣水上鄉</vt:lpstr>
      <vt:lpstr>嘉義縣布袋鎮</vt:lpstr>
      <vt:lpstr>嘉義縣民雄鄉</vt:lpstr>
      <vt:lpstr>嘉義縣朴子市</vt:lpstr>
      <vt:lpstr>嘉義縣竹崎鄉</vt:lpstr>
      <vt:lpstr>嘉義縣東石鄉</vt:lpstr>
      <vt:lpstr>嘉義縣阿里山鄉</vt:lpstr>
      <vt:lpstr>嘉義縣梅山鄉</vt:lpstr>
      <vt:lpstr>嘉義縣鹿草鄉</vt:lpstr>
      <vt:lpstr>嘉義縣番路鄉</vt:lpstr>
      <vt:lpstr>嘉義縣新港鄉</vt:lpstr>
      <vt:lpstr>嘉義縣溪口鄉</vt:lpstr>
      <vt:lpstr>嘉義縣義竹鄉</vt:lpstr>
      <vt:lpstr>彰化縣</vt:lpstr>
      <vt:lpstr>彰化縣二水鄉</vt:lpstr>
      <vt:lpstr>彰化縣二林鎮</vt:lpstr>
      <vt:lpstr>彰化縣大村鄉</vt:lpstr>
      <vt:lpstr>彰化縣大城鄉</vt:lpstr>
      <vt:lpstr>彰化縣北斗鎮</vt:lpstr>
      <vt:lpstr>彰化縣永靖鄉</vt:lpstr>
      <vt:lpstr>彰化縣田中鎮</vt:lpstr>
      <vt:lpstr>彰化縣田尾鄉</vt:lpstr>
      <vt:lpstr>彰化縣竹塘鄉</vt:lpstr>
      <vt:lpstr>彰化縣伸港鄉</vt:lpstr>
      <vt:lpstr>彰化縣秀水鄉</vt:lpstr>
      <vt:lpstr>彰化縣和美鎮</vt:lpstr>
      <vt:lpstr>彰化縣社頭鄉</vt:lpstr>
      <vt:lpstr>彰化縣芬園鄉</vt:lpstr>
      <vt:lpstr>彰化縣花壇鄉</vt:lpstr>
      <vt:lpstr>彰化縣芳苑鄉</vt:lpstr>
      <vt:lpstr>彰化縣員林市</vt:lpstr>
      <vt:lpstr>彰化縣埔心鄉</vt:lpstr>
      <vt:lpstr>彰化縣埔鹽鄉</vt:lpstr>
      <vt:lpstr>彰化縣埤頭鄉</vt:lpstr>
      <vt:lpstr>彰化縣鹿港鎮</vt:lpstr>
      <vt:lpstr>彰化縣溪州鄉</vt:lpstr>
      <vt:lpstr>彰化縣溪湖鎮</vt:lpstr>
      <vt:lpstr>彰化縣彰化市</vt:lpstr>
      <vt:lpstr>彰化縣福興鄉</vt:lpstr>
      <vt:lpstr>彰化縣線西鄉</vt:lpstr>
      <vt:lpstr>旗山斷層</vt:lpstr>
      <vt:lpstr>一般工址Cs!構造</vt:lpstr>
      <vt:lpstr>'一般工址Cs (II)'!構造</vt:lpstr>
      <vt:lpstr>'包絡線Cs (II)'!構造</vt:lpstr>
      <vt:lpstr>構造</vt:lpstr>
      <vt:lpstr>臺中市</vt:lpstr>
      <vt:lpstr>臺中市大甲區</vt:lpstr>
      <vt:lpstr>臺中市大安區</vt:lpstr>
      <vt:lpstr>臺中市大肚區</vt:lpstr>
      <vt:lpstr>臺中市大里區</vt:lpstr>
      <vt:lpstr>臺中市大雅區</vt:lpstr>
      <vt:lpstr>臺中市中區</vt:lpstr>
      <vt:lpstr>臺中市太平區</vt:lpstr>
      <vt:lpstr>臺中市北屯區</vt:lpstr>
      <vt:lpstr>臺中市北區</vt:lpstr>
      <vt:lpstr>臺中市外埔區</vt:lpstr>
      <vt:lpstr>臺中市石岡區</vt:lpstr>
      <vt:lpstr>臺中市后里區</vt:lpstr>
      <vt:lpstr>臺中市西屯區</vt:lpstr>
      <vt:lpstr>臺中市西區</vt:lpstr>
      <vt:lpstr>臺中市沙鹿區</vt:lpstr>
      <vt:lpstr>臺中市和平區</vt:lpstr>
      <vt:lpstr>臺中市東區</vt:lpstr>
      <vt:lpstr>臺中市東勢區</vt:lpstr>
      <vt:lpstr>臺中市南屯區</vt:lpstr>
      <vt:lpstr>臺中市南區</vt:lpstr>
      <vt:lpstr>臺中市烏日區</vt:lpstr>
      <vt:lpstr>臺中市神岡區</vt:lpstr>
      <vt:lpstr>臺中市梧棲區</vt:lpstr>
      <vt:lpstr>臺中市清水區</vt:lpstr>
      <vt:lpstr>臺中市新社區</vt:lpstr>
      <vt:lpstr>臺中市潭子區</vt:lpstr>
      <vt:lpstr>臺中市龍井區</vt:lpstr>
      <vt:lpstr>臺中市豐原區</vt:lpstr>
      <vt:lpstr>臺中市霧峰區</vt:lpstr>
      <vt:lpstr>臺北市</vt:lpstr>
      <vt:lpstr>臺北市士林區</vt:lpstr>
      <vt:lpstr>臺北市內湖區</vt:lpstr>
      <vt:lpstr>臺北市文山區</vt:lpstr>
      <vt:lpstr>臺北市北投區</vt:lpstr>
      <vt:lpstr>臺北市南港區</vt:lpstr>
      <vt:lpstr>臺北盆地</vt:lpstr>
      <vt:lpstr>臺東縣</vt:lpstr>
      <vt:lpstr>臺東縣大武鄉</vt:lpstr>
      <vt:lpstr>臺東縣太麻里鄉</vt:lpstr>
      <vt:lpstr>臺東縣成功鎮</vt:lpstr>
      <vt:lpstr>臺東縣池上鄉</vt:lpstr>
      <vt:lpstr>臺東縣卑南鄉</vt:lpstr>
      <vt:lpstr>臺東縣延平鄉</vt:lpstr>
      <vt:lpstr>臺東縣東河鄉</vt:lpstr>
      <vt:lpstr>臺東縣金峰鄉</vt:lpstr>
      <vt:lpstr>臺東縣長濱鄉</vt:lpstr>
      <vt:lpstr>臺東縣海端鄉</vt:lpstr>
      <vt:lpstr>臺東縣鹿野鄉</vt:lpstr>
      <vt:lpstr>臺東縣達仁鄉</vt:lpstr>
      <vt:lpstr>臺東縣綠島鄉</vt:lpstr>
      <vt:lpstr>臺東縣臺東市</vt:lpstr>
      <vt:lpstr>臺東縣關山鎮</vt:lpstr>
      <vt:lpstr>臺東縣蘭嶼鄉</vt:lpstr>
      <vt:lpstr>臺南市</vt:lpstr>
      <vt:lpstr>臺南市七股區</vt:lpstr>
      <vt:lpstr>臺南市下營區</vt:lpstr>
      <vt:lpstr>臺南市大內區</vt:lpstr>
      <vt:lpstr>臺南市山上區</vt:lpstr>
      <vt:lpstr>臺南市中西區</vt:lpstr>
      <vt:lpstr>臺南市仁德區</vt:lpstr>
      <vt:lpstr>臺南市六甲區</vt:lpstr>
      <vt:lpstr>臺南市北門區</vt:lpstr>
      <vt:lpstr>臺南市北區</vt:lpstr>
      <vt:lpstr>臺南市左鎮區</vt:lpstr>
      <vt:lpstr>臺南市永康區</vt:lpstr>
      <vt:lpstr>臺南市玉井區</vt:lpstr>
      <vt:lpstr>臺南市白河區</vt:lpstr>
      <vt:lpstr>臺南市安平區</vt:lpstr>
      <vt:lpstr>臺南市安定區</vt:lpstr>
      <vt:lpstr>臺南市安南區</vt:lpstr>
      <vt:lpstr>臺南市西港區</vt:lpstr>
      <vt:lpstr>臺南市佳里區</vt:lpstr>
      <vt:lpstr>臺南市官田區</vt:lpstr>
      <vt:lpstr>臺南市東山區</vt:lpstr>
      <vt:lpstr>臺南市東區</vt:lpstr>
      <vt:lpstr>臺南市南化區</vt:lpstr>
      <vt:lpstr>臺南市南區</vt:lpstr>
      <vt:lpstr>臺南市後壁區</vt:lpstr>
      <vt:lpstr>臺南市柳營區</vt:lpstr>
      <vt:lpstr>臺南市將軍區</vt:lpstr>
      <vt:lpstr>臺南市麻豆區</vt:lpstr>
      <vt:lpstr>臺南市善化區</vt:lpstr>
      <vt:lpstr>臺南市新化區</vt:lpstr>
      <vt:lpstr>臺南市新市區</vt:lpstr>
      <vt:lpstr>臺南市新營區</vt:lpstr>
      <vt:lpstr>臺南市楠西區</vt:lpstr>
      <vt:lpstr>臺南市學甲區</vt:lpstr>
      <vt:lpstr>臺南市龍崎區</vt:lpstr>
      <vt:lpstr>臺南市歸仁區</vt:lpstr>
      <vt:lpstr>臺南市關廟區</vt:lpstr>
      <vt:lpstr>臺南市鹽水區</vt:lpstr>
      <vt:lpstr>澎湖縣</vt:lpstr>
      <vt:lpstr>澎湖縣七美鄉</vt:lpstr>
      <vt:lpstr>澎湖縣白沙鄉</vt:lpstr>
      <vt:lpstr>澎湖縣西嶼鄉</vt:lpstr>
      <vt:lpstr>澎湖縣馬公市</vt:lpstr>
      <vt:lpstr>澎湖縣望安鄉</vt:lpstr>
      <vt:lpstr>澎湖縣湖西鄉</vt:lpstr>
      <vt:lpstr>樹林區</vt:lpstr>
      <vt:lpstr>'斷層 (100年版)'!縣市</vt:lpstr>
      <vt:lpstr>縣市</vt:lpstr>
      <vt:lpstr>斷層0</vt:lpstr>
      <vt:lpstr>斷層1</vt:lpstr>
      <vt:lpstr>斷層10</vt:lpstr>
      <vt:lpstr>斷層11</vt:lpstr>
      <vt:lpstr>一般工址Cs!斷層111</vt:lpstr>
      <vt:lpstr>'一般工址Cs (II)'!斷層111</vt:lpstr>
      <vt:lpstr>'包絡線Cs (II)'!斷層111</vt:lpstr>
      <vt:lpstr>斷層12</vt:lpstr>
      <vt:lpstr>斷層13</vt:lpstr>
      <vt:lpstr>斷層2</vt:lpstr>
      <vt:lpstr>斷層3</vt:lpstr>
      <vt:lpstr>斷層4</vt:lpstr>
      <vt:lpstr>斷層5</vt:lpstr>
      <vt:lpstr>斷層6</vt:lpstr>
      <vt:lpstr>斷層7</vt:lpstr>
      <vt:lpstr>斷層8</vt:lpstr>
      <vt:lpstr>斷層9</vt:lpstr>
      <vt:lpstr>蘆洲區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Shih</dc:creator>
  <cp:lastModifiedBy>忠賢 施</cp:lastModifiedBy>
  <cp:lastPrinted>2022-09-16T14:39:45Z</cp:lastPrinted>
  <dcterms:created xsi:type="dcterms:W3CDTF">2011-06-27T07:12:15Z</dcterms:created>
  <dcterms:modified xsi:type="dcterms:W3CDTF">2025-12-05T09:22:37Z</dcterms:modified>
</cp:coreProperties>
</file>