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mc:AlternateContent xmlns:mc="http://schemas.openxmlformats.org/markup-compatibility/2006">
    <mc:Choice Requires="x15">
      <x15ac:absPath xmlns:x15ac="http://schemas.microsoft.com/office/spreadsheetml/2010/11/ac" url="\\nas.shih.com.tw\web\檔案分享\XLS\"/>
    </mc:Choice>
  </mc:AlternateContent>
  <xr:revisionPtr revIDLastSave="0" documentId="13_ncr:1_{E67B1C80-5D3F-4B4F-8B3D-66B9FB808BED}" xr6:coauthVersionLast="47" xr6:coauthVersionMax="47" xr10:uidLastSave="{00000000-0000-0000-0000-000000000000}"/>
  <bookViews>
    <workbookView xWindow="1560" yWindow="1560" windowWidth="26970" windowHeight="13710" tabRatio="708" firstSheet="1" activeTab="1" xr2:uid="{00000000-000D-0000-FFFF-FFFF00000000}"/>
  </bookViews>
  <sheets>
    <sheet name="MWFRS (普通建築物-封閉或部分封閉) (&gt;18m)" sheetId="171" r:id="rId1"/>
    <sheet name="MWFRS (普通建築物-封閉或部分封閉)" sheetId="157" r:id="rId2"/>
    <sheet name="MWFRS (開放)" sheetId="170" r:id="rId3"/>
    <sheet name="基本風速表" sheetId="169" r:id="rId4"/>
    <sheet name="地況、地形、外風壓係數" sheetId="163" r:id="rId5"/>
    <sheet name="Sheet3" sheetId="159" r:id="rId6"/>
    <sheet name="Wall C&amp;C" sheetId="120" r:id="rId7"/>
    <sheet name="Roof C&amp;C" sheetId="121" r:id="rId8"/>
    <sheet name="Open Structures (no roof)" sheetId="155" r:id="rId9"/>
  </sheets>
  <definedNames>
    <definedName name="_xlnm.Print_Area" localSheetId="1">'MWFRS (普通建築物-封閉或部分封閉)'!$A$1:$H$52</definedName>
    <definedName name="_xlnm.Print_Area" localSheetId="0">'MWFRS (普通建築物-封閉或部分封閉) (&gt;18m)'!$A$1:$H$58</definedName>
    <definedName name="_xlnm.Print_Area" localSheetId="2">'MWFRS (開放)'!$A$1:$H$52</definedName>
    <definedName name="_xlnm.Print_Area" localSheetId="8">'Open Structures (no roof)'!$A$1:$J$169</definedName>
    <definedName name="_xlnm.Print_Area" localSheetId="7">'Roof C&amp;C'!$A$1:$H$156</definedName>
    <definedName name="_xlnm.Print_Area" localSheetId="6">'Wall C&amp;C'!$A$1:$H$156</definedName>
    <definedName name="宜蘭縣">基本風速表!$C$51:$E$63</definedName>
    <definedName name="花蓮縣">基本風速表!$C$343:$E$362</definedName>
    <definedName name="金門縣">基本風速表!$C$363:$E$368</definedName>
    <definedName name="南投縣">基本風速表!$C$166:$E$178</definedName>
    <definedName name="南海諸島">基本風速表!$C$373:$E$374</definedName>
    <definedName name="屏東縣">基本風速表!$C$294:$E$326</definedName>
    <definedName name="苗栗縣">基本風速表!$C$93:$E$110</definedName>
    <definedName name="桃園市">基本風速表!$C$80:$E$92</definedName>
    <definedName name="高雄市">基本風速表!$C$256:$E$293</definedName>
    <definedName name="基隆市">基本風速表!$C$14:$E$21</definedName>
    <definedName name="連江縣">基本風速表!$C$369:$E$372</definedName>
    <definedName name="雲林縣">基本風速表!$C$199:$E$218</definedName>
    <definedName name="新北市">基本風速表!$C$22:$E$50</definedName>
    <definedName name="新竹市">基本風速表!$C$64:$E$66</definedName>
    <definedName name="新竹縣">基本風速表!$C$67:$E$79</definedName>
    <definedName name="嘉義市">基本風速表!$C$179:$E$180</definedName>
    <definedName name="嘉義縣">基本風速表!$C$181:$E$198</definedName>
    <definedName name="彰化縣">基本風速表!$C$140:$E$165</definedName>
    <definedName name="臺中市">基本風速表!$C$111:$E$139</definedName>
    <definedName name="臺北市">基本風速表!$C$2:$E$13</definedName>
    <definedName name="臺東縣">基本風速表!$C$327:$E$342</definedName>
    <definedName name="臺南市">基本風速表!$C$219:$E$255</definedName>
    <definedName name="澎湖縣">基本風速表!$C$356:$E$362</definedName>
    <definedName name="縣市">基本風速表!$A$2:$A$24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3" i="163" l="1"/>
  <c r="G24" i="163" s="1"/>
  <c r="G25" i="163" s="1"/>
  <c r="G26" i="163" s="1"/>
  <c r="F23" i="163"/>
  <c r="F24" i="163" s="1"/>
  <c r="F25" i="163" s="1"/>
  <c r="F26" i="163" s="1"/>
  <c r="D23" i="163"/>
  <c r="D24" i="163" s="1"/>
  <c r="D25" i="163" s="1"/>
  <c r="D26" i="163" s="1"/>
  <c r="P46" i="171" l="1"/>
  <c r="S46" i="171" s="1"/>
  <c r="O46" i="171"/>
  <c r="F36" i="171"/>
  <c r="C20" i="171"/>
  <c r="N18" i="171"/>
  <c r="N19" i="171" s="1"/>
  <c r="M13" i="171"/>
  <c r="B38" i="171" s="1"/>
  <c r="M12" i="171"/>
  <c r="B37" i="171" s="1"/>
  <c r="B11" i="171"/>
  <c r="M9" i="171"/>
  <c r="B33" i="171" s="1"/>
  <c r="B9" i="171"/>
  <c r="J50" i="171" l="1"/>
  <c r="I50" i="171" s="1"/>
  <c r="K50" i="171" s="1"/>
  <c r="J53" i="171"/>
  <c r="I53" i="171" s="1"/>
  <c r="K53" i="171" s="1"/>
  <c r="J52" i="171"/>
  <c r="I52" i="171" s="1"/>
  <c r="K52" i="171" s="1"/>
  <c r="J54" i="171"/>
  <c r="I54" i="171" s="1"/>
  <c r="K54" i="171" s="1"/>
  <c r="J49" i="171"/>
  <c r="I49" i="171" s="1"/>
  <c r="K49" i="171" s="1"/>
  <c r="J51" i="171"/>
  <c r="I51" i="171" s="1"/>
  <c r="K51" i="171" s="1"/>
  <c r="N46" i="171"/>
  <c r="B55" i="171" s="1"/>
  <c r="Q16" i="171"/>
  <c r="M16" i="171" s="1"/>
  <c r="F41" i="171" s="1"/>
  <c r="T46" i="171"/>
  <c r="R46" i="171" s="1"/>
  <c r="F55" i="171" s="1"/>
  <c r="M8" i="171"/>
  <c r="B32" i="171" s="1"/>
  <c r="Q5" i="171"/>
  <c r="Q3" i="171"/>
  <c r="B23" i="171" s="1"/>
  <c r="N46" i="170"/>
  <c r="Q46" i="170" s="1"/>
  <c r="M46" i="170"/>
  <c r="F36" i="170"/>
  <c r="C20" i="170"/>
  <c r="N18" i="170"/>
  <c r="N19" i="170" s="1"/>
  <c r="M13" i="170"/>
  <c r="B38" i="170" s="1"/>
  <c r="M12" i="170"/>
  <c r="B37" i="170" s="1"/>
  <c r="B11" i="170"/>
  <c r="M9" i="170"/>
  <c r="B33" i="170" s="1"/>
  <c r="B9" i="170"/>
  <c r="L46" i="170" l="1"/>
  <c r="B49" i="170" s="1"/>
  <c r="T55" i="171"/>
  <c r="C24" i="171"/>
  <c r="Q4" i="171"/>
  <c r="R46" i="170"/>
  <c r="P46" i="170" s="1"/>
  <c r="F49" i="170" s="1"/>
  <c r="Q16" i="170"/>
  <c r="M16" i="170" s="1"/>
  <c r="F41" i="170" s="1"/>
  <c r="M8" i="170"/>
  <c r="B32" i="170" s="1"/>
  <c r="Q5" i="170"/>
  <c r="Q3" i="170"/>
  <c r="B23" i="170" s="1"/>
  <c r="Q4" i="170" s="1"/>
  <c r="C33" i="163"/>
  <c r="C32" i="163"/>
  <c r="C35" i="163"/>
  <c r="B35" i="163"/>
  <c r="B33" i="163"/>
  <c r="B32" i="163"/>
  <c r="C31" i="163"/>
  <c r="N46" i="157"/>
  <c r="Q46" i="157" s="1"/>
  <c r="M46" i="157"/>
  <c r="R46" i="157" s="1"/>
  <c r="M9" i="157"/>
  <c r="B33" i="157" s="1"/>
  <c r="M8" i="157"/>
  <c r="B32" i="157" s="1"/>
  <c r="B11" i="157"/>
  <c r="M13" i="157"/>
  <c r="B38" i="157" s="1"/>
  <c r="M12" i="157"/>
  <c r="B37" i="157" s="1"/>
  <c r="N18" i="157"/>
  <c r="N19" i="157" s="1"/>
  <c r="F36" i="157"/>
  <c r="C20" i="157"/>
  <c r="Q5" i="157"/>
  <c r="Q3" i="157"/>
  <c r="B23" i="157" s="1"/>
  <c r="B9" i="157"/>
  <c r="G3" i="169"/>
  <c r="B40" i="163"/>
  <c r="C24" i="157" l="1"/>
  <c r="H26" i="163"/>
  <c r="H24" i="163"/>
  <c r="H23" i="163"/>
  <c r="H20" i="163"/>
  <c r="H21" i="163"/>
  <c r="H18" i="163"/>
  <c r="H25" i="163"/>
  <c r="H19" i="163"/>
  <c r="H16" i="163"/>
  <c r="B24" i="171"/>
  <c r="L55" i="171" s="1"/>
  <c r="M55" i="171" s="1"/>
  <c r="M14" i="171"/>
  <c r="M5" i="171"/>
  <c r="G27" i="171" s="1"/>
  <c r="M4" i="171"/>
  <c r="B27" i="171" s="1"/>
  <c r="B24" i="170"/>
  <c r="J49" i="170" s="1"/>
  <c r="K49" i="170" s="1"/>
  <c r="M14" i="170"/>
  <c r="R49" i="170"/>
  <c r="C24" i="170"/>
  <c r="M5" i="170"/>
  <c r="G27" i="170" s="1"/>
  <c r="M4" i="170"/>
  <c r="B27" i="170" s="1"/>
  <c r="H17" i="163"/>
  <c r="H22" i="163"/>
  <c r="H27" i="163"/>
  <c r="H15" i="163"/>
  <c r="P46" i="157"/>
  <c r="F49" i="157" s="1"/>
  <c r="Q16" i="157"/>
  <c r="M16" i="157" s="1"/>
  <c r="F41" i="157" s="1"/>
  <c r="R49" i="157"/>
  <c r="L46" i="157"/>
  <c r="B49" i="157" s="1"/>
  <c r="Q4" i="157"/>
  <c r="B39" i="171" l="1"/>
  <c r="M15" i="171"/>
  <c r="R45" i="171"/>
  <c r="F57" i="171" s="1"/>
  <c r="F58" i="171" s="1"/>
  <c r="N20" i="171"/>
  <c r="N21" i="171" s="1"/>
  <c r="N22" i="171" s="1"/>
  <c r="N23" i="171" s="1"/>
  <c r="N24" i="171" s="1"/>
  <c r="P45" i="170"/>
  <c r="F51" i="170" s="1"/>
  <c r="F52" i="170" s="1"/>
  <c r="N20" i="170"/>
  <c r="N21" i="170" s="1"/>
  <c r="N22" i="170" s="1"/>
  <c r="N23" i="170" s="1"/>
  <c r="N24" i="170" s="1"/>
  <c r="M15" i="170"/>
  <c r="B39" i="170"/>
  <c r="M4" i="157"/>
  <c r="B27" i="157" s="1"/>
  <c r="M14" i="157"/>
  <c r="M15" i="157" s="1"/>
  <c r="M5" i="157"/>
  <c r="G27" i="157" s="1"/>
  <c r="B24" i="157"/>
  <c r="J49" i="157" s="1"/>
  <c r="K49" i="157" s="1"/>
  <c r="AA1" i="155"/>
  <c r="AA1" i="121"/>
  <c r="AA1" i="120"/>
  <c r="O4" i="155"/>
  <c r="G12" i="155" s="1"/>
  <c r="O5" i="155"/>
  <c r="B30" i="155"/>
  <c r="A30" i="155" s="1"/>
  <c r="B31" i="155"/>
  <c r="C31" i="155" s="1"/>
  <c r="B32" i="155"/>
  <c r="C32" i="155" s="1"/>
  <c r="B33" i="155"/>
  <c r="A33" i="155" s="1"/>
  <c r="B34" i="155"/>
  <c r="A34" i="155" s="1"/>
  <c r="B35" i="155"/>
  <c r="C35" i="155" s="1"/>
  <c r="B36" i="155"/>
  <c r="C36" i="155" s="1"/>
  <c r="B37" i="155"/>
  <c r="A37" i="155" s="1"/>
  <c r="C37" i="155"/>
  <c r="B38" i="155"/>
  <c r="A38" i="155" s="1"/>
  <c r="B39" i="155"/>
  <c r="A39" i="155" s="1"/>
  <c r="B40" i="155"/>
  <c r="B41" i="155"/>
  <c r="C41" i="155" s="1"/>
  <c r="B42" i="155"/>
  <c r="A42" i="155" s="1"/>
  <c r="B43" i="155"/>
  <c r="C43" i="155" s="1"/>
  <c r="B44" i="155"/>
  <c r="B45" i="155"/>
  <c r="B46" i="155" s="1"/>
  <c r="B66" i="155"/>
  <c r="B67" i="155"/>
  <c r="B68" i="155"/>
  <c r="B69" i="155"/>
  <c r="B70" i="155"/>
  <c r="B71" i="155"/>
  <c r="B72" i="155"/>
  <c r="B73" i="155"/>
  <c r="B76" i="155" s="1"/>
  <c r="B88" i="155"/>
  <c r="B89" i="155"/>
  <c r="B90" i="155" s="1"/>
  <c r="B91" i="155" s="1"/>
  <c r="AC118" i="155"/>
  <c r="AC119" i="155" s="1"/>
  <c r="AC126" i="155"/>
  <c r="AC129" i="155" s="1"/>
  <c r="AC130" i="155" s="1"/>
  <c r="AC127" i="155"/>
  <c r="AC128" i="155"/>
  <c r="AC150" i="155"/>
  <c r="AC152" i="155" s="1"/>
  <c r="M3" i="121"/>
  <c r="P18" i="121" s="1"/>
  <c r="M3" i="120"/>
  <c r="B26" i="120" s="1"/>
  <c r="B62" i="121"/>
  <c r="B63" i="121" s="1"/>
  <c r="B61" i="121"/>
  <c r="A61" i="121" s="1"/>
  <c r="B60" i="121"/>
  <c r="A60" i="121" s="1"/>
  <c r="B59" i="121"/>
  <c r="A59" i="121" s="1"/>
  <c r="B58" i="121"/>
  <c r="A58" i="121" s="1"/>
  <c r="B57" i="121"/>
  <c r="A57" i="121" s="1"/>
  <c r="B56" i="121"/>
  <c r="B56" i="120"/>
  <c r="B57" i="120" s="1"/>
  <c r="E13" i="121"/>
  <c r="F27" i="121"/>
  <c r="M30" i="121"/>
  <c r="P30" i="121"/>
  <c r="M31" i="121"/>
  <c r="P31" i="121"/>
  <c r="M32" i="121"/>
  <c r="P32" i="121"/>
  <c r="M33" i="121"/>
  <c r="P33" i="121"/>
  <c r="M35" i="121"/>
  <c r="P35" i="121"/>
  <c r="M60" i="121"/>
  <c r="B36" i="121" s="1"/>
  <c r="M36" i="121"/>
  <c r="P36" i="121"/>
  <c r="M61" i="121"/>
  <c r="B37" i="121" s="1"/>
  <c r="M37" i="121"/>
  <c r="P37" i="121"/>
  <c r="M38" i="121"/>
  <c r="P38" i="121"/>
  <c r="M64" i="121"/>
  <c r="B39" i="121" s="1"/>
  <c r="M65" i="121"/>
  <c r="B40" i="121" s="1"/>
  <c r="F40" i="121"/>
  <c r="M40" i="121"/>
  <c r="P40" i="121"/>
  <c r="M41" i="121"/>
  <c r="P41" i="121"/>
  <c r="M42" i="121"/>
  <c r="P42" i="121"/>
  <c r="M43" i="121"/>
  <c r="P43" i="121"/>
  <c r="A56" i="121"/>
  <c r="B82" i="121"/>
  <c r="E13" i="120"/>
  <c r="M22" i="120"/>
  <c r="B35" i="120" s="1"/>
  <c r="M23" i="120"/>
  <c r="B36" i="120" s="1"/>
  <c r="M26" i="120"/>
  <c r="M27" i="120"/>
  <c r="B40" i="120" s="1"/>
  <c r="E39" i="120"/>
  <c r="A56" i="120"/>
  <c r="B82" i="120"/>
  <c r="A32" i="155"/>
  <c r="A44" i="155"/>
  <c r="C33" i="155"/>
  <c r="C40" i="155"/>
  <c r="G13" i="155"/>
  <c r="C30" i="155"/>
  <c r="D30" i="155" s="1"/>
  <c r="C38" i="155"/>
  <c r="C39" i="155"/>
  <c r="C45" i="155"/>
  <c r="P20" i="121"/>
  <c r="M18" i="121"/>
  <c r="P13" i="121"/>
  <c r="P16" i="121"/>
  <c r="P21" i="121"/>
  <c r="M20" i="121"/>
  <c r="A35" i="155" l="1"/>
  <c r="C34" i="155"/>
  <c r="M19" i="121"/>
  <c r="M14" i="121"/>
  <c r="B27" i="121"/>
  <c r="C28" i="121" s="1"/>
  <c r="M16" i="121"/>
  <c r="P3" i="121"/>
  <c r="P46" i="121" s="1"/>
  <c r="M21" i="121"/>
  <c r="P19" i="121"/>
  <c r="P15" i="121"/>
  <c r="M15" i="121"/>
  <c r="M13" i="121"/>
  <c r="C44" i="155"/>
  <c r="A36" i="155"/>
  <c r="D58" i="171"/>
  <c r="H56" i="171"/>
  <c r="D55" i="171"/>
  <c r="H57" i="171"/>
  <c r="B42" i="171"/>
  <c r="G58" i="171"/>
  <c r="D56" i="171"/>
  <c r="H58" i="171"/>
  <c r="C58" i="171"/>
  <c r="G56" i="171"/>
  <c r="H55" i="171"/>
  <c r="C55" i="171"/>
  <c r="G57" i="171"/>
  <c r="C56" i="171"/>
  <c r="G55" i="171"/>
  <c r="P55" i="171"/>
  <c r="R55" i="171"/>
  <c r="N55" i="171"/>
  <c r="S55" i="171"/>
  <c r="O55" i="171"/>
  <c r="Q55" i="171"/>
  <c r="C46" i="155"/>
  <c r="D46" i="155" s="1"/>
  <c r="B47" i="155"/>
  <c r="C47" i="155" s="1"/>
  <c r="A46" i="155"/>
  <c r="A45" i="155"/>
  <c r="A62" i="121"/>
  <c r="AC151" i="155"/>
  <c r="L49" i="170"/>
  <c r="Q49" i="170"/>
  <c r="M49" i="170"/>
  <c r="N49" i="170"/>
  <c r="O49" i="170"/>
  <c r="P49" i="170"/>
  <c r="G51" i="170"/>
  <c r="C50" i="170"/>
  <c r="H51" i="170"/>
  <c r="D50" i="170"/>
  <c r="C52" i="170"/>
  <c r="G50" i="170"/>
  <c r="C49" i="170"/>
  <c r="D52" i="170"/>
  <c r="H50" i="170"/>
  <c r="D49" i="170"/>
  <c r="G52" i="170"/>
  <c r="G49" i="170"/>
  <c r="B42" i="170"/>
  <c r="H52" i="170"/>
  <c r="H49" i="170"/>
  <c r="L49" i="157"/>
  <c r="P49" i="157"/>
  <c r="M49" i="157"/>
  <c r="Q49" i="157"/>
  <c r="N49" i="157"/>
  <c r="O49" i="157"/>
  <c r="D49" i="157"/>
  <c r="H50" i="157"/>
  <c r="C52" i="157"/>
  <c r="G49" i="157"/>
  <c r="D52" i="157"/>
  <c r="H49" i="157"/>
  <c r="C50" i="157"/>
  <c r="D50" i="157"/>
  <c r="G50" i="157"/>
  <c r="C49" i="157"/>
  <c r="N20" i="157"/>
  <c r="N21" i="157" s="1"/>
  <c r="P45" i="157"/>
  <c r="F51" i="157" s="1"/>
  <c r="F52" i="157" s="1"/>
  <c r="G52" i="157" s="1"/>
  <c r="B39" i="157"/>
  <c r="B58" i="120"/>
  <c r="A58" i="120" s="1"/>
  <c r="A57" i="120"/>
  <c r="D45" i="155"/>
  <c r="A41" i="155"/>
  <c r="D41" i="155"/>
  <c r="D38" i="155"/>
  <c r="D36" i="155"/>
  <c r="D44" i="155"/>
  <c r="A40" i="155"/>
  <c r="D40" i="155"/>
  <c r="D35" i="155"/>
  <c r="D33" i="155"/>
  <c r="A43" i="155"/>
  <c r="D43" i="155"/>
  <c r="D39" i="155"/>
  <c r="D32" i="155"/>
  <c r="C42" i="155"/>
  <c r="D42" i="155" s="1"/>
  <c r="D37" i="155"/>
  <c r="D34" i="155"/>
  <c r="A31" i="155"/>
  <c r="D31" i="155"/>
  <c r="C27" i="120"/>
  <c r="P3" i="120"/>
  <c r="O16" i="120" s="1"/>
  <c r="O17" i="120" s="1"/>
  <c r="G14" i="155"/>
  <c r="C60" i="155"/>
  <c r="I15" i="155"/>
  <c r="B60" i="155"/>
  <c r="H14" i="155"/>
  <c r="B81" i="155"/>
  <c r="M47" i="121"/>
  <c r="M9" i="121"/>
  <c r="M23" i="121" s="1"/>
  <c r="B32" i="121" s="1"/>
  <c r="A63" i="121"/>
  <c r="B64" i="121"/>
  <c r="B78" i="155"/>
  <c r="B82" i="155" s="1"/>
  <c r="B77" i="155"/>
  <c r="P52" i="121"/>
  <c r="B39" i="120"/>
  <c r="O15" i="120"/>
  <c r="P14" i="121"/>
  <c r="P44" i="121" l="1"/>
  <c r="P54" i="121"/>
  <c r="P55" i="121" s="1"/>
  <c r="M8" i="121"/>
  <c r="M22" i="121" s="1"/>
  <c r="B31" i="121" s="1"/>
  <c r="B28" i="121"/>
  <c r="P53" i="121"/>
  <c r="M45" i="121"/>
  <c r="P47" i="121"/>
  <c r="P8" i="121"/>
  <c r="P25" i="121"/>
  <c r="P10" i="121"/>
  <c r="M52" i="121"/>
  <c r="M53" i="121" s="1"/>
  <c r="M54" i="121" s="1"/>
  <c r="M55" i="121" s="1"/>
  <c r="M56" i="121" s="1"/>
  <c r="M57" i="121" s="1"/>
  <c r="P11" i="121"/>
  <c r="M11" i="121"/>
  <c r="M25" i="121" s="1"/>
  <c r="B34" i="121" s="1"/>
  <c r="M66" i="121"/>
  <c r="C63" i="121" s="1"/>
  <c r="M10" i="121"/>
  <c r="M24" i="121" s="1"/>
  <c r="B33" i="121" s="1"/>
  <c r="M46" i="121"/>
  <c r="P9" i="121"/>
  <c r="P45" i="121"/>
  <c r="M44" i="121"/>
  <c r="P24" i="121"/>
  <c r="E64" i="121"/>
  <c r="P23" i="121"/>
  <c r="P22" i="121"/>
  <c r="B51" i="157"/>
  <c r="D51" i="157" s="1"/>
  <c r="B27" i="120"/>
  <c r="C30" i="120" s="1"/>
  <c r="M28" i="120"/>
  <c r="C82" i="120" s="1"/>
  <c r="B57" i="171"/>
  <c r="D57" i="171" s="1"/>
  <c r="C51" i="171"/>
  <c r="C53" i="171"/>
  <c r="D52" i="171"/>
  <c r="C52" i="171"/>
  <c r="D51" i="171"/>
  <c r="D53" i="171"/>
  <c r="D54" i="171"/>
  <c r="C54" i="171"/>
  <c r="D50" i="171"/>
  <c r="C50" i="171"/>
  <c r="C49" i="171"/>
  <c r="D49" i="171"/>
  <c r="C48" i="171"/>
  <c r="G48" i="171"/>
  <c r="H48" i="171"/>
  <c r="D48" i="171"/>
  <c r="B51" i="170"/>
  <c r="D51" i="170" s="1"/>
  <c r="B59" i="120"/>
  <c r="B60" i="120" s="1"/>
  <c r="C60" i="120" s="1"/>
  <c r="I47" i="155"/>
  <c r="F47" i="155"/>
  <c r="A47" i="155"/>
  <c r="G47" i="155"/>
  <c r="D47" i="155"/>
  <c r="E47" i="155"/>
  <c r="H47" i="155"/>
  <c r="B48" i="155"/>
  <c r="D48" i="155" s="1"/>
  <c r="D48" i="170"/>
  <c r="H48" i="170"/>
  <c r="G48" i="170"/>
  <c r="C48" i="170"/>
  <c r="G51" i="157"/>
  <c r="N22" i="157"/>
  <c r="N23" i="157" s="1"/>
  <c r="H52" i="157"/>
  <c r="H51" i="157"/>
  <c r="B42" i="157"/>
  <c r="G64" i="121"/>
  <c r="H64" i="121"/>
  <c r="O5" i="120"/>
  <c r="M8" i="120" s="1"/>
  <c r="B30" i="120" s="1"/>
  <c r="O14" i="120"/>
  <c r="M14" i="120"/>
  <c r="M15" i="120" s="1"/>
  <c r="M16" i="120" s="1"/>
  <c r="M17" i="120" s="1"/>
  <c r="M18" i="120" s="1"/>
  <c r="M19" i="120" s="1"/>
  <c r="E86" i="120" s="1"/>
  <c r="C58" i="120"/>
  <c r="C57" i="120"/>
  <c r="C31" i="121"/>
  <c r="C32" i="121"/>
  <c r="C33" i="121"/>
  <c r="C34" i="121"/>
  <c r="B83" i="121"/>
  <c r="D86" i="121"/>
  <c r="C54" i="121"/>
  <c r="A87" i="121"/>
  <c r="D87" i="121"/>
  <c r="D54" i="121"/>
  <c r="D54" i="120"/>
  <c r="C33" i="120"/>
  <c r="C54" i="120"/>
  <c r="N11" i="120"/>
  <c r="A64" i="121"/>
  <c r="B65" i="121"/>
  <c r="F64" i="121"/>
  <c r="D64" i="121"/>
  <c r="C64" i="121"/>
  <c r="B99" i="155"/>
  <c r="B101" i="155"/>
  <c r="B94" i="155"/>
  <c r="B93" i="155"/>
  <c r="B102" i="155"/>
  <c r="B95" i="155"/>
  <c r="B100" i="155"/>
  <c r="B97" i="155"/>
  <c r="B98" i="155"/>
  <c r="B63" i="155"/>
  <c r="B92" i="155"/>
  <c r="B103" i="155"/>
  <c r="B85" i="155"/>
  <c r="B104" i="155" s="1"/>
  <c r="G15" i="155" s="1"/>
  <c r="B96" i="155"/>
  <c r="C58" i="121" l="1"/>
  <c r="C62" i="121"/>
  <c r="C82" i="121"/>
  <c r="C56" i="121"/>
  <c r="C57" i="121"/>
  <c r="C61" i="121"/>
  <c r="C60" i="121"/>
  <c r="C59" i="121"/>
  <c r="B41" i="121"/>
  <c r="M67" i="121"/>
  <c r="B41" i="120"/>
  <c r="B83" i="120"/>
  <c r="M30" i="120"/>
  <c r="C56" i="120"/>
  <c r="L7" i="120"/>
  <c r="N9" i="120"/>
  <c r="C31" i="120"/>
  <c r="C32" i="120"/>
  <c r="N10" i="120"/>
  <c r="N8" i="120"/>
  <c r="C57" i="171"/>
  <c r="C51" i="170"/>
  <c r="B49" i="155"/>
  <c r="D49" i="155" s="1"/>
  <c r="I48" i="155"/>
  <c r="C59" i="120"/>
  <c r="H48" i="155"/>
  <c r="C48" i="155"/>
  <c r="A59" i="120"/>
  <c r="F48" i="155"/>
  <c r="A48" i="155"/>
  <c r="E48" i="155"/>
  <c r="G48" i="155"/>
  <c r="C51" i="157"/>
  <c r="N24" i="157"/>
  <c r="G48" i="157"/>
  <c r="D48" i="157"/>
  <c r="C48" i="157"/>
  <c r="H48" i="157"/>
  <c r="M11" i="120"/>
  <c r="B33" i="120" s="1"/>
  <c r="M10" i="120"/>
  <c r="B32" i="120" s="1"/>
  <c r="M9" i="120"/>
  <c r="B31" i="120" s="1"/>
  <c r="B61" i="120"/>
  <c r="H61" i="120" s="1"/>
  <c r="A60" i="120"/>
  <c r="E37" i="155"/>
  <c r="E33" i="155"/>
  <c r="E39" i="155"/>
  <c r="E40" i="155"/>
  <c r="E32" i="155"/>
  <c r="E42" i="155"/>
  <c r="E44" i="155"/>
  <c r="E36" i="155"/>
  <c r="E43" i="155"/>
  <c r="E45" i="155"/>
  <c r="E30" i="155"/>
  <c r="E35" i="155"/>
  <c r="E31" i="155"/>
  <c r="E46" i="155"/>
  <c r="E34" i="155"/>
  <c r="E41" i="155"/>
  <c r="E38" i="155"/>
  <c r="C83" i="121"/>
  <c r="E83" i="121"/>
  <c r="G83" i="121"/>
  <c r="D83" i="121"/>
  <c r="F83" i="121"/>
  <c r="H83" i="121"/>
  <c r="B44" i="121"/>
  <c r="H58" i="121"/>
  <c r="D59" i="121"/>
  <c r="D58" i="121"/>
  <c r="G58" i="121"/>
  <c r="H82" i="121"/>
  <c r="D61" i="121"/>
  <c r="D62" i="121"/>
  <c r="F59" i="121"/>
  <c r="H62" i="121"/>
  <c r="F58" i="121"/>
  <c r="D82" i="121"/>
  <c r="E62" i="121"/>
  <c r="E60" i="121"/>
  <c r="D57" i="121"/>
  <c r="E63" i="121"/>
  <c r="G61" i="121"/>
  <c r="G56" i="121"/>
  <c r="G82" i="121"/>
  <c r="E57" i="121"/>
  <c r="H63" i="121"/>
  <c r="D63" i="121"/>
  <c r="F56" i="121"/>
  <c r="E59" i="121"/>
  <c r="D56" i="121"/>
  <c r="G57" i="121"/>
  <c r="F63" i="121"/>
  <c r="G62" i="121"/>
  <c r="G59" i="121"/>
  <c r="E58" i="121"/>
  <c r="F62" i="121"/>
  <c r="H57" i="121"/>
  <c r="G63" i="121"/>
  <c r="E56" i="121"/>
  <c r="F57" i="121"/>
  <c r="F61" i="121"/>
  <c r="E82" i="121"/>
  <c r="H56" i="121"/>
  <c r="H61" i="121"/>
  <c r="F82" i="121"/>
  <c r="E61" i="121"/>
  <c r="H59" i="121"/>
  <c r="F60" i="121"/>
  <c r="G60" i="121"/>
  <c r="D60" i="121"/>
  <c r="H60" i="121"/>
  <c r="D57" i="120"/>
  <c r="E59" i="120"/>
  <c r="H59" i="120"/>
  <c r="E60" i="120"/>
  <c r="E58" i="120"/>
  <c r="D59" i="120"/>
  <c r="E57" i="120"/>
  <c r="G59" i="120"/>
  <c r="F60" i="120"/>
  <c r="D56" i="120"/>
  <c r="B44" i="120"/>
  <c r="G58" i="120"/>
  <c r="H58" i="120"/>
  <c r="D58" i="120"/>
  <c r="E82" i="120"/>
  <c r="E56" i="120"/>
  <c r="F59" i="120"/>
  <c r="D60" i="120"/>
  <c r="D82" i="120"/>
  <c r="F58" i="120"/>
  <c r="E61" i="120"/>
  <c r="H60" i="120"/>
  <c r="G60" i="120"/>
  <c r="G83" i="120"/>
  <c r="E83" i="120"/>
  <c r="D83" i="120"/>
  <c r="C83" i="120"/>
  <c r="B66" i="121"/>
  <c r="A65" i="121"/>
  <c r="F65" i="121"/>
  <c r="D65" i="121"/>
  <c r="C65" i="121"/>
  <c r="H65" i="121"/>
  <c r="E65" i="121"/>
  <c r="G65" i="121"/>
  <c r="C49" i="155" l="1"/>
  <c r="H82" i="120"/>
  <c r="F49" i="155"/>
  <c r="H56" i="120"/>
  <c r="F83" i="120"/>
  <c r="I49" i="155"/>
  <c r="F56" i="120"/>
  <c r="A49" i="155"/>
  <c r="G49" i="155"/>
  <c r="E49" i="155"/>
  <c r="H49" i="155"/>
  <c r="B50" i="155"/>
  <c r="D50" i="155" s="1"/>
  <c r="F82" i="120"/>
  <c r="H83" i="120"/>
  <c r="H57" i="120"/>
  <c r="G56" i="120"/>
  <c r="F57" i="120"/>
  <c r="G57" i="120"/>
  <c r="B62" i="120"/>
  <c r="A61" i="120"/>
  <c r="C61" i="120"/>
  <c r="D61" i="120"/>
  <c r="G61" i="120"/>
  <c r="G82" i="120"/>
  <c r="F61" i="120"/>
  <c r="F34" i="155"/>
  <c r="G34" i="155"/>
  <c r="H34" i="155"/>
  <c r="I34" i="155"/>
  <c r="I30" i="155"/>
  <c r="H30" i="155"/>
  <c r="G30" i="155"/>
  <c r="F30" i="155"/>
  <c r="H44" i="155"/>
  <c r="F44" i="155"/>
  <c r="I44" i="155"/>
  <c r="G44" i="155"/>
  <c r="F39" i="155"/>
  <c r="I39" i="155"/>
  <c r="G39" i="155"/>
  <c r="H39" i="155"/>
  <c r="A66" i="121"/>
  <c r="F66" i="121"/>
  <c r="D66" i="121"/>
  <c r="B67" i="121"/>
  <c r="C66" i="121"/>
  <c r="H66" i="121"/>
  <c r="E66" i="121"/>
  <c r="G66" i="121"/>
  <c r="G46" i="155"/>
  <c r="I46" i="155"/>
  <c r="F46" i="155"/>
  <c r="H46" i="155"/>
  <c r="F45" i="155"/>
  <c r="I45" i="155"/>
  <c r="H45" i="155"/>
  <c r="G45" i="155"/>
  <c r="G42" i="155"/>
  <c r="F42" i="155"/>
  <c r="I42" i="155"/>
  <c r="H42" i="155"/>
  <c r="G33" i="155"/>
  <c r="H33" i="155"/>
  <c r="I33" i="155"/>
  <c r="F33" i="155"/>
  <c r="G38" i="155"/>
  <c r="F38" i="155"/>
  <c r="H38" i="155"/>
  <c r="I38" i="155"/>
  <c r="G31" i="155"/>
  <c r="F31" i="155"/>
  <c r="H31" i="155"/>
  <c r="I31" i="155"/>
  <c r="G43" i="155"/>
  <c r="F43" i="155"/>
  <c r="H43" i="155"/>
  <c r="I43" i="155"/>
  <c r="F32" i="155"/>
  <c r="H32" i="155"/>
  <c r="I32" i="155"/>
  <c r="G32" i="155"/>
  <c r="I37" i="155"/>
  <c r="H37" i="155"/>
  <c r="F37" i="155"/>
  <c r="G37" i="155"/>
  <c r="H41" i="155"/>
  <c r="G41" i="155"/>
  <c r="F41" i="155"/>
  <c r="I41" i="155"/>
  <c r="F35" i="155"/>
  <c r="G35" i="155"/>
  <c r="H35" i="155"/>
  <c r="I35" i="155"/>
  <c r="G36" i="155"/>
  <c r="I36" i="155"/>
  <c r="H36" i="155"/>
  <c r="F36" i="155"/>
  <c r="I40" i="155"/>
  <c r="H40" i="155"/>
  <c r="F40" i="155"/>
  <c r="G40" i="155"/>
  <c r="G50" i="155" l="1"/>
  <c r="E50" i="155"/>
  <c r="F50" i="155"/>
  <c r="H50" i="155"/>
  <c r="C50" i="155"/>
  <c r="I50" i="155"/>
  <c r="A50" i="155"/>
  <c r="B51" i="155"/>
  <c r="D51" i="155" s="1"/>
  <c r="A62" i="120"/>
  <c r="B63" i="120"/>
  <c r="C62" i="120"/>
  <c r="D62" i="120"/>
  <c r="G62" i="120"/>
  <c r="F62" i="120"/>
  <c r="E62" i="120"/>
  <c r="H62" i="120"/>
  <c r="B68" i="121"/>
  <c r="E67" i="121"/>
  <c r="A67" i="121"/>
  <c r="F67" i="121"/>
  <c r="H67" i="121"/>
  <c r="D67" i="121"/>
  <c r="G67" i="121"/>
  <c r="C67" i="121"/>
  <c r="H51" i="155" l="1"/>
  <c r="A51" i="155"/>
  <c r="C51" i="155"/>
  <c r="F51" i="155"/>
  <c r="G51" i="155"/>
  <c r="B52" i="155"/>
  <c r="D52" i="155" s="1"/>
  <c r="E51" i="155"/>
  <c r="I51" i="155"/>
  <c r="A63" i="120"/>
  <c r="C63" i="120"/>
  <c r="B64" i="120"/>
  <c r="E63" i="120"/>
  <c r="D63" i="120"/>
  <c r="G63" i="120"/>
  <c r="F63" i="120"/>
  <c r="H63" i="120"/>
  <c r="B69" i="121"/>
  <c r="A68" i="121"/>
  <c r="E68" i="121"/>
  <c r="G68" i="121"/>
  <c r="F68" i="121"/>
  <c r="H68" i="121"/>
  <c r="C68" i="121"/>
  <c r="D68" i="121"/>
  <c r="F52" i="155" l="1"/>
  <c r="I52" i="155"/>
  <c r="C52" i="155"/>
  <c r="H52" i="155"/>
  <c r="A52" i="155"/>
  <c r="G52" i="155"/>
  <c r="E52" i="155"/>
  <c r="B53" i="155"/>
  <c r="D53" i="155" s="1"/>
  <c r="F64" i="120"/>
  <c r="B65" i="120"/>
  <c r="G64" i="120"/>
  <c r="C64" i="120"/>
  <c r="D64" i="120"/>
  <c r="E64" i="120"/>
  <c r="A64" i="120"/>
  <c r="H64" i="120"/>
  <c r="A69" i="121"/>
  <c r="G69" i="121"/>
  <c r="H69" i="121"/>
  <c r="B70" i="121"/>
  <c r="D69" i="121"/>
  <c r="C69" i="121"/>
  <c r="F69" i="121"/>
  <c r="E69" i="121"/>
  <c r="I53" i="155" l="1"/>
  <c r="G53" i="155"/>
  <c r="F53" i="155"/>
  <c r="B54" i="155"/>
  <c r="D54" i="155" s="1"/>
  <c r="E53" i="155"/>
  <c r="C53" i="155"/>
  <c r="A53" i="155"/>
  <c r="H53" i="155"/>
  <c r="F65" i="120"/>
  <c r="A65" i="120"/>
  <c r="D65" i="120"/>
  <c r="C65" i="120"/>
  <c r="G65" i="120"/>
  <c r="B66" i="120"/>
  <c r="H65" i="120"/>
  <c r="E65" i="120"/>
  <c r="A70" i="121"/>
  <c r="B71" i="121"/>
  <c r="G70" i="121"/>
  <c r="E70" i="121"/>
  <c r="H70" i="121"/>
  <c r="F70" i="121"/>
  <c r="C70" i="121"/>
  <c r="D70" i="121"/>
  <c r="E54" i="155" l="1"/>
  <c r="G54" i="155"/>
  <c r="F54" i="155"/>
  <c r="H54" i="155"/>
  <c r="I54" i="155"/>
  <c r="A54" i="155"/>
  <c r="C54" i="155"/>
  <c r="B55" i="155"/>
  <c r="D55" i="155" s="1"/>
  <c r="H66" i="120"/>
  <c r="B67" i="120"/>
  <c r="G66" i="120"/>
  <c r="D66" i="120"/>
  <c r="E66" i="120"/>
  <c r="C66" i="120"/>
  <c r="A66" i="120"/>
  <c r="F66" i="120"/>
  <c r="B72" i="121"/>
  <c r="H71" i="121"/>
  <c r="E71" i="121"/>
  <c r="A71" i="121"/>
  <c r="D71" i="121"/>
  <c r="F71" i="121"/>
  <c r="G71" i="121"/>
  <c r="C71" i="121"/>
  <c r="H55" i="155" l="1"/>
  <c r="I55" i="155"/>
  <c r="E55" i="155"/>
  <c r="F55" i="155"/>
  <c r="C55" i="155"/>
  <c r="G55" i="155"/>
  <c r="A55" i="155"/>
  <c r="E67" i="120"/>
  <c r="B68" i="120"/>
  <c r="C67" i="120"/>
  <c r="A67" i="120"/>
  <c r="D67" i="120"/>
  <c r="H67" i="120"/>
  <c r="G67" i="120"/>
  <c r="F67" i="120"/>
  <c r="A72" i="121"/>
  <c r="B73" i="121"/>
  <c r="E72" i="121"/>
  <c r="C72" i="121"/>
  <c r="H72" i="121"/>
  <c r="F72" i="121"/>
  <c r="D72" i="121"/>
  <c r="G72" i="121"/>
  <c r="A68" i="120" l="1"/>
  <c r="F68" i="120"/>
  <c r="D68" i="120"/>
  <c r="E68" i="120"/>
  <c r="C68" i="120"/>
  <c r="H68" i="120"/>
  <c r="B69" i="120"/>
  <c r="G68" i="120"/>
  <c r="B74" i="121"/>
  <c r="C73" i="121"/>
  <c r="D73" i="121"/>
  <c r="A73" i="121"/>
  <c r="H73" i="121"/>
  <c r="E73" i="121"/>
  <c r="F73" i="121"/>
  <c r="G73" i="121"/>
  <c r="H69" i="120" l="1"/>
  <c r="E69" i="120"/>
  <c r="B70" i="120"/>
  <c r="F69" i="120"/>
  <c r="D69" i="120"/>
  <c r="G69" i="120"/>
  <c r="A69" i="120"/>
  <c r="C69" i="120"/>
  <c r="B75" i="121"/>
  <c r="A74" i="121"/>
  <c r="H74" i="121"/>
  <c r="C74" i="121"/>
  <c r="E74" i="121"/>
  <c r="D74" i="121"/>
  <c r="G74" i="121"/>
  <c r="F74" i="121"/>
  <c r="E70" i="120" l="1"/>
  <c r="B71" i="120"/>
  <c r="A70" i="120"/>
  <c r="H70" i="120"/>
  <c r="G70" i="120"/>
  <c r="F70" i="120"/>
  <c r="C70" i="120"/>
  <c r="D70" i="120"/>
  <c r="A75" i="121"/>
  <c r="F75" i="121"/>
  <c r="E75" i="121"/>
  <c r="B76" i="121"/>
  <c r="G75" i="121"/>
  <c r="D75" i="121"/>
  <c r="C75" i="121"/>
  <c r="H75" i="121"/>
  <c r="G71" i="120" l="1"/>
  <c r="D71" i="120"/>
  <c r="F71" i="120"/>
  <c r="C71" i="120"/>
  <c r="A71" i="120"/>
  <c r="E71" i="120"/>
  <c r="B72" i="120"/>
  <c r="H71" i="120"/>
  <c r="A76" i="121"/>
  <c r="B77" i="121"/>
  <c r="H76" i="121"/>
  <c r="C76" i="121"/>
  <c r="F76" i="121"/>
  <c r="G76" i="121"/>
  <c r="D76" i="121"/>
  <c r="E76" i="121"/>
  <c r="B73" i="120" l="1"/>
  <c r="A72" i="120"/>
  <c r="E72" i="120"/>
  <c r="G72" i="120"/>
  <c r="F72" i="120"/>
  <c r="H72" i="120"/>
  <c r="C72" i="120"/>
  <c r="D72" i="120"/>
  <c r="A77" i="121"/>
  <c r="D77" i="121"/>
  <c r="H77" i="121"/>
  <c r="B78" i="121"/>
  <c r="G77" i="121"/>
  <c r="F77" i="121"/>
  <c r="C77" i="121"/>
  <c r="E77" i="121"/>
  <c r="A73" i="120" l="1"/>
  <c r="B74" i="120"/>
  <c r="C73" i="120"/>
  <c r="D73" i="120"/>
  <c r="G73" i="120"/>
  <c r="H73" i="120"/>
  <c r="E73" i="120"/>
  <c r="F73" i="120"/>
  <c r="A78" i="121"/>
  <c r="B79" i="121"/>
  <c r="H78" i="121"/>
  <c r="G78" i="121"/>
  <c r="D78" i="121"/>
  <c r="E78" i="121"/>
  <c r="C78" i="121"/>
  <c r="F78" i="121"/>
  <c r="C74" i="120" l="1"/>
  <c r="B75" i="120"/>
  <c r="H74" i="120"/>
  <c r="D74" i="120"/>
  <c r="A74" i="120"/>
  <c r="F74" i="120"/>
  <c r="E74" i="120"/>
  <c r="G74" i="120"/>
  <c r="A79" i="121"/>
  <c r="H79" i="121"/>
  <c r="G79" i="121"/>
  <c r="B80" i="121"/>
  <c r="C79" i="121"/>
  <c r="E79" i="121"/>
  <c r="D79" i="121"/>
  <c r="F79" i="121"/>
  <c r="A75" i="120" l="1"/>
  <c r="D75" i="120"/>
  <c r="H75" i="120"/>
  <c r="F75" i="120"/>
  <c r="C75" i="120"/>
  <c r="G75" i="120"/>
  <c r="B76" i="120"/>
  <c r="E75" i="120"/>
  <c r="A80" i="121"/>
  <c r="B81" i="121"/>
  <c r="C80" i="121"/>
  <c r="G80" i="121"/>
  <c r="E80" i="121"/>
  <c r="F80" i="121"/>
  <c r="H80" i="121"/>
  <c r="D80" i="121"/>
  <c r="A76" i="120" l="1"/>
  <c r="H76" i="120"/>
  <c r="D76" i="120"/>
  <c r="E76" i="120"/>
  <c r="C76" i="120"/>
  <c r="B77" i="120"/>
  <c r="G76" i="120"/>
  <c r="F76" i="120"/>
  <c r="C81" i="121"/>
  <c r="A81" i="121"/>
  <c r="E81" i="121"/>
  <c r="G81" i="121"/>
  <c r="H81" i="121"/>
  <c r="F81" i="121"/>
  <c r="D81" i="121"/>
  <c r="D77" i="120" l="1"/>
  <c r="A77" i="120"/>
  <c r="G77" i="120"/>
  <c r="H77" i="120"/>
  <c r="C77" i="120"/>
  <c r="B78" i="120"/>
  <c r="F77" i="120"/>
  <c r="E77" i="120"/>
  <c r="D78" i="120" l="1"/>
  <c r="E78" i="120"/>
  <c r="B79" i="120"/>
  <c r="C78" i="120"/>
  <c r="F78" i="120"/>
  <c r="G78" i="120"/>
  <c r="H78" i="120"/>
  <c r="A78" i="120"/>
  <c r="C79" i="120" l="1"/>
  <c r="A79" i="120"/>
  <c r="E79" i="120"/>
  <c r="H79" i="120"/>
  <c r="D79" i="120"/>
  <c r="G79" i="120"/>
  <c r="B80" i="120"/>
  <c r="F79" i="120"/>
  <c r="B81" i="120" l="1"/>
  <c r="C80" i="120"/>
  <c r="D80" i="120"/>
  <c r="H80" i="120"/>
  <c r="A80" i="120"/>
  <c r="E80" i="120"/>
  <c r="G80" i="120"/>
  <c r="F80" i="120"/>
  <c r="H81" i="120" l="1"/>
  <c r="G81" i="120"/>
  <c r="A81" i="120"/>
  <c r="E81" i="120"/>
  <c r="D81" i="120"/>
  <c r="F81" i="120"/>
  <c r="C81" i="1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Tomanovich</author>
    <author>Bob Dalpiaz</author>
    <author xml:space="preserve"> </author>
  </authors>
  <commentList>
    <comment ref="B10" authorId="0" shapeId="0" xr:uid="{00000000-0006-0000-0000-000001000000}">
      <text>
        <r>
          <rPr>
            <b/>
            <sz val="8"/>
            <color indexed="81"/>
            <rFont val="Tahoma"/>
            <family val="2"/>
          </rPr>
          <t xml:space="preserve">                                                                         2.5 </t>
        </r>
        <r>
          <rPr>
            <b/>
            <sz val="8"/>
            <color indexed="81"/>
            <rFont val="細明體"/>
            <family val="3"/>
            <charset val="136"/>
          </rPr>
          <t>用途係數</t>
        </r>
        <r>
          <rPr>
            <b/>
            <u/>
            <sz val="8"/>
            <color indexed="81"/>
            <rFont val="Tahoma"/>
            <family val="2"/>
          </rPr>
          <t xml:space="preserve">
</t>
        </r>
        <r>
          <rPr>
            <b/>
            <u/>
            <sz val="8"/>
            <color indexed="81"/>
            <rFont val="細明體"/>
            <family val="3"/>
            <charset val="136"/>
          </rPr>
          <t>用途係數</t>
        </r>
        <r>
          <rPr>
            <b/>
            <u/>
            <sz val="8"/>
            <color indexed="81"/>
            <rFont val="Tahoma"/>
            <family val="2"/>
          </rPr>
          <t xml:space="preserve">                                                                                                                                                  </t>
        </r>
        <r>
          <rPr>
            <b/>
            <u/>
            <sz val="8"/>
            <color indexed="81"/>
            <rFont val="細明體"/>
            <family val="3"/>
            <charset val="136"/>
          </rPr>
          <t>建築物分類</t>
        </r>
        <r>
          <rPr>
            <b/>
            <u/>
            <sz val="8"/>
            <color indexed="81"/>
            <rFont val="Tahoma"/>
            <family val="2"/>
          </rPr>
          <t xml:space="preserve"> </t>
        </r>
        <r>
          <rPr>
            <sz val="8"/>
            <color indexed="81"/>
            <rFont val="Tahoma"/>
            <family val="2"/>
          </rPr>
          <t xml:space="preserve">
</t>
        </r>
        <r>
          <rPr>
            <sz val="8"/>
            <color indexed="81"/>
            <rFont val="細明體"/>
            <family val="3"/>
            <charset val="136"/>
          </rPr>
          <t>風災發生後，必需維持機能以救濟大眾之重要建築物與相關之附屬或獨立結構物，</t>
        </r>
        <r>
          <rPr>
            <sz val="8"/>
            <color indexed="81"/>
            <rFont val="Tahoma"/>
            <family val="2"/>
          </rPr>
          <t>I = 1.1</t>
        </r>
        <r>
          <rPr>
            <sz val="8"/>
            <color indexed="81"/>
            <rFont val="細明體"/>
            <family val="3"/>
            <charset val="136"/>
          </rPr>
          <t>。</t>
        </r>
        <r>
          <rPr>
            <sz val="8"/>
            <color indexed="81"/>
            <rFont val="Tahoma"/>
            <family val="2"/>
          </rPr>
          <t xml:space="preserve">        </t>
        </r>
        <r>
          <rPr>
            <sz val="8"/>
            <color indexed="81"/>
            <rFont val="細明體"/>
            <family val="3"/>
            <charset val="136"/>
          </rPr>
          <t>第一類</t>
        </r>
        <r>
          <rPr>
            <sz val="8"/>
            <color indexed="81"/>
            <rFont val="Tahoma"/>
            <family val="2"/>
          </rPr>
          <t xml:space="preserve">
(1) </t>
        </r>
        <r>
          <rPr>
            <sz val="8"/>
            <color indexed="81"/>
            <rFont val="細明體"/>
            <family val="3"/>
            <charset val="136"/>
          </rPr>
          <t xml:space="preserve">中央、直轄市及縣（市）政府、鄉鎮市（區）公所之辦公廳舍。
</t>
        </r>
        <r>
          <rPr>
            <sz val="8"/>
            <color indexed="81"/>
            <rFont val="Tahoma"/>
            <family val="2"/>
          </rPr>
          <t xml:space="preserve">(2) </t>
        </r>
        <r>
          <rPr>
            <sz val="8"/>
            <color indexed="81"/>
            <rFont val="細明體"/>
            <family val="3"/>
            <charset val="136"/>
          </rPr>
          <t xml:space="preserve">消防、警務及電信單位執行公務之建築物。
</t>
        </r>
        <r>
          <rPr>
            <sz val="8"/>
            <color indexed="81"/>
            <rFont val="Tahoma"/>
            <family val="2"/>
          </rPr>
          <t xml:space="preserve">(3) </t>
        </r>
        <r>
          <rPr>
            <sz val="8"/>
            <color indexed="81"/>
            <rFont val="細明體"/>
            <family val="3"/>
            <charset val="136"/>
          </rPr>
          <t xml:space="preserve">國中、國小學校之校舍。
</t>
        </r>
        <r>
          <rPr>
            <sz val="8"/>
            <color indexed="81"/>
            <rFont val="Tahoma"/>
            <family val="2"/>
          </rPr>
          <t xml:space="preserve">(4) </t>
        </r>
        <r>
          <rPr>
            <sz val="8"/>
            <color indexed="81"/>
            <rFont val="細明體"/>
            <family val="3"/>
            <charset val="136"/>
          </rPr>
          <t xml:space="preserve">教學醫院、區域醫院、署市立醫院或政府指定醫院。
</t>
        </r>
        <r>
          <rPr>
            <sz val="8"/>
            <color indexed="81"/>
            <rFont val="Tahoma"/>
            <family val="2"/>
          </rPr>
          <t xml:space="preserve">(5) </t>
        </r>
        <r>
          <rPr>
            <sz val="8"/>
            <color indexed="81"/>
            <rFont val="細明體"/>
            <family val="3"/>
            <charset val="136"/>
          </rPr>
          <t xml:space="preserve">發電廠、自來水廠與供電、供水直接有關之廠房與建築物。
</t>
        </r>
        <r>
          <rPr>
            <sz val="8"/>
            <color indexed="81"/>
            <rFont val="Tahoma"/>
            <family val="2"/>
          </rPr>
          <t xml:space="preserve">(6) </t>
        </r>
        <r>
          <rPr>
            <sz val="8"/>
            <color indexed="81"/>
            <rFont val="細明體"/>
            <family val="3"/>
            <charset val="136"/>
          </rPr>
          <t>其他經中央主管機關認定之建築物。</t>
        </r>
        <r>
          <rPr>
            <sz val="8"/>
            <color indexed="81"/>
            <rFont val="Tahoma"/>
            <family val="2"/>
          </rPr>
          <t xml:space="preserve">
</t>
        </r>
        <r>
          <rPr>
            <sz val="8"/>
            <color indexed="81"/>
            <rFont val="細明體"/>
            <family val="3"/>
            <charset val="136"/>
          </rPr>
          <t>儲存多量具有毒性、爆炸性等危險物品之建築物與相關之附屬或獨立結構物，</t>
        </r>
        <r>
          <rPr>
            <sz val="8"/>
            <color indexed="81"/>
            <rFont val="Tahoma"/>
            <family val="2"/>
          </rPr>
          <t>I = 1.1</t>
        </r>
        <r>
          <rPr>
            <sz val="8"/>
            <color indexed="81"/>
            <rFont val="細明體"/>
            <family val="3"/>
            <charset val="136"/>
          </rPr>
          <t>。</t>
        </r>
        <r>
          <rPr>
            <sz val="8"/>
            <color indexed="81"/>
            <rFont val="Tahoma"/>
            <family val="2"/>
          </rPr>
          <t xml:space="preserve">                </t>
        </r>
        <r>
          <rPr>
            <sz val="8"/>
            <color indexed="81"/>
            <rFont val="細明體"/>
            <family val="3"/>
            <charset val="136"/>
          </rPr>
          <t>第二類</t>
        </r>
        <r>
          <rPr>
            <sz val="8"/>
            <color indexed="81"/>
            <rFont val="Tahoma"/>
            <family val="2"/>
          </rPr>
          <t xml:space="preserve">
</t>
        </r>
        <r>
          <rPr>
            <sz val="8"/>
            <color indexed="81"/>
            <rFont val="細明體"/>
            <family val="3"/>
            <charset val="136"/>
          </rPr>
          <t>下列供公眾使用之建築物與相關之附屬或獨立結構物，</t>
        </r>
        <r>
          <rPr>
            <sz val="8"/>
            <color indexed="81"/>
            <rFont val="Tahoma"/>
            <family val="2"/>
          </rPr>
          <t>I =1.1</t>
        </r>
        <r>
          <rPr>
            <sz val="8"/>
            <color indexed="81"/>
            <rFont val="細明體"/>
            <family val="3"/>
            <charset val="136"/>
          </rPr>
          <t>。</t>
        </r>
        <r>
          <rPr>
            <sz val="8"/>
            <color indexed="81"/>
            <rFont val="Tahoma"/>
            <family val="2"/>
          </rPr>
          <t xml:space="preserve">                                                         </t>
        </r>
        <r>
          <rPr>
            <sz val="8"/>
            <color indexed="81"/>
            <rFont val="細明體"/>
            <family val="3"/>
            <charset val="136"/>
          </rPr>
          <t>第三類</t>
        </r>
        <r>
          <rPr>
            <sz val="8"/>
            <color indexed="81"/>
            <rFont val="Tahoma"/>
            <family val="2"/>
          </rPr>
          <t xml:space="preserve">
(1) </t>
        </r>
        <r>
          <rPr>
            <sz val="8"/>
            <color indexed="81"/>
            <rFont val="細明體"/>
            <family val="3"/>
            <charset val="136"/>
          </rPr>
          <t>教育文化類：幼稚園；各級學校之校舍</t>
        </r>
        <r>
          <rPr>
            <sz val="8"/>
            <color indexed="81"/>
            <rFont val="Tahoma"/>
            <family val="2"/>
          </rPr>
          <t>(</t>
        </r>
        <r>
          <rPr>
            <sz val="8"/>
            <color indexed="81"/>
            <rFont val="細明體"/>
            <family val="3"/>
            <charset val="136"/>
          </rPr>
          <t>第一類建築物之外</t>
        </r>
        <r>
          <rPr>
            <sz val="8"/>
            <color indexed="81"/>
            <rFont val="Tahoma"/>
            <family val="2"/>
          </rPr>
          <t>)</t>
        </r>
        <r>
          <rPr>
            <sz val="8"/>
            <color indexed="81"/>
            <rFont val="細明體"/>
            <family val="3"/>
            <charset val="136"/>
          </rPr>
          <t xml:space="preserve">；集會堂、活動中心；圖書館、資料館；博物館、美術館、展覽館；寺廟、教堂；補習班；體育館。
</t>
        </r>
        <r>
          <rPr>
            <sz val="8"/>
            <color indexed="81"/>
            <rFont val="Tahoma"/>
            <family val="2"/>
          </rPr>
          <t xml:space="preserve">(2) </t>
        </r>
        <r>
          <rPr>
            <sz val="8"/>
            <color indexed="81"/>
            <rFont val="細明體"/>
            <family val="3"/>
            <charset val="136"/>
          </rPr>
          <t xml:space="preserve">衛生及社會福利類：醫院、診所（第一類建築物之外）；安養、療養、扶養、教養場所；殯儀館。
</t>
        </r>
        <r>
          <rPr>
            <sz val="8"/>
            <color indexed="81"/>
            <rFont val="Tahoma"/>
            <family val="2"/>
          </rPr>
          <t xml:space="preserve">(3) </t>
        </r>
        <r>
          <rPr>
            <sz val="8"/>
            <color indexed="81"/>
            <rFont val="細明體"/>
            <family val="3"/>
            <charset val="136"/>
          </rPr>
          <t xml:space="preserve">營業類：餐廳；百貨公司、商場、超級市場、零售市場；批發量販營業場所；展售場、觀覽場。
</t>
        </r>
        <r>
          <rPr>
            <sz val="8"/>
            <color indexed="81"/>
            <rFont val="Tahoma"/>
            <family val="2"/>
          </rPr>
          <t xml:space="preserve">(4) </t>
        </r>
        <r>
          <rPr>
            <sz val="8"/>
            <color indexed="81"/>
            <rFont val="細明體"/>
            <family val="3"/>
            <charset val="136"/>
          </rPr>
          <t xml:space="preserve">娛樂類：電影院、演藝場所、歌廳；舞廳、舞場、夜總會；錄影節目播映、視聽歌唱營業場所；保齡球館。
</t>
        </r>
        <r>
          <rPr>
            <sz val="8"/>
            <color indexed="81"/>
            <rFont val="Tahoma"/>
            <family val="2"/>
          </rPr>
          <t xml:space="preserve">(5) </t>
        </r>
        <r>
          <rPr>
            <sz val="8"/>
            <color indexed="81"/>
            <rFont val="細明體"/>
            <family val="3"/>
            <charset val="136"/>
          </rPr>
          <t xml:space="preserve">工作類：金融證券營業交易場所之營業廳。
</t>
        </r>
        <r>
          <rPr>
            <sz val="8"/>
            <color indexed="81"/>
            <rFont val="Tahoma"/>
            <family val="2"/>
          </rPr>
          <t xml:space="preserve">(6) </t>
        </r>
        <r>
          <rPr>
            <sz val="8"/>
            <color indexed="81"/>
            <rFont val="細明體"/>
            <family val="3"/>
            <charset val="136"/>
          </rPr>
          <t xml:space="preserve">遊覽交通類：車站、航運站。
</t>
        </r>
        <r>
          <rPr>
            <sz val="8"/>
            <color indexed="81"/>
            <rFont val="Tahoma"/>
            <family val="2"/>
          </rPr>
          <t xml:space="preserve">(7) </t>
        </r>
        <r>
          <rPr>
            <sz val="8"/>
            <color indexed="81"/>
            <rFont val="細明體"/>
            <family val="3"/>
            <charset val="136"/>
          </rPr>
          <t>其他經中央主管機關指定之建築物。</t>
        </r>
        <r>
          <rPr>
            <sz val="8"/>
            <color indexed="81"/>
            <rFont val="Tahoma"/>
            <family val="2"/>
          </rPr>
          <t xml:space="preserve">
</t>
        </r>
        <r>
          <rPr>
            <sz val="8"/>
            <color indexed="81"/>
            <rFont val="細明體"/>
            <family val="3"/>
            <charset val="136"/>
          </rPr>
          <t>一棟建築物如係混合使用，上述供公眾使用場所累計樓地板面積超過三千平方公尺或總樓地板面積百分之二十以上時，用途係數才需用</t>
        </r>
        <r>
          <rPr>
            <sz val="8"/>
            <color indexed="81"/>
            <rFont val="Tahoma"/>
            <family val="2"/>
          </rPr>
          <t>1.1</t>
        </r>
        <r>
          <rPr>
            <sz val="8"/>
            <color indexed="81"/>
            <rFont val="細明體"/>
            <family val="3"/>
            <charset val="136"/>
          </rPr>
          <t>。如一棟建築物單種用途使用時，必需總樓地板面積超過一千平方公尺，用途係數才需用</t>
        </r>
        <r>
          <rPr>
            <sz val="8"/>
            <color indexed="81"/>
            <rFont val="Tahoma"/>
            <family val="2"/>
          </rPr>
          <t>1.1</t>
        </r>
        <r>
          <rPr>
            <sz val="8"/>
            <color indexed="81"/>
            <rFont val="細明體"/>
            <family val="3"/>
            <charset val="136"/>
          </rPr>
          <t xml:space="preserve">。
</t>
        </r>
        <r>
          <rPr>
            <sz val="8"/>
            <color indexed="81"/>
            <rFont val="Tahoma"/>
            <family val="2"/>
          </rPr>
          <t xml:space="preserve">
</t>
        </r>
        <r>
          <rPr>
            <sz val="8"/>
            <color indexed="81"/>
            <rFont val="細明體"/>
            <family val="3"/>
            <charset val="136"/>
          </rPr>
          <t>建築物破壞時，對人類之生命危害度小，如臨時性設施及非居住性儲藏設施等，</t>
        </r>
        <r>
          <rPr>
            <sz val="8"/>
            <color indexed="81"/>
            <rFont val="Tahoma"/>
            <family val="2"/>
          </rPr>
          <t>I = 0.9</t>
        </r>
        <r>
          <rPr>
            <sz val="8"/>
            <color indexed="81"/>
            <rFont val="細明體"/>
            <family val="3"/>
            <charset val="136"/>
          </rPr>
          <t>。</t>
        </r>
        <r>
          <rPr>
            <sz val="8"/>
            <color indexed="81"/>
            <rFont val="Tahoma"/>
            <family val="2"/>
          </rPr>
          <t xml:space="preserve">            </t>
        </r>
        <r>
          <rPr>
            <sz val="8"/>
            <color indexed="81"/>
            <rFont val="細明體"/>
            <family val="3"/>
            <charset val="136"/>
          </rPr>
          <t>第四類</t>
        </r>
        <r>
          <rPr>
            <sz val="8"/>
            <color indexed="81"/>
            <rFont val="Tahoma"/>
            <family val="2"/>
          </rPr>
          <t xml:space="preserve">
</t>
        </r>
        <r>
          <rPr>
            <sz val="8"/>
            <color indexed="81"/>
            <rFont val="細明體"/>
            <family val="3"/>
            <charset val="136"/>
          </rPr>
          <t>其他一般建築物與相關之附屬或獨立結構物，</t>
        </r>
        <r>
          <rPr>
            <sz val="8"/>
            <color indexed="81"/>
            <rFont val="Tahoma"/>
            <family val="2"/>
          </rPr>
          <t>I = 1.0</t>
        </r>
        <r>
          <rPr>
            <sz val="8"/>
            <color indexed="81"/>
            <rFont val="細明體"/>
            <family val="3"/>
            <charset val="136"/>
          </rPr>
          <t>。</t>
        </r>
        <r>
          <rPr>
            <sz val="8"/>
            <color indexed="81"/>
            <rFont val="Tahoma"/>
            <family val="2"/>
          </rPr>
          <t xml:space="preserve">                                                                        </t>
        </r>
        <r>
          <rPr>
            <sz val="8"/>
            <color indexed="81"/>
            <rFont val="細明體"/>
            <family val="3"/>
            <charset val="136"/>
          </rPr>
          <t>第五類</t>
        </r>
        <r>
          <rPr>
            <vertAlign val="subscript"/>
            <sz val="8"/>
            <color indexed="81"/>
            <rFont val="Tahoma"/>
            <family val="2"/>
          </rPr>
          <t xml:space="preserve">
</t>
        </r>
      </text>
    </comment>
    <comment ref="B12" authorId="1" shapeId="0" xr:uid="{00000000-0006-0000-0000-000002000000}">
      <text>
        <r>
          <rPr>
            <b/>
            <sz val="8"/>
            <color indexed="81"/>
            <rFont val="細明體"/>
            <family val="3"/>
            <charset val="136"/>
          </rPr>
          <t xml:space="preserve">地況種類依建築物所在位置及其附近地表特性而定，分成以下三類：
</t>
        </r>
        <r>
          <rPr>
            <b/>
            <sz val="8"/>
            <color indexed="81"/>
            <rFont val="Tahoma"/>
            <family val="2"/>
          </rPr>
          <t>(1)</t>
        </r>
        <r>
          <rPr>
            <b/>
            <sz val="8"/>
            <color indexed="81"/>
            <rFont val="細明體"/>
            <family val="3"/>
            <charset val="136"/>
          </rPr>
          <t>地況</t>
        </r>
        <r>
          <rPr>
            <b/>
            <sz val="8"/>
            <color indexed="81"/>
            <rFont val="Tahoma"/>
            <family val="2"/>
          </rPr>
          <t xml:space="preserve"> A</t>
        </r>
        <r>
          <rPr>
            <b/>
            <sz val="8"/>
            <color indexed="81"/>
            <rFont val="細明體"/>
            <family val="3"/>
            <charset val="136"/>
          </rPr>
          <t>：</t>
        </r>
        <r>
          <rPr>
            <b/>
            <sz val="8"/>
            <color indexed="81"/>
            <rFont val="Tahoma"/>
            <family val="2"/>
          </rPr>
          <t xml:space="preserve"> </t>
        </r>
        <r>
          <rPr>
            <b/>
            <sz val="8"/>
            <color indexed="81"/>
            <rFont val="細明體"/>
            <family val="3"/>
            <charset val="136"/>
          </rPr>
          <t>大城市市中心區，至少有</t>
        </r>
        <r>
          <rPr>
            <b/>
            <sz val="8"/>
            <color indexed="81"/>
            <rFont val="Tahoma"/>
            <family val="2"/>
          </rPr>
          <t>50%</t>
        </r>
        <r>
          <rPr>
            <b/>
            <sz val="8"/>
            <color indexed="81"/>
            <rFont val="細明體"/>
            <family val="3"/>
            <charset val="136"/>
          </rPr>
          <t>之建築物高度大於</t>
        </r>
        <r>
          <rPr>
            <b/>
            <sz val="8"/>
            <color indexed="81"/>
            <rFont val="Tahoma"/>
            <family val="2"/>
          </rPr>
          <t>20</t>
        </r>
        <r>
          <rPr>
            <b/>
            <sz val="8"/>
            <color indexed="81"/>
            <rFont val="細明體"/>
            <family val="3"/>
            <charset val="136"/>
          </rPr>
          <t>公尺者。建築物迎風向之前方至少</t>
        </r>
        <r>
          <rPr>
            <b/>
            <sz val="8"/>
            <color indexed="81"/>
            <rFont val="Tahoma"/>
            <family val="2"/>
          </rPr>
          <t xml:space="preserve">800 </t>
        </r>
        <r>
          <rPr>
            <b/>
            <sz val="8"/>
            <color indexed="81"/>
            <rFont val="細明體"/>
            <family val="3"/>
            <charset val="136"/>
          </rPr>
          <t>公尺或建築物高度</t>
        </r>
        <r>
          <rPr>
            <b/>
            <sz val="8"/>
            <color indexed="81"/>
            <rFont val="Tahoma"/>
            <family val="2"/>
          </rPr>
          <t xml:space="preserve">10 </t>
        </r>
        <r>
          <rPr>
            <b/>
            <sz val="8"/>
            <color indexed="81"/>
            <rFont val="細明體"/>
            <family val="3"/>
            <charset val="136"/>
          </rPr>
          <t>倍的範圍（兩者取大值）係屬此種條件下，才可使用地況</t>
        </r>
        <r>
          <rPr>
            <b/>
            <sz val="8"/>
            <color indexed="81"/>
            <rFont val="Tahoma"/>
            <family val="2"/>
          </rPr>
          <t>A</t>
        </r>
        <r>
          <rPr>
            <b/>
            <sz val="8"/>
            <color indexed="81"/>
            <rFont val="細明體"/>
            <family val="3"/>
            <charset val="136"/>
          </rPr>
          <t xml:space="preserve">。
</t>
        </r>
        <r>
          <rPr>
            <b/>
            <sz val="8"/>
            <color indexed="81"/>
            <rFont val="Tahoma"/>
            <family val="2"/>
          </rPr>
          <t>(2)</t>
        </r>
        <r>
          <rPr>
            <b/>
            <sz val="8"/>
            <color indexed="81"/>
            <rFont val="細明體"/>
            <family val="3"/>
            <charset val="136"/>
          </rPr>
          <t>地況</t>
        </r>
        <r>
          <rPr>
            <b/>
            <sz val="8"/>
            <color indexed="81"/>
            <rFont val="Tahoma"/>
            <family val="2"/>
          </rPr>
          <t xml:space="preserve"> B</t>
        </r>
        <r>
          <rPr>
            <b/>
            <sz val="8"/>
            <color indexed="81"/>
            <rFont val="細明體"/>
            <family val="3"/>
            <charset val="136"/>
          </rPr>
          <t>：</t>
        </r>
        <r>
          <rPr>
            <b/>
            <sz val="8"/>
            <color indexed="81"/>
            <rFont val="Tahoma"/>
            <family val="2"/>
          </rPr>
          <t xml:space="preserve"> </t>
        </r>
        <r>
          <rPr>
            <b/>
            <sz val="8"/>
            <color indexed="81"/>
            <rFont val="細明體"/>
            <family val="3"/>
            <charset val="136"/>
          </rPr>
          <t>大城市市郊、小市鎮或有許多像民舍高度（</t>
        </r>
        <r>
          <rPr>
            <b/>
            <sz val="8"/>
            <color indexed="81"/>
            <rFont val="Tahoma"/>
            <family val="2"/>
          </rPr>
          <t xml:space="preserve">10~20
</t>
        </r>
        <r>
          <rPr>
            <b/>
            <sz val="8"/>
            <color indexed="81"/>
            <rFont val="細明體"/>
            <family val="3"/>
            <charset val="136"/>
          </rPr>
          <t>公尺），或較民舍為高之障礙物分布其間之地區者。建築物迎風向之前方至少</t>
        </r>
        <r>
          <rPr>
            <b/>
            <sz val="8"/>
            <color indexed="81"/>
            <rFont val="Tahoma"/>
            <family val="2"/>
          </rPr>
          <t xml:space="preserve">500 </t>
        </r>
        <r>
          <rPr>
            <b/>
            <sz val="8"/>
            <color indexed="81"/>
            <rFont val="細明體"/>
            <family val="3"/>
            <charset val="136"/>
          </rPr>
          <t>公尺或建築物高度</t>
        </r>
        <r>
          <rPr>
            <b/>
            <sz val="8"/>
            <color indexed="81"/>
            <rFont val="Tahoma"/>
            <family val="2"/>
          </rPr>
          <t>10</t>
        </r>
        <r>
          <rPr>
            <b/>
            <sz val="8"/>
            <color indexed="81"/>
            <rFont val="細明體"/>
            <family val="3"/>
            <charset val="136"/>
          </rPr>
          <t>倍的範圍（兩者取大值）係屬此種條件下，方可使用地況</t>
        </r>
        <r>
          <rPr>
            <b/>
            <sz val="8"/>
            <color indexed="81"/>
            <rFont val="Tahoma"/>
            <family val="2"/>
          </rPr>
          <t>B</t>
        </r>
        <r>
          <rPr>
            <b/>
            <sz val="8"/>
            <color indexed="81"/>
            <rFont val="細明體"/>
            <family val="3"/>
            <charset val="136"/>
          </rPr>
          <t xml:space="preserve">。
</t>
        </r>
        <r>
          <rPr>
            <b/>
            <sz val="8"/>
            <color indexed="81"/>
            <rFont val="Tahoma"/>
            <family val="2"/>
          </rPr>
          <t>(3)</t>
        </r>
        <r>
          <rPr>
            <b/>
            <sz val="8"/>
            <color indexed="81"/>
            <rFont val="細明體"/>
            <family val="3"/>
            <charset val="136"/>
          </rPr>
          <t>地況</t>
        </r>
        <r>
          <rPr>
            <b/>
            <sz val="8"/>
            <color indexed="81"/>
            <rFont val="Tahoma"/>
            <family val="2"/>
          </rPr>
          <t xml:space="preserve"> C</t>
        </r>
        <r>
          <rPr>
            <b/>
            <sz val="8"/>
            <color indexed="81"/>
            <rFont val="細明體"/>
            <family val="3"/>
            <charset val="136"/>
          </rPr>
          <t>：</t>
        </r>
        <r>
          <rPr>
            <b/>
            <sz val="8"/>
            <color indexed="81"/>
            <rFont val="Tahoma"/>
            <family val="2"/>
          </rPr>
          <t xml:space="preserve"> </t>
        </r>
        <r>
          <rPr>
            <b/>
            <sz val="8"/>
            <color indexed="81"/>
            <rFont val="細明體"/>
            <family val="3"/>
            <charset val="136"/>
          </rPr>
          <t>平坦開闊之地面或草原或海岸或湖岸地區，其零星
座落之障礙物高度小於</t>
        </r>
        <r>
          <rPr>
            <b/>
            <sz val="8"/>
            <color indexed="81"/>
            <rFont val="Tahoma"/>
            <family val="2"/>
          </rPr>
          <t xml:space="preserve">10 </t>
        </r>
        <r>
          <rPr>
            <b/>
            <sz val="8"/>
            <color indexed="81"/>
            <rFont val="細明體"/>
            <family val="3"/>
            <charset val="136"/>
          </rPr>
          <t>公尺者。
若附近地況為介於地況</t>
        </r>
        <r>
          <rPr>
            <b/>
            <sz val="8"/>
            <color indexed="81"/>
            <rFont val="Tahoma"/>
            <family val="2"/>
          </rPr>
          <t xml:space="preserve">A </t>
        </r>
        <r>
          <rPr>
            <b/>
            <sz val="8"/>
            <color indexed="81"/>
            <rFont val="細明體"/>
            <family val="3"/>
            <charset val="136"/>
          </rPr>
          <t>與地況</t>
        </r>
        <r>
          <rPr>
            <b/>
            <sz val="8"/>
            <color indexed="81"/>
            <rFont val="Tahoma"/>
            <family val="2"/>
          </rPr>
          <t xml:space="preserve">B </t>
        </r>
        <r>
          <rPr>
            <b/>
            <sz val="8"/>
            <color indexed="81"/>
            <rFont val="細明體"/>
            <family val="3"/>
            <charset val="136"/>
          </rPr>
          <t>間或地況</t>
        </r>
        <r>
          <rPr>
            <b/>
            <sz val="8"/>
            <color indexed="81"/>
            <rFont val="Tahoma"/>
            <family val="2"/>
          </rPr>
          <t xml:space="preserve">B </t>
        </r>
        <r>
          <rPr>
            <b/>
            <sz val="8"/>
            <color indexed="81"/>
            <rFont val="細明體"/>
            <family val="3"/>
            <charset val="136"/>
          </rPr>
          <t>與地況</t>
        </r>
        <r>
          <rPr>
            <b/>
            <sz val="8"/>
            <color indexed="81"/>
            <rFont val="Tahoma"/>
            <family val="2"/>
          </rPr>
          <t xml:space="preserve">C </t>
        </r>
        <r>
          <rPr>
            <b/>
            <sz val="8"/>
            <color indexed="81"/>
            <rFont val="細明體"/>
            <family val="3"/>
            <charset val="136"/>
          </rPr>
          <t>間之過渡地況，原則上應採用會產生較大風力之地況，但也可利用可信賴之合理分析法，決定此一過渡地況之風速垂直分布。</t>
        </r>
      </text>
    </comment>
    <comment ref="B14" authorId="2" shapeId="0" xr:uid="{00000000-0006-0000-0000-000003000000}">
      <text>
        <r>
          <rPr>
            <sz val="8"/>
            <color indexed="81"/>
            <rFont val="Tahoma"/>
            <family val="2"/>
          </rPr>
          <t>The eave height, 'he', is the distance from the ground surface adjacent to the building to the roof eave line at a particular wall.  
If the height of the eave varies along the wall, the average height shall be used.</t>
        </r>
      </text>
    </comment>
    <comment ref="B17" authorId="1" shapeId="0" xr:uid="{00000000-0006-0000-0000-000004000000}">
      <text>
        <r>
          <rPr>
            <sz val="8"/>
            <color indexed="81"/>
            <rFont val="Tahoma"/>
            <family val="2"/>
          </rPr>
          <t>This program assumes that a Gable roof is symmetrical, as the ridge line is assumed in the center of the building width.
For flat roofs (roof angle = 0 degrees), either Gable or Monoslope may be used.</t>
        </r>
      </text>
    </comment>
    <comment ref="B18" authorId="1" shapeId="0" xr:uid="{00000000-0006-0000-0000-000005000000}">
      <text>
        <r>
          <rPr>
            <sz val="8"/>
            <color indexed="81"/>
            <rFont val="Tahoma"/>
            <family val="2"/>
          </rPr>
          <t>The</t>
        </r>
        <r>
          <rPr>
            <b/>
            <sz val="8"/>
            <color indexed="81"/>
            <rFont val="Tahoma"/>
            <family val="2"/>
          </rPr>
          <t xml:space="preserve"> Topographic Factor, Kzt</t>
        </r>
        <r>
          <rPr>
            <sz val="8"/>
            <color indexed="81"/>
            <rFont val="Tahoma"/>
            <family val="2"/>
          </rPr>
          <t>, accounts for effect of wind speed-up over isolated hills and escarpments (</t>
        </r>
        <r>
          <rPr>
            <b/>
            <sz val="8"/>
            <color indexed="81"/>
            <rFont val="Tahoma"/>
            <family val="2"/>
          </rPr>
          <t>Sect. 26.8</t>
        </r>
        <r>
          <rPr>
            <sz val="8"/>
            <color indexed="81"/>
            <rFont val="Tahoma"/>
            <family val="2"/>
          </rPr>
          <t xml:space="preserve"> and </t>
        </r>
        <r>
          <rPr>
            <b/>
            <sz val="8"/>
            <color indexed="81"/>
            <rFont val="Tahoma"/>
            <family val="2"/>
          </rPr>
          <t>Fig. 26.8-1</t>
        </r>
        <r>
          <rPr>
            <sz val="8"/>
            <color indexed="81"/>
            <rFont val="Tahoma"/>
            <family val="2"/>
          </rPr>
          <t xml:space="preserve">).
</t>
        </r>
        <r>
          <rPr>
            <b/>
            <sz val="8"/>
            <color indexed="81"/>
            <rFont val="Tahoma"/>
            <family val="2"/>
          </rPr>
          <t>Kzt = (1+K1*K2*K3)^2</t>
        </r>
        <r>
          <rPr>
            <sz val="8"/>
            <color indexed="81"/>
            <rFont val="Tahoma"/>
            <family val="2"/>
          </rPr>
          <t xml:space="preserve">   (Eq. 26.8-1), where:
H   = height of hill or escarpment relative to the upwind terrain, in feet.
Lh  = Distance upwind of crest to where the difference in ground elevation is    
         half the height of hill or escarpment, in feet.
K1 = factor to account for shape of topographic feature and maximum   
        speed-up effect.
K2 = factor to account for reduction in speed-up with distance upwind or     
        downwind of crest.
K3 = factor to account for reduction in speed-up with height above local terrain.
x = distance (upwind or downwind) from the crest to the building site, in feet.
z = height above local ground level, in feet.
</t>
        </r>
        <r>
          <rPr>
            <b/>
            <sz val="8"/>
            <color indexed="81"/>
            <rFont val="Tahoma"/>
            <family val="2"/>
          </rPr>
          <t>The effect of wind speed-up shall not be required to be considered (Kzt = 1.0) when H/Lh &lt; 0.2, or H &lt; 15' for Exposures 'C' and 'D', or H &lt; 60' for Exposure 'B'.</t>
        </r>
      </text>
    </comment>
    <comment ref="B19" authorId="1" shapeId="0" xr:uid="{00000000-0006-0000-0000-000006000000}">
      <text>
        <r>
          <rPr>
            <sz val="8"/>
            <color indexed="81"/>
            <rFont val="Tahoma"/>
            <family val="2"/>
          </rPr>
          <t>This worksheet assumes either</t>
        </r>
        <r>
          <rPr>
            <b/>
            <sz val="8"/>
            <color indexed="81"/>
            <rFont val="Tahoma"/>
            <family val="2"/>
          </rPr>
          <t xml:space="preserve"> Enclosed</t>
        </r>
        <r>
          <rPr>
            <sz val="8"/>
            <color indexed="81"/>
            <rFont val="Tahoma"/>
            <family val="2"/>
          </rPr>
          <t xml:space="preserve"> or </t>
        </r>
        <r>
          <rPr>
            <b/>
            <sz val="8"/>
            <color indexed="81"/>
            <rFont val="Tahoma"/>
            <family val="2"/>
          </rPr>
          <t>Partially Enclosed</t>
        </r>
        <r>
          <rPr>
            <sz val="8"/>
            <color indexed="81"/>
            <rFont val="Tahoma"/>
            <family val="2"/>
          </rPr>
          <t xml:space="preserve"> buildings</t>
        </r>
        <r>
          <rPr>
            <sz val="8"/>
            <color indexed="81"/>
            <rFont val="Tahoma"/>
            <family val="2"/>
          </rPr>
          <t xml:space="preserve">, and does not consider open buildings.
</t>
        </r>
        <r>
          <rPr>
            <b/>
            <sz val="8"/>
            <color indexed="81"/>
            <rFont val="Tahoma"/>
            <family val="2"/>
          </rPr>
          <t>1.</t>
        </r>
        <r>
          <rPr>
            <sz val="8"/>
            <color indexed="81"/>
            <rFont val="Tahoma"/>
            <family val="2"/>
          </rPr>
          <t xml:space="preserve">  An enclosed building is a building that does not comply with the requirements       
      for open or partially enclosed buildings. 
</t>
        </r>
        <r>
          <rPr>
            <b/>
            <sz val="8"/>
            <color indexed="81"/>
            <rFont val="Tahoma"/>
            <family val="2"/>
          </rPr>
          <t>2.</t>
        </r>
        <r>
          <rPr>
            <sz val="8"/>
            <color indexed="81"/>
            <rFont val="Tahoma"/>
            <family val="2"/>
          </rPr>
          <t xml:space="preserve">  An open building is a structure having all walls at least 80% open.
</t>
        </r>
        <r>
          <rPr>
            <b/>
            <sz val="8"/>
            <color indexed="81"/>
            <rFont val="Tahoma"/>
            <family val="2"/>
          </rPr>
          <t xml:space="preserve">3. </t>
        </r>
        <r>
          <rPr>
            <sz val="8"/>
            <color indexed="81"/>
            <rFont val="Tahoma"/>
            <family val="2"/>
          </rPr>
          <t xml:space="preserve"> A partially enclosed building complies with both of the following conditions:
     </t>
        </r>
        <r>
          <rPr>
            <b/>
            <sz val="8"/>
            <color indexed="81"/>
            <rFont val="Tahoma"/>
            <family val="2"/>
          </rPr>
          <t xml:space="preserve">a.  </t>
        </r>
        <r>
          <rPr>
            <sz val="8"/>
            <color indexed="81"/>
            <rFont val="Tahoma"/>
            <family val="2"/>
          </rPr>
          <t xml:space="preserve">the total area of openings in a wall that receives positive external pressure   
         exceeds the sum of the areas of the openings in the balance of the building         
         envelope (walls and roof) by more than 10%; and
     </t>
        </r>
        <r>
          <rPr>
            <b/>
            <sz val="8"/>
            <color indexed="81"/>
            <rFont val="Tahoma"/>
            <family val="2"/>
          </rPr>
          <t xml:space="preserve">b.  </t>
        </r>
        <r>
          <rPr>
            <sz val="8"/>
            <color indexed="81"/>
            <rFont val="Tahoma"/>
            <family val="2"/>
          </rPr>
          <t>the total area of openings in a wall that receives positive external pressure          
         exceeds 4 sq ft or 1% of the area of that wall, whichever is smaller, and the      
         % of openings in balance of the building envelope does not exceed 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 Tomanovich</author>
    <author>Bob Dalpiaz</author>
    <author xml:space="preserve"> </author>
  </authors>
  <commentList>
    <comment ref="B10" authorId="0" shapeId="0" xr:uid="{00000000-0006-0000-0100-000001000000}">
      <text>
        <r>
          <rPr>
            <b/>
            <sz val="8"/>
            <color indexed="81"/>
            <rFont val="Tahoma"/>
            <family val="2"/>
          </rPr>
          <t xml:space="preserve">                                                                         2.5 </t>
        </r>
        <r>
          <rPr>
            <b/>
            <sz val="8"/>
            <color indexed="81"/>
            <rFont val="細明體"/>
            <family val="3"/>
            <charset val="136"/>
          </rPr>
          <t>用途係數</t>
        </r>
        <r>
          <rPr>
            <b/>
            <u/>
            <sz val="8"/>
            <color indexed="81"/>
            <rFont val="Tahoma"/>
            <family val="2"/>
          </rPr>
          <t xml:space="preserve">
</t>
        </r>
        <r>
          <rPr>
            <b/>
            <u/>
            <sz val="8"/>
            <color indexed="81"/>
            <rFont val="細明體"/>
            <family val="3"/>
            <charset val="136"/>
          </rPr>
          <t>用途係數</t>
        </r>
        <r>
          <rPr>
            <b/>
            <u/>
            <sz val="8"/>
            <color indexed="81"/>
            <rFont val="Tahoma"/>
            <family val="2"/>
          </rPr>
          <t xml:space="preserve">                                                                                                                                                  </t>
        </r>
        <r>
          <rPr>
            <b/>
            <u/>
            <sz val="8"/>
            <color indexed="81"/>
            <rFont val="細明體"/>
            <family val="3"/>
            <charset val="136"/>
          </rPr>
          <t>建築物分類</t>
        </r>
        <r>
          <rPr>
            <b/>
            <u/>
            <sz val="8"/>
            <color indexed="81"/>
            <rFont val="Tahoma"/>
            <family val="2"/>
          </rPr>
          <t xml:space="preserve"> </t>
        </r>
        <r>
          <rPr>
            <sz val="8"/>
            <color indexed="81"/>
            <rFont val="Tahoma"/>
            <family val="2"/>
          </rPr>
          <t xml:space="preserve">
</t>
        </r>
        <r>
          <rPr>
            <sz val="8"/>
            <color indexed="81"/>
            <rFont val="細明體"/>
            <family val="3"/>
            <charset val="136"/>
          </rPr>
          <t>風災發生後，必需維持機能以救濟大眾之重要建築物與相關之附屬或獨立結構物，</t>
        </r>
        <r>
          <rPr>
            <sz val="8"/>
            <color indexed="81"/>
            <rFont val="Tahoma"/>
            <family val="2"/>
          </rPr>
          <t>I = 1.1</t>
        </r>
        <r>
          <rPr>
            <sz val="8"/>
            <color indexed="81"/>
            <rFont val="細明體"/>
            <family val="3"/>
            <charset val="136"/>
          </rPr>
          <t>。</t>
        </r>
        <r>
          <rPr>
            <sz val="8"/>
            <color indexed="81"/>
            <rFont val="Tahoma"/>
            <family val="2"/>
          </rPr>
          <t xml:space="preserve">        </t>
        </r>
        <r>
          <rPr>
            <sz val="8"/>
            <color indexed="81"/>
            <rFont val="細明體"/>
            <family val="3"/>
            <charset val="136"/>
          </rPr>
          <t>第一類</t>
        </r>
        <r>
          <rPr>
            <sz val="8"/>
            <color indexed="81"/>
            <rFont val="Tahoma"/>
            <family val="2"/>
          </rPr>
          <t xml:space="preserve">
(1) </t>
        </r>
        <r>
          <rPr>
            <sz val="8"/>
            <color indexed="81"/>
            <rFont val="細明體"/>
            <family val="3"/>
            <charset val="136"/>
          </rPr>
          <t xml:space="preserve">中央、直轄市及縣（市）政府、鄉鎮市（區）公所之辦公廳舍。
</t>
        </r>
        <r>
          <rPr>
            <sz val="8"/>
            <color indexed="81"/>
            <rFont val="Tahoma"/>
            <family val="2"/>
          </rPr>
          <t xml:space="preserve">(2) </t>
        </r>
        <r>
          <rPr>
            <sz val="8"/>
            <color indexed="81"/>
            <rFont val="細明體"/>
            <family val="3"/>
            <charset val="136"/>
          </rPr>
          <t xml:space="preserve">消防、警務及電信單位執行公務之建築物。
</t>
        </r>
        <r>
          <rPr>
            <sz val="8"/>
            <color indexed="81"/>
            <rFont val="Tahoma"/>
            <family val="2"/>
          </rPr>
          <t xml:space="preserve">(3) </t>
        </r>
        <r>
          <rPr>
            <sz val="8"/>
            <color indexed="81"/>
            <rFont val="細明體"/>
            <family val="3"/>
            <charset val="136"/>
          </rPr>
          <t xml:space="preserve">國中、國小學校之校舍。
</t>
        </r>
        <r>
          <rPr>
            <sz val="8"/>
            <color indexed="81"/>
            <rFont val="Tahoma"/>
            <family val="2"/>
          </rPr>
          <t xml:space="preserve">(4) </t>
        </r>
        <r>
          <rPr>
            <sz val="8"/>
            <color indexed="81"/>
            <rFont val="細明體"/>
            <family val="3"/>
            <charset val="136"/>
          </rPr>
          <t xml:space="preserve">教學醫院、區域醫院、署市立醫院或政府指定醫院。
</t>
        </r>
        <r>
          <rPr>
            <sz val="8"/>
            <color indexed="81"/>
            <rFont val="Tahoma"/>
            <family val="2"/>
          </rPr>
          <t xml:space="preserve">(5) </t>
        </r>
        <r>
          <rPr>
            <sz val="8"/>
            <color indexed="81"/>
            <rFont val="細明體"/>
            <family val="3"/>
            <charset val="136"/>
          </rPr>
          <t xml:space="preserve">發電廠、自來水廠與供電、供水直接有關之廠房與建築物。
</t>
        </r>
        <r>
          <rPr>
            <sz val="8"/>
            <color indexed="81"/>
            <rFont val="Tahoma"/>
            <family val="2"/>
          </rPr>
          <t xml:space="preserve">(6) </t>
        </r>
        <r>
          <rPr>
            <sz val="8"/>
            <color indexed="81"/>
            <rFont val="細明體"/>
            <family val="3"/>
            <charset val="136"/>
          </rPr>
          <t>其他經中央主管機關認定之建築物。</t>
        </r>
        <r>
          <rPr>
            <sz val="8"/>
            <color indexed="81"/>
            <rFont val="Tahoma"/>
            <family val="2"/>
          </rPr>
          <t xml:space="preserve">
</t>
        </r>
        <r>
          <rPr>
            <sz val="8"/>
            <color indexed="81"/>
            <rFont val="細明體"/>
            <family val="3"/>
            <charset val="136"/>
          </rPr>
          <t>儲存多量具有毒性、爆炸性等危險物品之建築物與相關之附屬或獨立結構物，</t>
        </r>
        <r>
          <rPr>
            <sz val="8"/>
            <color indexed="81"/>
            <rFont val="Tahoma"/>
            <family val="2"/>
          </rPr>
          <t>I = 1.1</t>
        </r>
        <r>
          <rPr>
            <sz val="8"/>
            <color indexed="81"/>
            <rFont val="細明體"/>
            <family val="3"/>
            <charset val="136"/>
          </rPr>
          <t>。</t>
        </r>
        <r>
          <rPr>
            <sz val="8"/>
            <color indexed="81"/>
            <rFont val="Tahoma"/>
            <family val="2"/>
          </rPr>
          <t xml:space="preserve">                </t>
        </r>
        <r>
          <rPr>
            <sz val="8"/>
            <color indexed="81"/>
            <rFont val="細明體"/>
            <family val="3"/>
            <charset val="136"/>
          </rPr>
          <t>第二類</t>
        </r>
        <r>
          <rPr>
            <sz val="8"/>
            <color indexed="81"/>
            <rFont val="Tahoma"/>
            <family val="2"/>
          </rPr>
          <t xml:space="preserve">
</t>
        </r>
        <r>
          <rPr>
            <sz val="8"/>
            <color indexed="81"/>
            <rFont val="細明體"/>
            <family val="3"/>
            <charset val="136"/>
          </rPr>
          <t>下列供公眾使用之建築物與相關之附屬或獨立結構物，</t>
        </r>
        <r>
          <rPr>
            <sz val="8"/>
            <color indexed="81"/>
            <rFont val="Tahoma"/>
            <family val="2"/>
          </rPr>
          <t>I =1.1</t>
        </r>
        <r>
          <rPr>
            <sz val="8"/>
            <color indexed="81"/>
            <rFont val="細明體"/>
            <family val="3"/>
            <charset val="136"/>
          </rPr>
          <t>。</t>
        </r>
        <r>
          <rPr>
            <sz val="8"/>
            <color indexed="81"/>
            <rFont val="Tahoma"/>
            <family val="2"/>
          </rPr>
          <t xml:space="preserve">                                                         </t>
        </r>
        <r>
          <rPr>
            <sz val="8"/>
            <color indexed="81"/>
            <rFont val="細明體"/>
            <family val="3"/>
            <charset val="136"/>
          </rPr>
          <t>第三類</t>
        </r>
        <r>
          <rPr>
            <sz val="8"/>
            <color indexed="81"/>
            <rFont val="Tahoma"/>
            <family val="2"/>
          </rPr>
          <t xml:space="preserve">
(1) </t>
        </r>
        <r>
          <rPr>
            <sz val="8"/>
            <color indexed="81"/>
            <rFont val="細明體"/>
            <family val="3"/>
            <charset val="136"/>
          </rPr>
          <t>教育文化類：幼稚園；各級學校之校舍</t>
        </r>
        <r>
          <rPr>
            <sz val="8"/>
            <color indexed="81"/>
            <rFont val="Tahoma"/>
            <family val="2"/>
          </rPr>
          <t>(</t>
        </r>
        <r>
          <rPr>
            <sz val="8"/>
            <color indexed="81"/>
            <rFont val="細明體"/>
            <family val="3"/>
            <charset val="136"/>
          </rPr>
          <t>第一類建築物之外</t>
        </r>
        <r>
          <rPr>
            <sz val="8"/>
            <color indexed="81"/>
            <rFont val="Tahoma"/>
            <family val="2"/>
          </rPr>
          <t>)</t>
        </r>
        <r>
          <rPr>
            <sz val="8"/>
            <color indexed="81"/>
            <rFont val="細明體"/>
            <family val="3"/>
            <charset val="136"/>
          </rPr>
          <t xml:space="preserve">；集會堂、活動中心；圖書館、資料館；博物館、美術館、展覽館；寺廟、教堂；補習班；體育館。
</t>
        </r>
        <r>
          <rPr>
            <sz val="8"/>
            <color indexed="81"/>
            <rFont val="Tahoma"/>
            <family val="2"/>
          </rPr>
          <t xml:space="preserve">(2) </t>
        </r>
        <r>
          <rPr>
            <sz val="8"/>
            <color indexed="81"/>
            <rFont val="細明體"/>
            <family val="3"/>
            <charset val="136"/>
          </rPr>
          <t xml:space="preserve">衛生及社會福利類：醫院、診所（第一類建築物之外）；安養、療養、扶養、教養場所；殯儀館。
</t>
        </r>
        <r>
          <rPr>
            <sz val="8"/>
            <color indexed="81"/>
            <rFont val="Tahoma"/>
            <family val="2"/>
          </rPr>
          <t xml:space="preserve">(3) </t>
        </r>
        <r>
          <rPr>
            <sz val="8"/>
            <color indexed="81"/>
            <rFont val="細明體"/>
            <family val="3"/>
            <charset val="136"/>
          </rPr>
          <t xml:space="preserve">營業類：餐廳；百貨公司、商場、超級市場、零售市場；批發量販營業場所；展售場、觀覽場。
</t>
        </r>
        <r>
          <rPr>
            <sz val="8"/>
            <color indexed="81"/>
            <rFont val="Tahoma"/>
            <family val="2"/>
          </rPr>
          <t xml:space="preserve">(4) </t>
        </r>
        <r>
          <rPr>
            <sz val="8"/>
            <color indexed="81"/>
            <rFont val="細明體"/>
            <family val="3"/>
            <charset val="136"/>
          </rPr>
          <t xml:space="preserve">娛樂類：電影院、演藝場所、歌廳；舞廳、舞場、夜總會；錄影節目播映、視聽歌唱營業場所；保齡球館。
</t>
        </r>
        <r>
          <rPr>
            <sz val="8"/>
            <color indexed="81"/>
            <rFont val="Tahoma"/>
            <family val="2"/>
          </rPr>
          <t xml:space="preserve">(5) </t>
        </r>
        <r>
          <rPr>
            <sz val="8"/>
            <color indexed="81"/>
            <rFont val="細明體"/>
            <family val="3"/>
            <charset val="136"/>
          </rPr>
          <t xml:space="preserve">工作類：金融證券營業交易場所之營業廳。
</t>
        </r>
        <r>
          <rPr>
            <sz val="8"/>
            <color indexed="81"/>
            <rFont val="Tahoma"/>
            <family val="2"/>
          </rPr>
          <t xml:space="preserve">(6) </t>
        </r>
        <r>
          <rPr>
            <sz val="8"/>
            <color indexed="81"/>
            <rFont val="細明體"/>
            <family val="3"/>
            <charset val="136"/>
          </rPr>
          <t xml:space="preserve">遊覽交通類：車站、航運站。
</t>
        </r>
        <r>
          <rPr>
            <sz val="8"/>
            <color indexed="81"/>
            <rFont val="Tahoma"/>
            <family val="2"/>
          </rPr>
          <t xml:space="preserve">(7) </t>
        </r>
        <r>
          <rPr>
            <sz val="8"/>
            <color indexed="81"/>
            <rFont val="細明體"/>
            <family val="3"/>
            <charset val="136"/>
          </rPr>
          <t>其他經中央主管機關指定之建築物。</t>
        </r>
        <r>
          <rPr>
            <sz val="8"/>
            <color indexed="81"/>
            <rFont val="Tahoma"/>
            <family val="2"/>
          </rPr>
          <t xml:space="preserve">
</t>
        </r>
        <r>
          <rPr>
            <sz val="8"/>
            <color indexed="81"/>
            <rFont val="細明體"/>
            <family val="3"/>
            <charset val="136"/>
          </rPr>
          <t>一棟建築物如係混合使用，上述供公眾使用場所累計樓地板面積超過三千平方公尺或總樓地板面積百分之二十以上時，用途係數才需用</t>
        </r>
        <r>
          <rPr>
            <sz val="8"/>
            <color indexed="81"/>
            <rFont val="Tahoma"/>
            <family val="2"/>
          </rPr>
          <t>1.1</t>
        </r>
        <r>
          <rPr>
            <sz val="8"/>
            <color indexed="81"/>
            <rFont val="細明體"/>
            <family val="3"/>
            <charset val="136"/>
          </rPr>
          <t>。如一棟建築物單種用途使用時，必需總樓地板面積超過一千平方公尺，用途係數才需用</t>
        </r>
        <r>
          <rPr>
            <sz val="8"/>
            <color indexed="81"/>
            <rFont val="Tahoma"/>
            <family val="2"/>
          </rPr>
          <t>1.1</t>
        </r>
        <r>
          <rPr>
            <sz val="8"/>
            <color indexed="81"/>
            <rFont val="細明體"/>
            <family val="3"/>
            <charset val="136"/>
          </rPr>
          <t xml:space="preserve">。
</t>
        </r>
        <r>
          <rPr>
            <sz val="8"/>
            <color indexed="81"/>
            <rFont val="Tahoma"/>
            <family val="2"/>
          </rPr>
          <t xml:space="preserve">
</t>
        </r>
        <r>
          <rPr>
            <sz val="8"/>
            <color indexed="81"/>
            <rFont val="細明體"/>
            <family val="3"/>
            <charset val="136"/>
          </rPr>
          <t>建築物破壞時，對人類之生命危害度小，如臨時性設施及非居住性儲藏設施等，</t>
        </r>
        <r>
          <rPr>
            <sz val="8"/>
            <color indexed="81"/>
            <rFont val="Tahoma"/>
            <family val="2"/>
          </rPr>
          <t>I = 0.9</t>
        </r>
        <r>
          <rPr>
            <sz val="8"/>
            <color indexed="81"/>
            <rFont val="細明體"/>
            <family val="3"/>
            <charset val="136"/>
          </rPr>
          <t>。</t>
        </r>
        <r>
          <rPr>
            <sz val="8"/>
            <color indexed="81"/>
            <rFont val="Tahoma"/>
            <family val="2"/>
          </rPr>
          <t xml:space="preserve">            </t>
        </r>
        <r>
          <rPr>
            <sz val="8"/>
            <color indexed="81"/>
            <rFont val="細明體"/>
            <family val="3"/>
            <charset val="136"/>
          </rPr>
          <t>第四類</t>
        </r>
        <r>
          <rPr>
            <sz val="8"/>
            <color indexed="81"/>
            <rFont val="Tahoma"/>
            <family val="2"/>
          </rPr>
          <t xml:space="preserve">
</t>
        </r>
        <r>
          <rPr>
            <sz val="8"/>
            <color indexed="81"/>
            <rFont val="細明體"/>
            <family val="3"/>
            <charset val="136"/>
          </rPr>
          <t>其他一般建築物與相關之附屬或獨立結構物，</t>
        </r>
        <r>
          <rPr>
            <sz val="8"/>
            <color indexed="81"/>
            <rFont val="Tahoma"/>
            <family val="2"/>
          </rPr>
          <t>I = 1.0</t>
        </r>
        <r>
          <rPr>
            <sz val="8"/>
            <color indexed="81"/>
            <rFont val="細明體"/>
            <family val="3"/>
            <charset val="136"/>
          </rPr>
          <t>。</t>
        </r>
        <r>
          <rPr>
            <sz val="8"/>
            <color indexed="81"/>
            <rFont val="Tahoma"/>
            <family val="2"/>
          </rPr>
          <t xml:space="preserve">                                                                        </t>
        </r>
        <r>
          <rPr>
            <sz val="8"/>
            <color indexed="81"/>
            <rFont val="細明體"/>
            <family val="3"/>
            <charset val="136"/>
          </rPr>
          <t>第五類</t>
        </r>
        <r>
          <rPr>
            <vertAlign val="subscript"/>
            <sz val="8"/>
            <color indexed="81"/>
            <rFont val="Tahoma"/>
            <family val="2"/>
          </rPr>
          <t xml:space="preserve">
</t>
        </r>
      </text>
    </comment>
    <comment ref="B12" authorId="1" shapeId="0" xr:uid="{00000000-0006-0000-0100-000002000000}">
      <text>
        <r>
          <rPr>
            <b/>
            <sz val="8"/>
            <color indexed="81"/>
            <rFont val="細明體"/>
            <family val="3"/>
            <charset val="136"/>
          </rPr>
          <t xml:space="preserve">地況種類依建築物所在位置及其附近地表特性而定，分成以下三類：
</t>
        </r>
        <r>
          <rPr>
            <b/>
            <sz val="8"/>
            <color indexed="81"/>
            <rFont val="Tahoma"/>
            <family val="2"/>
          </rPr>
          <t>(1)</t>
        </r>
        <r>
          <rPr>
            <b/>
            <sz val="8"/>
            <color indexed="81"/>
            <rFont val="細明體"/>
            <family val="3"/>
            <charset val="136"/>
          </rPr>
          <t>地況</t>
        </r>
        <r>
          <rPr>
            <b/>
            <sz val="8"/>
            <color indexed="81"/>
            <rFont val="Tahoma"/>
            <family val="2"/>
          </rPr>
          <t xml:space="preserve"> A</t>
        </r>
        <r>
          <rPr>
            <b/>
            <sz val="8"/>
            <color indexed="81"/>
            <rFont val="細明體"/>
            <family val="3"/>
            <charset val="136"/>
          </rPr>
          <t>：</t>
        </r>
        <r>
          <rPr>
            <b/>
            <sz val="8"/>
            <color indexed="81"/>
            <rFont val="Tahoma"/>
            <family val="2"/>
          </rPr>
          <t xml:space="preserve"> </t>
        </r>
        <r>
          <rPr>
            <b/>
            <sz val="8"/>
            <color indexed="81"/>
            <rFont val="細明體"/>
            <family val="3"/>
            <charset val="136"/>
          </rPr>
          <t>大城市市中心區，至少有</t>
        </r>
        <r>
          <rPr>
            <b/>
            <sz val="8"/>
            <color indexed="81"/>
            <rFont val="Tahoma"/>
            <family val="2"/>
          </rPr>
          <t>50%</t>
        </r>
        <r>
          <rPr>
            <b/>
            <sz val="8"/>
            <color indexed="81"/>
            <rFont val="細明體"/>
            <family val="3"/>
            <charset val="136"/>
          </rPr>
          <t>之建築物高度大於</t>
        </r>
        <r>
          <rPr>
            <b/>
            <sz val="8"/>
            <color indexed="81"/>
            <rFont val="Tahoma"/>
            <family val="2"/>
          </rPr>
          <t>20</t>
        </r>
        <r>
          <rPr>
            <b/>
            <sz val="8"/>
            <color indexed="81"/>
            <rFont val="細明體"/>
            <family val="3"/>
            <charset val="136"/>
          </rPr>
          <t>公尺者。建築物迎風向之前方至少</t>
        </r>
        <r>
          <rPr>
            <b/>
            <sz val="8"/>
            <color indexed="81"/>
            <rFont val="Tahoma"/>
            <family val="2"/>
          </rPr>
          <t xml:space="preserve">800 </t>
        </r>
        <r>
          <rPr>
            <b/>
            <sz val="8"/>
            <color indexed="81"/>
            <rFont val="細明體"/>
            <family val="3"/>
            <charset val="136"/>
          </rPr>
          <t>公尺或建築物高度</t>
        </r>
        <r>
          <rPr>
            <b/>
            <sz val="8"/>
            <color indexed="81"/>
            <rFont val="Tahoma"/>
            <family val="2"/>
          </rPr>
          <t xml:space="preserve">10 </t>
        </r>
        <r>
          <rPr>
            <b/>
            <sz val="8"/>
            <color indexed="81"/>
            <rFont val="細明體"/>
            <family val="3"/>
            <charset val="136"/>
          </rPr>
          <t>倍的範圍（兩者取大值）係屬此種條件下，才可使用地況</t>
        </r>
        <r>
          <rPr>
            <b/>
            <sz val="8"/>
            <color indexed="81"/>
            <rFont val="Tahoma"/>
            <family val="2"/>
          </rPr>
          <t>A</t>
        </r>
        <r>
          <rPr>
            <b/>
            <sz val="8"/>
            <color indexed="81"/>
            <rFont val="細明體"/>
            <family val="3"/>
            <charset val="136"/>
          </rPr>
          <t xml:space="preserve">。
</t>
        </r>
        <r>
          <rPr>
            <b/>
            <sz val="8"/>
            <color indexed="81"/>
            <rFont val="Tahoma"/>
            <family val="2"/>
          </rPr>
          <t>(2)</t>
        </r>
        <r>
          <rPr>
            <b/>
            <sz val="8"/>
            <color indexed="81"/>
            <rFont val="細明體"/>
            <family val="3"/>
            <charset val="136"/>
          </rPr>
          <t>地況</t>
        </r>
        <r>
          <rPr>
            <b/>
            <sz val="8"/>
            <color indexed="81"/>
            <rFont val="Tahoma"/>
            <family val="2"/>
          </rPr>
          <t xml:space="preserve"> B</t>
        </r>
        <r>
          <rPr>
            <b/>
            <sz val="8"/>
            <color indexed="81"/>
            <rFont val="細明體"/>
            <family val="3"/>
            <charset val="136"/>
          </rPr>
          <t>：</t>
        </r>
        <r>
          <rPr>
            <b/>
            <sz val="8"/>
            <color indexed="81"/>
            <rFont val="Tahoma"/>
            <family val="2"/>
          </rPr>
          <t xml:space="preserve"> </t>
        </r>
        <r>
          <rPr>
            <b/>
            <sz val="8"/>
            <color indexed="81"/>
            <rFont val="細明體"/>
            <family val="3"/>
            <charset val="136"/>
          </rPr>
          <t>大城市市郊、小市鎮或有許多像民舍高度（</t>
        </r>
        <r>
          <rPr>
            <b/>
            <sz val="8"/>
            <color indexed="81"/>
            <rFont val="Tahoma"/>
            <family val="2"/>
          </rPr>
          <t xml:space="preserve">10~20
</t>
        </r>
        <r>
          <rPr>
            <b/>
            <sz val="8"/>
            <color indexed="81"/>
            <rFont val="細明體"/>
            <family val="3"/>
            <charset val="136"/>
          </rPr>
          <t>公尺），或較民舍為高之障礙物分布其間之地區者。建築物迎風向之前方至少</t>
        </r>
        <r>
          <rPr>
            <b/>
            <sz val="8"/>
            <color indexed="81"/>
            <rFont val="Tahoma"/>
            <family val="2"/>
          </rPr>
          <t xml:space="preserve">500 </t>
        </r>
        <r>
          <rPr>
            <b/>
            <sz val="8"/>
            <color indexed="81"/>
            <rFont val="細明體"/>
            <family val="3"/>
            <charset val="136"/>
          </rPr>
          <t>公尺或建築物高度</t>
        </r>
        <r>
          <rPr>
            <b/>
            <sz val="8"/>
            <color indexed="81"/>
            <rFont val="Tahoma"/>
            <family val="2"/>
          </rPr>
          <t>10</t>
        </r>
        <r>
          <rPr>
            <b/>
            <sz val="8"/>
            <color indexed="81"/>
            <rFont val="細明體"/>
            <family val="3"/>
            <charset val="136"/>
          </rPr>
          <t>倍的範圍（兩者取大值）係屬此種條件下，方可使用地況</t>
        </r>
        <r>
          <rPr>
            <b/>
            <sz val="8"/>
            <color indexed="81"/>
            <rFont val="Tahoma"/>
            <family val="2"/>
          </rPr>
          <t>B</t>
        </r>
        <r>
          <rPr>
            <b/>
            <sz val="8"/>
            <color indexed="81"/>
            <rFont val="細明體"/>
            <family val="3"/>
            <charset val="136"/>
          </rPr>
          <t xml:space="preserve">。
</t>
        </r>
        <r>
          <rPr>
            <b/>
            <sz val="8"/>
            <color indexed="81"/>
            <rFont val="Tahoma"/>
            <family val="2"/>
          </rPr>
          <t>(3)</t>
        </r>
        <r>
          <rPr>
            <b/>
            <sz val="8"/>
            <color indexed="81"/>
            <rFont val="細明體"/>
            <family val="3"/>
            <charset val="136"/>
          </rPr>
          <t>地況</t>
        </r>
        <r>
          <rPr>
            <b/>
            <sz val="8"/>
            <color indexed="81"/>
            <rFont val="Tahoma"/>
            <family val="2"/>
          </rPr>
          <t xml:space="preserve"> C</t>
        </r>
        <r>
          <rPr>
            <b/>
            <sz val="8"/>
            <color indexed="81"/>
            <rFont val="細明體"/>
            <family val="3"/>
            <charset val="136"/>
          </rPr>
          <t>：</t>
        </r>
        <r>
          <rPr>
            <b/>
            <sz val="8"/>
            <color indexed="81"/>
            <rFont val="Tahoma"/>
            <family val="2"/>
          </rPr>
          <t xml:space="preserve"> </t>
        </r>
        <r>
          <rPr>
            <b/>
            <sz val="8"/>
            <color indexed="81"/>
            <rFont val="細明體"/>
            <family val="3"/>
            <charset val="136"/>
          </rPr>
          <t>平坦開闊之地面或草原或海岸或湖岸地區，其零星
座落之障礙物高度小於</t>
        </r>
        <r>
          <rPr>
            <b/>
            <sz val="8"/>
            <color indexed="81"/>
            <rFont val="Tahoma"/>
            <family val="2"/>
          </rPr>
          <t xml:space="preserve">10 </t>
        </r>
        <r>
          <rPr>
            <b/>
            <sz val="8"/>
            <color indexed="81"/>
            <rFont val="細明體"/>
            <family val="3"/>
            <charset val="136"/>
          </rPr>
          <t>公尺者。
若附近地況為介於地況</t>
        </r>
        <r>
          <rPr>
            <b/>
            <sz val="8"/>
            <color indexed="81"/>
            <rFont val="Tahoma"/>
            <family val="2"/>
          </rPr>
          <t xml:space="preserve">A </t>
        </r>
        <r>
          <rPr>
            <b/>
            <sz val="8"/>
            <color indexed="81"/>
            <rFont val="細明體"/>
            <family val="3"/>
            <charset val="136"/>
          </rPr>
          <t>與地況</t>
        </r>
        <r>
          <rPr>
            <b/>
            <sz val="8"/>
            <color indexed="81"/>
            <rFont val="Tahoma"/>
            <family val="2"/>
          </rPr>
          <t xml:space="preserve">B </t>
        </r>
        <r>
          <rPr>
            <b/>
            <sz val="8"/>
            <color indexed="81"/>
            <rFont val="細明體"/>
            <family val="3"/>
            <charset val="136"/>
          </rPr>
          <t>間或地況</t>
        </r>
        <r>
          <rPr>
            <b/>
            <sz val="8"/>
            <color indexed="81"/>
            <rFont val="Tahoma"/>
            <family val="2"/>
          </rPr>
          <t xml:space="preserve">B </t>
        </r>
        <r>
          <rPr>
            <b/>
            <sz val="8"/>
            <color indexed="81"/>
            <rFont val="細明體"/>
            <family val="3"/>
            <charset val="136"/>
          </rPr>
          <t>與地況</t>
        </r>
        <r>
          <rPr>
            <b/>
            <sz val="8"/>
            <color indexed="81"/>
            <rFont val="Tahoma"/>
            <family val="2"/>
          </rPr>
          <t xml:space="preserve">C </t>
        </r>
        <r>
          <rPr>
            <b/>
            <sz val="8"/>
            <color indexed="81"/>
            <rFont val="細明體"/>
            <family val="3"/>
            <charset val="136"/>
          </rPr>
          <t>間之過渡地況，原則上應採用會產生較大風力之地況，但也可利用可信賴之合理分析法，決定此一過渡地況之風速垂直分布。</t>
        </r>
      </text>
    </comment>
    <comment ref="B14" authorId="2" shapeId="0" xr:uid="{00000000-0006-0000-0100-000003000000}">
      <text>
        <r>
          <rPr>
            <sz val="8"/>
            <color indexed="81"/>
            <rFont val="Tahoma"/>
            <family val="2"/>
          </rPr>
          <t>The eave height, 'he', is the distance from the ground surface adjacent to the building to the roof eave line at a particular wall.  
If the height of the eave varies along the wall, the average height shall be used.</t>
        </r>
      </text>
    </comment>
    <comment ref="B17" authorId="1" shapeId="0" xr:uid="{00000000-0006-0000-0100-000004000000}">
      <text>
        <r>
          <rPr>
            <sz val="8"/>
            <color indexed="81"/>
            <rFont val="Tahoma"/>
            <family val="2"/>
          </rPr>
          <t>This program assumes that a Gable roof is symmetrical, as the ridge line is assumed in the center of the building width.
For flat roofs (roof angle = 0 degrees), either Gable or Monoslope may be used.</t>
        </r>
      </text>
    </comment>
    <comment ref="B18" authorId="1" shapeId="0" xr:uid="{00000000-0006-0000-0100-000005000000}">
      <text>
        <r>
          <rPr>
            <sz val="8"/>
            <color indexed="81"/>
            <rFont val="Tahoma"/>
            <family val="2"/>
          </rPr>
          <t>The</t>
        </r>
        <r>
          <rPr>
            <b/>
            <sz val="8"/>
            <color indexed="81"/>
            <rFont val="Tahoma"/>
            <family val="2"/>
          </rPr>
          <t xml:space="preserve"> Topographic Factor, Kzt</t>
        </r>
        <r>
          <rPr>
            <sz val="8"/>
            <color indexed="81"/>
            <rFont val="Tahoma"/>
            <family val="2"/>
          </rPr>
          <t>, accounts for effect of wind speed-up over isolated hills and escarpments (</t>
        </r>
        <r>
          <rPr>
            <b/>
            <sz val="8"/>
            <color indexed="81"/>
            <rFont val="Tahoma"/>
            <family val="2"/>
          </rPr>
          <t>Sect. 26.8</t>
        </r>
        <r>
          <rPr>
            <sz val="8"/>
            <color indexed="81"/>
            <rFont val="Tahoma"/>
            <family val="2"/>
          </rPr>
          <t xml:space="preserve"> and </t>
        </r>
        <r>
          <rPr>
            <b/>
            <sz val="8"/>
            <color indexed="81"/>
            <rFont val="Tahoma"/>
            <family val="2"/>
          </rPr>
          <t>Fig. 26.8-1</t>
        </r>
        <r>
          <rPr>
            <sz val="8"/>
            <color indexed="81"/>
            <rFont val="Tahoma"/>
            <family val="2"/>
          </rPr>
          <t xml:space="preserve">).
</t>
        </r>
        <r>
          <rPr>
            <b/>
            <sz val="8"/>
            <color indexed="81"/>
            <rFont val="Tahoma"/>
            <family val="2"/>
          </rPr>
          <t>Kzt = (1+K1*K2*K3)^2</t>
        </r>
        <r>
          <rPr>
            <sz val="8"/>
            <color indexed="81"/>
            <rFont val="Tahoma"/>
            <family val="2"/>
          </rPr>
          <t xml:space="preserve">   (Eq. 26.8-1), where:
H   = height of hill or escarpment relative to the upwind terrain, in feet.
Lh  = Distance upwind of crest to where the difference in ground elevation is    
         half the height of hill or escarpment, in feet.
K1 = factor to account for shape of topographic feature and maximum   
        speed-up effect.
K2 = factor to account for reduction in speed-up with distance upwind or     
        downwind of crest.
K3 = factor to account for reduction in speed-up with height above local terrain.
x = distance (upwind or downwind) from the crest to the building site, in feet.
z = height above local ground level, in feet.
</t>
        </r>
        <r>
          <rPr>
            <b/>
            <sz val="8"/>
            <color indexed="81"/>
            <rFont val="Tahoma"/>
            <family val="2"/>
          </rPr>
          <t>The effect of wind speed-up shall not be required to be considered (Kzt = 1.0) when H/Lh &lt; 0.2, or H &lt; 15' for Exposures 'C' and 'D', or H &lt; 60' for Exposure 'B'.</t>
        </r>
      </text>
    </comment>
    <comment ref="B19" authorId="1" shapeId="0" xr:uid="{00000000-0006-0000-0100-000006000000}">
      <text>
        <r>
          <rPr>
            <sz val="8"/>
            <color indexed="81"/>
            <rFont val="Tahoma"/>
            <family val="2"/>
          </rPr>
          <t>This worksheet assumes either</t>
        </r>
        <r>
          <rPr>
            <b/>
            <sz val="8"/>
            <color indexed="81"/>
            <rFont val="Tahoma"/>
            <family val="2"/>
          </rPr>
          <t xml:space="preserve"> Enclosed</t>
        </r>
        <r>
          <rPr>
            <sz val="8"/>
            <color indexed="81"/>
            <rFont val="Tahoma"/>
            <family val="2"/>
          </rPr>
          <t xml:space="preserve"> or </t>
        </r>
        <r>
          <rPr>
            <b/>
            <sz val="8"/>
            <color indexed="81"/>
            <rFont val="Tahoma"/>
            <family val="2"/>
          </rPr>
          <t>Partially Enclosed</t>
        </r>
        <r>
          <rPr>
            <sz val="8"/>
            <color indexed="81"/>
            <rFont val="Tahoma"/>
            <family val="2"/>
          </rPr>
          <t xml:space="preserve"> buildings</t>
        </r>
        <r>
          <rPr>
            <sz val="8"/>
            <color indexed="81"/>
            <rFont val="Tahoma"/>
            <family val="2"/>
          </rPr>
          <t xml:space="preserve">, and does not consider open buildings.
</t>
        </r>
        <r>
          <rPr>
            <b/>
            <sz val="8"/>
            <color indexed="81"/>
            <rFont val="Tahoma"/>
            <family val="2"/>
          </rPr>
          <t>1.</t>
        </r>
        <r>
          <rPr>
            <sz val="8"/>
            <color indexed="81"/>
            <rFont val="Tahoma"/>
            <family val="2"/>
          </rPr>
          <t xml:space="preserve">  An enclosed building is a building that does not comply with the requirements       
      for open or partially enclosed buildings. 
</t>
        </r>
        <r>
          <rPr>
            <b/>
            <sz val="8"/>
            <color indexed="81"/>
            <rFont val="Tahoma"/>
            <family val="2"/>
          </rPr>
          <t>2.</t>
        </r>
        <r>
          <rPr>
            <sz val="8"/>
            <color indexed="81"/>
            <rFont val="Tahoma"/>
            <family val="2"/>
          </rPr>
          <t xml:space="preserve">  An open building is a structure having all walls at least 80% open.
</t>
        </r>
        <r>
          <rPr>
            <b/>
            <sz val="8"/>
            <color indexed="81"/>
            <rFont val="Tahoma"/>
            <family val="2"/>
          </rPr>
          <t xml:space="preserve">3. </t>
        </r>
        <r>
          <rPr>
            <sz val="8"/>
            <color indexed="81"/>
            <rFont val="Tahoma"/>
            <family val="2"/>
          </rPr>
          <t xml:space="preserve"> A partially enclosed building complies with both of the following conditions:
     </t>
        </r>
        <r>
          <rPr>
            <b/>
            <sz val="8"/>
            <color indexed="81"/>
            <rFont val="Tahoma"/>
            <family val="2"/>
          </rPr>
          <t xml:space="preserve">a.  </t>
        </r>
        <r>
          <rPr>
            <sz val="8"/>
            <color indexed="81"/>
            <rFont val="Tahoma"/>
            <family val="2"/>
          </rPr>
          <t xml:space="preserve">the total area of openings in a wall that receives positive external pressure   
         exceeds the sum of the areas of the openings in the balance of the building         
         envelope (walls and roof) by more than 10%; and
     </t>
        </r>
        <r>
          <rPr>
            <b/>
            <sz val="8"/>
            <color indexed="81"/>
            <rFont val="Tahoma"/>
            <family val="2"/>
          </rPr>
          <t xml:space="preserve">b.  </t>
        </r>
        <r>
          <rPr>
            <sz val="8"/>
            <color indexed="81"/>
            <rFont val="Tahoma"/>
            <family val="2"/>
          </rPr>
          <t>the total area of openings in a wall that receives positive external pressure          
         exceeds 4 sq ft or 1% of the area of that wall, whichever is smaller, and the      
         % of openings in balance of the building envelope does not exceed 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 Tomanovich</author>
    <author>Bob Dalpiaz</author>
    <author xml:space="preserve"> </author>
  </authors>
  <commentList>
    <comment ref="B10" authorId="0" shapeId="0" xr:uid="{00000000-0006-0000-0200-000001000000}">
      <text>
        <r>
          <rPr>
            <b/>
            <sz val="8"/>
            <color indexed="81"/>
            <rFont val="Tahoma"/>
            <family val="2"/>
          </rPr>
          <t xml:space="preserve">                                                                         2.5 </t>
        </r>
        <r>
          <rPr>
            <b/>
            <sz val="8"/>
            <color indexed="81"/>
            <rFont val="細明體"/>
            <family val="3"/>
            <charset val="136"/>
          </rPr>
          <t>用途係數</t>
        </r>
        <r>
          <rPr>
            <b/>
            <u/>
            <sz val="8"/>
            <color indexed="81"/>
            <rFont val="Tahoma"/>
            <family val="2"/>
          </rPr>
          <t xml:space="preserve">
</t>
        </r>
        <r>
          <rPr>
            <b/>
            <u/>
            <sz val="8"/>
            <color indexed="81"/>
            <rFont val="細明體"/>
            <family val="3"/>
            <charset val="136"/>
          </rPr>
          <t>用途係數</t>
        </r>
        <r>
          <rPr>
            <b/>
            <u/>
            <sz val="8"/>
            <color indexed="81"/>
            <rFont val="Tahoma"/>
            <family val="2"/>
          </rPr>
          <t xml:space="preserve">                                                                                                                                                  </t>
        </r>
        <r>
          <rPr>
            <b/>
            <u/>
            <sz val="8"/>
            <color indexed="81"/>
            <rFont val="細明體"/>
            <family val="3"/>
            <charset val="136"/>
          </rPr>
          <t>建築物分類</t>
        </r>
        <r>
          <rPr>
            <b/>
            <u/>
            <sz val="8"/>
            <color indexed="81"/>
            <rFont val="Tahoma"/>
            <family val="2"/>
          </rPr>
          <t xml:space="preserve"> </t>
        </r>
        <r>
          <rPr>
            <sz val="8"/>
            <color indexed="81"/>
            <rFont val="Tahoma"/>
            <family val="2"/>
          </rPr>
          <t xml:space="preserve">
</t>
        </r>
        <r>
          <rPr>
            <sz val="8"/>
            <color indexed="81"/>
            <rFont val="細明體"/>
            <family val="3"/>
            <charset val="136"/>
          </rPr>
          <t>風災發生後，必需維持機能以救濟大眾之重要建築物與相關之附屬或獨立結構物，</t>
        </r>
        <r>
          <rPr>
            <sz val="8"/>
            <color indexed="81"/>
            <rFont val="Tahoma"/>
            <family val="2"/>
          </rPr>
          <t>I = 1.1</t>
        </r>
        <r>
          <rPr>
            <sz val="8"/>
            <color indexed="81"/>
            <rFont val="細明體"/>
            <family val="3"/>
            <charset val="136"/>
          </rPr>
          <t>。</t>
        </r>
        <r>
          <rPr>
            <sz val="8"/>
            <color indexed="81"/>
            <rFont val="Tahoma"/>
            <family val="2"/>
          </rPr>
          <t xml:space="preserve">        </t>
        </r>
        <r>
          <rPr>
            <sz val="8"/>
            <color indexed="81"/>
            <rFont val="細明體"/>
            <family val="3"/>
            <charset val="136"/>
          </rPr>
          <t>第一類</t>
        </r>
        <r>
          <rPr>
            <sz val="8"/>
            <color indexed="81"/>
            <rFont val="Tahoma"/>
            <family val="2"/>
          </rPr>
          <t xml:space="preserve">
(1) </t>
        </r>
        <r>
          <rPr>
            <sz val="8"/>
            <color indexed="81"/>
            <rFont val="細明體"/>
            <family val="3"/>
            <charset val="136"/>
          </rPr>
          <t xml:space="preserve">中央、直轄市及縣（市）政府、鄉鎮市（區）公所之辦公廳舍。
</t>
        </r>
        <r>
          <rPr>
            <sz val="8"/>
            <color indexed="81"/>
            <rFont val="Tahoma"/>
            <family val="2"/>
          </rPr>
          <t xml:space="preserve">(2) </t>
        </r>
        <r>
          <rPr>
            <sz val="8"/>
            <color indexed="81"/>
            <rFont val="細明體"/>
            <family val="3"/>
            <charset val="136"/>
          </rPr>
          <t xml:space="preserve">消防、警務及電信單位執行公務之建築物。
</t>
        </r>
        <r>
          <rPr>
            <sz val="8"/>
            <color indexed="81"/>
            <rFont val="Tahoma"/>
            <family val="2"/>
          </rPr>
          <t xml:space="preserve">(3) </t>
        </r>
        <r>
          <rPr>
            <sz val="8"/>
            <color indexed="81"/>
            <rFont val="細明體"/>
            <family val="3"/>
            <charset val="136"/>
          </rPr>
          <t xml:space="preserve">國中、國小學校之校舍。
</t>
        </r>
        <r>
          <rPr>
            <sz val="8"/>
            <color indexed="81"/>
            <rFont val="Tahoma"/>
            <family val="2"/>
          </rPr>
          <t xml:space="preserve">(4) </t>
        </r>
        <r>
          <rPr>
            <sz val="8"/>
            <color indexed="81"/>
            <rFont val="細明體"/>
            <family val="3"/>
            <charset val="136"/>
          </rPr>
          <t xml:space="preserve">教學醫院、區域醫院、署市立醫院或政府指定醫院。
</t>
        </r>
        <r>
          <rPr>
            <sz val="8"/>
            <color indexed="81"/>
            <rFont val="Tahoma"/>
            <family val="2"/>
          </rPr>
          <t xml:space="preserve">(5) </t>
        </r>
        <r>
          <rPr>
            <sz val="8"/>
            <color indexed="81"/>
            <rFont val="細明體"/>
            <family val="3"/>
            <charset val="136"/>
          </rPr>
          <t xml:space="preserve">發電廠、自來水廠與供電、供水直接有關之廠房與建築物。
</t>
        </r>
        <r>
          <rPr>
            <sz val="8"/>
            <color indexed="81"/>
            <rFont val="Tahoma"/>
            <family val="2"/>
          </rPr>
          <t xml:space="preserve">(6) </t>
        </r>
        <r>
          <rPr>
            <sz val="8"/>
            <color indexed="81"/>
            <rFont val="細明體"/>
            <family val="3"/>
            <charset val="136"/>
          </rPr>
          <t>其他經中央主管機關認定之建築物。</t>
        </r>
        <r>
          <rPr>
            <sz val="8"/>
            <color indexed="81"/>
            <rFont val="Tahoma"/>
            <family val="2"/>
          </rPr>
          <t xml:space="preserve">
</t>
        </r>
        <r>
          <rPr>
            <sz val="8"/>
            <color indexed="81"/>
            <rFont val="細明體"/>
            <family val="3"/>
            <charset val="136"/>
          </rPr>
          <t>儲存多量具有毒性、爆炸性等危險物品之建築物與相關之附屬或獨立結構物，</t>
        </r>
        <r>
          <rPr>
            <sz val="8"/>
            <color indexed="81"/>
            <rFont val="Tahoma"/>
            <family val="2"/>
          </rPr>
          <t>I = 1.1</t>
        </r>
        <r>
          <rPr>
            <sz val="8"/>
            <color indexed="81"/>
            <rFont val="細明體"/>
            <family val="3"/>
            <charset val="136"/>
          </rPr>
          <t>。</t>
        </r>
        <r>
          <rPr>
            <sz val="8"/>
            <color indexed="81"/>
            <rFont val="Tahoma"/>
            <family val="2"/>
          </rPr>
          <t xml:space="preserve">                </t>
        </r>
        <r>
          <rPr>
            <sz val="8"/>
            <color indexed="81"/>
            <rFont val="細明體"/>
            <family val="3"/>
            <charset val="136"/>
          </rPr>
          <t>第二類</t>
        </r>
        <r>
          <rPr>
            <sz val="8"/>
            <color indexed="81"/>
            <rFont val="Tahoma"/>
            <family val="2"/>
          </rPr>
          <t xml:space="preserve">
</t>
        </r>
        <r>
          <rPr>
            <sz val="8"/>
            <color indexed="81"/>
            <rFont val="細明體"/>
            <family val="3"/>
            <charset val="136"/>
          </rPr>
          <t>下列供公眾使用之建築物與相關之附屬或獨立結構物，</t>
        </r>
        <r>
          <rPr>
            <sz val="8"/>
            <color indexed="81"/>
            <rFont val="Tahoma"/>
            <family val="2"/>
          </rPr>
          <t>I =1.1</t>
        </r>
        <r>
          <rPr>
            <sz val="8"/>
            <color indexed="81"/>
            <rFont val="細明體"/>
            <family val="3"/>
            <charset val="136"/>
          </rPr>
          <t>。</t>
        </r>
        <r>
          <rPr>
            <sz val="8"/>
            <color indexed="81"/>
            <rFont val="Tahoma"/>
            <family val="2"/>
          </rPr>
          <t xml:space="preserve">                                                         </t>
        </r>
        <r>
          <rPr>
            <sz val="8"/>
            <color indexed="81"/>
            <rFont val="細明體"/>
            <family val="3"/>
            <charset val="136"/>
          </rPr>
          <t>第三類</t>
        </r>
        <r>
          <rPr>
            <sz val="8"/>
            <color indexed="81"/>
            <rFont val="Tahoma"/>
            <family val="2"/>
          </rPr>
          <t xml:space="preserve">
(1) </t>
        </r>
        <r>
          <rPr>
            <sz val="8"/>
            <color indexed="81"/>
            <rFont val="細明體"/>
            <family val="3"/>
            <charset val="136"/>
          </rPr>
          <t>教育文化類：幼稚園；各級學校之校舍</t>
        </r>
        <r>
          <rPr>
            <sz val="8"/>
            <color indexed="81"/>
            <rFont val="Tahoma"/>
            <family val="2"/>
          </rPr>
          <t>(</t>
        </r>
        <r>
          <rPr>
            <sz val="8"/>
            <color indexed="81"/>
            <rFont val="細明體"/>
            <family val="3"/>
            <charset val="136"/>
          </rPr>
          <t>第一類建築物之外</t>
        </r>
        <r>
          <rPr>
            <sz val="8"/>
            <color indexed="81"/>
            <rFont val="Tahoma"/>
            <family val="2"/>
          </rPr>
          <t>)</t>
        </r>
        <r>
          <rPr>
            <sz val="8"/>
            <color indexed="81"/>
            <rFont val="細明體"/>
            <family val="3"/>
            <charset val="136"/>
          </rPr>
          <t xml:space="preserve">；集會堂、活動中心；圖書館、資料館；博物館、美術館、展覽館；寺廟、教堂；補習班；體育館。
</t>
        </r>
        <r>
          <rPr>
            <sz val="8"/>
            <color indexed="81"/>
            <rFont val="Tahoma"/>
            <family val="2"/>
          </rPr>
          <t xml:space="preserve">(2) </t>
        </r>
        <r>
          <rPr>
            <sz val="8"/>
            <color indexed="81"/>
            <rFont val="細明體"/>
            <family val="3"/>
            <charset val="136"/>
          </rPr>
          <t xml:space="preserve">衛生及社會福利類：醫院、診所（第一類建築物之外）；安養、療養、扶養、教養場所；殯儀館。
</t>
        </r>
        <r>
          <rPr>
            <sz val="8"/>
            <color indexed="81"/>
            <rFont val="Tahoma"/>
            <family val="2"/>
          </rPr>
          <t xml:space="preserve">(3) </t>
        </r>
        <r>
          <rPr>
            <sz val="8"/>
            <color indexed="81"/>
            <rFont val="細明體"/>
            <family val="3"/>
            <charset val="136"/>
          </rPr>
          <t xml:space="preserve">營業類：餐廳；百貨公司、商場、超級市場、零售市場；批發量販營業場所；展售場、觀覽場。
</t>
        </r>
        <r>
          <rPr>
            <sz val="8"/>
            <color indexed="81"/>
            <rFont val="Tahoma"/>
            <family val="2"/>
          </rPr>
          <t xml:space="preserve">(4) </t>
        </r>
        <r>
          <rPr>
            <sz val="8"/>
            <color indexed="81"/>
            <rFont val="細明體"/>
            <family val="3"/>
            <charset val="136"/>
          </rPr>
          <t xml:space="preserve">娛樂類：電影院、演藝場所、歌廳；舞廳、舞場、夜總會；錄影節目播映、視聽歌唱營業場所；保齡球館。
</t>
        </r>
        <r>
          <rPr>
            <sz val="8"/>
            <color indexed="81"/>
            <rFont val="Tahoma"/>
            <family val="2"/>
          </rPr>
          <t xml:space="preserve">(5) </t>
        </r>
        <r>
          <rPr>
            <sz val="8"/>
            <color indexed="81"/>
            <rFont val="細明體"/>
            <family val="3"/>
            <charset val="136"/>
          </rPr>
          <t xml:space="preserve">工作類：金融證券營業交易場所之營業廳。
</t>
        </r>
        <r>
          <rPr>
            <sz val="8"/>
            <color indexed="81"/>
            <rFont val="Tahoma"/>
            <family val="2"/>
          </rPr>
          <t xml:space="preserve">(6) </t>
        </r>
        <r>
          <rPr>
            <sz val="8"/>
            <color indexed="81"/>
            <rFont val="細明體"/>
            <family val="3"/>
            <charset val="136"/>
          </rPr>
          <t xml:space="preserve">遊覽交通類：車站、航運站。
</t>
        </r>
        <r>
          <rPr>
            <sz val="8"/>
            <color indexed="81"/>
            <rFont val="Tahoma"/>
            <family val="2"/>
          </rPr>
          <t xml:space="preserve">(7) </t>
        </r>
        <r>
          <rPr>
            <sz val="8"/>
            <color indexed="81"/>
            <rFont val="細明體"/>
            <family val="3"/>
            <charset val="136"/>
          </rPr>
          <t>其他經中央主管機關指定之建築物。</t>
        </r>
        <r>
          <rPr>
            <sz val="8"/>
            <color indexed="81"/>
            <rFont val="Tahoma"/>
            <family val="2"/>
          </rPr>
          <t xml:space="preserve">
</t>
        </r>
        <r>
          <rPr>
            <sz val="8"/>
            <color indexed="81"/>
            <rFont val="細明體"/>
            <family val="3"/>
            <charset val="136"/>
          </rPr>
          <t>一棟建築物如係混合使用，上述供公眾使用場所累計樓地板面積超過三千平方公尺或總樓地板面積百分之二十以上時，用途係數才需用</t>
        </r>
        <r>
          <rPr>
            <sz val="8"/>
            <color indexed="81"/>
            <rFont val="Tahoma"/>
            <family val="2"/>
          </rPr>
          <t>1.1</t>
        </r>
        <r>
          <rPr>
            <sz val="8"/>
            <color indexed="81"/>
            <rFont val="細明體"/>
            <family val="3"/>
            <charset val="136"/>
          </rPr>
          <t>。如一棟建築物單種用途使用時，必需總樓地板面積超過一千平方公尺，用途係數才需用</t>
        </r>
        <r>
          <rPr>
            <sz val="8"/>
            <color indexed="81"/>
            <rFont val="Tahoma"/>
            <family val="2"/>
          </rPr>
          <t>1.1</t>
        </r>
        <r>
          <rPr>
            <sz val="8"/>
            <color indexed="81"/>
            <rFont val="細明體"/>
            <family val="3"/>
            <charset val="136"/>
          </rPr>
          <t xml:space="preserve">。
</t>
        </r>
        <r>
          <rPr>
            <sz val="8"/>
            <color indexed="81"/>
            <rFont val="Tahoma"/>
            <family val="2"/>
          </rPr>
          <t xml:space="preserve">
</t>
        </r>
        <r>
          <rPr>
            <sz val="8"/>
            <color indexed="81"/>
            <rFont val="細明體"/>
            <family val="3"/>
            <charset val="136"/>
          </rPr>
          <t>建築物破壞時，對人類之生命危害度小，如臨時性設施及非居住性儲藏設施等，</t>
        </r>
        <r>
          <rPr>
            <sz val="8"/>
            <color indexed="81"/>
            <rFont val="Tahoma"/>
            <family val="2"/>
          </rPr>
          <t>I = 0.9</t>
        </r>
        <r>
          <rPr>
            <sz val="8"/>
            <color indexed="81"/>
            <rFont val="細明體"/>
            <family val="3"/>
            <charset val="136"/>
          </rPr>
          <t>。</t>
        </r>
        <r>
          <rPr>
            <sz val="8"/>
            <color indexed="81"/>
            <rFont val="Tahoma"/>
            <family val="2"/>
          </rPr>
          <t xml:space="preserve">            </t>
        </r>
        <r>
          <rPr>
            <sz val="8"/>
            <color indexed="81"/>
            <rFont val="細明體"/>
            <family val="3"/>
            <charset val="136"/>
          </rPr>
          <t>第四類</t>
        </r>
        <r>
          <rPr>
            <sz val="8"/>
            <color indexed="81"/>
            <rFont val="Tahoma"/>
            <family val="2"/>
          </rPr>
          <t xml:space="preserve">
</t>
        </r>
        <r>
          <rPr>
            <sz val="8"/>
            <color indexed="81"/>
            <rFont val="細明體"/>
            <family val="3"/>
            <charset val="136"/>
          </rPr>
          <t>其他一般建築物與相關之附屬或獨立結構物，</t>
        </r>
        <r>
          <rPr>
            <sz val="8"/>
            <color indexed="81"/>
            <rFont val="Tahoma"/>
            <family val="2"/>
          </rPr>
          <t>I = 1.0</t>
        </r>
        <r>
          <rPr>
            <sz val="8"/>
            <color indexed="81"/>
            <rFont val="細明體"/>
            <family val="3"/>
            <charset val="136"/>
          </rPr>
          <t>。</t>
        </r>
        <r>
          <rPr>
            <sz val="8"/>
            <color indexed="81"/>
            <rFont val="Tahoma"/>
            <family val="2"/>
          </rPr>
          <t xml:space="preserve">                                                                        </t>
        </r>
        <r>
          <rPr>
            <sz val="8"/>
            <color indexed="81"/>
            <rFont val="細明體"/>
            <family val="3"/>
            <charset val="136"/>
          </rPr>
          <t>第五類</t>
        </r>
        <r>
          <rPr>
            <vertAlign val="subscript"/>
            <sz val="8"/>
            <color indexed="81"/>
            <rFont val="Tahoma"/>
            <family val="2"/>
          </rPr>
          <t xml:space="preserve">
</t>
        </r>
      </text>
    </comment>
    <comment ref="B12" authorId="1" shapeId="0" xr:uid="{00000000-0006-0000-0200-000002000000}">
      <text>
        <r>
          <rPr>
            <b/>
            <sz val="8"/>
            <color indexed="81"/>
            <rFont val="細明體"/>
            <family val="3"/>
            <charset val="136"/>
          </rPr>
          <t xml:space="preserve">地況種類依建築物所在位置及其附近地表特性而定，分成以下三類：
</t>
        </r>
        <r>
          <rPr>
            <b/>
            <sz val="8"/>
            <color indexed="81"/>
            <rFont val="Tahoma"/>
            <family val="2"/>
          </rPr>
          <t>(1)</t>
        </r>
        <r>
          <rPr>
            <b/>
            <sz val="8"/>
            <color indexed="81"/>
            <rFont val="細明體"/>
            <family val="3"/>
            <charset val="136"/>
          </rPr>
          <t>地況</t>
        </r>
        <r>
          <rPr>
            <b/>
            <sz val="8"/>
            <color indexed="81"/>
            <rFont val="Tahoma"/>
            <family val="2"/>
          </rPr>
          <t xml:space="preserve"> A</t>
        </r>
        <r>
          <rPr>
            <b/>
            <sz val="8"/>
            <color indexed="81"/>
            <rFont val="細明體"/>
            <family val="3"/>
            <charset val="136"/>
          </rPr>
          <t>：</t>
        </r>
        <r>
          <rPr>
            <b/>
            <sz val="8"/>
            <color indexed="81"/>
            <rFont val="Tahoma"/>
            <family val="2"/>
          </rPr>
          <t xml:space="preserve"> </t>
        </r>
        <r>
          <rPr>
            <b/>
            <sz val="8"/>
            <color indexed="81"/>
            <rFont val="細明體"/>
            <family val="3"/>
            <charset val="136"/>
          </rPr>
          <t>大城市市中心區，至少有</t>
        </r>
        <r>
          <rPr>
            <b/>
            <sz val="8"/>
            <color indexed="81"/>
            <rFont val="Tahoma"/>
            <family val="2"/>
          </rPr>
          <t>50%</t>
        </r>
        <r>
          <rPr>
            <b/>
            <sz val="8"/>
            <color indexed="81"/>
            <rFont val="細明體"/>
            <family val="3"/>
            <charset val="136"/>
          </rPr>
          <t>之建築物高度大於</t>
        </r>
        <r>
          <rPr>
            <b/>
            <sz val="8"/>
            <color indexed="81"/>
            <rFont val="Tahoma"/>
            <family val="2"/>
          </rPr>
          <t>20</t>
        </r>
        <r>
          <rPr>
            <b/>
            <sz val="8"/>
            <color indexed="81"/>
            <rFont val="細明體"/>
            <family val="3"/>
            <charset val="136"/>
          </rPr>
          <t>公尺者。建築物迎風向之前方至少</t>
        </r>
        <r>
          <rPr>
            <b/>
            <sz val="8"/>
            <color indexed="81"/>
            <rFont val="Tahoma"/>
            <family val="2"/>
          </rPr>
          <t xml:space="preserve">800 </t>
        </r>
        <r>
          <rPr>
            <b/>
            <sz val="8"/>
            <color indexed="81"/>
            <rFont val="細明體"/>
            <family val="3"/>
            <charset val="136"/>
          </rPr>
          <t>公尺或建築物高度</t>
        </r>
        <r>
          <rPr>
            <b/>
            <sz val="8"/>
            <color indexed="81"/>
            <rFont val="Tahoma"/>
            <family val="2"/>
          </rPr>
          <t xml:space="preserve">10 </t>
        </r>
        <r>
          <rPr>
            <b/>
            <sz val="8"/>
            <color indexed="81"/>
            <rFont val="細明體"/>
            <family val="3"/>
            <charset val="136"/>
          </rPr>
          <t>倍的範圍（兩者取大值）係屬此種條件下，才可使用地況</t>
        </r>
        <r>
          <rPr>
            <b/>
            <sz val="8"/>
            <color indexed="81"/>
            <rFont val="Tahoma"/>
            <family val="2"/>
          </rPr>
          <t>A</t>
        </r>
        <r>
          <rPr>
            <b/>
            <sz val="8"/>
            <color indexed="81"/>
            <rFont val="細明體"/>
            <family val="3"/>
            <charset val="136"/>
          </rPr>
          <t xml:space="preserve">。
</t>
        </r>
        <r>
          <rPr>
            <b/>
            <sz val="8"/>
            <color indexed="81"/>
            <rFont val="Tahoma"/>
            <family val="2"/>
          </rPr>
          <t>(2)</t>
        </r>
        <r>
          <rPr>
            <b/>
            <sz val="8"/>
            <color indexed="81"/>
            <rFont val="細明體"/>
            <family val="3"/>
            <charset val="136"/>
          </rPr>
          <t>地況</t>
        </r>
        <r>
          <rPr>
            <b/>
            <sz val="8"/>
            <color indexed="81"/>
            <rFont val="Tahoma"/>
            <family val="2"/>
          </rPr>
          <t xml:space="preserve"> B</t>
        </r>
        <r>
          <rPr>
            <b/>
            <sz val="8"/>
            <color indexed="81"/>
            <rFont val="細明體"/>
            <family val="3"/>
            <charset val="136"/>
          </rPr>
          <t>：</t>
        </r>
        <r>
          <rPr>
            <b/>
            <sz val="8"/>
            <color indexed="81"/>
            <rFont val="Tahoma"/>
            <family val="2"/>
          </rPr>
          <t xml:space="preserve"> </t>
        </r>
        <r>
          <rPr>
            <b/>
            <sz val="8"/>
            <color indexed="81"/>
            <rFont val="細明體"/>
            <family val="3"/>
            <charset val="136"/>
          </rPr>
          <t>大城市市郊、小市鎮或有許多像民舍高度（</t>
        </r>
        <r>
          <rPr>
            <b/>
            <sz val="8"/>
            <color indexed="81"/>
            <rFont val="Tahoma"/>
            <family val="2"/>
          </rPr>
          <t xml:space="preserve">10~20
</t>
        </r>
        <r>
          <rPr>
            <b/>
            <sz val="8"/>
            <color indexed="81"/>
            <rFont val="細明體"/>
            <family val="3"/>
            <charset val="136"/>
          </rPr>
          <t>公尺），或較民舍為高之障礙物分布其間之地區者。建築物迎風向之前方至少</t>
        </r>
        <r>
          <rPr>
            <b/>
            <sz val="8"/>
            <color indexed="81"/>
            <rFont val="Tahoma"/>
            <family val="2"/>
          </rPr>
          <t xml:space="preserve">500 </t>
        </r>
        <r>
          <rPr>
            <b/>
            <sz val="8"/>
            <color indexed="81"/>
            <rFont val="細明體"/>
            <family val="3"/>
            <charset val="136"/>
          </rPr>
          <t>公尺或建築物高度</t>
        </r>
        <r>
          <rPr>
            <b/>
            <sz val="8"/>
            <color indexed="81"/>
            <rFont val="Tahoma"/>
            <family val="2"/>
          </rPr>
          <t>10</t>
        </r>
        <r>
          <rPr>
            <b/>
            <sz val="8"/>
            <color indexed="81"/>
            <rFont val="細明體"/>
            <family val="3"/>
            <charset val="136"/>
          </rPr>
          <t>倍的範圍（兩者取大值）係屬此種條件下，方可使用地況</t>
        </r>
        <r>
          <rPr>
            <b/>
            <sz val="8"/>
            <color indexed="81"/>
            <rFont val="Tahoma"/>
            <family val="2"/>
          </rPr>
          <t>B</t>
        </r>
        <r>
          <rPr>
            <b/>
            <sz val="8"/>
            <color indexed="81"/>
            <rFont val="細明體"/>
            <family val="3"/>
            <charset val="136"/>
          </rPr>
          <t xml:space="preserve">。
</t>
        </r>
        <r>
          <rPr>
            <b/>
            <sz val="8"/>
            <color indexed="81"/>
            <rFont val="Tahoma"/>
            <family val="2"/>
          </rPr>
          <t>(3)</t>
        </r>
        <r>
          <rPr>
            <b/>
            <sz val="8"/>
            <color indexed="81"/>
            <rFont val="細明體"/>
            <family val="3"/>
            <charset val="136"/>
          </rPr>
          <t>地況</t>
        </r>
        <r>
          <rPr>
            <b/>
            <sz val="8"/>
            <color indexed="81"/>
            <rFont val="Tahoma"/>
            <family val="2"/>
          </rPr>
          <t xml:space="preserve"> C</t>
        </r>
        <r>
          <rPr>
            <b/>
            <sz val="8"/>
            <color indexed="81"/>
            <rFont val="細明體"/>
            <family val="3"/>
            <charset val="136"/>
          </rPr>
          <t>：</t>
        </r>
        <r>
          <rPr>
            <b/>
            <sz val="8"/>
            <color indexed="81"/>
            <rFont val="Tahoma"/>
            <family val="2"/>
          </rPr>
          <t xml:space="preserve"> </t>
        </r>
        <r>
          <rPr>
            <b/>
            <sz val="8"/>
            <color indexed="81"/>
            <rFont val="細明體"/>
            <family val="3"/>
            <charset val="136"/>
          </rPr>
          <t>平坦開闊之地面或草原或海岸或湖岸地區，其零星
座落之障礙物高度小於</t>
        </r>
        <r>
          <rPr>
            <b/>
            <sz val="8"/>
            <color indexed="81"/>
            <rFont val="Tahoma"/>
            <family val="2"/>
          </rPr>
          <t xml:space="preserve">10 </t>
        </r>
        <r>
          <rPr>
            <b/>
            <sz val="8"/>
            <color indexed="81"/>
            <rFont val="細明體"/>
            <family val="3"/>
            <charset val="136"/>
          </rPr>
          <t>公尺者。
若附近地況為介於地況</t>
        </r>
        <r>
          <rPr>
            <b/>
            <sz val="8"/>
            <color indexed="81"/>
            <rFont val="Tahoma"/>
            <family val="2"/>
          </rPr>
          <t xml:space="preserve">A </t>
        </r>
        <r>
          <rPr>
            <b/>
            <sz val="8"/>
            <color indexed="81"/>
            <rFont val="細明體"/>
            <family val="3"/>
            <charset val="136"/>
          </rPr>
          <t>與地況</t>
        </r>
        <r>
          <rPr>
            <b/>
            <sz val="8"/>
            <color indexed="81"/>
            <rFont val="Tahoma"/>
            <family val="2"/>
          </rPr>
          <t xml:space="preserve">B </t>
        </r>
        <r>
          <rPr>
            <b/>
            <sz val="8"/>
            <color indexed="81"/>
            <rFont val="細明體"/>
            <family val="3"/>
            <charset val="136"/>
          </rPr>
          <t>間或地況</t>
        </r>
        <r>
          <rPr>
            <b/>
            <sz val="8"/>
            <color indexed="81"/>
            <rFont val="Tahoma"/>
            <family val="2"/>
          </rPr>
          <t xml:space="preserve">B </t>
        </r>
        <r>
          <rPr>
            <b/>
            <sz val="8"/>
            <color indexed="81"/>
            <rFont val="細明體"/>
            <family val="3"/>
            <charset val="136"/>
          </rPr>
          <t>與地況</t>
        </r>
        <r>
          <rPr>
            <b/>
            <sz val="8"/>
            <color indexed="81"/>
            <rFont val="Tahoma"/>
            <family val="2"/>
          </rPr>
          <t xml:space="preserve">C </t>
        </r>
        <r>
          <rPr>
            <b/>
            <sz val="8"/>
            <color indexed="81"/>
            <rFont val="細明體"/>
            <family val="3"/>
            <charset val="136"/>
          </rPr>
          <t>間之過渡地況，原則上應採用會產生較大風力之地況，但也可利用可信賴之合理分析法，決定此一過渡地況之風速垂直分布。</t>
        </r>
      </text>
    </comment>
    <comment ref="B14" authorId="2" shapeId="0" xr:uid="{00000000-0006-0000-0200-000003000000}">
      <text>
        <r>
          <rPr>
            <sz val="8"/>
            <color indexed="81"/>
            <rFont val="Tahoma"/>
            <family val="2"/>
          </rPr>
          <t>The eave height, 'he', is the distance from the ground surface adjacent to the building to the roof eave line at a particular wall.  
If the height of the eave varies along the wall, the average height shall be used.</t>
        </r>
      </text>
    </comment>
    <comment ref="B17" authorId="1" shapeId="0" xr:uid="{00000000-0006-0000-0200-000004000000}">
      <text>
        <r>
          <rPr>
            <sz val="8"/>
            <color indexed="81"/>
            <rFont val="Tahoma"/>
            <family val="2"/>
          </rPr>
          <t>This program assumes that a Gable roof is symmetrical, as the ridge line is assumed in the center of the building width.
For flat roofs (roof angle = 0 degrees), either Gable or Monoslope may be used.</t>
        </r>
      </text>
    </comment>
    <comment ref="B18" authorId="1" shapeId="0" xr:uid="{00000000-0006-0000-0200-000005000000}">
      <text>
        <r>
          <rPr>
            <sz val="8"/>
            <color indexed="81"/>
            <rFont val="Tahoma"/>
            <family val="2"/>
          </rPr>
          <t>The</t>
        </r>
        <r>
          <rPr>
            <b/>
            <sz val="8"/>
            <color indexed="81"/>
            <rFont val="Tahoma"/>
            <family val="2"/>
          </rPr>
          <t xml:space="preserve"> Topographic Factor, Kzt</t>
        </r>
        <r>
          <rPr>
            <sz val="8"/>
            <color indexed="81"/>
            <rFont val="Tahoma"/>
            <family val="2"/>
          </rPr>
          <t>, accounts for effect of wind speed-up over isolated hills and escarpments (</t>
        </r>
        <r>
          <rPr>
            <b/>
            <sz val="8"/>
            <color indexed="81"/>
            <rFont val="Tahoma"/>
            <family val="2"/>
          </rPr>
          <t>Sect. 26.8</t>
        </r>
        <r>
          <rPr>
            <sz val="8"/>
            <color indexed="81"/>
            <rFont val="Tahoma"/>
            <family val="2"/>
          </rPr>
          <t xml:space="preserve"> and </t>
        </r>
        <r>
          <rPr>
            <b/>
            <sz val="8"/>
            <color indexed="81"/>
            <rFont val="Tahoma"/>
            <family val="2"/>
          </rPr>
          <t>Fig. 26.8-1</t>
        </r>
        <r>
          <rPr>
            <sz val="8"/>
            <color indexed="81"/>
            <rFont val="Tahoma"/>
            <family val="2"/>
          </rPr>
          <t xml:space="preserve">).
</t>
        </r>
        <r>
          <rPr>
            <b/>
            <sz val="8"/>
            <color indexed="81"/>
            <rFont val="Tahoma"/>
            <family val="2"/>
          </rPr>
          <t>Kzt = (1+K1*K2*K3)^2</t>
        </r>
        <r>
          <rPr>
            <sz val="8"/>
            <color indexed="81"/>
            <rFont val="Tahoma"/>
            <family val="2"/>
          </rPr>
          <t xml:space="preserve">   (Eq. 26.8-1), where:
H   = height of hill or escarpment relative to the upwind terrain, in feet.
Lh  = Distance upwind of crest to where the difference in ground elevation is    
         half the height of hill or escarpment, in feet.
K1 = factor to account for shape of topographic feature and maximum   
        speed-up effect.
K2 = factor to account for reduction in speed-up with distance upwind or     
        downwind of crest.
K3 = factor to account for reduction in speed-up with height above local terrain.
x = distance (upwind or downwind) from the crest to the building site, in feet.
z = height above local ground level, in feet.
</t>
        </r>
        <r>
          <rPr>
            <b/>
            <sz val="8"/>
            <color indexed="81"/>
            <rFont val="Tahoma"/>
            <family val="2"/>
          </rPr>
          <t>The effect of wind speed-up shall not be required to be considered (Kzt = 1.0) when H/Lh &lt; 0.2, or H &lt; 15' for Exposures 'C' and 'D', or H &lt; 60' for Exposure 'B'.</t>
        </r>
      </text>
    </comment>
    <comment ref="B19" authorId="1" shapeId="0" xr:uid="{00000000-0006-0000-0200-000006000000}">
      <text>
        <r>
          <rPr>
            <sz val="8"/>
            <color indexed="81"/>
            <rFont val="Tahoma"/>
            <family val="2"/>
          </rPr>
          <t>This worksheet assumes either</t>
        </r>
        <r>
          <rPr>
            <b/>
            <sz val="8"/>
            <color indexed="81"/>
            <rFont val="Tahoma"/>
            <family val="2"/>
          </rPr>
          <t xml:space="preserve"> Enclosed</t>
        </r>
        <r>
          <rPr>
            <sz val="8"/>
            <color indexed="81"/>
            <rFont val="Tahoma"/>
            <family val="2"/>
          </rPr>
          <t xml:space="preserve"> or </t>
        </r>
        <r>
          <rPr>
            <b/>
            <sz val="8"/>
            <color indexed="81"/>
            <rFont val="Tahoma"/>
            <family val="2"/>
          </rPr>
          <t>Partially Enclosed</t>
        </r>
        <r>
          <rPr>
            <sz val="8"/>
            <color indexed="81"/>
            <rFont val="Tahoma"/>
            <family val="2"/>
          </rPr>
          <t xml:space="preserve"> buildings</t>
        </r>
        <r>
          <rPr>
            <sz val="8"/>
            <color indexed="81"/>
            <rFont val="Tahoma"/>
            <family val="2"/>
          </rPr>
          <t xml:space="preserve">, and does not consider open buildings.
</t>
        </r>
        <r>
          <rPr>
            <b/>
            <sz val="8"/>
            <color indexed="81"/>
            <rFont val="Tahoma"/>
            <family val="2"/>
          </rPr>
          <t>1.</t>
        </r>
        <r>
          <rPr>
            <sz val="8"/>
            <color indexed="81"/>
            <rFont val="Tahoma"/>
            <family val="2"/>
          </rPr>
          <t xml:space="preserve">  An enclosed building is a building that does not comply with the requirements       
      for open or partially enclosed buildings. 
</t>
        </r>
        <r>
          <rPr>
            <b/>
            <sz val="8"/>
            <color indexed="81"/>
            <rFont val="Tahoma"/>
            <family val="2"/>
          </rPr>
          <t>2.</t>
        </r>
        <r>
          <rPr>
            <sz val="8"/>
            <color indexed="81"/>
            <rFont val="Tahoma"/>
            <family val="2"/>
          </rPr>
          <t xml:space="preserve">  An open building is a structure having all walls at least 80% open.
</t>
        </r>
        <r>
          <rPr>
            <b/>
            <sz val="8"/>
            <color indexed="81"/>
            <rFont val="Tahoma"/>
            <family val="2"/>
          </rPr>
          <t xml:space="preserve">3. </t>
        </r>
        <r>
          <rPr>
            <sz val="8"/>
            <color indexed="81"/>
            <rFont val="Tahoma"/>
            <family val="2"/>
          </rPr>
          <t xml:space="preserve"> A partially enclosed building complies with both of the following conditions:
     </t>
        </r>
        <r>
          <rPr>
            <b/>
            <sz val="8"/>
            <color indexed="81"/>
            <rFont val="Tahoma"/>
            <family val="2"/>
          </rPr>
          <t xml:space="preserve">a.  </t>
        </r>
        <r>
          <rPr>
            <sz val="8"/>
            <color indexed="81"/>
            <rFont val="Tahoma"/>
            <family val="2"/>
          </rPr>
          <t xml:space="preserve">the total area of openings in a wall that receives positive external pressure   
         exceeds the sum of the areas of the openings in the balance of the building         
         envelope (walls and roof) by more than 10%; and
     </t>
        </r>
        <r>
          <rPr>
            <b/>
            <sz val="8"/>
            <color indexed="81"/>
            <rFont val="Tahoma"/>
            <family val="2"/>
          </rPr>
          <t xml:space="preserve">b.  </t>
        </r>
        <r>
          <rPr>
            <sz val="8"/>
            <color indexed="81"/>
            <rFont val="Tahoma"/>
            <family val="2"/>
          </rPr>
          <t>the total area of openings in a wall that receives positive external pressure          
         exceeds 4 sq ft or 1% of the area of that wall, whichever is smaller, and the      
         % of openings in balance of the building envelope does not exceed 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ATOMANOV</author>
    <author>Bob Dalpiaz</author>
    <author>Alex Tomanovich</author>
    <author>4892</author>
    <author>O'Neal, Inc.</author>
  </authors>
  <commentList>
    <comment ref="AA1" authorId="0" shapeId="0" xr:uid="{00000000-0006-0000-0600-000001000000}">
      <text>
        <r>
          <rPr>
            <sz val="8"/>
            <color indexed="81"/>
            <rFont val="Tahoma"/>
            <family val="2"/>
          </rPr>
          <t xml:space="preserve">            "</t>
        </r>
        <r>
          <rPr>
            <b/>
            <sz val="8"/>
            <color indexed="81"/>
            <rFont val="Tahoma"/>
            <family val="2"/>
          </rPr>
          <t>ASCE710W.xls</t>
        </r>
        <r>
          <rPr>
            <sz val="8"/>
            <color indexed="81"/>
            <rFont val="Tahoma"/>
            <family val="2"/>
          </rPr>
          <t>"
written by: David Taylor, P.E.
based on a spreadsheet by:  Alex Tomanovich, P.E.</t>
        </r>
      </text>
    </comment>
    <comment ref="H3" authorId="1" shapeId="0" xr:uid="{00000000-0006-0000-0600-000002000000}">
      <text>
        <r>
          <rPr>
            <b/>
            <sz val="8"/>
            <color indexed="81"/>
            <rFont val="Tahoma"/>
            <family val="2"/>
          </rPr>
          <t xml:space="preserve">Note: </t>
        </r>
        <r>
          <rPr>
            <sz val="8"/>
            <color indexed="81"/>
            <rFont val="Tahoma"/>
            <family val="2"/>
          </rPr>
          <t xml:space="preserve"> This program assumes buildings are a maximum of 500 feet tall.</t>
        </r>
      </text>
    </comment>
    <comment ref="B9" authorId="2" shapeId="0" xr:uid="{00000000-0006-0000-0600-000003000000}">
      <text>
        <r>
          <rPr>
            <sz val="8"/>
            <color indexed="81"/>
            <rFont val="Tahoma"/>
            <family val="2"/>
          </rPr>
          <t>The</t>
        </r>
        <r>
          <rPr>
            <b/>
            <sz val="8"/>
            <color indexed="81"/>
            <rFont val="Tahoma"/>
            <family val="2"/>
          </rPr>
          <t xml:space="preserve"> Basic Design Wind Speed, V (mph)</t>
        </r>
        <r>
          <rPr>
            <sz val="8"/>
            <color indexed="81"/>
            <rFont val="Tahoma"/>
            <family val="2"/>
          </rPr>
          <t xml:space="preserve">, corresponds to a 3-second gust speed at 33' above ground in Exposure Category "C" and is associated with an annual probability for Risk Category of being equalled or exceeded (x-year mean recurrence interval per Risk Category).
</t>
        </r>
        <r>
          <rPr>
            <b/>
            <sz val="8"/>
            <color indexed="81"/>
            <rFont val="Tahoma"/>
            <family val="2"/>
          </rPr>
          <t>For Basic Wind Speed Map (Fig. 26.5-1A-C) see 'Wind Map' worksheet of this workbook.</t>
        </r>
      </text>
    </comment>
    <comment ref="B10" authorId="3" shapeId="0" xr:uid="{00000000-0006-0000-0600-000004000000}">
      <text>
        <r>
          <rPr>
            <b/>
            <sz val="8"/>
            <color indexed="81"/>
            <rFont val="Tahoma"/>
            <family val="2"/>
          </rPr>
          <t xml:space="preserve">                                                                          TABLE 1-1</t>
        </r>
        <r>
          <rPr>
            <b/>
            <u/>
            <sz val="8"/>
            <color indexed="81"/>
            <rFont val="Tahoma"/>
            <family val="2"/>
          </rPr>
          <t xml:space="preserve">
Occupancy Category of Buildings and Other Structures for Flood, Wind, Snow, Earthquake, and Ice Loads</t>
        </r>
        <r>
          <rPr>
            <sz val="8"/>
            <color indexed="81"/>
            <rFont val="Tahoma"/>
            <family val="2"/>
          </rPr>
          <t xml:space="preserve">                                                                                                      
</t>
        </r>
        <r>
          <rPr>
            <b/>
            <u/>
            <sz val="8"/>
            <color indexed="81"/>
            <rFont val="Tahoma"/>
            <family val="2"/>
          </rPr>
          <t xml:space="preserve">Nature of Occupancy                                                                                                                    Occupancy Category </t>
        </r>
        <r>
          <rPr>
            <sz val="8"/>
            <color indexed="81"/>
            <rFont val="Tahoma"/>
            <family val="2"/>
          </rPr>
          <t xml:space="preserve">
Buildings and structures that represent a low hazard to human life in the event of failure including,                  I
  but not limited to:
     - Agriculture facilities                                                                                                             
     - Certain temporary facilities
</t>
        </r>
        <r>
          <rPr>
            <u/>
            <sz val="8"/>
            <color indexed="81"/>
            <rFont val="Tahoma"/>
            <family val="2"/>
          </rPr>
          <t xml:space="preserve">     - Minor storage facilities                                                                                                                                              </t>
        </r>
        <r>
          <rPr>
            <sz val="8"/>
            <color indexed="81"/>
            <rFont val="Tahoma"/>
            <family val="2"/>
          </rPr>
          <t xml:space="preserve">       
</t>
        </r>
        <r>
          <rPr>
            <u/>
            <sz val="8"/>
            <color indexed="81"/>
            <rFont val="Tahoma"/>
            <family val="2"/>
          </rPr>
          <t xml:space="preserve">Buildings and other structures except those listed in Categories I, III and IV                                                      II        </t>
        </r>
        <r>
          <rPr>
            <sz val="8"/>
            <color indexed="81"/>
            <rFont val="Tahoma"/>
            <family val="2"/>
          </rPr>
          <t xml:space="preserve">
Buildings and other structures that represent a substantial hazard to human life in the event of                       III      
  failure including, but not limited to:
     - Buildings and other structures where more than 300 people congregate in one area
     - Buildings and other structures with day-care facilities with capacity greater than 150
     - Elementary or secondary school facilities with capacity greater than 250
     - Colleges &amp; adult education facilities with a capacity greater than 500
     - Health care facilities with a capacity greater than 50 resident patients but not having surgery
         or emergency treatment facilities
     - Jails and detention facilities
Buildings and other structures, not includes in Occupancy Category IV, with potential to cause 
  substantial economic impact and/or mass disruption of day-to-day civilian life in event of failure, 
  including, but not limited to:
     - Power generating stations, water treatment facilities, sewage treatment facilities, and
         telecommunication centers
     - Buildings and structures not included in Category IV containing sufficient quantities of toxic,
</t>
        </r>
        <r>
          <rPr>
            <u/>
            <sz val="8"/>
            <color indexed="81"/>
            <rFont val="Tahoma"/>
            <family val="2"/>
          </rPr>
          <t xml:space="preserve">         explosive, or other hazardous materials dangerous to the public if released                                                        </t>
        </r>
        <r>
          <rPr>
            <sz val="8"/>
            <color indexed="81"/>
            <rFont val="Tahoma"/>
            <family val="2"/>
          </rPr>
          <t xml:space="preserve">
Buildings and other structures designated as essential facilities including, but not limited to:                              IV
     - Hospitals and health care facilities having surgery or emergency treatment facilities
     - Fire, rescue and police stations and emergency vehicle garages
     - Designated earthquake, hurricane or other emergency shelters
     - Designated emergency preparedness, communication, and operation centers and other
         facilities required for emergency response 
     - Power-generating stations and other public utility facilities required in an emergency
     - Ancillary structures required foroperation of Category IV structures during an emergency
     - Aviation control towers, air traffic control centers and emergency aircraft hangars
     - Water storage facilities and pump structures required to maintain water pressure for fire suppression
     - Buildings and other structures having critical national defense functions
     - Buildings and structures containing extremelyhazardous materials where quantity of material 
         exceeds a threshhold quantity established by authority having jurisdiction </t>
        </r>
      </text>
    </comment>
    <comment ref="B11" authorId="2" shapeId="0" xr:uid="{00000000-0006-0000-0600-000005000000}">
      <text>
        <r>
          <rPr>
            <b/>
            <sz val="8"/>
            <color indexed="81"/>
            <rFont val="Tahoma"/>
            <family val="2"/>
          </rPr>
          <t>Surface Roughness Categories</t>
        </r>
        <r>
          <rPr>
            <sz val="8"/>
            <color indexed="81"/>
            <rFont val="Tahoma"/>
            <family val="2"/>
          </rPr>
          <t xml:space="preserve"> for the purpose of assigning </t>
        </r>
        <r>
          <rPr>
            <b/>
            <sz val="8"/>
            <color indexed="81"/>
            <rFont val="Tahoma"/>
            <family val="2"/>
          </rPr>
          <t>Exposure</t>
        </r>
        <r>
          <rPr>
            <sz val="8"/>
            <color indexed="81"/>
            <rFont val="Tahoma"/>
            <family val="2"/>
          </rPr>
          <t xml:space="preserve"> </t>
        </r>
        <r>
          <rPr>
            <b/>
            <sz val="8"/>
            <color indexed="81"/>
            <rFont val="Tahoma"/>
            <family val="2"/>
          </rPr>
          <t>Category</t>
        </r>
        <r>
          <rPr>
            <sz val="8"/>
            <color indexed="81"/>
            <rFont val="Tahoma"/>
            <family val="2"/>
          </rPr>
          <t xml:space="preserve"> are defined as follows:
</t>
        </r>
        <r>
          <rPr>
            <b/>
            <sz val="8"/>
            <color indexed="81"/>
            <rFont val="Tahoma"/>
            <family val="2"/>
          </rPr>
          <t xml:space="preserve">Surface Roughness "B":
</t>
        </r>
        <r>
          <rPr>
            <sz val="8"/>
            <color indexed="81"/>
            <rFont val="Tahoma"/>
            <family val="2"/>
          </rPr>
          <t xml:space="preserve">Urban and suburban areas, wooded areas or other terrain with numerous closely spaced obstructions having the size of single family dwellings or larger.
</t>
        </r>
        <r>
          <rPr>
            <b/>
            <sz val="8"/>
            <color indexed="81"/>
            <rFont val="Tahoma"/>
            <family val="2"/>
          </rPr>
          <t xml:space="preserve">Surface Roughness "C":
</t>
        </r>
        <r>
          <rPr>
            <sz val="8"/>
            <color indexed="81"/>
            <rFont val="Tahoma"/>
            <family val="2"/>
          </rPr>
          <t>Open terrain with scattered obstructions having heights generally &lt; 30 ft.  This category includes flat open country, grass lands, and all water surfaces in hurricane prone regions.</t>
        </r>
        <r>
          <rPr>
            <sz val="8"/>
            <color indexed="81"/>
            <rFont val="Tahoma"/>
            <family val="2"/>
          </rPr>
          <t xml:space="preserve">
</t>
        </r>
        <r>
          <rPr>
            <b/>
            <sz val="8"/>
            <color indexed="81"/>
            <rFont val="Tahoma"/>
            <family val="2"/>
          </rPr>
          <t>Surface Roughness "D":</t>
        </r>
        <r>
          <rPr>
            <sz val="8"/>
            <color indexed="81"/>
            <rFont val="Tahoma"/>
            <family val="2"/>
          </rPr>
          <t xml:space="preserve">
Flat, unobstructed areas and water surfaces outside hurricane prone regions.  This category includes smooth mud flats, salt flats, and unbroken ice.
</t>
        </r>
        <r>
          <rPr>
            <b/>
            <sz val="8"/>
            <color indexed="81"/>
            <rFont val="Tahoma"/>
            <family val="2"/>
          </rPr>
          <t>Exposure Categories</t>
        </r>
        <r>
          <rPr>
            <sz val="8"/>
            <color indexed="81"/>
            <rFont val="Tahoma"/>
            <family val="2"/>
          </rPr>
          <t xml:space="preserve"> are defined as follows:
</t>
        </r>
        <r>
          <rPr>
            <b/>
            <sz val="8"/>
            <color indexed="81"/>
            <rFont val="Tahoma"/>
            <family val="2"/>
          </rPr>
          <t xml:space="preserve">Exposure "B":
</t>
        </r>
        <r>
          <rPr>
            <sz val="8"/>
            <color indexed="81"/>
            <rFont val="Tahoma"/>
            <family val="2"/>
          </rPr>
          <t xml:space="preserve">Exposure B shall apply where the ground surface roughness condition, as defined by Surface Roughness B, prevails in the upwind direction for a distance of at least 2600 ft. or 20 times the building height, whichever is greater.
   Exception: For buildings whose mean roof height &lt;= 30 ft., the upwind 
   distance may be reduced to 1500 ft.
</t>
        </r>
        <r>
          <rPr>
            <b/>
            <sz val="8"/>
            <color indexed="81"/>
            <rFont val="Tahoma"/>
            <family val="2"/>
          </rPr>
          <t xml:space="preserve">Exposure "C":
</t>
        </r>
        <r>
          <rPr>
            <sz val="8"/>
            <color indexed="81"/>
            <rFont val="Tahoma"/>
            <family val="2"/>
          </rPr>
          <t xml:space="preserve">Exposure C shall apply for all cases where exposures B and D do not apply.
</t>
        </r>
        <r>
          <rPr>
            <b/>
            <sz val="8"/>
            <color indexed="81"/>
            <rFont val="Tahoma"/>
            <family val="2"/>
          </rPr>
          <t>Exposure "D":</t>
        </r>
        <r>
          <rPr>
            <sz val="8"/>
            <color indexed="81"/>
            <rFont val="Tahoma"/>
            <family val="2"/>
          </rPr>
          <t xml:space="preserve">
Exposure D shall apply where the ground surface roughness, as defined by Surface Roughness D, prevails in the upwind diection for a distance &gt;= 5,000 ft. or 20 times the building height, whichever is greater.  Exposure D shall extend into downwind areas of Surface Roughness B or C for a distance of 600 ft. or 20 times the height of the building, whichever is greater.</t>
        </r>
      </text>
    </comment>
    <comment ref="B13" authorId="0" shapeId="0" xr:uid="{00000000-0006-0000-0600-000006000000}">
      <text>
        <r>
          <rPr>
            <sz val="8"/>
            <color indexed="81"/>
            <rFont val="Tahoma"/>
            <family val="2"/>
          </rPr>
          <t>The eave height, 'he', is the distance from the ground surface adjacent to the building to the roof eave line at a particular wall.  
If the height of the eave varies along the wall, the average height shall be used.</t>
        </r>
      </text>
    </comment>
    <comment ref="B16" authorId="2" shapeId="0" xr:uid="{00000000-0006-0000-0600-000007000000}">
      <text>
        <r>
          <rPr>
            <sz val="8"/>
            <color indexed="81"/>
            <rFont val="Tahoma"/>
            <family val="2"/>
          </rPr>
          <t>This program assumes that a Gable roof is symmetrical, as the ridge line is assumed in the center of the building width, L.
For flat roofs (roof angle = 0 degrees), either Gable (G) or Monoslope (M) may be used.</t>
        </r>
      </text>
    </comment>
    <comment ref="B17" authorId="2" shapeId="0" xr:uid="{00000000-0006-0000-0600-000008000000}">
      <text>
        <r>
          <rPr>
            <sz val="8"/>
            <color indexed="81"/>
            <rFont val="Tahoma"/>
            <family val="2"/>
          </rPr>
          <t>The</t>
        </r>
        <r>
          <rPr>
            <b/>
            <sz val="8"/>
            <color indexed="81"/>
            <rFont val="Tahoma"/>
            <family val="2"/>
          </rPr>
          <t xml:space="preserve"> Topographic Factor, Kzt</t>
        </r>
        <r>
          <rPr>
            <sz val="8"/>
            <color indexed="81"/>
            <rFont val="Tahoma"/>
            <family val="2"/>
          </rPr>
          <t>, accounts for effect of wind speed-up over isolated hills and escarpments (</t>
        </r>
        <r>
          <rPr>
            <b/>
            <sz val="8"/>
            <color indexed="81"/>
            <rFont val="Tahoma"/>
            <family val="2"/>
          </rPr>
          <t>Sect. 26.8</t>
        </r>
        <r>
          <rPr>
            <sz val="8"/>
            <color indexed="81"/>
            <rFont val="Tahoma"/>
            <family val="2"/>
          </rPr>
          <t xml:space="preserve"> and </t>
        </r>
        <r>
          <rPr>
            <b/>
            <sz val="8"/>
            <color indexed="81"/>
            <rFont val="Tahoma"/>
            <family val="2"/>
          </rPr>
          <t>Fig. 26.8-1</t>
        </r>
        <r>
          <rPr>
            <sz val="8"/>
            <color indexed="81"/>
            <rFont val="Tahoma"/>
            <family val="2"/>
          </rPr>
          <t xml:space="preserve">).
</t>
        </r>
        <r>
          <rPr>
            <b/>
            <sz val="8"/>
            <color indexed="81"/>
            <rFont val="Tahoma"/>
            <family val="2"/>
          </rPr>
          <t>Kzt = (1+K1*K2*K3)^2</t>
        </r>
        <r>
          <rPr>
            <sz val="8"/>
            <color indexed="81"/>
            <rFont val="Tahoma"/>
            <family val="2"/>
          </rPr>
          <t xml:space="preserve">   (Eq. 26.8-1), where:
H   = height of hill or escarpment relative to the upwind terrain, in feet.
Lh  = Distance upwind of crest to where the difference in ground elevation is    
         half the height of hill or escarpment, in feet.
K1 = factor to account for shape of topographic feature and maximum   
        speed-up effect.
K2 = factor to account for reduction in speed-up with distance upwind or     
        downwind of crest.
K3 = factor to account for reduction in speed-up with height above local terrain.
x = distance (upwind or downwind) from the crest to the building site, in feet.
z = height above local ground level, in feet.
</t>
        </r>
        <r>
          <rPr>
            <b/>
            <sz val="8"/>
            <color indexed="81"/>
            <rFont val="Tahoma"/>
            <family val="2"/>
          </rPr>
          <t>The effect of wind speed-up shall not be required to be considered (Kzt = 1.0) when H/Lh &lt; 0.2, or H &lt; 15' for Exposures 'C' and 'D', or H &lt; 60' for Exposure 'B'.</t>
        </r>
      </text>
    </comment>
    <comment ref="B18" authorId="4" shapeId="0" xr:uid="{00000000-0006-0000-0600-000009000000}">
      <text>
        <r>
          <rPr>
            <b/>
            <u/>
            <sz val="8"/>
            <color indexed="81"/>
            <rFont val="Tahoma"/>
            <family val="2"/>
          </rPr>
          <t xml:space="preserve">Wind Directionality Factor, Kd (Table 26.6)
             </t>
        </r>
        <r>
          <rPr>
            <u/>
            <sz val="8"/>
            <color indexed="81"/>
            <rFont val="Tahoma"/>
            <family val="2"/>
          </rPr>
          <t xml:space="preserve">Structure Type                                  Kd  
</t>
        </r>
        <r>
          <rPr>
            <sz val="8"/>
            <color indexed="81"/>
            <rFont val="Tahoma"/>
            <family val="2"/>
          </rPr>
          <t xml:space="preserve">
Buildings
    Main Wind-Force Resisting System           0.85
    Components and Cladding                        0.85
Note:  this factor shall only be applied when
           used in conjunction with load combinations
           specified in Sect. 2.3 and 2.4.
           Otherwise, use Kd = 1.0. </t>
        </r>
      </text>
    </comment>
    <comment ref="B19" authorId="2" shapeId="0" xr:uid="{00000000-0006-0000-0600-00000A000000}">
      <text>
        <r>
          <rPr>
            <sz val="8"/>
            <color indexed="81"/>
            <rFont val="Tahoma"/>
            <family val="2"/>
          </rPr>
          <t>This worksheet assumes either</t>
        </r>
        <r>
          <rPr>
            <b/>
            <sz val="8"/>
            <color indexed="81"/>
            <rFont val="Tahoma"/>
            <family val="2"/>
          </rPr>
          <t xml:space="preserve"> Enclosed</t>
        </r>
        <r>
          <rPr>
            <sz val="8"/>
            <color indexed="81"/>
            <rFont val="Tahoma"/>
            <family val="2"/>
          </rPr>
          <t xml:space="preserve"> or </t>
        </r>
        <r>
          <rPr>
            <b/>
            <sz val="8"/>
            <color indexed="81"/>
            <rFont val="Tahoma"/>
            <family val="2"/>
          </rPr>
          <t>Partially Enclosed</t>
        </r>
        <r>
          <rPr>
            <sz val="8"/>
            <color indexed="81"/>
            <rFont val="Tahoma"/>
            <family val="2"/>
          </rPr>
          <t xml:space="preserve"> buildings</t>
        </r>
        <r>
          <rPr>
            <sz val="8"/>
            <color indexed="81"/>
            <rFont val="Tahoma"/>
            <family val="2"/>
          </rPr>
          <t xml:space="preserve">, and does not consider open buildings.
</t>
        </r>
        <r>
          <rPr>
            <b/>
            <sz val="8"/>
            <color indexed="81"/>
            <rFont val="Tahoma"/>
            <family val="2"/>
          </rPr>
          <t>1.</t>
        </r>
        <r>
          <rPr>
            <sz val="8"/>
            <color indexed="81"/>
            <rFont val="Tahoma"/>
            <family val="2"/>
          </rPr>
          <t xml:space="preserve">  An enclosed building is a building that does not comply with the requirements       
      for open or partially enclosed buildings. 
</t>
        </r>
        <r>
          <rPr>
            <b/>
            <sz val="8"/>
            <color indexed="81"/>
            <rFont val="Tahoma"/>
            <family val="2"/>
          </rPr>
          <t>2.</t>
        </r>
        <r>
          <rPr>
            <sz val="8"/>
            <color indexed="81"/>
            <rFont val="Tahoma"/>
            <family val="2"/>
          </rPr>
          <t xml:space="preserve">  An open building is a structure having all walls at least 80% open.
</t>
        </r>
        <r>
          <rPr>
            <b/>
            <sz val="8"/>
            <color indexed="81"/>
            <rFont val="Tahoma"/>
            <family val="2"/>
          </rPr>
          <t xml:space="preserve">3. </t>
        </r>
        <r>
          <rPr>
            <sz val="8"/>
            <color indexed="81"/>
            <rFont val="Tahoma"/>
            <family val="2"/>
          </rPr>
          <t xml:space="preserve"> A partially enclosed building complies with both of the following conditions:
     </t>
        </r>
        <r>
          <rPr>
            <b/>
            <sz val="8"/>
            <color indexed="81"/>
            <rFont val="Tahoma"/>
            <family val="2"/>
          </rPr>
          <t xml:space="preserve">a.  </t>
        </r>
        <r>
          <rPr>
            <sz val="8"/>
            <color indexed="81"/>
            <rFont val="Tahoma"/>
            <family val="2"/>
          </rPr>
          <t xml:space="preserve">the total area of openings in a wall that receives positive external pressure   
         exceeds the sum of the areas of the openings in the balance of the building         
         envelope (walls and roof) by more than 10%; and
     </t>
        </r>
        <r>
          <rPr>
            <b/>
            <sz val="8"/>
            <color indexed="81"/>
            <rFont val="Tahoma"/>
            <family val="2"/>
          </rPr>
          <t xml:space="preserve">b.  </t>
        </r>
        <r>
          <rPr>
            <sz val="8"/>
            <color indexed="81"/>
            <rFont val="Tahoma"/>
            <family val="2"/>
          </rPr>
          <t>the total area of openings in a wall that receives positive external pressure          
         exceeds 4 sq ft or 1% of the area of that wall, whichever is smaller, and the      
         % of openings in balance of the building envelope does not exceed 20%.</t>
        </r>
      </text>
    </comment>
    <comment ref="B22" authorId="2" shapeId="0" xr:uid="{00000000-0006-0000-0600-00000B000000}">
      <text>
        <r>
          <rPr>
            <sz val="8"/>
            <color indexed="81"/>
            <rFont val="Tahoma"/>
            <family val="2"/>
          </rPr>
          <t xml:space="preserve">The </t>
        </r>
        <r>
          <rPr>
            <b/>
            <sz val="8"/>
            <color indexed="81"/>
            <rFont val="Tahoma"/>
            <family val="2"/>
          </rPr>
          <t>Effective Area, Ae</t>
        </r>
        <r>
          <rPr>
            <sz val="8"/>
            <color indexed="81"/>
            <rFont val="Tahoma"/>
            <family val="2"/>
          </rPr>
          <t>, for a component or cladding panel equals the span length times the effective width that need not be less than 1/3 of the span length.  For a vertically spanning CMU or concrete wall, "Ae" equals the wall height squared divided by 3.  For a fastener, the value of "Ae" equals the area tributary to an individual fastener.
  Note:  Major structural components supporting tributary areas &gt; 700
             sq ft shall be permitted to be designed using the provisions for
             main wind-force resisting systems (MWFRS).</t>
        </r>
      </text>
    </comment>
    <comment ref="B27" authorId="2" shapeId="0" xr:uid="{00000000-0006-0000-0600-00000C000000}">
      <text>
        <r>
          <rPr>
            <sz val="8"/>
            <color indexed="81"/>
            <rFont val="Tahoma"/>
            <family val="2"/>
          </rPr>
          <t xml:space="preserve">The building </t>
        </r>
        <r>
          <rPr>
            <b/>
            <sz val="8"/>
            <color indexed="81"/>
            <rFont val="Tahoma"/>
            <family val="2"/>
          </rPr>
          <t>Mean Roof Height, h</t>
        </r>
        <r>
          <rPr>
            <sz val="8"/>
            <color indexed="81"/>
            <rFont val="Tahoma"/>
            <family val="2"/>
          </rPr>
          <t>, is determined as follows:
  For buildings with roof angle &gt; 10 degrees:  h = (hr+he)/2
  For buildings with roof angle &lt;= 10 degrees:  h = he</t>
        </r>
      </text>
    </comment>
    <comment ref="C29" authorId="1" shapeId="0" xr:uid="{00000000-0006-0000-0600-00000D000000}">
      <text>
        <r>
          <rPr>
            <b/>
            <sz val="8"/>
            <color indexed="81"/>
            <rFont val="Tahoma"/>
            <family val="2"/>
          </rPr>
          <t xml:space="preserve">      </t>
        </r>
        <r>
          <rPr>
            <b/>
            <u/>
            <sz val="8"/>
            <color indexed="81"/>
            <rFont val="Tahoma"/>
            <family val="2"/>
          </rPr>
          <t xml:space="preserve">FIG. 6-11A - Walls for Buildings with h &lt;= 60 ft.
</t>
        </r>
        <r>
          <rPr>
            <sz val="8"/>
            <color indexed="81"/>
            <rFont val="Tahoma"/>
            <family val="2"/>
          </rPr>
          <t xml:space="preserve">
Positive: Zone 4 &amp; 5
    (GCp) = 1.0                                  for  A &lt;= 10 sq.ft.
    (GCp) = 1.1766-0.1766*logA      for  10 &lt; A &lt;= 500 sq.ft.
    (GCp) = 0.7                                  for  A &gt; 500 sq.ft.
Negative: Zone 4
    (GCp) = -1.1                                 for  A &lt;= 10 sq.ft.
    (GCp) = -1.2766+0.1766*logA    for  10 &lt; A &lt;= 500 sq.ft.
    (GCp) = -0.8                                 for  A &gt; 500 sq.ft.
Negative: Zone 5
    (GCp) = -1.4                                 for  A &lt;= 10 sq.ft.
    (GCp) = -1.7532+0.3532*logA    for  10 &lt; A &lt;= 500 sq.ft.
    (GCp) = -0.8                                 for  A &gt; 500 sq.ft.
         </t>
        </r>
        <r>
          <rPr>
            <b/>
            <u/>
            <sz val="8"/>
            <color indexed="81"/>
            <rFont val="Tahoma"/>
            <family val="2"/>
          </rPr>
          <t>FIG. 6-17 - Walls for Buildings with h &gt; 60 ft.</t>
        </r>
        <r>
          <rPr>
            <sz val="8"/>
            <color indexed="81"/>
            <rFont val="Tahoma"/>
            <family val="2"/>
          </rPr>
          <t xml:space="preserve">
Positive: Zone 4 &amp; 5
    (GCp) = 0.9                                  for  A &lt;= 20 sq.ft.
    (GCp) = 1.1792-0.2146*logA      for  20 &lt; A &lt;= 500 sq.ft.
    (GCp) = 0.6                                  for  A &gt; 500 sq.ft.
Negative: Zone 4
    (GCp) = -0.9                                 for  A &lt;= 20 sq.ft.
    (GCp) = -1.0861+0.1431*logA    for  20 &lt; A &lt;= 500 sq.ft.
    (GCp) = -0.7                                 for  A &gt; 500 sq.ft.
Negative: Zone 5
    (GCp) = -1.8                                 for  A &lt;= 20 sq.ft.
    (GCp) = -2.5445+0.5723*logA    for  20 &lt; A &lt;= 500 sq.ft.
    (GCp) = -1.0                                 for  A &gt; 500 sq.ft.
</t>
        </r>
      </text>
    </comment>
    <comment ref="E34" authorId="2" shapeId="0" xr:uid="{00000000-0006-0000-0600-00000E000000}">
      <text>
        <r>
          <rPr>
            <b/>
            <sz val="8"/>
            <color indexed="81"/>
            <rFont val="Tahoma"/>
            <family val="2"/>
          </rPr>
          <t xml:space="preserve">        </t>
        </r>
        <r>
          <rPr>
            <b/>
            <u/>
            <sz val="8"/>
            <color indexed="81"/>
            <rFont val="Tahoma"/>
            <family val="2"/>
          </rPr>
          <t>Internal Pressure Coefficients, GCpi (Figure 26.11-1)</t>
        </r>
        <r>
          <rPr>
            <sz val="8"/>
            <color indexed="81"/>
            <rFont val="Tahoma"/>
            <family val="2"/>
          </rPr>
          <t xml:space="preserve">
</t>
        </r>
        <r>
          <rPr>
            <sz val="8"/>
            <color indexed="81"/>
            <rFont val="Tahoma"/>
            <family val="2"/>
          </rPr>
          <t xml:space="preserve">
    </t>
        </r>
        <r>
          <rPr>
            <u/>
            <sz val="8"/>
            <color indexed="81"/>
            <rFont val="Tahoma"/>
            <family val="2"/>
          </rPr>
          <t xml:space="preserve">          Condition                                                 (+/-) GCpi     
</t>
        </r>
        <r>
          <rPr>
            <sz val="8"/>
            <color indexed="81"/>
            <rFont val="Tahoma"/>
            <family val="2"/>
          </rPr>
          <t xml:space="preserve">    Partially enclosed buildings                                +0.55, -0.55
    Enclosed buildings                                              +0.18, -0.18
Per Sect. 26.11, for a partially enclosed building containing a single, unpartitioned large volume, the GCpi coefficients shall be multiplied by the following reduction factor, Ri:
    Ri = 1.0  or  Ri = 0.5*(1+(1/(1+Vi/(22800*Aog))^0.5)) &lt;= 1.0
      where:  Aog = total area of openings in the building envelope
                              (walls and roof, ft.^2).
                   Vi = unpartitioned internal volume (ft.^3).
</t>
        </r>
        <r>
          <rPr>
            <b/>
            <sz val="8"/>
            <color indexed="81"/>
            <rFont val="Tahoma"/>
            <family val="2"/>
          </rPr>
          <t>Note:</t>
        </r>
        <r>
          <rPr>
            <sz val="8"/>
            <color indexed="81"/>
            <rFont val="Tahoma"/>
            <family val="2"/>
          </rPr>
          <t xml:space="preserve">  This program assumes NO reduction of the GCpi coefficients
            for large volume buildings. Thus, Ri = 1.0.</t>
        </r>
      </text>
    </comment>
    <comment ref="C39" authorId="2" shapeId="0" xr:uid="{00000000-0006-0000-0600-00000F000000}">
      <text>
        <r>
          <rPr>
            <b/>
            <u/>
            <sz val="8"/>
            <color indexed="81"/>
            <rFont val="Tahoma"/>
            <family val="2"/>
          </rPr>
          <t xml:space="preserve">Terrain Exposure Constants (Table 26.9-1)
</t>
        </r>
        <r>
          <rPr>
            <u/>
            <sz val="8"/>
            <color indexed="81"/>
            <rFont val="Tahoma"/>
            <family val="2"/>
          </rPr>
          <t xml:space="preserve">
</t>
        </r>
        <r>
          <rPr>
            <sz val="8"/>
            <color indexed="81"/>
            <rFont val="Tahoma"/>
            <family val="2"/>
          </rPr>
          <t xml:space="preserve">    </t>
        </r>
        <r>
          <rPr>
            <u/>
            <sz val="8"/>
            <color indexed="81"/>
            <rFont val="Tahoma"/>
            <family val="2"/>
          </rPr>
          <t xml:space="preserve">Exposure Category           </t>
        </r>
        <r>
          <rPr>
            <u/>
            <sz val="8"/>
            <color indexed="81"/>
            <rFont val="Symbol"/>
            <family val="1"/>
            <charset val="2"/>
          </rPr>
          <t>a</t>
        </r>
        <r>
          <rPr>
            <u/>
            <sz val="8"/>
            <color indexed="81"/>
            <rFont val="Tahoma"/>
            <family val="2"/>
          </rPr>
          <t xml:space="preserve">           zg (ft)</t>
        </r>
        <r>
          <rPr>
            <sz val="8"/>
            <color indexed="81"/>
            <rFont val="Tahoma"/>
            <family val="2"/>
          </rPr>
          <t xml:space="preserve">
                B                          7.0         1,200
                C                          9.5           900
                D                         11.5          700</t>
        </r>
        <r>
          <rPr>
            <u/>
            <sz val="8"/>
            <color indexed="81"/>
            <rFont val="Tahoma"/>
            <family val="2"/>
          </rPr>
          <t xml:space="preserve">
</t>
        </r>
        <r>
          <rPr>
            <sz val="8"/>
            <color indexed="81"/>
            <rFont val="Tahoma"/>
            <family val="2"/>
          </rPr>
          <t xml:space="preserve">
</t>
        </r>
      </text>
    </comment>
    <comment ref="E46" authorId="1" shapeId="0" xr:uid="{00000000-0006-0000-0600-000010000000}">
      <text>
        <r>
          <rPr>
            <sz val="8"/>
            <color indexed="81"/>
            <rFont val="Tahoma"/>
            <family val="2"/>
          </rPr>
          <t xml:space="preserve">Per Code </t>
        </r>
        <r>
          <rPr>
            <b/>
            <sz val="8"/>
            <color indexed="81"/>
            <rFont val="Tahoma"/>
            <family val="2"/>
          </rPr>
          <t>Section 30.2.2</t>
        </r>
        <r>
          <rPr>
            <sz val="8"/>
            <color indexed="81"/>
            <rFont val="Tahoma"/>
            <family val="2"/>
          </rPr>
          <t xml:space="preserve">, the minimum wind load to be used in the design of the Main Wind-Force Resisting System shall not be less than </t>
        </r>
        <r>
          <rPr>
            <b/>
            <sz val="8"/>
            <color indexed="81"/>
            <rFont val="Tahoma"/>
            <family val="2"/>
          </rPr>
          <t>16 psf</t>
        </r>
        <r>
          <rPr>
            <sz val="8"/>
            <color indexed="81"/>
            <rFont val="Tahoma"/>
            <family val="2"/>
          </rPr>
          <t>.</t>
        </r>
      </text>
    </comment>
    <comment ref="H54" authorId="1" shapeId="0" xr:uid="{00000000-0006-0000-0600-000011000000}">
      <text>
        <r>
          <rPr>
            <sz val="8"/>
            <color indexed="81"/>
            <rFont val="Tahoma"/>
            <family val="2"/>
          </rPr>
          <t xml:space="preserve">Per Code </t>
        </r>
        <r>
          <rPr>
            <b/>
            <sz val="8"/>
            <color indexed="81"/>
            <rFont val="Tahoma"/>
            <family val="2"/>
          </rPr>
          <t>Section 30.2.2</t>
        </r>
        <r>
          <rPr>
            <sz val="8"/>
            <color indexed="81"/>
            <rFont val="Tahoma"/>
            <family val="2"/>
          </rPr>
          <t xml:space="preserve">, the minimum wind design pressure to be used in the design of components and cladding shall not be less than </t>
        </r>
        <r>
          <rPr>
            <b/>
            <sz val="8"/>
            <color indexed="81"/>
            <rFont val="Tahoma"/>
            <family val="2"/>
          </rPr>
          <t>16 psf</t>
        </r>
        <r>
          <rPr>
            <sz val="8"/>
            <color indexed="81"/>
            <rFont val="Tahoma"/>
            <family val="2"/>
          </rPr>
          <t xml:space="preserve"> acting in either direction normal to the surface.</t>
        </r>
      </text>
    </comment>
    <comment ref="E55" authorId="5" shapeId="0" xr:uid="{00000000-0006-0000-0600-000012000000}">
      <text>
        <r>
          <rPr>
            <sz val="8"/>
            <color indexed="81"/>
            <rFont val="Tahoma"/>
            <family val="2"/>
          </rPr>
          <t>Positive (+) pressure applies to windward wall.  Maximum positive pressure is evaluated using the positive (+) external wind pressure coefficient, '+GCp', in combination with the negative (-) internal pressure coefficient, '-GCpi'.</t>
        </r>
      </text>
    </comment>
    <comment ref="F55" authorId="5" shapeId="0" xr:uid="{00000000-0006-0000-0600-000013000000}">
      <text>
        <r>
          <rPr>
            <sz val="8"/>
            <color indexed="81"/>
            <rFont val="Tahoma"/>
            <family val="2"/>
          </rPr>
          <t>Negative (-) pressure applies to leeward wall and side walls.  Maximum negative pressure is evaluated using the negative (-) external wind pressure coefficient, '-GCp', in combination with the positive (+) internal pressure coefficient, '+GCpi'.</t>
        </r>
      </text>
    </comment>
    <comment ref="G55" authorId="5" shapeId="0" xr:uid="{00000000-0006-0000-0600-000014000000}">
      <text>
        <r>
          <rPr>
            <sz val="8"/>
            <color indexed="81"/>
            <rFont val="Tahoma"/>
            <family val="2"/>
          </rPr>
          <t>Positive (+) pressure applies to windward wall.  Maximum positive pressure is evaluated using the positive (+) external wind pressure coefficient, '+GCp', in combination with the negative (-) internal pressure coefficient, '-GCpi'.</t>
        </r>
      </text>
    </comment>
    <comment ref="H55" authorId="5" shapeId="0" xr:uid="{00000000-0006-0000-0600-000015000000}">
      <text>
        <r>
          <rPr>
            <sz val="8"/>
            <color indexed="81"/>
            <rFont val="Tahoma"/>
            <family val="2"/>
          </rPr>
          <t>Negative (-) pressure applies to leeward wall and side walls.  Maximum negative pressure is evaluated using the negative (-) external wind pressure coefficient, '-GCp', in combination with the positive (+) internal pressure coefficient, '+GCpi'.</t>
        </r>
      </text>
    </comment>
    <comment ref="F86" authorId="1" shapeId="0" xr:uid="{00000000-0006-0000-0600-000016000000}">
      <text>
        <r>
          <rPr>
            <sz val="8"/>
            <color indexed="81"/>
            <rFont val="Tahoma"/>
            <family val="2"/>
          </rPr>
          <t xml:space="preserve">For h &lt;= 60', width </t>
        </r>
        <r>
          <rPr>
            <b/>
            <sz val="8"/>
            <color indexed="81"/>
            <rFont val="Tahoma"/>
            <family val="2"/>
          </rPr>
          <t>'a'</t>
        </r>
        <r>
          <rPr>
            <sz val="8"/>
            <color indexed="81"/>
            <rFont val="Tahoma"/>
            <family val="2"/>
          </rPr>
          <t xml:space="preserve"> for Zone 5 is equal to 10% of least horizontal dimension or 0.4*h, whichever is smaller, but not less than either 4% of least horizontal dimension or 3'.
For h &gt; 60', width </t>
        </r>
        <r>
          <rPr>
            <b/>
            <sz val="8"/>
            <color indexed="81"/>
            <rFont val="Tahoma"/>
            <family val="2"/>
          </rPr>
          <t>'a'</t>
        </r>
        <r>
          <rPr>
            <sz val="8"/>
            <color indexed="81"/>
            <rFont val="Tahoma"/>
            <family val="2"/>
          </rPr>
          <t xml:space="preserve"> for Zone 5 is equal to 10% of least horizontal dimension, but not less than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ATOMANOV</author>
    <author>Bob Dalpiaz</author>
    <author>Alex Tomanovich</author>
    <author>4892</author>
  </authors>
  <commentList>
    <comment ref="AA1" authorId="0" shapeId="0" xr:uid="{00000000-0006-0000-0700-000001000000}">
      <text>
        <r>
          <rPr>
            <sz val="8"/>
            <color indexed="81"/>
            <rFont val="Tahoma"/>
            <family val="2"/>
          </rPr>
          <t xml:space="preserve">            "</t>
        </r>
        <r>
          <rPr>
            <b/>
            <sz val="8"/>
            <color indexed="81"/>
            <rFont val="Tahoma"/>
            <family val="2"/>
          </rPr>
          <t>ASCE710W.xls</t>
        </r>
        <r>
          <rPr>
            <sz val="8"/>
            <color indexed="81"/>
            <rFont val="Tahoma"/>
            <family val="2"/>
          </rPr>
          <t>"
written by: David R. Taylor, P.E.
based on a spreadsheet by:  Alex Tomanovich, P.E.</t>
        </r>
      </text>
    </comment>
    <comment ref="H3" authorId="1" shapeId="0" xr:uid="{00000000-0006-0000-0700-000002000000}">
      <text>
        <r>
          <rPr>
            <b/>
            <sz val="8"/>
            <color indexed="81"/>
            <rFont val="Tahoma"/>
            <family val="2"/>
          </rPr>
          <t xml:space="preserve">Note: </t>
        </r>
        <r>
          <rPr>
            <sz val="8"/>
            <color indexed="81"/>
            <rFont val="Tahoma"/>
            <family val="2"/>
          </rPr>
          <t xml:space="preserve"> This program assumes buildings are a maximum of 500 feet tall.</t>
        </r>
      </text>
    </comment>
    <comment ref="B9" authorId="2" shapeId="0" xr:uid="{00000000-0006-0000-0700-000003000000}">
      <text>
        <r>
          <rPr>
            <sz val="8"/>
            <color indexed="81"/>
            <rFont val="Tahoma"/>
            <family val="2"/>
          </rPr>
          <t>The</t>
        </r>
        <r>
          <rPr>
            <b/>
            <sz val="8"/>
            <color indexed="81"/>
            <rFont val="Tahoma"/>
            <family val="2"/>
          </rPr>
          <t xml:space="preserve"> Basic Design Wind Speed, V (mph)</t>
        </r>
        <r>
          <rPr>
            <sz val="8"/>
            <color indexed="81"/>
            <rFont val="Tahoma"/>
            <family val="2"/>
          </rPr>
          <t xml:space="preserve">, corresponds to a 3-second gust speed at 33' above ground in Exposure Category "C" and is associated with an annual probability for Risk Category of being equalled or exceeded (x-year mean recurrence interval per Risk Category).
</t>
        </r>
        <r>
          <rPr>
            <b/>
            <sz val="8"/>
            <color indexed="81"/>
            <rFont val="Tahoma"/>
            <family val="2"/>
          </rPr>
          <t>For Basic Wind Speed Map (Fig. 26.5-1A-C) see 'Wind Map' worksheet of this workbook.</t>
        </r>
      </text>
    </comment>
    <comment ref="B10" authorId="3" shapeId="0" xr:uid="{00000000-0006-0000-0700-000004000000}">
      <text>
        <r>
          <rPr>
            <b/>
            <sz val="8"/>
            <color indexed="81"/>
            <rFont val="Tahoma"/>
            <family val="2"/>
          </rPr>
          <t xml:space="preserve">                                                                          TABLE 1-1</t>
        </r>
        <r>
          <rPr>
            <b/>
            <u/>
            <sz val="8"/>
            <color indexed="81"/>
            <rFont val="Tahoma"/>
            <family val="2"/>
          </rPr>
          <t xml:space="preserve">
Occupancy Category of Buildings and Other Structures for Flood, Wind, Snow, Earthquake, and Ice Loads</t>
        </r>
        <r>
          <rPr>
            <sz val="8"/>
            <color indexed="81"/>
            <rFont val="Tahoma"/>
            <family val="2"/>
          </rPr>
          <t xml:space="preserve">                                                                                                      
</t>
        </r>
        <r>
          <rPr>
            <b/>
            <u/>
            <sz val="8"/>
            <color indexed="81"/>
            <rFont val="Tahoma"/>
            <family val="2"/>
          </rPr>
          <t xml:space="preserve">Nature of Occupancy                                                                                                                    Occupancy Category </t>
        </r>
        <r>
          <rPr>
            <sz val="8"/>
            <color indexed="81"/>
            <rFont val="Tahoma"/>
            <family val="2"/>
          </rPr>
          <t xml:space="preserve">
Buildings and structures that represent a low hazard to human life in the event of failure including,                  I
  but not limited to:
     - Agriculture facilities                                                                                                             
     - Certain temporary facilities
</t>
        </r>
        <r>
          <rPr>
            <u/>
            <sz val="8"/>
            <color indexed="81"/>
            <rFont val="Tahoma"/>
            <family val="2"/>
          </rPr>
          <t xml:space="preserve">     - Minor storage facilities                                                                                                                                              </t>
        </r>
        <r>
          <rPr>
            <sz val="8"/>
            <color indexed="81"/>
            <rFont val="Tahoma"/>
            <family val="2"/>
          </rPr>
          <t xml:space="preserve">       
</t>
        </r>
        <r>
          <rPr>
            <u/>
            <sz val="8"/>
            <color indexed="81"/>
            <rFont val="Tahoma"/>
            <family val="2"/>
          </rPr>
          <t xml:space="preserve">Buildings and other structures except those listed in Categories I, III and IV                                                      II        </t>
        </r>
        <r>
          <rPr>
            <sz val="8"/>
            <color indexed="81"/>
            <rFont val="Tahoma"/>
            <family val="2"/>
          </rPr>
          <t xml:space="preserve">
Buildings and other structures that represent a substantial hazard to human life in the event of                       III      
  failure including, but not limited to:
     - Buildings and other structures where more than 300 people congregate in one area
     - Buildings and other structures with day-care facilities with capacity greater than 150
     - Elementary or secondary school facilities with capacity greater than 250
     - Colleges &amp; adult education facilities with a capacity greater than 500
     - Health care facilities with a capacity greater than 50 resident patients but not having surgery
         or emergency treatment facilities
     - Jails and detention facilities
Buildings and other structures, not includes in Occupancy Category IV, with potential to cause 
  substantial economic impact and/or mass disruption of day-to-day civilian life in event of failure, 
  including, but not limited to:
     - Power generating stations, water treatment facilities, sewage treatment facilities, and
         telecommunication centers
     - Buildings and structures not included in Category IV containing sufficient quantities of toxic,
</t>
        </r>
        <r>
          <rPr>
            <u/>
            <sz val="8"/>
            <color indexed="81"/>
            <rFont val="Tahoma"/>
            <family val="2"/>
          </rPr>
          <t xml:space="preserve">         explosive, or other hazardous materials dangerous to the public if released                                                        </t>
        </r>
        <r>
          <rPr>
            <sz val="8"/>
            <color indexed="81"/>
            <rFont val="Tahoma"/>
            <family val="2"/>
          </rPr>
          <t xml:space="preserve">
Buildings and other structures designated as essential facilities including, but not limited to:                              IV
     - Hospitals and health care facilities having surgery or emergency treatment facilities
     - Fire, rescue and police stations and emergency vehicle garages
     - Designated earthquake, hurricane or other emergency shelters
     - Designated emergency preparedness, communication, and operation centers and other
         facilities required for emergency response 
     - Power-generating stations and other public utility facilities required in an emergency
     - Ancillary structures required foroperation of Category IV structures during an emergency
     - Aviation control towers, air traffic control centers and emergency aircraft hangars
     - Water storage facilities and pump structures required to maintain water pressure for fire suppression
     - Buildings and other structures having critical national defense functions
     - Buildings and structures containing extremelyhazardous materials where quantity of material 
         exceeds a threshhold quantity established by authority having jurisdiction </t>
        </r>
      </text>
    </comment>
    <comment ref="B11" authorId="2" shapeId="0" xr:uid="{00000000-0006-0000-0700-000005000000}">
      <text>
        <r>
          <rPr>
            <b/>
            <sz val="8"/>
            <color indexed="81"/>
            <rFont val="Tahoma"/>
            <family val="2"/>
          </rPr>
          <t>Surface Roughness Categories</t>
        </r>
        <r>
          <rPr>
            <sz val="8"/>
            <color indexed="81"/>
            <rFont val="Tahoma"/>
            <family val="2"/>
          </rPr>
          <t xml:space="preserve"> for the purpose of assigning </t>
        </r>
        <r>
          <rPr>
            <b/>
            <sz val="8"/>
            <color indexed="81"/>
            <rFont val="Tahoma"/>
            <family val="2"/>
          </rPr>
          <t>Exposure</t>
        </r>
        <r>
          <rPr>
            <sz val="8"/>
            <color indexed="81"/>
            <rFont val="Tahoma"/>
            <family val="2"/>
          </rPr>
          <t xml:space="preserve"> </t>
        </r>
        <r>
          <rPr>
            <b/>
            <sz val="8"/>
            <color indexed="81"/>
            <rFont val="Tahoma"/>
            <family val="2"/>
          </rPr>
          <t>Category</t>
        </r>
        <r>
          <rPr>
            <sz val="8"/>
            <color indexed="81"/>
            <rFont val="Tahoma"/>
            <family val="2"/>
          </rPr>
          <t xml:space="preserve"> are defined as follows:
</t>
        </r>
        <r>
          <rPr>
            <b/>
            <sz val="8"/>
            <color indexed="81"/>
            <rFont val="Tahoma"/>
            <family val="2"/>
          </rPr>
          <t xml:space="preserve">Surface Roughness "B":
</t>
        </r>
        <r>
          <rPr>
            <sz val="8"/>
            <color indexed="81"/>
            <rFont val="Tahoma"/>
            <family val="2"/>
          </rPr>
          <t xml:space="preserve">Urban and suburban areas, wooded areas or other terrain with numerous closely spaced obstructions having the size of single family dwellings or larger.
</t>
        </r>
        <r>
          <rPr>
            <b/>
            <sz val="8"/>
            <color indexed="81"/>
            <rFont val="Tahoma"/>
            <family val="2"/>
          </rPr>
          <t xml:space="preserve">Surface Roughness "C":
</t>
        </r>
        <r>
          <rPr>
            <sz val="8"/>
            <color indexed="81"/>
            <rFont val="Tahoma"/>
            <family val="2"/>
          </rPr>
          <t>Open terrain with scattered obstructions having heights generally &lt; 30 ft.  This category includes flat open country, grass lands, and all water surfaces in hurricane prone regions.</t>
        </r>
        <r>
          <rPr>
            <sz val="8"/>
            <color indexed="81"/>
            <rFont val="Tahoma"/>
            <family val="2"/>
          </rPr>
          <t xml:space="preserve">
</t>
        </r>
        <r>
          <rPr>
            <b/>
            <sz val="8"/>
            <color indexed="81"/>
            <rFont val="Tahoma"/>
            <family val="2"/>
          </rPr>
          <t>Surface Roughness "D":</t>
        </r>
        <r>
          <rPr>
            <sz val="8"/>
            <color indexed="81"/>
            <rFont val="Tahoma"/>
            <family val="2"/>
          </rPr>
          <t xml:space="preserve">
Flat, unobstructed areas and water surfaces outside hurricane prone regions.  This category includes smooth mud flats, salt flats, and unbroken ice.
</t>
        </r>
        <r>
          <rPr>
            <b/>
            <sz val="8"/>
            <color indexed="81"/>
            <rFont val="Tahoma"/>
            <family val="2"/>
          </rPr>
          <t>Exposure Categories</t>
        </r>
        <r>
          <rPr>
            <sz val="8"/>
            <color indexed="81"/>
            <rFont val="Tahoma"/>
            <family val="2"/>
          </rPr>
          <t xml:space="preserve"> are defined as follows:
</t>
        </r>
        <r>
          <rPr>
            <b/>
            <sz val="8"/>
            <color indexed="81"/>
            <rFont val="Tahoma"/>
            <family val="2"/>
          </rPr>
          <t xml:space="preserve">Exposure "B":
</t>
        </r>
        <r>
          <rPr>
            <sz val="8"/>
            <color indexed="81"/>
            <rFont val="Tahoma"/>
            <family val="2"/>
          </rPr>
          <t xml:space="preserve">Exposure B shall apply where the ground surface roughness condition, as defined by Surface Roughness B, prevails in the upwind direction for a distance of at least 2600 ft. or 20 times the building height, whichever is greater.
   Exception: For buildings whose mean roof height &lt;= 30 ft., the upwind 
   distance may be reduced to 1500 ft.
</t>
        </r>
        <r>
          <rPr>
            <b/>
            <sz val="8"/>
            <color indexed="81"/>
            <rFont val="Tahoma"/>
            <family val="2"/>
          </rPr>
          <t xml:space="preserve">Exposure "C":
</t>
        </r>
        <r>
          <rPr>
            <sz val="8"/>
            <color indexed="81"/>
            <rFont val="Tahoma"/>
            <family val="2"/>
          </rPr>
          <t xml:space="preserve">Exposure C shall apply for all cases where exposures B and D do not apply.
</t>
        </r>
        <r>
          <rPr>
            <b/>
            <sz val="8"/>
            <color indexed="81"/>
            <rFont val="Tahoma"/>
            <family val="2"/>
          </rPr>
          <t>Exposure "D":</t>
        </r>
        <r>
          <rPr>
            <sz val="8"/>
            <color indexed="81"/>
            <rFont val="Tahoma"/>
            <family val="2"/>
          </rPr>
          <t xml:space="preserve">
Exposure D shall apply where the ground surface roughness, as defined by Surface Roughness D, prevails in the upwind diection for a distance &gt;= 5,000 ft. or 20 times the building height, whichever is greater.  Exposure D shall extend into downwind areas of Surface Roughness B or C for a distance of 600 ft. or 20 times the height of the building, whichever is greater.</t>
        </r>
      </text>
    </comment>
    <comment ref="B13" authorId="0" shapeId="0" xr:uid="{00000000-0006-0000-0700-000006000000}">
      <text>
        <r>
          <rPr>
            <sz val="8"/>
            <color indexed="81"/>
            <rFont val="Tahoma"/>
            <family val="2"/>
          </rPr>
          <t>The eave height, 'he', is the distance from the ground surface adjacent to the building to the roof eave line at a particular wall.  
If the height of the eave varies along the wall, the average height shall be used.</t>
        </r>
      </text>
    </comment>
    <comment ref="B16" authorId="2" shapeId="0" xr:uid="{00000000-0006-0000-0700-000007000000}">
      <text>
        <r>
          <rPr>
            <sz val="8"/>
            <color indexed="81"/>
            <rFont val="Tahoma"/>
            <family val="2"/>
          </rPr>
          <t>This program assumes that a Gable roof is symmetrical, as the ridge line is assumed in the center of the building width, L.
For flat roofs (roof angle = 0 degrees), either Gable (G) or Monoslope (M) may be used.</t>
        </r>
      </text>
    </comment>
    <comment ref="B17" authorId="2" shapeId="0" xr:uid="{00000000-0006-0000-0700-000008000000}">
      <text>
        <r>
          <rPr>
            <sz val="8"/>
            <color indexed="81"/>
            <rFont val="Tahoma"/>
            <family val="2"/>
          </rPr>
          <t>The</t>
        </r>
        <r>
          <rPr>
            <b/>
            <sz val="8"/>
            <color indexed="81"/>
            <rFont val="Tahoma"/>
            <family val="2"/>
          </rPr>
          <t xml:space="preserve"> Topographic Factor, Kzt</t>
        </r>
        <r>
          <rPr>
            <sz val="8"/>
            <color indexed="81"/>
            <rFont val="Tahoma"/>
            <family val="2"/>
          </rPr>
          <t>, accounts for effect of wind speed-up over isolated hills and escarpments (</t>
        </r>
        <r>
          <rPr>
            <b/>
            <sz val="8"/>
            <color indexed="81"/>
            <rFont val="Tahoma"/>
            <family val="2"/>
          </rPr>
          <t>Sect. 26.8</t>
        </r>
        <r>
          <rPr>
            <sz val="8"/>
            <color indexed="81"/>
            <rFont val="Tahoma"/>
            <family val="2"/>
          </rPr>
          <t xml:space="preserve"> and </t>
        </r>
        <r>
          <rPr>
            <b/>
            <sz val="8"/>
            <color indexed="81"/>
            <rFont val="Tahoma"/>
            <family val="2"/>
          </rPr>
          <t>Fig. 26.8-1</t>
        </r>
        <r>
          <rPr>
            <sz val="8"/>
            <color indexed="81"/>
            <rFont val="Tahoma"/>
            <family val="2"/>
          </rPr>
          <t xml:space="preserve">).
</t>
        </r>
        <r>
          <rPr>
            <b/>
            <sz val="8"/>
            <color indexed="81"/>
            <rFont val="Tahoma"/>
            <family val="2"/>
          </rPr>
          <t>Kzt = (1+K1*K2*K3)^2</t>
        </r>
        <r>
          <rPr>
            <sz val="8"/>
            <color indexed="81"/>
            <rFont val="Tahoma"/>
            <family val="2"/>
          </rPr>
          <t xml:space="preserve">   (Eq. 26.8-1), where:
H   = height of hill or escarpment relative to the upwind terrain, in feet.
Lh  = Distance upwind of crest to where the difference in ground elevation is    
         half the height of hill or escarpment, in feet.
K1 = factor to account for shape of topographic feature and maximum   
        speed-up effect.
K2 = factor to account for reduction in speed-up with distance upwind or     
        downwind of crest.
K3 = factor to account for reduction in speed-up with height above local terrain.
x = distance (upwind or downwind) from the crest to the building site, in feet.
z = height above local ground level, in feet.
</t>
        </r>
        <r>
          <rPr>
            <b/>
            <sz val="8"/>
            <color indexed="81"/>
            <rFont val="Tahoma"/>
            <family val="2"/>
          </rPr>
          <t>The effect of wind speed-up shall not be required to be considered (Kzt = 1.0) when H/Lh &lt; 0.2, or H &lt; 15' for Exposures 'C' and 'D', or H &lt; 60' for Exposure 'B'.</t>
        </r>
      </text>
    </comment>
    <comment ref="B18" authorId="4" shapeId="0" xr:uid="{00000000-0006-0000-0700-000009000000}">
      <text>
        <r>
          <rPr>
            <b/>
            <u/>
            <sz val="8"/>
            <color indexed="81"/>
            <rFont val="Tahoma"/>
            <family val="2"/>
          </rPr>
          <t xml:space="preserve">Wind Directionality Factor, Kd (Table 26.6)
             </t>
        </r>
        <r>
          <rPr>
            <u/>
            <sz val="8"/>
            <color indexed="81"/>
            <rFont val="Tahoma"/>
            <family val="2"/>
          </rPr>
          <t xml:space="preserve">Structure Type                                  Kd  
</t>
        </r>
        <r>
          <rPr>
            <sz val="8"/>
            <color indexed="81"/>
            <rFont val="Tahoma"/>
            <family val="2"/>
          </rPr>
          <t xml:space="preserve">
Buildings
    Main Wind-Force Resisting System           0.85
    Components and Cladding                        0.85
Note:  this factor shall only be applied when
           used in conjunction with load combinations
           specified in Sect. 2.3 and 2.4.
           Otherwise, use Kd = 1.0. </t>
        </r>
      </text>
    </comment>
    <comment ref="B19" authorId="2" shapeId="0" xr:uid="{00000000-0006-0000-0700-00000A000000}">
      <text>
        <r>
          <rPr>
            <sz val="8"/>
            <color indexed="81"/>
            <rFont val="Tahoma"/>
            <family val="2"/>
          </rPr>
          <t>This worksheet assumes either</t>
        </r>
        <r>
          <rPr>
            <b/>
            <sz val="8"/>
            <color indexed="81"/>
            <rFont val="Tahoma"/>
            <family val="2"/>
          </rPr>
          <t xml:space="preserve"> Enclosed</t>
        </r>
        <r>
          <rPr>
            <sz val="8"/>
            <color indexed="81"/>
            <rFont val="Tahoma"/>
            <family val="2"/>
          </rPr>
          <t xml:space="preserve"> or </t>
        </r>
        <r>
          <rPr>
            <b/>
            <sz val="8"/>
            <color indexed="81"/>
            <rFont val="Tahoma"/>
            <family val="2"/>
          </rPr>
          <t>Partially Enclosed</t>
        </r>
        <r>
          <rPr>
            <sz val="8"/>
            <color indexed="81"/>
            <rFont val="Tahoma"/>
            <family val="2"/>
          </rPr>
          <t xml:space="preserve"> buildings</t>
        </r>
        <r>
          <rPr>
            <sz val="8"/>
            <color indexed="81"/>
            <rFont val="Tahoma"/>
            <family val="2"/>
          </rPr>
          <t xml:space="preserve">, and does not consider open buildings.
</t>
        </r>
        <r>
          <rPr>
            <b/>
            <sz val="8"/>
            <color indexed="81"/>
            <rFont val="Tahoma"/>
            <family val="2"/>
          </rPr>
          <t>1.</t>
        </r>
        <r>
          <rPr>
            <sz val="8"/>
            <color indexed="81"/>
            <rFont val="Tahoma"/>
            <family val="2"/>
          </rPr>
          <t xml:space="preserve">  An enclosed building is a building that does not comply with the requirements       
      for open or partially enclosed buildings. 
</t>
        </r>
        <r>
          <rPr>
            <b/>
            <sz val="8"/>
            <color indexed="81"/>
            <rFont val="Tahoma"/>
            <family val="2"/>
          </rPr>
          <t>2.</t>
        </r>
        <r>
          <rPr>
            <sz val="8"/>
            <color indexed="81"/>
            <rFont val="Tahoma"/>
            <family val="2"/>
          </rPr>
          <t xml:space="preserve">  An open building is a structure having all walls at least 80% open.
</t>
        </r>
        <r>
          <rPr>
            <b/>
            <sz val="8"/>
            <color indexed="81"/>
            <rFont val="Tahoma"/>
            <family val="2"/>
          </rPr>
          <t xml:space="preserve">3. </t>
        </r>
        <r>
          <rPr>
            <sz val="8"/>
            <color indexed="81"/>
            <rFont val="Tahoma"/>
            <family val="2"/>
          </rPr>
          <t xml:space="preserve"> A partially enclosed building complies with both of the following conditions:
     </t>
        </r>
        <r>
          <rPr>
            <b/>
            <sz val="8"/>
            <color indexed="81"/>
            <rFont val="Tahoma"/>
            <family val="2"/>
          </rPr>
          <t xml:space="preserve">a.  </t>
        </r>
        <r>
          <rPr>
            <sz val="8"/>
            <color indexed="81"/>
            <rFont val="Tahoma"/>
            <family val="2"/>
          </rPr>
          <t xml:space="preserve">the total area of openings in a wall that receives positive external pressure   
         exceeds the sum of the areas of the openings in the balance of the building         
         envelope (walls and roof) by more than 10%; and
     </t>
        </r>
        <r>
          <rPr>
            <b/>
            <sz val="8"/>
            <color indexed="81"/>
            <rFont val="Tahoma"/>
            <family val="2"/>
          </rPr>
          <t xml:space="preserve">b.  </t>
        </r>
        <r>
          <rPr>
            <sz val="8"/>
            <color indexed="81"/>
            <rFont val="Tahoma"/>
            <family val="2"/>
          </rPr>
          <t>the total area of openings in a wall that receives positive external pressure          
         exceeds 4 sq ft or 1% of the area of that wall, whichever is smaller, and the      
         % of openings in balance of the building envelope does not exceed 20%.</t>
        </r>
      </text>
    </comment>
    <comment ref="B22" authorId="2" shapeId="0" xr:uid="{00000000-0006-0000-0700-00000B000000}">
      <text>
        <r>
          <rPr>
            <sz val="8"/>
            <color indexed="81"/>
            <rFont val="Tahoma"/>
            <family val="2"/>
          </rPr>
          <t xml:space="preserve">The </t>
        </r>
        <r>
          <rPr>
            <b/>
            <sz val="8"/>
            <color indexed="81"/>
            <rFont val="Tahoma"/>
            <family val="2"/>
          </rPr>
          <t>Effective Area, Ae</t>
        </r>
        <r>
          <rPr>
            <sz val="8"/>
            <color indexed="81"/>
            <rFont val="Tahoma"/>
            <family val="2"/>
          </rPr>
          <t>, for a component or cladding panel equals the span length times the effective width that need not be less than 1/3 of the span length; however, for a fastener it is the area tributary to an individual fastener.
  Note:  Major structural components supporting tributary areas &gt; 700
             sq ft shall be permitted to be designed using the provisions for
             main wind-force resisting systems (MWFRS).</t>
        </r>
      </text>
    </comment>
    <comment ref="B28" authorId="2" shapeId="0" xr:uid="{00000000-0006-0000-0700-00000C000000}">
      <text>
        <r>
          <rPr>
            <sz val="8"/>
            <color indexed="81"/>
            <rFont val="Tahoma"/>
            <family val="2"/>
          </rPr>
          <t xml:space="preserve">The building </t>
        </r>
        <r>
          <rPr>
            <b/>
            <sz val="8"/>
            <color indexed="81"/>
            <rFont val="Tahoma"/>
            <family val="2"/>
          </rPr>
          <t>Mean Roof Height, h</t>
        </r>
        <r>
          <rPr>
            <sz val="8"/>
            <color indexed="81"/>
            <rFont val="Tahoma"/>
            <family val="2"/>
          </rPr>
          <t>, is determined as follows:
  For buildings with roof angle &gt; 10 degrees:  h = (hr+he)/2
  For buildings with roof angle &lt;= 10 degrees:  h = he</t>
        </r>
      </text>
    </comment>
    <comment ref="E31" authorId="1" shapeId="0" xr:uid="{00000000-0006-0000-0700-00000D000000}">
      <text>
        <r>
          <rPr>
            <b/>
            <sz val="8"/>
            <color indexed="81"/>
            <rFont val="Tahoma"/>
            <family val="2"/>
          </rPr>
          <t xml:space="preserve">      </t>
        </r>
        <r>
          <rPr>
            <b/>
            <u/>
            <sz val="8"/>
            <color indexed="81"/>
            <rFont val="Tahoma"/>
            <family val="2"/>
          </rPr>
          <t xml:space="preserve">FIG. 30.4-2A - Roofs for Buildings with h &lt;= 60 ft.
</t>
        </r>
        <r>
          <rPr>
            <b/>
            <sz val="8"/>
            <color indexed="81"/>
            <rFont val="Tahoma"/>
            <family val="2"/>
          </rPr>
          <t xml:space="preserve">For </t>
        </r>
        <r>
          <rPr>
            <b/>
            <sz val="8"/>
            <color indexed="81"/>
            <rFont val="Symbol"/>
            <family val="1"/>
            <charset val="2"/>
          </rPr>
          <t>q</t>
        </r>
        <r>
          <rPr>
            <b/>
            <sz val="8"/>
            <color indexed="81"/>
            <rFont val="Tahoma"/>
            <family val="2"/>
          </rPr>
          <t xml:space="preserve"> &lt;= 7:</t>
        </r>
        <r>
          <rPr>
            <sz val="8"/>
            <color indexed="81"/>
            <rFont val="Tahoma"/>
            <family val="2"/>
          </rPr>
          <t xml:space="preserve">
Positive without overhang: Zone 1,2,3
    (GCp) = 0.3                                  for  A &lt;= 10 sq.ft.
    (GCp) = 0.4000-0.1000*logA      for  10 &lt; A &lt;= 100 sq.ft.
    (GCp) = 0.2                                  for  A &gt; 100 sq.ft.
Negative without overhang: Zone 1
    (GCp) = -1.0                                 for  A &lt;= 10 sq.ft.
    (GCp) = -1.1000+0.1000*logA    for  10 &lt; A &lt;= 100 sq.ft.
    (GCp) = -0.9                                 for  A &gt; 100 sq.ft.
Negative without overhang: Zone 2
    (GCp) = -1.8                                 for  A &lt;= 10 sq.ft.
    (GCp) = -2.5000+0.7000*logA    for  10 &lt; A &lt;= 100 sq.ft.
    (GCp) = -0.8                                 for  A &gt; 100 sq.ft.
Negative without overhang: Zone 3
    (GCp) = -2.8                                 for  A &lt;= 10 sq.ft.
    (GCp) = -4.5000+1.7000*logA    for  10 &lt; A &lt;= 100 sq.ft.
    (GCp) = -1.1                                 for  A &gt; 100 sq.ft.
</t>
        </r>
      </text>
    </comment>
    <comment ref="F31" authorId="1" shapeId="0" xr:uid="{00000000-0006-0000-0700-00000E000000}">
      <text>
        <r>
          <rPr>
            <b/>
            <sz val="8"/>
            <color indexed="81"/>
            <rFont val="Tahoma"/>
            <family val="2"/>
          </rPr>
          <t xml:space="preserve">      </t>
        </r>
        <r>
          <rPr>
            <b/>
            <u/>
            <sz val="8"/>
            <color indexed="81"/>
            <rFont val="Tahoma"/>
            <family val="2"/>
          </rPr>
          <t xml:space="preserve">FIG. 30.4-2A - Roofs for Buildings with h &lt;= 60 ft.
</t>
        </r>
        <r>
          <rPr>
            <b/>
            <sz val="8"/>
            <color indexed="81"/>
            <rFont val="Tahoma"/>
            <family val="2"/>
          </rPr>
          <t xml:space="preserve">For </t>
        </r>
        <r>
          <rPr>
            <b/>
            <sz val="8"/>
            <color indexed="81"/>
            <rFont val="Symbol"/>
            <family val="1"/>
            <charset val="2"/>
          </rPr>
          <t>q</t>
        </r>
        <r>
          <rPr>
            <b/>
            <sz val="8"/>
            <color indexed="81"/>
            <rFont val="Tahoma"/>
            <family val="2"/>
          </rPr>
          <t xml:space="preserve"> &lt;= 7:</t>
        </r>
        <r>
          <rPr>
            <sz val="8"/>
            <color indexed="81"/>
            <rFont val="Tahoma"/>
            <family val="2"/>
          </rPr>
          <t xml:space="preserve">
Positive with overhang: Zone 1,2,3
    (GCp) = 0.3                                  for  A &lt;= 10 sq.ft.
    (GCp) = 0.4000-0.1000*logA      for  10 &lt; A &lt;= 100 sq.ft.
    (GCp) = 0.2                                  for  A &gt; 100 sq.ft.
Negative with overhang: Zone 1 &amp; 2
    (GCp) = -1.7                                 for  A &lt;= 10 sq.ft.
    (GCp) = -1.8000+0.1000*logA    for  10 &lt; A &lt;= 100 sq.ft.
    (GCp) = -3.0307+0.7153*logA    for  100 &lt; A &lt;= 500 sq.ft.    
    (GCp) = -1.1                                 for  A &gt; 500 sq.ft.
Negative with overhang: Zone 3
    (GCp) = -2.8                                 for  A &lt;= 10 sq.ft.
    (GCp) = -4.8000+2.0000*logA    for  10 &lt; A &lt;= 100 sq.ft.
    (GCp) = -0.8                                 for  A &gt; 100 sq.ft.
</t>
        </r>
      </text>
    </comment>
    <comment ref="G31" authorId="1" shapeId="0" xr:uid="{00000000-0006-0000-0700-00000F000000}">
      <text>
        <r>
          <rPr>
            <b/>
            <sz val="8"/>
            <color indexed="81"/>
            <rFont val="Tahoma"/>
            <family val="2"/>
          </rPr>
          <t xml:space="preserve">         </t>
        </r>
        <r>
          <rPr>
            <b/>
            <u/>
            <sz val="8"/>
            <color indexed="81"/>
            <rFont val="Tahoma"/>
            <family val="2"/>
          </rPr>
          <t xml:space="preserve">FIG. 30.6-1 - Roofs for Buildings with h &gt; 60 ft.
Note: for </t>
        </r>
        <r>
          <rPr>
            <b/>
            <u/>
            <sz val="8"/>
            <color indexed="81"/>
            <rFont val="Symbol"/>
            <family val="1"/>
            <charset val="2"/>
          </rPr>
          <t>q</t>
        </r>
        <r>
          <rPr>
            <b/>
            <u/>
            <sz val="8"/>
            <color indexed="81"/>
            <rFont val="Tahoma"/>
            <family val="2"/>
          </rPr>
          <t xml:space="preserve"> &gt; 10, use FIG. 30.4-2B and 30.4-2C
</t>
        </r>
        <r>
          <rPr>
            <b/>
            <sz val="8"/>
            <color indexed="81"/>
            <rFont val="Tahoma"/>
            <family val="2"/>
          </rPr>
          <t xml:space="preserve">For </t>
        </r>
        <r>
          <rPr>
            <b/>
            <sz val="8"/>
            <color indexed="81"/>
            <rFont val="Symbol"/>
            <family val="1"/>
            <charset val="2"/>
          </rPr>
          <t>q</t>
        </r>
        <r>
          <rPr>
            <b/>
            <sz val="8"/>
            <color indexed="81"/>
            <rFont val="Tahoma"/>
            <family val="2"/>
          </rPr>
          <t xml:space="preserve"> &lt;= 10:</t>
        </r>
        <r>
          <rPr>
            <sz val="8"/>
            <color indexed="81"/>
            <rFont val="Tahoma"/>
            <family val="2"/>
          </rPr>
          <t xml:space="preserve">
Negative without overhang: Zone 1
    (GCp) = -1.4                                  for  A &lt;= 10 sq.ft.
    (GCp) = -1.6943-0.2943*logA      for  10 &lt; A &lt;= 500 sq.ft.
    (GCp) = -0.9                                  for  A &gt; 500 sq.ft.
Negative without overhang: Zone 2
    (GCp) = -2.3                                  for  A &lt;= 10 sq.ft.
    (GCp) = -2.7120+0.4120*logA     for  10 &lt; A &lt;= 500 sq.ft.
    (GCp) = -1.6                                  for  A &gt; 500 sq.ft.
Negative without overhang: Zone 3
    (GCp) = -3.2                                 for  A &lt;= 10 sq.ft.
    (GCp) = -3.7297+0.5297*logA    for  10 &lt; A &lt;= 500 sq.ft.
    (GCp) = -2.3                                 for  A &gt; 500 sq.ft.
</t>
        </r>
      </text>
    </comment>
    <comment ref="H31" authorId="1" shapeId="0" xr:uid="{00000000-0006-0000-0700-000010000000}">
      <text>
        <r>
          <rPr>
            <b/>
            <sz val="8"/>
            <color indexed="81"/>
            <rFont val="Tahoma"/>
            <family val="2"/>
          </rPr>
          <t xml:space="preserve">        </t>
        </r>
        <r>
          <rPr>
            <b/>
            <u/>
            <sz val="8"/>
            <color indexed="81"/>
            <rFont val="Tahoma"/>
            <family val="2"/>
          </rPr>
          <t xml:space="preserve">FIG. 30.6-1 - Roofs for Buildings with h &gt; 60 ft.
Note: for all buildings with overhangs, use FIG. 30.4-2B thru 30.4-2C
</t>
        </r>
        <r>
          <rPr>
            <b/>
            <sz val="8"/>
            <color indexed="81"/>
            <rFont val="Tahoma"/>
            <family val="2"/>
          </rPr>
          <t xml:space="preserve">For </t>
        </r>
        <r>
          <rPr>
            <b/>
            <sz val="8"/>
            <color indexed="81"/>
            <rFont val="Symbol"/>
            <family val="1"/>
            <charset val="2"/>
          </rPr>
          <t>q</t>
        </r>
        <r>
          <rPr>
            <b/>
            <sz val="8"/>
            <color indexed="81"/>
            <rFont val="Tahoma"/>
            <family val="2"/>
          </rPr>
          <t xml:space="preserve"> &lt;= 10:</t>
        </r>
        <r>
          <rPr>
            <sz val="8"/>
            <color indexed="81"/>
            <rFont val="Tahoma"/>
            <family val="2"/>
          </rPr>
          <t xml:space="preserve">
Positive with overhang: Zone 1,2,3
    (GCp) = 0.3                                  for  A &lt;= 10 sq.ft.
    (GCp) = 0.4000-0.1000*logA      for  10 &lt; A &lt;= 100 sq.ft.
    (GCp) = 0.2                                  for  A &gt; 100 sq.ft.
Negative with overhang: Zone 1 &amp; 2
    (GCp) = -1.7                                 for  A &lt;= 10 sq.ft.
    (GCp) = -1.8000+0.1000*logA    for  10 &lt; A &lt;= 100 sq.ft.
    (GCp) = -3.0307+0.7153*logA    for  100 &lt; A &lt;= 500 sq.ft.    
    (GCp) = -1.1                                 for  A &gt; 500 sq.ft.
Negative with overhang: Zone 3
    (GCp) = -2.8                                 for  A &lt;= 10 sq.ft.
    (GCp) = -4.8000+2.0000*logA    for  10 &lt; A &lt;= 100 sq.ft.
    (GCp) = -0.8                                 for  A &gt; 100 sq.ft.
</t>
        </r>
      </text>
    </comment>
    <comment ref="E32" authorId="1" shapeId="0" xr:uid="{00000000-0006-0000-0700-000011000000}">
      <text>
        <r>
          <rPr>
            <b/>
            <sz val="8"/>
            <color indexed="81"/>
            <rFont val="Tahoma"/>
            <family val="2"/>
          </rPr>
          <t xml:space="preserve">      </t>
        </r>
        <r>
          <rPr>
            <b/>
            <u/>
            <sz val="8"/>
            <color indexed="81"/>
            <rFont val="Tahoma"/>
            <family val="2"/>
          </rPr>
          <t xml:space="preserve">FIG. 30.4-2B - Roofs for Buildings with h &lt;= 60 ft.
</t>
        </r>
        <r>
          <rPr>
            <b/>
            <sz val="8"/>
            <color indexed="81"/>
            <rFont val="Tahoma"/>
            <family val="2"/>
          </rPr>
          <t xml:space="preserve">For 7 &lt; </t>
        </r>
        <r>
          <rPr>
            <b/>
            <sz val="8"/>
            <color indexed="81"/>
            <rFont val="Symbol"/>
            <family val="1"/>
            <charset val="2"/>
          </rPr>
          <t>q</t>
        </r>
        <r>
          <rPr>
            <b/>
            <sz val="8"/>
            <color indexed="81"/>
            <rFont val="Tahoma"/>
            <family val="2"/>
          </rPr>
          <t xml:space="preserve"> &lt;= 27:</t>
        </r>
        <r>
          <rPr>
            <sz val="8"/>
            <color indexed="81"/>
            <rFont val="Tahoma"/>
            <family val="2"/>
          </rPr>
          <t xml:space="preserve">
Positive without overhang: Zone 1,2,3
    (GCp) = 0.5                                  for  A &lt;= 10 sq.ft.
    (GCp) = 0.7000-0.2000*logA      for  10 &lt; A &lt;= 100 sq.ft.
    (GCp) = 0.3                                  for  A &gt; 100 sq.ft.
Negative without overhang: Zone 1
    (GCp) = -0.9                                 for  A &lt;= 10 sq.ft.
    (GCp) = -1.0000+0.1000*logA    for  10 &lt; A &lt;= 100 sq.ft.
    (GCp) = -0.8                                 for  A &gt; 100 sq.ft.
Negative without overhang: Zone 2 &amp; 3
    (GCp) = -2.1                                 for  A &lt;= 10 sq.ft.
    (GCp) = -2.8000+0.7000*logA    for  10 &lt; A &lt;= 100 sq.ft.
    (GCp) = -1.4                                 for  A &gt; 100 sq.ft.
</t>
        </r>
      </text>
    </comment>
    <comment ref="F32" authorId="1" shapeId="0" xr:uid="{00000000-0006-0000-0700-000012000000}">
      <text>
        <r>
          <rPr>
            <b/>
            <sz val="8"/>
            <color indexed="81"/>
            <rFont val="Tahoma"/>
            <family val="2"/>
          </rPr>
          <t xml:space="preserve">      </t>
        </r>
        <r>
          <rPr>
            <b/>
            <u/>
            <sz val="8"/>
            <color indexed="81"/>
            <rFont val="Tahoma"/>
            <family val="2"/>
          </rPr>
          <t xml:space="preserve">FIG. 30.4-2B - Roofs for Buildings with h &lt;= 60 ft.
</t>
        </r>
        <r>
          <rPr>
            <b/>
            <sz val="8"/>
            <color indexed="81"/>
            <rFont val="Tahoma"/>
            <family val="2"/>
          </rPr>
          <t xml:space="preserve">For 7 &lt; </t>
        </r>
        <r>
          <rPr>
            <b/>
            <sz val="8"/>
            <color indexed="81"/>
            <rFont val="Symbol"/>
            <family val="1"/>
            <charset val="2"/>
          </rPr>
          <t>q</t>
        </r>
        <r>
          <rPr>
            <b/>
            <sz val="8"/>
            <color indexed="81"/>
            <rFont val="Tahoma"/>
            <family val="2"/>
          </rPr>
          <t xml:space="preserve"> &lt;= 27:</t>
        </r>
        <r>
          <rPr>
            <sz val="8"/>
            <color indexed="81"/>
            <rFont val="Tahoma"/>
            <family val="2"/>
          </rPr>
          <t xml:space="preserve">
Positive with overhang: Zone 1,2,3
    (GCp) = 0.5                                  for  A &lt;= 10 sq.ft.
    (GCp) = 0.7000-0.2000*logA      for  10 &lt; A &lt;= 100 sq.ft.
    (GCp) = 0.3                                  for  A &gt; 100 sq.ft.
Negative with overhang: Zone 1
    (GCp) = -0.9                                 for  A &lt;= 10 sq.ft.
    (GCp) = -1.0000+0.1000*logA    for  10 &lt; A &lt;= 100 sq.ft.
    (GCp) = -0.8                                 for  A &gt; 100 sq.ft.
Negative with overhang: Zone 2 &amp; 3
    (GCp) = -2.1                                 for  A &lt;= 10 sq.ft.
    (GCp) = -2.8000+0.7000*logA    for  10 &lt; A &lt;= 100 sq.ft.
    (GCp) = -1.4                                 for  A &gt; 100 sq.ft.
</t>
        </r>
      </text>
    </comment>
    <comment ref="G32" authorId="1" shapeId="0" xr:uid="{00000000-0006-0000-0700-000013000000}">
      <text>
        <r>
          <rPr>
            <b/>
            <sz val="8"/>
            <color indexed="81"/>
            <rFont val="Tahoma"/>
            <family val="2"/>
          </rPr>
          <t xml:space="preserve">         </t>
        </r>
        <r>
          <rPr>
            <b/>
            <u/>
            <sz val="8"/>
            <color indexed="81"/>
            <rFont val="Tahoma"/>
            <family val="2"/>
          </rPr>
          <t xml:space="preserve">FIG. 30.6-1 - Roofs for Buildings with h &gt; 60 ft.
Note: for </t>
        </r>
        <r>
          <rPr>
            <b/>
            <u/>
            <sz val="8"/>
            <color indexed="81"/>
            <rFont val="Symbol"/>
            <family val="1"/>
            <charset val="2"/>
          </rPr>
          <t>q</t>
        </r>
        <r>
          <rPr>
            <b/>
            <u/>
            <sz val="8"/>
            <color indexed="81"/>
            <rFont val="Tahoma"/>
            <family val="2"/>
          </rPr>
          <t xml:space="preserve"> &gt; 10, use FIG. 30.4-2B and 30.4-2C
</t>
        </r>
        <r>
          <rPr>
            <b/>
            <sz val="8"/>
            <color indexed="81"/>
            <rFont val="Tahoma"/>
            <family val="2"/>
          </rPr>
          <t xml:space="preserve">For 10 &lt; </t>
        </r>
        <r>
          <rPr>
            <b/>
            <sz val="8"/>
            <color indexed="81"/>
            <rFont val="Symbol"/>
            <family val="1"/>
            <charset val="2"/>
          </rPr>
          <t>q</t>
        </r>
        <r>
          <rPr>
            <b/>
            <sz val="8"/>
            <color indexed="81"/>
            <rFont val="Tahoma"/>
            <family val="2"/>
          </rPr>
          <t xml:space="preserve"> &lt;= 30:</t>
        </r>
        <r>
          <rPr>
            <sz val="8"/>
            <color indexed="81"/>
            <rFont val="Tahoma"/>
            <family val="2"/>
          </rPr>
          <t xml:space="preserve">
Positive without overhang: Zone 1,2,3
    (GCp) = 0.5                                  for  A &lt;= 10 sq.ft.
    (GCp) = 0.7000-0.2000*logA      for  10 &lt; A &lt;= 100 sq.ft.
    (GCp) = 0.3                                  for  A &gt; 100 sq.ft.
Negative without overhang: Zone 1
    (GCp) = -0.9                                 for  A &lt;= 10 sq.ft.
    (GCp) = -1.0000+0.1000*logA    for  10 &lt; A &lt;= 100 sq.ft.
    (GCp) = -0.8                                 for  A &gt; 100 sq.ft.
Negative without overhang: Zone 2 &amp; 3
    (GCp) = -2.1                                 for  A &lt;= 10 sq.ft.
    (GCp) = -2.8000+0.7000*logA    for  10 &lt; A &lt;= 100 sq.ft.
    (GCp) = -1.4                                 for  A &gt; 100 sq.ft.
</t>
        </r>
      </text>
    </comment>
    <comment ref="H32" authorId="1" shapeId="0" xr:uid="{00000000-0006-0000-0700-000014000000}">
      <text>
        <r>
          <rPr>
            <b/>
            <sz val="8"/>
            <color indexed="81"/>
            <rFont val="Tahoma"/>
            <family val="2"/>
          </rPr>
          <t xml:space="preserve">        </t>
        </r>
        <r>
          <rPr>
            <b/>
            <u/>
            <sz val="8"/>
            <color indexed="81"/>
            <rFont val="Tahoma"/>
            <family val="2"/>
          </rPr>
          <t>FIG. 30.6-1 - Roofs for Buildings with h &gt; 60 ft.
Note: for all buildings with overhangs, use FIG. 30.4-2B thru 30.4-2C</t>
        </r>
        <r>
          <rPr>
            <b/>
            <sz val="8"/>
            <color indexed="81"/>
            <rFont val="Tahoma"/>
            <family val="2"/>
          </rPr>
          <t xml:space="preserve">
</t>
        </r>
        <r>
          <rPr>
            <b/>
            <u/>
            <sz val="8"/>
            <color indexed="81"/>
            <rFont val="Tahoma"/>
            <family val="2"/>
          </rPr>
          <t xml:space="preserve">
</t>
        </r>
        <r>
          <rPr>
            <b/>
            <sz val="8"/>
            <color indexed="81"/>
            <rFont val="Tahoma"/>
            <family val="2"/>
          </rPr>
          <t xml:space="preserve">For 10 &lt; </t>
        </r>
        <r>
          <rPr>
            <b/>
            <sz val="8"/>
            <color indexed="81"/>
            <rFont val="Symbol"/>
            <family val="1"/>
            <charset val="2"/>
          </rPr>
          <t>q</t>
        </r>
        <r>
          <rPr>
            <b/>
            <sz val="8"/>
            <color indexed="81"/>
            <rFont val="Tahoma"/>
            <family val="2"/>
          </rPr>
          <t xml:space="preserve"> &lt;= 30:</t>
        </r>
        <r>
          <rPr>
            <sz val="8"/>
            <color indexed="81"/>
            <rFont val="Tahoma"/>
            <family val="2"/>
          </rPr>
          <t xml:space="preserve">
Positive with overhang: Zone 1,2,3
    (GCp) = 0.5                                  for  A &lt;= 10 sq.ft.
    (GCp) = 0.7000-0.2000*logA      for  10 &lt; A &lt;= 100 sq.ft.
    (GCp) = 0.3                                  for  A &gt; 100 sq.ft.
Negative with overhang: Zone 1
    (GCp) = -0.9                                 for  A &lt;= 10 sq.ft.
    (GCp) = -1.0000+0.1000*logA    for  10 &lt; A &lt;= 100 sq.ft.
    (GCp) = -0.8                                 for  A &gt; 100 sq.ft.
Negative with overhang: Zone 2 &amp; 3
    (GCp) = -2.1                                 for  A &lt;= 10 sq.ft.
    (GCp) = -2.8000+0.7000*logA    for  10 &lt; A &lt;= 100 sq.ft.
    (GCp) = -1.4                                 for  A &gt; 100 sq.ft.
</t>
        </r>
      </text>
    </comment>
    <comment ref="E33" authorId="1" shapeId="0" xr:uid="{00000000-0006-0000-0700-000015000000}">
      <text>
        <r>
          <rPr>
            <b/>
            <sz val="8"/>
            <color indexed="81"/>
            <rFont val="Tahoma"/>
            <family val="2"/>
          </rPr>
          <t xml:space="preserve">      </t>
        </r>
        <r>
          <rPr>
            <b/>
            <u/>
            <sz val="8"/>
            <color indexed="81"/>
            <rFont val="Tahoma"/>
            <family val="2"/>
          </rPr>
          <t xml:space="preserve">FIG. 30.4-2C - Roofs for Buildings with h &lt;= 60 ft.
</t>
        </r>
        <r>
          <rPr>
            <b/>
            <sz val="8"/>
            <color indexed="81"/>
            <rFont val="Tahoma"/>
            <family val="2"/>
          </rPr>
          <t xml:space="preserve">For 27 &lt; </t>
        </r>
        <r>
          <rPr>
            <b/>
            <sz val="8"/>
            <color indexed="81"/>
            <rFont val="Symbol"/>
            <family val="1"/>
            <charset val="2"/>
          </rPr>
          <t>q</t>
        </r>
        <r>
          <rPr>
            <b/>
            <sz val="8"/>
            <color indexed="81"/>
            <rFont val="Tahoma"/>
            <family val="2"/>
          </rPr>
          <t xml:space="preserve"> &lt;= 45:</t>
        </r>
        <r>
          <rPr>
            <sz val="8"/>
            <color indexed="81"/>
            <rFont val="Tahoma"/>
            <family val="2"/>
          </rPr>
          <t xml:space="preserve">
Positive without overhang: Zone 1,2,3
    (GCp) = 0.9                                  for  A &lt;= 10 sq.ft.
    (GCp) = 1.0000-0.1000*logA      for  10 &lt; A &lt;= 100 sq.ft.
    (GCp) = 0.8                                  for  A &gt; 100 sq.ft.
Negative without overhang: Zone 1
    (GCp) = -1.0                                 for  A &lt;= 10 sq.ft.
    (GCp) = -1.2000+0.2000*logA    for  10 &lt; A &lt;= 100 sq.ft.
    (GCp) = -0.8                                 for  A &gt; 100 sq.ft.
Negative without overhang: Zone 2 &amp; 3
    (GCp) = -1.2                                 for  A &lt;= 10 sq.ft.
    (GCp) = -1.4000+0.2000*logA    for  10 &lt; A &lt;= 100 sq.ft.
    (GCp) = -1.0                                 for  A &gt; 100 sq.ft.
</t>
        </r>
      </text>
    </comment>
    <comment ref="F33" authorId="1" shapeId="0" xr:uid="{00000000-0006-0000-0700-000016000000}">
      <text>
        <r>
          <rPr>
            <b/>
            <sz val="8"/>
            <color indexed="81"/>
            <rFont val="Tahoma"/>
            <family val="2"/>
          </rPr>
          <t xml:space="preserve">      </t>
        </r>
        <r>
          <rPr>
            <b/>
            <u/>
            <sz val="8"/>
            <color indexed="81"/>
            <rFont val="Tahoma"/>
            <family val="2"/>
          </rPr>
          <t xml:space="preserve">FIG. 30.4-2C - Roofs for Buildings with h &lt;= 60 ft.
</t>
        </r>
        <r>
          <rPr>
            <b/>
            <sz val="8"/>
            <color indexed="81"/>
            <rFont val="Tahoma"/>
            <family val="2"/>
          </rPr>
          <t xml:space="preserve">For 27 &lt; </t>
        </r>
        <r>
          <rPr>
            <b/>
            <sz val="8"/>
            <color indexed="81"/>
            <rFont val="Symbol"/>
            <family val="1"/>
            <charset val="2"/>
          </rPr>
          <t>q</t>
        </r>
        <r>
          <rPr>
            <b/>
            <sz val="8"/>
            <color indexed="81"/>
            <rFont val="Tahoma"/>
            <family val="2"/>
          </rPr>
          <t xml:space="preserve"> &lt;= 45:</t>
        </r>
        <r>
          <rPr>
            <sz val="8"/>
            <color indexed="81"/>
            <rFont val="Tahoma"/>
            <family val="2"/>
          </rPr>
          <t xml:space="preserve">
Positive with overhang: Zone 1,2,3
    (GCp) = 0.9                                  for  A &lt;= 10 sq.ft.
    (GCp) = 1.0000-0.1000*logA      for  10 &lt; A &lt;= 100 sq.ft.
    (GCp) = 0.8                                  for  A &gt; 100 sq.ft.
Negative with overhang: Zone 1
    (GCp) = -1.0                                 for  A &lt;= 10 sq.ft.
    (GCp) = -1.2000+0.2000*logA    for  10 &lt; A &lt;= 100 sq.ft.
    (GCp) = -0.8                                 for  A &gt; 100 sq.ft.
Negative with overhang: Zone 2 &amp; 3
    (GCp) = -1.2                                 for  A &lt;= 10 sq.ft.
    (GCp) = -1.4000+0.2000*logA    for  10 &lt; A &lt;= 100 sq.ft.
    (GCp) = -1.0                                 for  A &gt; 100 sq.ft.
</t>
        </r>
      </text>
    </comment>
    <comment ref="G33" authorId="1" shapeId="0" xr:uid="{00000000-0006-0000-0700-000017000000}">
      <text>
        <r>
          <rPr>
            <b/>
            <sz val="8"/>
            <color indexed="81"/>
            <rFont val="Tahoma"/>
            <family val="2"/>
          </rPr>
          <t xml:space="preserve">        </t>
        </r>
        <r>
          <rPr>
            <b/>
            <u/>
            <sz val="8"/>
            <color indexed="81"/>
            <rFont val="Tahoma"/>
            <family val="2"/>
          </rPr>
          <t xml:space="preserve">FIG. 30.6-1 - Roofs for Buildings with h &gt; 60 ft.
Note: for </t>
        </r>
        <r>
          <rPr>
            <b/>
            <u/>
            <sz val="8"/>
            <color indexed="81"/>
            <rFont val="Symbol"/>
            <family val="1"/>
            <charset val="2"/>
          </rPr>
          <t>q</t>
        </r>
        <r>
          <rPr>
            <b/>
            <u/>
            <sz val="8"/>
            <color indexed="81"/>
            <rFont val="Tahoma"/>
            <family val="2"/>
          </rPr>
          <t xml:space="preserve"> &gt; 10, use FIG. 30.4-2B and 30.4-2C
</t>
        </r>
        <r>
          <rPr>
            <b/>
            <sz val="8"/>
            <color indexed="81"/>
            <rFont val="Tahoma"/>
            <family val="2"/>
          </rPr>
          <t xml:space="preserve">For 30 &lt; </t>
        </r>
        <r>
          <rPr>
            <b/>
            <sz val="8"/>
            <color indexed="81"/>
            <rFont val="Symbol"/>
            <family val="1"/>
            <charset val="2"/>
          </rPr>
          <t>q</t>
        </r>
        <r>
          <rPr>
            <b/>
            <sz val="8"/>
            <color indexed="81"/>
            <rFont val="Tahoma"/>
            <family val="2"/>
          </rPr>
          <t xml:space="preserve"> &lt;= 45:</t>
        </r>
        <r>
          <rPr>
            <sz val="8"/>
            <color indexed="81"/>
            <rFont val="Tahoma"/>
            <family val="2"/>
          </rPr>
          <t xml:space="preserve">
Positive without overhang: Zone 1,2,3
    (GCp) = 0.9                                  for  A &lt;= 10 sq.ft.
    (GCp) = 1.0000-0.1000*logA      for  10 &lt; A &lt;= 100 sq.ft.
    (GCp) = 0.8                                  for  A &gt; 100 sq.ft.
Negative without overhang: Zone 1
    (GCp) = -1.0                                 for  A &lt;= 10 sq.ft.
    (GCp) = -1.2000+0.2000*logA    for  10 &lt; A &lt;= 100 sq.ft.
    (GCp) = -0.8                                 for  A &gt; 100 sq.ft.
Negative without overhang: Zone 2 &amp; 3
    (GCp) = -1.2                                 for  A &lt;= 10 sq.ft.
    (GCp) = -1.4000+0.2000*logA    for  10 &lt; A &lt;= 100 sq.ft.
    (GCp) = -1.0                                 for  A &gt; 100 sq.ft.
</t>
        </r>
      </text>
    </comment>
    <comment ref="H33" authorId="1" shapeId="0" xr:uid="{00000000-0006-0000-0700-000018000000}">
      <text>
        <r>
          <rPr>
            <b/>
            <sz val="8"/>
            <color indexed="81"/>
            <rFont val="Tahoma"/>
            <family val="2"/>
          </rPr>
          <t xml:space="preserve">       </t>
        </r>
        <r>
          <rPr>
            <b/>
            <u/>
            <sz val="8"/>
            <color indexed="81"/>
            <rFont val="Tahoma"/>
            <family val="2"/>
          </rPr>
          <t xml:space="preserve">FIG. 30.6-1 - Roofs for Buildings with h &gt; 60 ft.
Note: for all buildings with overhangs, use FIG. 30.4-2B thru 30.4-2C
</t>
        </r>
        <r>
          <rPr>
            <b/>
            <sz val="8"/>
            <color indexed="81"/>
            <rFont val="Tahoma"/>
            <family val="2"/>
          </rPr>
          <t xml:space="preserve">For 30 &lt; </t>
        </r>
        <r>
          <rPr>
            <b/>
            <sz val="8"/>
            <color indexed="81"/>
            <rFont val="Symbol"/>
            <family val="1"/>
            <charset val="2"/>
          </rPr>
          <t>q</t>
        </r>
        <r>
          <rPr>
            <b/>
            <sz val="8"/>
            <color indexed="81"/>
            <rFont val="Tahoma"/>
            <family val="2"/>
          </rPr>
          <t xml:space="preserve"> &lt;= 45:</t>
        </r>
        <r>
          <rPr>
            <sz val="8"/>
            <color indexed="81"/>
            <rFont val="Tahoma"/>
            <family val="2"/>
          </rPr>
          <t xml:space="preserve">
Positive with overhang: Zone 1,2,3
    (GCp) = 0.9                                  for  A &lt;= 10 sq.ft.
    (GCp) = 1.0000-0.1000*logA      for  10 &lt; A &lt;= 100 sq.ft.
    (GCp) = 0.8                                  for  A &gt; 100 sq.ft.
Negative with overhang: Zone 1
    (GCp) = -1.0                                 for  A &lt;= 10 sq.ft.
    (GCp) = -1.2000+0.2000*logA    for  10 &lt; A &lt;= 100 sq.ft.
    (GCp) = -0.8                                 for  A &gt; 100 sq.ft.
Negative with overhang: Zone 2 &amp; 3
    (GCp) = -1.2                                 for  A &lt;= 10 sq.ft.
    (GCp) = -1.4000+0.2000*logA    for  10 &lt; A &lt;= 100 sq.ft.
    (GCp) = -1.0                                 for  A &gt; 100 sq.ft.
</t>
        </r>
      </text>
    </comment>
    <comment ref="E35" authorId="2" shapeId="0" xr:uid="{00000000-0006-0000-0700-000019000000}">
      <text>
        <r>
          <rPr>
            <b/>
            <sz val="8"/>
            <color indexed="81"/>
            <rFont val="Tahoma"/>
            <family val="2"/>
          </rPr>
          <t xml:space="preserve">        </t>
        </r>
        <r>
          <rPr>
            <b/>
            <u/>
            <sz val="8"/>
            <color indexed="81"/>
            <rFont val="Tahoma"/>
            <family val="2"/>
          </rPr>
          <t>Internal Pressure Coefficients, GCpi (Figure 26.11-1)</t>
        </r>
        <r>
          <rPr>
            <sz val="8"/>
            <color indexed="81"/>
            <rFont val="Tahoma"/>
            <family val="2"/>
          </rPr>
          <t xml:space="preserve">
</t>
        </r>
        <r>
          <rPr>
            <sz val="8"/>
            <color indexed="81"/>
            <rFont val="Tahoma"/>
            <family val="2"/>
          </rPr>
          <t xml:space="preserve">
    </t>
        </r>
        <r>
          <rPr>
            <u/>
            <sz val="8"/>
            <color indexed="81"/>
            <rFont val="Tahoma"/>
            <family val="2"/>
          </rPr>
          <t xml:space="preserve">          Condition                                                 (+/-) GCpi     
</t>
        </r>
        <r>
          <rPr>
            <sz val="8"/>
            <color indexed="81"/>
            <rFont val="Tahoma"/>
            <family val="2"/>
          </rPr>
          <t xml:space="preserve">    Partially enclosed buildings                                +0.55, -0.55
    Enclosed buildings                                              +0.18, -0.18
Per Sect. 26.11, for a partially enclosed building containing a single, unpartitioned large volume, the GCpi coefficients shall be multiplied by the following reduction factor, Ri:
    Ri = 1.0  or  Ri = 0.5*(1+(1/(1+Vi/(22800*Aog))^0.5)) &lt;= 1.0
      where:  Aog = total area of openings in the building envelope
                              (walls and roof, ft.^2).
                   Vi = unpartitioned internal volume (ft.^3).
</t>
        </r>
        <r>
          <rPr>
            <b/>
            <sz val="8"/>
            <color indexed="81"/>
            <rFont val="Tahoma"/>
            <family val="2"/>
          </rPr>
          <t>Note:</t>
        </r>
        <r>
          <rPr>
            <sz val="8"/>
            <color indexed="81"/>
            <rFont val="Tahoma"/>
            <family val="2"/>
          </rPr>
          <t xml:space="preserve">  This program assumes NO reduction of the GCpi coefficients
            for large volume buildings. Thus, Ri = 1.0.</t>
        </r>
      </text>
    </comment>
    <comment ref="C39" authorId="2" shapeId="0" xr:uid="{00000000-0006-0000-0700-00001A000000}">
      <text>
        <r>
          <rPr>
            <b/>
            <u/>
            <sz val="8"/>
            <color indexed="81"/>
            <rFont val="Tahoma"/>
            <family val="2"/>
          </rPr>
          <t xml:space="preserve">Terrain Exposure Constants (Table 26.9-1)
</t>
        </r>
        <r>
          <rPr>
            <u/>
            <sz val="8"/>
            <color indexed="81"/>
            <rFont val="Tahoma"/>
            <family val="2"/>
          </rPr>
          <t xml:space="preserve">
</t>
        </r>
        <r>
          <rPr>
            <sz val="8"/>
            <color indexed="81"/>
            <rFont val="Tahoma"/>
            <family val="2"/>
          </rPr>
          <t xml:space="preserve">    </t>
        </r>
        <r>
          <rPr>
            <u/>
            <sz val="8"/>
            <color indexed="81"/>
            <rFont val="Tahoma"/>
            <family val="2"/>
          </rPr>
          <t xml:space="preserve">Exposure Category           </t>
        </r>
        <r>
          <rPr>
            <u/>
            <sz val="8"/>
            <color indexed="81"/>
            <rFont val="Symbol"/>
            <family val="1"/>
            <charset val="2"/>
          </rPr>
          <t>a</t>
        </r>
        <r>
          <rPr>
            <u/>
            <sz val="8"/>
            <color indexed="81"/>
            <rFont val="Tahoma"/>
            <family val="2"/>
          </rPr>
          <t xml:space="preserve">           zg (ft)</t>
        </r>
        <r>
          <rPr>
            <sz val="8"/>
            <color indexed="81"/>
            <rFont val="Tahoma"/>
            <family val="2"/>
          </rPr>
          <t xml:space="preserve">
                B                          7.0         1,200
                C                          9.5           900
                D                         11.5          700</t>
        </r>
        <r>
          <rPr>
            <u/>
            <sz val="8"/>
            <color indexed="81"/>
            <rFont val="Tahoma"/>
            <family val="2"/>
          </rPr>
          <t xml:space="preserve">
</t>
        </r>
        <r>
          <rPr>
            <sz val="8"/>
            <color indexed="81"/>
            <rFont val="Tahoma"/>
            <family val="2"/>
          </rPr>
          <t xml:space="preserve">
</t>
        </r>
      </text>
    </comment>
    <comment ref="D46" authorId="1" shapeId="0" xr:uid="{00000000-0006-0000-0700-00001B000000}">
      <text>
        <r>
          <rPr>
            <sz val="8"/>
            <color indexed="81"/>
            <rFont val="Tahoma"/>
            <family val="2"/>
          </rPr>
          <t xml:space="preserve">Per Code </t>
        </r>
        <r>
          <rPr>
            <b/>
            <sz val="8"/>
            <color indexed="81"/>
            <rFont val="Tahoma"/>
            <family val="2"/>
          </rPr>
          <t>Section 30.2.2</t>
        </r>
        <r>
          <rPr>
            <sz val="8"/>
            <color indexed="81"/>
            <rFont val="Tahoma"/>
            <family val="2"/>
          </rPr>
          <t xml:space="preserve">, the minimum wind load to be used in the design of the Main Wind-Force Resisting System shall not be less than </t>
        </r>
        <r>
          <rPr>
            <b/>
            <sz val="8"/>
            <color indexed="81"/>
            <rFont val="Tahoma"/>
            <family val="2"/>
          </rPr>
          <t>16 psf</t>
        </r>
        <r>
          <rPr>
            <sz val="8"/>
            <color indexed="81"/>
            <rFont val="Tahoma"/>
            <family val="2"/>
          </rPr>
          <t>.</t>
        </r>
      </text>
    </comment>
    <comment ref="H54" authorId="1" shapeId="0" xr:uid="{00000000-0006-0000-0700-00001C000000}">
      <text>
        <r>
          <rPr>
            <sz val="8"/>
            <color indexed="81"/>
            <rFont val="Tahoma"/>
            <family val="2"/>
          </rPr>
          <t xml:space="preserve">Per Code </t>
        </r>
        <r>
          <rPr>
            <b/>
            <sz val="8"/>
            <color indexed="81"/>
            <rFont val="Tahoma"/>
            <family val="2"/>
          </rPr>
          <t>Section 30.2.2</t>
        </r>
        <r>
          <rPr>
            <sz val="8"/>
            <color indexed="81"/>
            <rFont val="Tahoma"/>
            <family val="2"/>
          </rPr>
          <t xml:space="preserve">, the minimum wind design pressure to be used in the design of components and cladding shall not be less than </t>
        </r>
        <r>
          <rPr>
            <b/>
            <sz val="8"/>
            <color indexed="81"/>
            <rFont val="Tahoma"/>
            <family val="2"/>
          </rPr>
          <t>16 psf</t>
        </r>
        <r>
          <rPr>
            <sz val="8"/>
            <color indexed="81"/>
            <rFont val="Tahoma"/>
            <family val="2"/>
          </rPr>
          <t xml:space="preserve"> acting in either direction normal to the surface.</t>
        </r>
      </text>
    </comment>
    <comment ref="E86" authorId="1" shapeId="0" xr:uid="{00000000-0006-0000-0700-00001D000000}">
      <text>
        <r>
          <rPr>
            <sz val="8"/>
            <color indexed="81"/>
            <rFont val="Tahoma"/>
            <family val="2"/>
          </rPr>
          <t xml:space="preserve">For h &lt;= 60', width </t>
        </r>
        <r>
          <rPr>
            <b/>
            <sz val="8"/>
            <color indexed="81"/>
            <rFont val="Tahoma"/>
            <family val="2"/>
          </rPr>
          <t>'a'</t>
        </r>
        <r>
          <rPr>
            <sz val="8"/>
            <color indexed="81"/>
            <rFont val="Tahoma"/>
            <family val="2"/>
          </rPr>
          <t xml:space="preserve"> for Zone 2 is equal to 10% of least horizontal dimension or 0.4*h, whichever is smaller, but not less than either 4% of least horizontal dimension or 3'.
For h &gt; 60', width </t>
        </r>
        <r>
          <rPr>
            <b/>
            <sz val="8"/>
            <color indexed="81"/>
            <rFont val="Tahoma"/>
            <family val="2"/>
          </rPr>
          <t>'a'</t>
        </r>
        <r>
          <rPr>
            <sz val="8"/>
            <color indexed="81"/>
            <rFont val="Tahoma"/>
            <family val="2"/>
          </rPr>
          <t xml:space="preserve"> for Zone 2 is equal to 10% of least horizontal dimension, but not less than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Bob Dalpiaz</author>
    <author>Alex Tomanovich</author>
    <author>4892</author>
    <author>ATOMANOV</author>
  </authors>
  <commentList>
    <comment ref="AA1" authorId="0" shapeId="0" xr:uid="{00000000-0006-0000-0800-000001000000}">
      <text>
        <r>
          <rPr>
            <sz val="8"/>
            <color indexed="81"/>
            <rFont val="Tahoma"/>
            <family val="2"/>
          </rPr>
          <t xml:space="preserve">            "</t>
        </r>
        <r>
          <rPr>
            <b/>
            <sz val="8"/>
            <color indexed="81"/>
            <rFont val="Tahoma"/>
            <family val="2"/>
          </rPr>
          <t>ASCE710W.xls</t>
        </r>
        <r>
          <rPr>
            <sz val="8"/>
            <color indexed="81"/>
            <rFont val="Tahoma"/>
            <family val="2"/>
          </rPr>
          <t>"
written by: William Fultz, P.E.
based on a spreadsheet by:  Alex Tomanovich, P.E.</t>
        </r>
      </text>
    </comment>
    <comment ref="J3" authorId="0" shapeId="0" xr:uid="{00000000-0006-0000-0800-000002000000}">
      <text>
        <r>
          <rPr>
            <b/>
            <u/>
            <sz val="8"/>
            <color indexed="81"/>
            <rFont val="Tahoma"/>
            <family val="2"/>
          </rPr>
          <t>Note:</t>
        </r>
        <r>
          <rPr>
            <sz val="8"/>
            <color indexed="81"/>
            <rFont val="Tahoma"/>
            <family val="2"/>
          </rPr>
          <t xml:space="preserve"> This program assumes open structures are a maximum of 500 ft. tall.</t>
        </r>
      </text>
    </comment>
    <comment ref="C9" authorId="1" shapeId="0" xr:uid="{00000000-0006-0000-0800-000003000000}">
      <text>
        <r>
          <rPr>
            <sz val="8"/>
            <color indexed="81"/>
            <rFont val="Tahoma"/>
            <family val="2"/>
          </rPr>
          <t>The</t>
        </r>
        <r>
          <rPr>
            <b/>
            <sz val="8"/>
            <color indexed="81"/>
            <rFont val="Tahoma"/>
            <family val="2"/>
          </rPr>
          <t xml:space="preserve"> Basic Design Wind Speed, V (mph)</t>
        </r>
        <r>
          <rPr>
            <sz val="8"/>
            <color indexed="81"/>
            <rFont val="Tahoma"/>
            <family val="2"/>
          </rPr>
          <t xml:space="preserve">, corresponds to a 3-second gust speed at 33' above ground in Exposure Category "C" and is associated with an annual probability for Risk Category of being equalled or exceeded (x-year mean recurrence interval per Risk Category).
</t>
        </r>
        <r>
          <rPr>
            <b/>
            <sz val="8"/>
            <color indexed="81"/>
            <rFont val="Tahoma"/>
            <family val="2"/>
          </rPr>
          <t>For Basic Wind Speed Map (Fig. 26.5-1A-C) see 'Wind Map' worksheet of this workbook.</t>
        </r>
      </text>
    </comment>
    <comment ref="C10" authorId="2" shapeId="0" xr:uid="{00000000-0006-0000-0800-000004000000}">
      <text>
        <r>
          <rPr>
            <b/>
            <sz val="8"/>
            <color indexed="81"/>
            <rFont val="Tahoma"/>
            <family val="2"/>
          </rPr>
          <t xml:space="preserve">                                                                          TABLE 1-1</t>
        </r>
        <r>
          <rPr>
            <b/>
            <u/>
            <sz val="8"/>
            <color indexed="81"/>
            <rFont val="Tahoma"/>
            <family val="2"/>
          </rPr>
          <t xml:space="preserve">
Occupancy Category of Buildings and Other Structures for Flood, Wind, Snow, Earthquake, and Ice Loads</t>
        </r>
        <r>
          <rPr>
            <sz val="8"/>
            <color indexed="81"/>
            <rFont val="Tahoma"/>
            <family val="2"/>
          </rPr>
          <t xml:space="preserve">                                                                                                      
</t>
        </r>
        <r>
          <rPr>
            <b/>
            <u/>
            <sz val="8"/>
            <color indexed="81"/>
            <rFont val="Tahoma"/>
            <family val="2"/>
          </rPr>
          <t xml:space="preserve">Nature of Occupancy                                                                                                                    Occupancy Category </t>
        </r>
        <r>
          <rPr>
            <sz val="8"/>
            <color indexed="81"/>
            <rFont val="Tahoma"/>
            <family val="2"/>
          </rPr>
          <t xml:space="preserve">
Buildings and structures that represent a low hazard to human life in the event of failure including,                  I
  but not limited to:
     - Agriculture facilities                                                                                                             
     - Certain temporary facilities
</t>
        </r>
        <r>
          <rPr>
            <u/>
            <sz val="8"/>
            <color indexed="81"/>
            <rFont val="Tahoma"/>
            <family val="2"/>
          </rPr>
          <t xml:space="preserve">     - Minor storage facilities                                                                                                                                              </t>
        </r>
        <r>
          <rPr>
            <sz val="8"/>
            <color indexed="81"/>
            <rFont val="Tahoma"/>
            <family val="2"/>
          </rPr>
          <t xml:space="preserve">       
</t>
        </r>
        <r>
          <rPr>
            <u/>
            <sz val="8"/>
            <color indexed="81"/>
            <rFont val="Tahoma"/>
            <family val="2"/>
          </rPr>
          <t xml:space="preserve">Buildings and other structures except those listed in Categories I, III and IV                                                      II        </t>
        </r>
        <r>
          <rPr>
            <sz val="8"/>
            <color indexed="81"/>
            <rFont val="Tahoma"/>
            <family val="2"/>
          </rPr>
          <t xml:space="preserve">
Buildings and other structures that represent a substantial hazard to human life in the event of                       III      
  failure including, but not limited to:
     - Buildings and other structures where more than 300 people congregate in one area
     - Buildings and other structures with day-care facilities with capacity greater than 150
     - Elementary or secondary school facilities with capacity greater than 250
     - Colleges &amp; adult education facilities with a capacity greater than 500
     - Health care facilities with a capacity greater than 50 resident patients but not having surgery
         or emergency treatment facilities
     - Jails and detention facilities
Buildings and other structures, not includes in Occupancy Category IV, with potential to cause 
  substantial economic impact and/or mass disruption of day-to-day civilian life in event of failure, 
  including, but not limited to:
     - Power generating stations, water treatment facilities, sewage treatment facilities, and
         telecommunication centers
     - Buildings and structures not included in Category IV containing sufficient quantities of toxic,
</t>
        </r>
        <r>
          <rPr>
            <u/>
            <sz val="8"/>
            <color indexed="81"/>
            <rFont val="Tahoma"/>
            <family val="2"/>
          </rPr>
          <t xml:space="preserve">         explosive, or other hazardous materials dangerous to the public if released                                                        </t>
        </r>
        <r>
          <rPr>
            <sz val="8"/>
            <color indexed="81"/>
            <rFont val="Tahoma"/>
            <family val="2"/>
          </rPr>
          <t xml:space="preserve">
Buildings and other structures designated as essential facilities including, but not limited to:                              IV
     - Hospitals and health care facilities having surgery or emergency treatment facilities
     - Fire, rescue and police stations and emergency vehicle garages
     - Designated earthquake, hurricane or other emergency shelters
     - Designated emergency preparedness, communication, and operation centers and other
         facilities required for emergency response 
     - Power-generating stations and other public utility facilities required in an emergency
     - Ancillary structures required foroperation of Category IV structures during an emergency
     - Aviation control towers, air traffic control centers and emergency aircraft hangars
     - Water storage facilities and pump structures required to maintain water pressure for fire suppression
     - Buildings and other structures having critical national defense functions
     - Buildings and structures containing extremelyhazardous materials where quantity of material 
         exceeds a threshhold quantity established by authority having jurisdiction </t>
        </r>
      </text>
    </comment>
    <comment ref="C11" authorId="1" shapeId="0" xr:uid="{00000000-0006-0000-0800-000005000000}">
      <text>
        <r>
          <rPr>
            <b/>
            <sz val="8"/>
            <color indexed="81"/>
            <rFont val="Tahoma"/>
            <family val="2"/>
          </rPr>
          <t>Surface Roughness Categories</t>
        </r>
        <r>
          <rPr>
            <sz val="8"/>
            <color indexed="81"/>
            <rFont val="Tahoma"/>
            <family val="2"/>
          </rPr>
          <t xml:space="preserve"> for the purpose of assigning </t>
        </r>
        <r>
          <rPr>
            <b/>
            <sz val="8"/>
            <color indexed="81"/>
            <rFont val="Tahoma"/>
            <family val="2"/>
          </rPr>
          <t>Exposure</t>
        </r>
        <r>
          <rPr>
            <sz val="8"/>
            <color indexed="81"/>
            <rFont val="Tahoma"/>
            <family val="2"/>
          </rPr>
          <t xml:space="preserve"> </t>
        </r>
        <r>
          <rPr>
            <b/>
            <sz val="8"/>
            <color indexed="81"/>
            <rFont val="Tahoma"/>
            <family val="2"/>
          </rPr>
          <t>Category</t>
        </r>
        <r>
          <rPr>
            <sz val="8"/>
            <color indexed="81"/>
            <rFont val="Tahoma"/>
            <family val="2"/>
          </rPr>
          <t xml:space="preserve"> are defined as follows:
</t>
        </r>
        <r>
          <rPr>
            <b/>
            <sz val="8"/>
            <color indexed="81"/>
            <rFont val="Tahoma"/>
            <family val="2"/>
          </rPr>
          <t xml:space="preserve">Surface Roughness "B":
</t>
        </r>
        <r>
          <rPr>
            <sz val="8"/>
            <color indexed="81"/>
            <rFont val="Tahoma"/>
            <family val="2"/>
          </rPr>
          <t xml:space="preserve">Urban and suburban areas, wooded areas or other terrain with numerous closely spaced obstructions having the size of single family dwellings or larger.
</t>
        </r>
        <r>
          <rPr>
            <b/>
            <sz val="8"/>
            <color indexed="81"/>
            <rFont val="Tahoma"/>
            <family val="2"/>
          </rPr>
          <t xml:space="preserve">Surface Roughness "C":
</t>
        </r>
        <r>
          <rPr>
            <sz val="8"/>
            <color indexed="81"/>
            <rFont val="Tahoma"/>
            <family val="2"/>
          </rPr>
          <t>Open terrain with scattered obstructions having heights generally &lt; 30 ft.  This category includes flat open country, grass lands, and all water surfaces in hurricane prone regions.</t>
        </r>
        <r>
          <rPr>
            <sz val="8"/>
            <color indexed="81"/>
            <rFont val="Tahoma"/>
            <family val="2"/>
          </rPr>
          <t xml:space="preserve">
</t>
        </r>
        <r>
          <rPr>
            <b/>
            <sz val="8"/>
            <color indexed="81"/>
            <rFont val="Tahoma"/>
            <family val="2"/>
          </rPr>
          <t>Surface Roughness "D":</t>
        </r>
        <r>
          <rPr>
            <sz val="8"/>
            <color indexed="81"/>
            <rFont val="Tahoma"/>
            <family val="2"/>
          </rPr>
          <t xml:space="preserve">
Flat, unobstructed areas and water surfaces outside hurricane prone regions.  This category includes smooth mud flats, salt flats, and unbroken ice.
</t>
        </r>
        <r>
          <rPr>
            <b/>
            <sz val="8"/>
            <color indexed="81"/>
            <rFont val="Tahoma"/>
            <family val="2"/>
          </rPr>
          <t>Exposure Categories</t>
        </r>
        <r>
          <rPr>
            <sz val="8"/>
            <color indexed="81"/>
            <rFont val="Tahoma"/>
            <family val="2"/>
          </rPr>
          <t xml:space="preserve"> are defined as follows:
</t>
        </r>
        <r>
          <rPr>
            <b/>
            <sz val="8"/>
            <color indexed="81"/>
            <rFont val="Tahoma"/>
            <family val="2"/>
          </rPr>
          <t xml:space="preserve">Exposure "B":
</t>
        </r>
        <r>
          <rPr>
            <sz val="8"/>
            <color indexed="81"/>
            <rFont val="Tahoma"/>
            <family val="2"/>
          </rPr>
          <t xml:space="preserve">Exposure B shall apply where the ground surface roughness condition, as defined by Surface Roughness B, prevails in the upwind direction for a distance of at least 2600 ft. or 20 times the building height, whichever is greater.
   Exception: For buildings whose mean roof height &lt;= 30 ft., the upwind 
   distance may be reduced to 1500 ft.
</t>
        </r>
        <r>
          <rPr>
            <b/>
            <sz val="8"/>
            <color indexed="81"/>
            <rFont val="Tahoma"/>
            <family val="2"/>
          </rPr>
          <t xml:space="preserve">Exposure "C":
</t>
        </r>
        <r>
          <rPr>
            <sz val="8"/>
            <color indexed="81"/>
            <rFont val="Tahoma"/>
            <family val="2"/>
          </rPr>
          <t xml:space="preserve">Exposure C shall apply for all cases where exposures B and D do not apply.
</t>
        </r>
        <r>
          <rPr>
            <b/>
            <sz val="8"/>
            <color indexed="81"/>
            <rFont val="Tahoma"/>
            <family val="2"/>
          </rPr>
          <t>Exposure "D":</t>
        </r>
        <r>
          <rPr>
            <sz val="8"/>
            <color indexed="81"/>
            <rFont val="Tahoma"/>
            <family val="2"/>
          </rPr>
          <t xml:space="preserve">
Exposure D shall apply where the ground surface roughness, as defined by Surface Roughness D, prevails in the upwind diection for a distance &gt;= 5,000 ft. or 20 times the building height, whichever is greater.  Exposure D shall extend into downwind areas of Surface Roughness B or C for a distance of 600 ft. or 20 times the height of the building, whichever is greater.</t>
        </r>
      </text>
    </comment>
    <comment ref="C12" authorId="1" shapeId="0" xr:uid="{00000000-0006-0000-0800-000006000000}">
      <text>
        <r>
          <rPr>
            <sz val="8"/>
            <color indexed="81"/>
            <rFont val="Tahoma"/>
            <family val="2"/>
          </rPr>
          <t>The</t>
        </r>
        <r>
          <rPr>
            <b/>
            <sz val="8"/>
            <color indexed="81"/>
            <rFont val="Tahoma"/>
            <family val="2"/>
          </rPr>
          <t xml:space="preserve"> Topographic Factor, Kzt</t>
        </r>
        <r>
          <rPr>
            <sz val="8"/>
            <color indexed="81"/>
            <rFont val="Tahoma"/>
            <family val="2"/>
          </rPr>
          <t>, accounts for effect of wind speed-up over isolated hills and escarpments (</t>
        </r>
        <r>
          <rPr>
            <b/>
            <sz val="8"/>
            <color indexed="81"/>
            <rFont val="Tahoma"/>
            <family val="2"/>
          </rPr>
          <t>Sect. 26.8</t>
        </r>
        <r>
          <rPr>
            <sz val="8"/>
            <color indexed="81"/>
            <rFont val="Tahoma"/>
            <family val="2"/>
          </rPr>
          <t xml:space="preserve"> and </t>
        </r>
        <r>
          <rPr>
            <b/>
            <sz val="8"/>
            <color indexed="81"/>
            <rFont val="Tahoma"/>
            <family val="2"/>
          </rPr>
          <t>Fig. 26.8-1</t>
        </r>
        <r>
          <rPr>
            <sz val="8"/>
            <color indexed="81"/>
            <rFont val="Tahoma"/>
            <family val="2"/>
          </rPr>
          <t xml:space="preserve">).
</t>
        </r>
        <r>
          <rPr>
            <b/>
            <sz val="8"/>
            <color indexed="81"/>
            <rFont val="Tahoma"/>
            <family val="2"/>
          </rPr>
          <t>Kzt = (1+K1*K2*K3)^2</t>
        </r>
        <r>
          <rPr>
            <sz val="8"/>
            <color indexed="81"/>
            <rFont val="Tahoma"/>
            <family val="2"/>
          </rPr>
          <t xml:space="preserve">   (Eq. 26.8-1), where:
H   = height of hill or escarpment relative to the upwind terrain, in feet.
Lh  = Distance upwind of crest to where the difference in ground elevation is    
         half the height of hill or escarpment, in feet.
K1 = factor to account for shape of topographic feature and maximum   
        speed-up effect.
K2 = factor to account for reduction in speed-up with distance upwind or     
        downwind of crest.
K3 = factor to account for reduction in speed-up with height above local terrain.
x = distance (upwind or downwind) from the crest to the building site, in feet.
z = height above local ground level, in feet.
</t>
        </r>
        <r>
          <rPr>
            <b/>
            <sz val="8"/>
            <color indexed="81"/>
            <rFont val="Tahoma"/>
            <family val="2"/>
          </rPr>
          <t>The effect of wind speed-up shall not be required to be considered (Kzt = 1.0) when H/Lh &lt; 0.2, or H &lt; 15' for Exposures 'C' and 'D', or H &lt; 60' for Exposure 'B'.</t>
        </r>
      </text>
    </comment>
    <comment ref="H12" authorId="1" shapeId="0" xr:uid="{00000000-0006-0000-0800-000007000000}">
      <text>
        <r>
          <rPr>
            <b/>
            <u/>
            <sz val="8"/>
            <color indexed="81"/>
            <rFont val="Tahoma"/>
            <family val="2"/>
          </rPr>
          <t xml:space="preserve">Terrain Exposure Constants (Table 26.9-1)
</t>
        </r>
        <r>
          <rPr>
            <u/>
            <sz val="8"/>
            <color indexed="81"/>
            <rFont val="Tahoma"/>
            <family val="2"/>
          </rPr>
          <t xml:space="preserve">
</t>
        </r>
        <r>
          <rPr>
            <sz val="8"/>
            <color indexed="81"/>
            <rFont val="Tahoma"/>
            <family val="2"/>
          </rPr>
          <t xml:space="preserve">    </t>
        </r>
        <r>
          <rPr>
            <u/>
            <sz val="8"/>
            <color indexed="81"/>
            <rFont val="Tahoma"/>
            <family val="2"/>
          </rPr>
          <t xml:space="preserve">Exposure Category           </t>
        </r>
        <r>
          <rPr>
            <u/>
            <sz val="8"/>
            <color indexed="81"/>
            <rFont val="Symbol"/>
            <family val="1"/>
            <charset val="2"/>
          </rPr>
          <t>a</t>
        </r>
        <r>
          <rPr>
            <u/>
            <sz val="8"/>
            <color indexed="81"/>
            <rFont val="Tahoma"/>
            <family val="2"/>
          </rPr>
          <t xml:space="preserve">           zg (ft)</t>
        </r>
        <r>
          <rPr>
            <sz val="8"/>
            <color indexed="81"/>
            <rFont val="Tahoma"/>
            <family val="2"/>
          </rPr>
          <t xml:space="preserve">
                B                          7.0         1,200
                C                          9.5           900
                D                         11.5          700</t>
        </r>
        <r>
          <rPr>
            <u/>
            <sz val="8"/>
            <color indexed="81"/>
            <rFont val="Tahoma"/>
            <family val="2"/>
          </rPr>
          <t xml:space="preserve">
</t>
        </r>
        <r>
          <rPr>
            <sz val="8"/>
            <color indexed="81"/>
            <rFont val="Tahoma"/>
            <family val="2"/>
          </rPr>
          <t xml:space="preserve">
</t>
        </r>
      </text>
    </comment>
    <comment ref="G15" authorId="0" shapeId="0" xr:uid="{00000000-0006-0000-0800-000008000000}">
      <text>
        <r>
          <rPr>
            <b/>
            <sz val="8"/>
            <color indexed="81"/>
            <rFont val="Tahoma"/>
            <family val="2"/>
          </rPr>
          <t xml:space="preserve"> </t>
        </r>
        <r>
          <rPr>
            <sz val="8"/>
            <color indexed="81"/>
            <rFont val="Tahoma"/>
            <family val="2"/>
          </rPr>
          <t>If the structure is "rigid", then the minimum of either the calculated value of 'G' for "rigid" structures or 0.85 is used.  If the structure is "flexible" then the calculated value of 'G' is used.
(See calculations on page 2.)</t>
        </r>
      </text>
    </comment>
    <comment ref="C16" authorId="1" shapeId="0" xr:uid="{00000000-0006-0000-0800-000009000000}">
      <text>
        <r>
          <rPr>
            <sz val="8"/>
            <color indexed="81"/>
            <rFont val="Tahoma"/>
            <family val="2"/>
          </rPr>
          <t xml:space="preserve">The </t>
        </r>
        <r>
          <rPr>
            <b/>
            <sz val="8"/>
            <color indexed="81"/>
            <rFont val="Tahoma"/>
            <family val="2"/>
          </rPr>
          <t xml:space="preserve">Damping Ratio, </t>
        </r>
        <r>
          <rPr>
            <b/>
            <sz val="8"/>
            <color indexed="81"/>
            <rFont val="Symbol"/>
            <family val="1"/>
            <charset val="2"/>
          </rPr>
          <t>b</t>
        </r>
        <r>
          <rPr>
            <sz val="8"/>
            <color indexed="81"/>
            <rFont val="Tahoma"/>
            <family val="2"/>
          </rPr>
          <t>,</t>
        </r>
        <r>
          <rPr>
            <b/>
            <sz val="8"/>
            <color indexed="81"/>
            <rFont val="Tahoma"/>
            <family val="2"/>
          </rPr>
          <t xml:space="preserve"> </t>
        </r>
        <r>
          <rPr>
            <sz val="8"/>
            <color indexed="81"/>
            <rFont val="Tahoma"/>
            <family val="2"/>
          </rPr>
          <t xml:space="preserve">is the percent of critical damping. 
It is only used in the calculation of the Gust Factor, Gf, when a structure is considered "flexible".  A structure is considered "flexible" when it has a natural frequency,
f &lt; 1 hz. Otherwise the structure is considered "rigid".
Suggested range of values is from 0.010 to 0.070.
</t>
        </r>
        <r>
          <rPr>
            <b/>
            <u/>
            <sz val="8"/>
            <color indexed="81"/>
            <rFont val="Tahoma"/>
            <family val="2"/>
          </rPr>
          <t>Note:</t>
        </r>
        <r>
          <rPr>
            <b/>
            <sz val="8"/>
            <color indexed="81"/>
            <rFont val="Tahoma"/>
            <family val="2"/>
          </rPr>
          <t xml:space="preserve">  if the structure is "flexible", the smaller the value of the damping ratio, the larger the gust effect factor, Gf, becomes.</t>
        </r>
      </text>
    </comment>
    <comment ref="C17" authorId="1" shapeId="0" xr:uid="{00000000-0006-0000-0800-00000A000000}">
      <text>
        <r>
          <rPr>
            <sz val="8"/>
            <color indexed="81"/>
            <rFont val="Tahoma"/>
            <family val="2"/>
          </rPr>
          <t xml:space="preserve">The structure </t>
        </r>
        <r>
          <rPr>
            <b/>
            <sz val="8"/>
            <color indexed="81"/>
            <rFont val="Tahoma"/>
            <family val="2"/>
          </rPr>
          <t>Period Coefficient, Ct</t>
        </r>
        <r>
          <rPr>
            <sz val="8"/>
            <color indexed="81"/>
            <rFont val="Tahoma"/>
            <family val="2"/>
          </rPr>
          <t xml:space="preserve">, has suggested range of values from
0.020 to 0.035. It is used in the equation for the assumed period of the structure:  </t>
        </r>
        <r>
          <rPr>
            <b/>
            <sz val="8"/>
            <color indexed="81"/>
            <rFont val="Tahoma"/>
            <family val="2"/>
          </rPr>
          <t>T = Ct*h^3/4</t>
        </r>
        <r>
          <rPr>
            <sz val="8"/>
            <color indexed="81"/>
            <rFont val="Tahoma"/>
            <family val="2"/>
          </rPr>
          <t>.</t>
        </r>
        <r>
          <rPr>
            <sz val="8"/>
            <color indexed="81"/>
            <rFont val="Tahoma"/>
            <family val="2"/>
          </rPr>
          <t xml:space="preserve">
Then the </t>
        </r>
        <r>
          <rPr>
            <b/>
            <sz val="8"/>
            <color indexed="81"/>
            <rFont val="Tahoma"/>
            <family val="2"/>
          </rPr>
          <t>natural frequency, f</t>
        </r>
        <r>
          <rPr>
            <sz val="8"/>
            <color indexed="81"/>
            <rFont val="Tahoma"/>
            <family val="2"/>
          </rPr>
          <t xml:space="preserve">,  is determined by: </t>
        </r>
        <r>
          <rPr>
            <b/>
            <sz val="8"/>
            <color indexed="81"/>
            <rFont val="Tahoma"/>
            <family val="2"/>
          </rPr>
          <t xml:space="preserve"> f = 1/T</t>
        </r>
        <r>
          <rPr>
            <sz val="8"/>
            <color indexed="81"/>
            <rFont val="Tahoma"/>
            <family val="2"/>
          </rPr>
          <t>.
It is only used in the calculation of the Gust Factor, Gf, when a structure is considered "flexible".  A structure is considered "flexible" when it has a natural frequency, f &lt; 1 hz. Otherwise the structure is considered "rigid".
  Note:  if the period, T, or the natural frequency, f, is already known
             (obtained by other means), then the value of Ct may be
             "manipulated" to give the desired results for T and f.</t>
        </r>
      </text>
    </comment>
    <comment ref="C18" authorId="3" shapeId="0" xr:uid="{00000000-0006-0000-0800-00000B000000}">
      <text>
        <r>
          <rPr>
            <b/>
            <u/>
            <sz val="8"/>
            <color indexed="81"/>
            <rFont val="Tahoma"/>
            <family val="2"/>
          </rPr>
          <t xml:space="preserve">Wind Directionality Factor, Kd (Table 26.6)
             </t>
        </r>
        <r>
          <rPr>
            <u/>
            <sz val="8"/>
            <color indexed="81"/>
            <rFont val="Tahoma"/>
            <family val="2"/>
          </rPr>
          <t xml:space="preserve">Structure Type                                  Kd  
</t>
        </r>
        <r>
          <rPr>
            <sz val="8"/>
            <color indexed="81"/>
            <rFont val="Tahoma"/>
            <family val="2"/>
          </rPr>
          <t xml:space="preserve">
Buildings
    Main Wind-Force Resisting System           0.85
    Components and Cladding                        0.85
Note:  this factor shall only be applied when
           used in conjunction with load combinations
           specified in Sect. 2.3 and 2.4.
           Otherwise, use Kd = 1.0. </t>
        </r>
      </text>
    </comment>
    <comment ref="I20" authorId="4" shapeId="0" xr:uid="{00000000-0006-0000-0800-00000C000000}">
      <text>
        <r>
          <rPr>
            <sz val="8"/>
            <color indexed="81"/>
            <rFont val="Tahoma"/>
            <family val="2"/>
          </rPr>
          <t xml:space="preserve">Per Code </t>
        </r>
        <r>
          <rPr>
            <b/>
            <sz val="8"/>
            <color indexed="81"/>
            <rFont val="Tahoma"/>
            <family val="2"/>
          </rPr>
          <t>Section 27.4.7</t>
        </r>
        <r>
          <rPr>
            <sz val="8"/>
            <color indexed="81"/>
            <rFont val="Tahoma"/>
            <family val="2"/>
          </rPr>
          <t xml:space="preserve">, the design wind force for open buildings and other structures shall not be less than </t>
        </r>
        <r>
          <rPr>
            <b/>
            <sz val="8"/>
            <color indexed="81"/>
            <rFont val="Tahoma"/>
            <family val="2"/>
          </rPr>
          <t xml:space="preserve">16 psf </t>
        </r>
        <r>
          <rPr>
            <sz val="8"/>
            <color indexed="81"/>
            <rFont val="Tahoma"/>
            <family val="2"/>
          </rPr>
          <t>multiplied by the area, 'Af', the area normal to the wind direction.</t>
        </r>
      </text>
    </comment>
    <comment ref="I25" authorId="4" shapeId="0" xr:uid="{00000000-0006-0000-0800-00000D000000}">
      <text>
        <r>
          <rPr>
            <sz val="8"/>
            <color indexed="81"/>
            <rFont val="Tahoma"/>
            <family val="2"/>
          </rPr>
          <t xml:space="preserve">Per Code </t>
        </r>
        <r>
          <rPr>
            <b/>
            <sz val="8"/>
            <color indexed="81"/>
            <rFont val="Tahoma"/>
            <family val="2"/>
          </rPr>
          <t>Section 27.4.7</t>
        </r>
        <r>
          <rPr>
            <sz val="8"/>
            <color indexed="81"/>
            <rFont val="Tahoma"/>
            <family val="2"/>
          </rPr>
          <t xml:space="preserve">, the design wind force for open buildings and other structures shall not be less than </t>
        </r>
        <r>
          <rPr>
            <b/>
            <sz val="8"/>
            <color indexed="81"/>
            <rFont val="Tahoma"/>
            <family val="2"/>
          </rPr>
          <t>16 psf</t>
        </r>
        <r>
          <rPr>
            <sz val="8"/>
            <color indexed="81"/>
            <rFont val="Tahoma"/>
            <family val="2"/>
          </rPr>
          <t xml:space="preserve"> multiplied by the area, 'Af', the area normal to the wind direction.</t>
        </r>
      </text>
    </comment>
    <comment ref="I26" authorId="0" shapeId="0" xr:uid="{00000000-0006-0000-0800-00000E000000}">
      <text>
        <r>
          <rPr>
            <sz val="8"/>
            <color indexed="81"/>
            <rFont val="Tahoma"/>
            <family val="2"/>
          </rPr>
          <t>Note: User is to input applicable values of the force coefficient, 'Cf', in the table.  
(Four different values are permitted.)  
See page 3 below for details and replication of ASCE 7-10 Figures 29.5-2 and 29.-3.</t>
        </r>
      </text>
    </comment>
    <comment ref="B60" authorId="1" shapeId="0" xr:uid="{00000000-0006-0000-0800-00000F000000}">
      <text>
        <r>
          <rPr>
            <sz val="8"/>
            <color indexed="81"/>
            <rFont val="Tahoma"/>
            <family val="2"/>
          </rPr>
          <t>Structures which have a natural frequency, f &gt;= 1 Hz are considered "rigid".
Structures which have a natural frequency, f &lt; 1 Hz are considered "flexible".</t>
        </r>
      </text>
    </comment>
    <comment ref="D62" authorId="1" shapeId="0" xr:uid="{00000000-0006-0000-0800-000010000000}">
      <text>
        <r>
          <rPr>
            <sz val="8"/>
            <color indexed="81"/>
            <rFont val="Tahoma"/>
            <family val="2"/>
          </rPr>
          <t xml:space="preserve">The </t>
        </r>
        <r>
          <rPr>
            <b/>
            <sz val="8"/>
            <color indexed="81"/>
            <rFont val="Tahoma"/>
            <family val="2"/>
          </rPr>
          <t>Gust Effect Factor, G</t>
        </r>
        <r>
          <rPr>
            <sz val="8"/>
            <color indexed="81"/>
            <rFont val="Tahoma"/>
            <family val="2"/>
          </rPr>
          <t xml:space="preserve">, for rigid structures may be simply taken as </t>
        </r>
        <r>
          <rPr>
            <b/>
            <sz val="8"/>
            <color indexed="81"/>
            <rFont val="Tahoma"/>
            <family val="2"/>
          </rPr>
          <t>0.85</t>
        </r>
        <r>
          <rPr>
            <sz val="8"/>
            <color indexed="81"/>
            <rFont val="Tahoma"/>
            <family val="2"/>
          </rPr>
          <t xml:space="preserve"> for all structure exposure conditions.
</t>
        </r>
        <r>
          <rPr>
            <u/>
            <sz val="8"/>
            <color indexed="81"/>
            <rFont val="Tahoma"/>
            <family val="2"/>
          </rPr>
          <t xml:space="preserve">
</t>
        </r>
        <r>
          <rPr>
            <sz val="8"/>
            <color indexed="81"/>
            <rFont val="Tahoma"/>
            <family val="2"/>
          </rPr>
          <t xml:space="preserve">
</t>
        </r>
      </text>
    </comment>
    <comment ref="H65" authorId="1" shapeId="0" xr:uid="{00000000-0006-0000-0800-000011000000}">
      <text>
        <r>
          <rPr>
            <b/>
            <sz val="8"/>
            <color indexed="81"/>
            <rFont val="Tahoma"/>
            <family val="2"/>
          </rPr>
          <t xml:space="preserve">                                        Terrain Exposure Constants (Table 26.9-1)
</t>
        </r>
        <r>
          <rPr>
            <u/>
            <sz val="8"/>
            <color indexed="81"/>
            <rFont val="Tahoma"/>
            <family val="2"/>
          </rPr>
          <t xml:space="preserve">Exposure         </t>
        </r>
        <r>
          <rPr>
            <u/>
            <sz val="8"/>
            <color indexed="81"/>
            <rFont val="Symbol"/>
            <family val="1"/>
            <charset val="2"/>
          </rPr>
          <t>a</t>
        </r>
        <r>
          <rPr>
            <u/>
            <sz val="8"/>
            <color indexed="81"/>
            <rFont val="Tahoma"/>
            <family val="2"/>
          </rPr>
          <t xml:space="preserve">        zg(ft)      </t>
        </r>
        <r>
          <rPr>
            <u/>
            <sz val="8"/>
            <color indexed="81"/>
            <rFont val="Symbol"/>
            <family val="1"/>
            <charset val="2"/>
          </rPr>
          <t>a</t>
        </r>
        <r>
          <rPr>
            <u/>
            <sz val="8"/>
            <color indexed="81"/>
            <rFont val="Tahoma"/>
            <family val="2"/>
          </rPr>
          <t xml:space="preserve">^        b^        </t>
        </r>
        <r>
          <rPr>
            <u/>
            <sz val="8"/>
            <color indexed="81"/>
            <rFont val="Symbol"/>
            <family val="1"/>
            <charset val="2"/>
          </rPr>
          <t>a</t>
        </r>
        <r>
          <rPr>
            <u/>
            <sz val="8"/>
            <color indexed="81"/>
            <rFont val="Tahoma"/>
            <family val="2"/>
          </rPr>
          <t xml:space="preserve">(bar)        b(bar)        c      </t>
        </r>
        <r>
          <rPr>
            <u/>
            <sz val="8"/>
            <color indexed="81"/>
            <rFont val="Italic"/>
          </rPr>
          <t xml:space="preserve"> l</t>
        </r>
        <r>
          <rPr>
            <u/>
            <sz val="8"/>
            <color indexed="81"/>
            <rFont val="Tahoma"/>
            <family val="2"/>
          </rPr>
          <t xml:space="preserve">(ft)        </t>
        </r>
        <r>
          <rPr>
            <u/>
            <sz val="8"/>
            <color indexed="81"/>
            <rFont val="Symbol"/>
            <family val="1"/>
            <charset val="2"/>
          </rPr>
          <t>e</t>
        </r>
        <r>
          <rPr>
            <u/>
            <sz val="8"/>
            <color indexed="81"/>
            <rFont val="Tahoma"/>
            <family val="2"/>
          </rPr>
          <t xml:space="preserve">        z(min)</t>
        </r>
        <r>
          <rPr>
            <sz val="8"/>
            <color indexed="81"/>
            <rFont val="Tahoma"/>
            <family val="2"/>
          </rPr>
          <t xml:space="preserve">                                                                     
     B                7.0      1200      1/7       0.84       1/4.0         0.45        0.30     320     1/3.0       30
     C                9.5       900     1/9.5     1.00       1/6.5         0.65        0.20     500      1/5.0       15
     D               11.5      700    1/11.5    1.07       1/9.0         0.80        0.15     650      1/8.0        7
Note:  z(min) = minimum height used to ensure that the equivalent height z(bar) is greater of
                         0.6*h or z(min). For buildings with h&lt;= z(min), z(bar) shall be taken as z(min).</t>
        </r>
        <r>
          <rPr>
            <u/>
            <sz val="8"/>
            <color indexed="81"/>
            <rFont val="Tahoma"/>
            <family val="2"/>
          </rPr>
          <t xml:space="preserve">
</t>
        </r>
      </text>
    </comment>
    <comment ref="B76" authorId="1" shapeId="0" xr:uid="{00000000-0006-0000-0800-000012000000}">
      <text>
        <r>
          <rPr>
            <sz val="8"/>
            <color indexed="81"/>
            <rFont val="Tahoma"/>
            <family val="2"/>
          </rPr>
          <t xml:space="preserve">The </t>
        </r>
        <r>
          <rPr>
            <b/>
            <sz val="8"/>
            <color indexed="81"/>
            <rFont val="Tahoma"/>
            <family val="2"/>
          </rPr>
          <t>Equivalent Height of the Structure, z(bar)</t>
        </r>
        <r>
          <rPr>
            <sz val="8"/>
            <color indexed="81"/>
            <rFont val="Tahoma"/>
            <family val="2"/>
          </rPr>
          <t>.
z(bar) = 0.6*h  but not less than z(min) from Table C28.4-1.</t>
        </r>
      </text>
    </comment>
    <comment ref="B77" authorId="1" shapeId="0" xr:uid="{00000000-0006-0000-0800-000013000000}">
      <text>
        <r>
          <rPr>
            <sz val="8"/>
            <color indexed="81"/>
            <rFont val="Tahoma"/>
            <family val="2"/>
          </rPr>
          <t xml:space="preserve">The </t>
        </r>
        <r>
          <rPr>
            <b/>
            <sz val="8"/>
            <color indexed="81"/>
            <rFont val="Tahoma"/>
            <family val="2"/>
          </rPr>
          <t>Intensity of Turbulence</t>
        </r>
        <r>
          <rPr>
            <sz val="8"/>
            <color indexed="81"/>
            <rFont val="Tahoma"/>
            <family val="2"/>
          </rPr>
          <t xml:space="preserve"> at height = z(bar).
Iz(bar) = c*(33/z(bar))^(1/6)</t>
        </r>
      </text>
    </comment>
    <comment ref="B78" authorId="1" shapeId="0" xr:uid="{00000000-0006-0000-0800-000014000000}">
      <text>
        <r>
          <rPr>
            <sz val="8"/>
            <color indexed="81"/>
            <rFont val="Tahoma"/>
            <family val="2"/>
          </rPr>
          <t xml:space="preserve">The </t>
        </r>
        <r>
          <rPr>
            <b/>
            <sz val="8"/>
            <color indexed="81"/>
            <rFont val="Tahoma"/>
            <family val="2"/>
          </rPr>
          <t>Integral Length Scale of Turbulence</t>
        </r>
        <r>
          <rPr>
            <sz val="8"/>
            <color indexed="81"/>
            <rFont val="Tahoma"/>
            <family val="2"/>
          </rPr>
          <t xml:space="preserve"> at the equivalent height.  
Lz(bar) = </t>
        </r>
        <r>
          <rPr>
            <sz val="8"/>
            <color indexed="81"/>
            <rFont val="Italic"/>
          </rPr>
          <t>l</t>
        </r>
        <r>
          <rPr>
            <sz val="8"/>
            <color indexed="81"/>
            <rFont val="Tahoma"/>
            <family val="2"/>
          </rPr>
          <t>*(z(bar)/33)^(</t>
        </r>
        <r>
          <rPr>
            <sz val="8"/>
            <color indexed="81"/>
            <rFont val="Symbol"/>
            <family val="1"/>
            <charset val="2"/>
          </rPr>
          <t xml:space="preserve">e </t>
        </r>
        <r>
          <rPr>
            <sz val="8"/>
            <color indexed="81"/>
            <rFont val="Tahoma"/>
            <family val="2"/>
          </rPr>
          <t>(bar))</t>
        </r>
      </text>
    </comment>
    <comment ref="B79" authorId="4" shapeId="0" xr:uid="{00000000-0006-0000-0800-000015000000}">
      <text>
        <r>
          <rPr>
            <sz val="8"/>
            <color indexed="81"/>
            <rFont val="Tahoma"/>
            <family val="2"/>
          </rPr>
          <t>Peak Factor for backround response:
gq = 3.4  (per Sect. 26.9.3)</t>
        </r>
      </text>
    </comment>
    <comment ref="B80" authorId="4" shapeId="0" xr:uid="{00000000-0006-0000-0800-000016000000}">
      <text>
        <r>
          <rPr>
            <sz val="8"/>
            <color indexed="81"/>
            <rFont val="Tahoma"/>
            <family val="2"/>
          </rPr>
          <t>Peak Factor for wind response:
gv = 3.4  (per Sect. 26.9.3)</t>
        </r>
      </text>
    </comment>
    <comment ref="B81" authorId="4" shapeId="0" xr:uid="{00000000-0006-0000-0800-000017000000}">
      <text>
        <r>
          <rPr>
            <sz val="8"/>
            <color indexed="81"/>
            <rFont val="Tahoma"/>
            <family val="2"/>
          </rPr>
          <t>Peak Factor for resonant response:
gr = (2*(LN(3600*f)))^(1/2)+0.577/(2*LN(3600*f))^(1/2)
Note: the symbol, f, was subsituted for the original symbol,
          n1, in the equation above.</t>
        </r>
      </text>
    </comment>
    <comment ref="B82" authorId="1" shapeId="0" xr:uid="{00000000-0006-0000-0800-000018000000}">
      <text>
        <r>
          <rPr>
            <sz val="8"/>
            <color indexed="81"/>
            <rFont val="Tahoma"/>
            <family val="2"/>
          </rPr>
          <t xml:space="preserve">The </t>
        </r>
        <r>
          <rPr>
            <b/>
            <sz val="8"/>
            <color indexed="81"/>
            <rFont val="Tahoma"/>
            <family val="2"/>
          </rPr>
          <t>Backround Response Factor, Q</t>
        </r>
        <r>
          <rPr>
            <sz val="8"/>
            <color indexed="81"/>
            <rFont val="Tahoma"/>
            <family val="2"/>
          </rPr>
          <t>.
Q = (1/(1+0.63*((B+h)/Lz(bar))^0.63))^(1/2)
   where: B = structure width normal to wind
               h = structure mean roof height</t>
        </r>
      </text>
    </comment>
    <comment ref="C84" authorId="1" shapeId="0" xr:uid="{00000000-0006-0000-0800-000019000000}">
      <text>
        <r>
          <rPr>
            <b/>
            <sz val="8"/>
            <color indexed="81"/>
            <rFont val="Tahoma"/>
            <family val="2"/>
          </rPr>
          <t>The Gust Effect Factor, G</t>
        </r>
        <r>
          <rPr>
            <sz val="8"/>
            <color indexed="81"/>
            <rFont val="Tahoma"/>
            <family val="2"/>
          </rPr>
          <t xml:space="preserve">, for a rigid structure as calculated from Eqn. 26.9-6. </t>
        </r>
      </text>
    </comment>
    <comment ref="B85" authorId="1" shapeId="0" xr:uid="{00000000-0006-0000-0800-00001A000000}">
      <text>
        <r>
          <rPr>
            <sz val="8"/>
            <color indexed="81"/>
            <rFont val="Tahoma"/>
            <family val="2"/>
          </rPr>
          <t xml:space="preserve">The </t>
        </r>
        <r>
          <rPr>
            <b/>
            <sz val="8"/>
            <color indexed="81"/>
            <rFont val="Tahoma"/>
            <family val="2"/>
          </rPr>
          <t>Gust Effect Factor, G</t>
        </r>
        <r>
          <rPr>
            <sz val="8"/>
            <color indexed="81"/>
            <rFont val="Tahoma"/>
            <family val="2"/>
          </rPr>
          <t>, for a "rigid" structure.
G = 0.925*((1+1.7*gq*Iz(bar)*Q)/(1+1.7*gv*Iz(bar)))
       where: gq = 3.4  and gv = 3.4</t>
        </r>
      </text>
    </comment>
    <comment ref="D87" authorId="1" shapeId="0" xr:uid="{00000000-0006-0000-0800-00001B000000}">
      <text>
        <r>
          <rPr>
            <sz val="8"/>
            <color indexed="81"/>
            <rFont val="Tahoma"/>
            <family val="2"/>
          </rPr>
          <t xml:space="preserve">The </t>
        </r>
        <r>
          <rPr>
            <b/>
            <sz val="8"/>
            <color indexed="81"/>
            <rFont val="Tahoma"/>
            <family val="2"/>
          </rPr>
          <t>Gust Effect Factor, Gf</t>
        </r>
        <r>
          <rPr>
            <sz val="8"/>
            <color indexed="81"/>
            <rFont val="Tahoma"/>
            <family val="2"/>
          </rPr>
          <t>, for a  flexible structure as calculated from Eqn 26.9-10.  Note:  calculations below are applicable only for "flexible" structures which have a natural frequency, f &lt; 1 hz.</t>
        </r>
      </text>
    </comment>
    <comment ref="B92" authorId="1" shapeId="0" xr:uid="{00000000-0006-0000-0800-00001C000000}">
      <text>
        <r>
          <rPr>
            <sz val="8"/>
            <color indexed="81"/>
            <rFont val="Tahoma"/>
            <family val="2"/>
          </rPr>
          <t xml:space="preserve">The </t>
        </r>
        <r>
          <rPr>
            <b/>
            <sz val="8"/>
            <color indexed="81"/>
            <rFont val="Tahoma"/>
            <family val="2"/>
          </rPr>
          <t>Basic Wind Speed, V</t>
        </r>
        <r>
          <rPr>
            <sz val="8"/>
            <color indexed="81"/>
            <rFont val="Tahoma"/>
            <family val="2"/>
          </rPr>
          <t>, converted from units of mph to ft/sec.
V(fps) = V(mph)*(88/60)</t>
        </r>
      </text>
    </comment>
    <comment ref="B93" authorId="1" shapeId="0" xr:uid="{00000000-0006-0000-0800-00001D000000}">
      <text>
        <r>
          <rPr>
            <sz val="8"/>
            <color indexed="81"/>
            <rFont val="Tahoma"/>
            <family val="2"/>
          </rPr>
          <t>The</t>
        </r>
        <r>
          <rPr>
            <b/>
            <sz val="8"/>
            <color indexed="81"/>
            <rFont val="Tahoma"/>
            <family val="2"/>
          </rPr>
          <t xml:space="preserve"> Mean Hourly Wind Speed, V(bar,zbar)</t>
        </r>
        <r>
          <rPr>
            <sz val="8"/>
            <color indexed="81"/>
            <rFont val="Tahoma"/>
            <family val="2"/>
          </rPr>
          <t>.
V(bar,zbar) = b(bar)*(z(bar)/33)^(</t>
        </r>
        <r>
          <rPr>
            <sz val="8"/>
            <color indexed="81"/>
            <rFont val="Symbol"/>
            <family val="1"/>
            <charset val="2"/>
          </rPr>
          <t>a</t>
        </r>
        <r>
          <rPr>
            <sz val="8"/>
            <color indexed="81"/>
            <rFont val="Tahoma"/>
            <family val="2"/>
          </rPr>
          <t>(bar))*V*(88/60)</t>
        </r>
      </text>
    </comment>
    <comment ref="B94" authorId="1" shapeId="0" xr:uid="{00000000-0006-0000-0800-00001E000000}">
      <text>
        <r>
          <rPr>
            <sz val="8"/>
            <color indexed="81"/>
            <rFont val="Tahoma"/>
            <family val="2"/>
          </rPr>
          <t>N1 = f*Lz(bar)/(V(bar,zbar))
Note: the symbol, f, was subsituted for
          the original symbol, n1, in the 
          equation above.</t>
        </r>
      </text>
    </comment>
    <comment ref="B95" authorId="1" shapeId="0" xr:uid="{00000000-0006-0000-0800-00001F000000}">
      <text>
        <r>
          <rPr>
            <sz val="8"/>
            <color indexed="81"/>
            <rFont val="Tahoma"/>
            <family val="2"/>
          </rPr>
          <t>Rn = 7.47*N1/(1+10.3*N1)^(5/3)</t>
        </r>
      </text>
    </comment>
    <comment ref="B96" authorId="1" shapeId="0" xr:uid="{00000000-0006-0000-0800-000020000000}">
      <text>
        <r>
          <rPr>
            <sz val="8"/>
            <color indexed="81"/>
            <rFont val="Symbol"/>
            <family val="1"/>
            <charset val="2"/>
          </rPr>
          <t>h</t>
        </r>
        <r>
          <rPr>
            <sz val="8"/>
            <color indexed="81"/>
            <rFont val="Tahoma"/>
            <family val="2"/>
          </rPr>
          <t>h = 4.6*f*h/(V(bar,zbar))
Note: the symbol, f, was subsituted
          for the original symbol, n1, in
          the equation above.</t>
        </r>
      </text>
    </comment>
    <comment ref="B97" authorId="1" shapeId="0" xr:uid="{00000000-0006-0000-0800-000021000000}">
      <text>
        <r>
          <rPr>
            <sz val="8"/>
            <color indexed="81"/>
            <rFont val="Tahoma"/>
            <family val="2"/>
          </rPr>
          <t>Rh = (1/</t>
        </r>
        <r>
          <rPr>
            <sz val="8"/>
            <color indexed="81"/>
            <rFont val="Symbol"/>
            <family val="1"/>
            <charset val="2"/>
          </rPr>
          <t>h</t>
        </r>
        <r>
          <rPr>
            <sz val="8"/>
            <color indexed="81"/>
            <rFont val="Tahoma"/>
            <family val="2"/>
          </rPr>
          <t>h)-1/(2*</t>
        </r>
        <r>
          <rPr>
            <sz val="8"/>
            <color indexed="81"/>
            <rFont val="Symbol"/>
            <family val="1"/>
            <charset val="2"/>
          </rPr>
          <t>h</t>
        </r>
        <r>
          <rPr>
            <sz val="8"/>
            <color indexed="81"/>
            <rFont val="Tahoma"/>
            <family val="2"/>
          </rPr>
          <t>h^2)*(1-e^(-2*</t>
        </r>
        <r>
          <rPr>
            <sz val="8"/>
            <color indexed="81"/>
            <rFont val="Symbol"/>
            <family val="1"/>
            <charset val="2"/>
          </rPr>
          <t>h</t>
        </r>
        <r>
          <rPr>
            <sz val="8"/>
            <color indexed="81"/>
            <rFont val="Tahoma"/>
            <family val="2"/>
          </rPr>
          <t xml:space="preserve">h))    for </t>
        </r>
        <r>
          <rPr>
            <sz val="8"/>
            <color indexed="81"/>
            <rFont val="Symbol"/>
            <family val="1"/>
            <charset val="2"/>
          </rPr>
          <t>h</t>
        </r>
        <r>
          <rPr>
            <sz val="8"/>
            <color indexed="81"/>
            <rFont val="Tahoma"/>
            <family val="2"/>
          </rPr>
          <t xml:space="preserve">h &gt; 0
or: Rh = 1    for </t>
        </r>
        <r>
          <rPr>
            <sz val="8"/>
            <color indexed="81"/>
            <rFont val="Symbol"/>
            <family val="1"/>
            <charset val="2"/>
          </rPr>
          <t>h</t>
        </r>
        <r>
          <rPr>
            <sz val="8"/>
            <color indexed="81"/>
            <rFont val="Tahoma"/>
            <family val="2"/>
          </rPr>
          <t>h = 0</t>
        </r>
      </text>
    </comment>
    <comment ref="B98" authorId="1" shapeId="0" xr:uid="{00000000-0006-0000-0800-000022000000}">
      <text>
        <r>
          <rPr>
            <sz val="8"/>
            <color indexed="81"/>
            <rFont val="Symbol"/>
            <family val="1"/>
            <charset val="2"/>
          </rPr>
          <t>h</t>
        </r>
        <r>
          <rPr>
            <sz val="8"/>
            <color indexed="81"/>
            <rFont val="Tahoma"/>
            <family val="2"/>
          </rPr>
          <t>b =4.6*f*B/(V(bar,zbar))
  where: B = building width normal to wind
Note: the symbol, f, was subsituted
          for the original symbol, n1, in
          the equation above.</t>
        </r>
      </text>
    </comment>
    <comment ref="B99" authorId="1" shapeId="0" xr:uid="{00000000-0006-0000-0800-000023000000}">
      <text>
        <r>
          <rPr>
            <sz val="8"/>
            <color indexed="81"/>
            <rFont val="Tahoma"/>
            <family val="2"/>
          </rPr>
          <t>RB = (1/</t>
        </r>
        <r>
          <rPr>
            <sz val="8"/>
            <color indexed="81"/>
            <rFont val="Symbol"/>
            <family val="1"/>
            <charset val="2"/>
          </rPr>
          <t>h</t>
        </r>
        <r>
          <rPr>
            <sz val="8"/>
            <color indexed="81"/>
            <rFont val="Tahoma"/>
            <family val="2"/>
          </rPr>
          <t>B)-1/(2*</t>
        </r>
        <r>
          <rPr>
            <sz val="8"/>
            <color indexed="81"/>
            <rFont val="Symbol"/>
            <family val="1"/>
            <charset val="2"/>
          </rPr>
          <t>h</t>
        </r>
        <r>
          <rPr>
            <sz val="8"/>
            <color indexed="81"/>
            <rFont val="Tahoma"/>
            <family val="2"/>
          </rPr>
          <t>B^2)*(1-e^(-2*</t>
        </r>
        <r>
          <rPr>
            <sz val="8"/>
            <color indexed="81"/>
            <rFont val="Symbol"/>
            <family val="1"/>
            <charset val="2"/>
          </rPr>
          <t>h</t>
        </r>
        <r>
          <rPr>
            <sz val="8"/>
            <color indexed="81"/>
            <rFont val="Tahoma"/>
            <family val="2"/>
          </rPr>
          <t xml:space="preserve">B))    for </t>
        </r>
        <r>
          <rPr>
            <sz val="8"/>
            <color indexed="81"/>
            <rFont val="Symbol"/>
            <family val="1"/>
            <charset val="2"/>
          </rPr>
          <t>h</t>
        </r>
        <r>
          <rPr>
            <sz val="8"/>
            <color indexed="81"/>
            <rFont val="Tahoma"/>
            <family val="2"/>
          </rPr>
          <t>B &gt; 0
or: RB = 1    for</t>
        </r>
        <r>
          <rPr>
            <sz val="8"/>
            <color indexed="81"/>
            <rFont val="GreekS"/>
          </rPr>
          <t xml:space="preserve"> </t>
        </r>
        <r>
          <rPr>
            <sz val="8"/>
            <color indexed="81"/>
            <rFont val="Symbol"/>
            <family val="1"/>
            <charset val="2"/>
          </rPr>
          <t>h</t>
        </r>
        <r>
          <rPr>
            <sz val="8"/>
            <color indexed="81"/>
            <rFont val="Tahoma"/>
            <family val="2"/>
          </rPr>
          <t>B = 0</t>
        </r>
      </text>
    </comment>
    <comment ref="B100" authorId="1" shapeId="0" xr:uid="{00000000-0006-0000-0800-000024000000}">
      <text>
        <r>
          <rPr>
            <sz val="8"/>
            <color indexed="81"/>
            <rFont val="Symbol"/>
            <family val="1"/>
            <charset val="2"/>
          </rPr>
          <t>h</t>
        </r>
        <r>
          <rPr>
            <sz val="8"/>
            <color indexed="81"/>
            <rFont val="Tahoma"/>
            <family val="2"/>
          </rPr>
          <t>d = 15.4*f*L/(V(bar,zbar))
  where: L = depth of building parallel to wind
Note: the symbol, f, was subsituted
          for the original symbol, n1, in
          the equation above.</t>
        </r>
      </text>
    </comment>
    <comment ref="B101" authorId="1" shapeId="0" xr:uid="{00000000-0006-0000-0800-000025000000}">
      <text>
        <r>
          <rPr>
            <sz val="8"/>
            <color indexed="81"/>
            <rFont val="Tahoma"/>
            <family val="2"/>
          </rPr>
          <t>RL = (1/</t>
        </r>
        <r>
          <rPr>
            <sz val="8"/>
            <color indexed="81"/>
            <rFont val="Symbol"/>
            <family val="1"/>
            <charset val="2"/>
          </rPr>
          <t>h</t>
        </r>
        <r>
          <rPr>
            <sz val="8"/>
            <color indexed="81"/>
            <rFont val="Tahoma"/>
            <family val="2"/>
          </rPr>
          <t>L)-1/(2*</t>
        </r>
        <r>
          <rPr>
            <sz val="8"/>
            <color indexed="81"/>
            <rFont val="Symbol"/>
            <family val="1"/>
            <charset val="2"/>
          </rPr>
          <t>h</t>
        </r>
        <r>
          <rPr>
            <sz val="8"/>
            <color indexed="81"/>
            <rFont val="Tahoma"/>
            <family val="2"/>
          </rPr>
          <t>L^2)*(1-e^(-2*</t>
        </r>
        <r>
          <rPr>
            <sz val="8"/>
            <color indexed="81"/>
            <rFont val="Symbol"/>
            <family val="1"/>
            <charset val="2"/>
          </rPr>
          <t>h</t>
        </r>
        <r>
          <rPr>
            <sz val="8"/>
            <color indexed="81"/>
            <rFont val="Tahoma"/>
            <family val="2"/>
          </rPr>
          <t>L))    for</t>
        </r>
        <r>
          <rPr>
            <sz val="8"/>
            <color indexed="81"/>
            <rFont val="GreekS"/>
          </rPr>
          <t xml:space="preserve"> </t>
        </r>
        <r>
          <rPr>
            <sz val="8"/>
            <color indexed="81"/>
            <rFont val="Symbol"/>
            <family val="1"/>
            <charset val="2"/>
          </rPr>
          <t>h</t>
        </r>
        <r>
          <rPr>
            <sz val="8"/>
            <color indexed="81"/>
            <rFont val="Tahoma"/>
            <family val="2"/>
          </rPr>
          <t xml:space="preserve">L &gt; 0
or: RL = 1    for </t>
        </r>
        <r>
          <rPr>
            <sz val="8"/>
            <color indexed="81"/>
            <rFont val="Symbol"/>
            <family val="1"/>
            <charset val="2"/>
          </rPr>
          <t>h</t>
        </r>
        <r>
          <rPr>
            <sz val="8"/>
            <color indexed="81"/>
            <rFont val="Tahoma"/>
            <family val="2"/>
          </rPr>
          <t>L = 0</t>
        </r>
      </text>
    </comment>
    <comment ref="B102" authorId="1" shapeId="0" xr:uid="{00000000-0006-0000-0800-000026000000}">
      <text>
        <r>
          <rPr>
            <sz val="8"/>
            <color indexed="81"/>
            <rFont val="Tahoma"/>
            <family val="2"/>
          </rPr>
          <t xml:space="preserve">The </t>
        </r>
        <r>
          <rPr>
            <b/>
            <sz val="8"/>
            <color indexed="81"/>
            <rFont val="Tahoma"/>
            <family val="2"/>
          </rPr>
          <t>Resonant Response Factor, R</t>
        </r>
        <r>
          <rPr>
            <sz val="8"/>
            <color indexed="81"/>
            <rFont val="Tahoma"/>
            <family val="2"/>
          </rPr>
          <t>.
R = ((1/</t>
        </r>
        <r>
          <rPr>
            <sz val="8"/>
            <color indexed="81"/>
            <rFont val="Symbol"/>
            <family val="1"/>
            <charset val="2"/>
          </rPr>
          <t>b</t>
        </r>
        <r>
          <rPr>
            <sz val="8"/>
            <color indexed="81"/>
            <rFont val="Tahoma"/>
            <family val="2"/>
          </rPr>
          <t>)*Rn*Rh*Rb*(0.53+0.47*Rd))^1/2</t>
        </r>
      </text>
    </comment>
    <comment ref="B103" authorId="1" shapeId="0" xr:uid="{00000000-0006-0000-0800-000027000000}">
      <text>
        <r>
          <rPr>
            <sz val="8"/>
            <color indexed="81"/>
            <rFont val="Tahoma"/>
            <family val="2"/>
          </rPr>
          <t xml:space="preserve">The </t>
        </r>
        <r>
          <rPr>
            <b/>
            <sz val="8"/>
            <color indexed="81"/>
            <rFont val="Tahoma"/>
            <family val="2"/>
          </rPr>
          <t>Gust Effect Factor, Gf</t>
        </r>
        <r>
          <rPr>
            <sz val="8"/>
            <color indexed="81"/>
            <rFont val="Tahoma"/>
            <family val="2"/>
          </rPr>
          <t>, for a "flexible" building.
Gf = 0.925*(1+1.7*Iz(bar)*(gq^2*Q^2+gr^2*R^2)^(1/2))/(1+1.7*gv*Iz(bar))</t>
        </r>
      </text>
    </comment>
    <comment ref="B104" authorId="4" shapeId="0" xr:uid="{00000000-0006-0000-0800-000028000000}">
      <text>
        <r>
          <rPr>
            <sz val="8"/>
            <color indexed="81"/>
            <rFont val="Tahoma"/>
            <family val="2"/>
          </rPr>
          <t>For a rigid structure, the smaller of the value of either 0.85 or the value as calculated in item #2 is used for the gust effect factor, G.</t>
        </r>
      </text>
    </comment>
  </commentList>
</comments>
</file>

<file path=xl/sharedStrings.xml><?xml version="1.0" encoding="utf-8"?>
<sst xmlns="http://schemas.openxmlformats.org/spreadsheetml/2006/main" count="1902" uniqueCount="900">
  <si>
    <t>= c*(33/z(bar))^(1/6) ,  Eq. 6-5</t>
  </si>
  <si>
    <t>= 7.47*N1/(1+10.3*N1)^(5/3) , Eq. 6-11</t>
  </si>
  <si>
    <t>Roof External Pressure Coefficients (without overhangs), GCp:</t>
  </si>
  <si>
    <t>Roof External Pressure Coefficients (with overhangs), GCp:</t>
  </si>
  <si>
    <t>Enclosed? (Y/N)</t>
  </si>
  <si>
    <r>
      <t xml:space="preserve">= </t>
    </r>
    <r>
      <rPr>
        <sz val="10"/>
        <color indexed="8"/>
        <rFont val="Italic"/>
      </rPr>
      <t>l</t>
    </r>
    <r>
      <rPr>
        <sz val="10"/>
        <color indexed="8"/>
        <rFont val="Arial"/>
        <family val="2"/>
      </rPr>
      <t>*(z(bar)/33)^(</t>
    </r>
    <r>
      <rPr>
        <sz val="10"/>
        <color indexed="8"/>
        <rFont val="Symbol"/>
        <family val="1"/>
        <charset val="2"/>
      </rPr>
      <t>e</t>
    </r>
    <r>
      <rPr>
        <sz val="10"/>
        <color indexed="8"/>
        <rFont val="Arial"/>
        <family val="2"/>
      </rPr>
      <t>(bar))</t>
    </r>
    <r>
      <rPr>
        <sz val="10"/>
        <color indexed="8"/>
        <rFont val="Symbol"/>
        <family val="1"/>
        <charset val="2"/>
      </rPr>
      <t xml:space="preserve"> ,  </t>
    </r>
    <r>
      <rPr>
        <sz val="10"/>
        <color indexed="8"/>
        <rFont val="Arial"/>
        <family val="2"/>
      </rPr>
      <t>Eq. 6-7</t>
    </r>
  </si>
  <si>
    <r>
      <t>= ((1/</t>
    </r>
    <r>
      <rPr>
        <sz val="10"/>
        <color indexed="8"/>
        <rFont val="Symbol"/>
        <family val="1"/>
        <charset val="2"/>
      </rPr>
      <t>b</t>
    </r>
    <r>
      <rPr>
        <sz val="10"/>
        <color indexed="8"/>
        <rFont val="Arial"/>
        <family val="2"/>
      </rPr>
      <t>)*Rn*Rh*RB*(0.53+0.47*RL))^(1/2) , Eq. 6-10</t>
    </r>
  </si>
  <si>
    <t>Structure Length, L =</t>
  </si>
  <si>
    <r>
      <t>h</t>
    </r>
    <r>
      <rPr>
        <sz val="10"/>
        <rFont val="Arial"/>
        <family val="2"/>
      </rPr>
      <t>b =</t>
    </r>
  </si>
  <si>
    <t>ft. (normal to wind)</t>
  </si>
  <si>
    <t>ft. (parallel to wind)</t>
  </si>
  <si>
    <r>
      <t xml:space="preserve">GCp for h &lt;= 60' and </t>
    </r>
    <r>
      <rPr>
        <sz val="10"/>
        <color indexed="12"/>
        <rFont val="Symbol"/>
        <family val="1"/>
        <charset val="2"/>
      </rPr>
      <t>q</t>
    </r>
    <r>
      <rPr>
        <sz val="10"/>
        <color indexed="12"/>
        <rFont val="Arial"/>
        <family val="2"/>
      </rPr>
      <t xml:space="preserve"> &lt;= 7:</t>
    </r>
  </si>
  <si>
    <r>
      <t xml:space="preserve">GCp for h &lt;= 60' and 7 &lt; </t>
    </r>
    <r>
      <rPr>
        <sz val="10"/>
        <color indexed="12"/>
        <rFont val="Symbol"/>
        <family val="1"/>
        <charset val="2"/>
      </rPr>
      <t>q</t>
    </r>
    <r>
      <rPr>
        <sz val="10"/>
        <color indexed="12"/>
        <rFont val="Arial"/>
        <family val="2"/>
      </rPr>
      <t xml:space="preserve"> &lt;= 27:</t>
    </r>
  </si>
  <si>
    <r>
      <t xml:space="preserve">GCp for h &gt; 60' and 10 &lt; </t>
    </r>
    <r>
      <rPr>
        <sz val="10"/>
        <color indexed="12"/>
        <rFont val="Symbol"/>
        <family val="1"/>
        <charset val="2"/>
      </rPr>
      <t>q</t>
    </r>
    <r>
      <rPr>
        <sz val="10"/>
        <color indexed="12"/>
        <rFont val="Arial"/>
        <family val="2"/>
      </rPr>
      <t xml:space="preserve"> &lt;= 27:</t>
    </r>
  </si>
  <si>
    <r>
      <t xml:space="preserve">GCp for h &lt;= 60' and 27 &lt; </t>
    </r>
    <r>
      <rPr>
        <sz val="10"/>
        <color indexed="12"/>
        <rFont val="Symbol"/>
        <family val="1"/>
        <charset val="2"/>
      </rPr>
      <t>q</t>
    </r>
    <r>
      <rPr>
        <sz val="10"/>
        <color indexed="12"/>
        <rFont val="Arial"/>
        <family val="2"/>
      </rPr>
      <t xml:space="preserve"> &lt;= 45:</t>
    </r>
  </si>
  <si>
    <r>
      <t xml:space="preserve">GCp for h &gt; 60' and 27 &lt; </t>
    </r>
    <r>
      <rPr>
        <sz val="10"/>
        <color indexed="12"/>
        <rFont val="Symbol"/>
        <family val="1"/>
        <charset val="2"/>
      </rPr>
      <t>q</t>
    </r>
    <r>
      <rPr>
        <sz val="10"/>
        <color indexed="12"/>
        <rFont val="Arial"/>
        <family val="2"/>
      </rPr>
      <t xml:space="preserve"> &lt;= 45:</t>
    </r>
  </si>
  <si>
    <t xml:space="preserve">         open structures with roofs!</t>
  </si>
  <si>
    <t>User Input for Height, z (ft.):</t>
  </si>
  <si>
    <t>ft. (hr &gt;= he)</t>
  </si>
  <si>
    <t>ft. (he &lt;= hr)</t>
  </si>
  <si>
    <t>ft. (Normal to Building Ridge)</t>
  </si>
  <si>
    <t>ft. (Parallel to Building Ridge)</t>
  </si>
  <si>
    <t xml:space="preserve">ft.^2  (Area Tributary to C&amp;C) </t>
  </si>
  <si>
    <t>Class., Occ. Category =</t>
  </si>
  <si>
    <r>
      <t>q</t>
    </r>
    <r>
      <rPr>
        <b/>
        <sz val="10"/>
        <color indexed="8"/>
        <rFont val="Arial"/>
        <family val="2"/>
      </rPr>
      <t xml:space="preserve"> &lt;= 7 deg.</t>
    </r>
  </si>
  <si>
    <r>
      <t xml:space="preserve">7 deg. &lt; </t>
    </r>
    <r>
      <rPr>
        <b/>
        <sz val="10"/>
        <color indexed="8"/>
        <rFont val="Symbol"/>
        <family val="1"/>
        <charset val="2"/>
      </rPr>
      <t>q</t>
    </r>
    <r>
      <rPr>
        <b/>
        <sz val="10"/>
        <color indexed="8"/>
        <rFont val="Arial"/>
        <family val="2"/>
      </rPr>
      <t xml:space="preserve"> &lt;= 27 deg.</t>
    </r>
  </si>
  <si>
    <r>
      <t xml:space="preserve">27 deg. &lt; </t>
    </r>
    <r>
      <rPr>
        <b/>
        <sz val="10"/>
        <color indexed="8"/>
        <rFont val="Symbol"/>
        <family val="1"/>
        <charset val="2"/>
      </rPr>
      <t>q</t>
    </r>
    <r>
      <rPr>
        <b/>
        <sz val="10"/>
        <color indexed="8"/>
        <rFont val="Arial"/>
        <family val="2"/>
      </rPr>
      <t xml:space="preserve"> &lt;= 45 deg.</t>
    </r>
  </si>
  <si>
    <t>p</t>
  </si>
  <si>
    <t>mph</t>
  </si>
  <si>
    <r>
      <t>qz</t>
    </r>
    <r>
      <rPr>
        <sz val="10"/>
        <rFont val="Arial"/>
        <family val="2"/>
      </rPr>
      <t>*</t>
    </r>
    <r>
      <rPr>
        <sz val="10"/>
        <rFont val="Arial"/>
        <family val="2"/>
      </rPr>
      <t>G</t>
    </r>
  </si>
  <si>
    <t>2. Specified force coefficients are for towers with structural angles or similar flat-sided members.</t>
  </si>
  <si>
    <t xml:space="preserve">5. Wind forces on tower appurtenances such as ladder, conduits, lights, elevators, etc., shall be </t>
  </si>
  <si>
    <t xml:space="preserve">    calculated using appropriate force coefficients for these elements.</t>
  </si>
  <si>
    <t>qz =</t>
  </si>
  <si>
    <t>Solid Area =</t>
  </si>
  <si>
    <t>ft.^2</t>
  </si>
  <si>
    <t>Gross Area =</t>
  </si>
  <si>
    <t>Solidity Ratio, e =</t>
  </si>
  <si>
    <t>Rounded Members</t>
  </si>
  <si>
    <t>Use: Cf =</t>
  </si>
  <si>
    <t>D*SQRT(qz) =</t>
  </si>
  <si>
    <t>Cf for D*SQRT(qz) &lt;= 2.5</t>
  </si>
  <si>
    <t>Cf for D*SQRT(qz) &gt; 2.5</t>
  </si>
  <si>
    <t>Cf from Figure 6-22</t>
  </si>
  <si>
    <t>For Flat Sided Members from Figure 6-22:</t>
  </si>
  <si>
    <t>For Rounded Members from Figure 6-22:</t>
  </si>
  <si>
    <t>For Trussed Towers from Figure 6-23:</t>
  </si>
  <si>
    <r>
      <t>e</t>
    </r>
    <r>
      <rPr>
        <sz val="10"/>
        <color indexed="8"/>
        <rFont val="Arial"/>
        <family val="2"/>
      </rPr>
      <t xml:space="preserve"> = Solid Area/Gross Area</t>
    </r>
  </si>
  <si>
    <r>
      <t>Cf = 4.0*</t>
    </r>
    <r>
      <rPr>
        <sz val="10"/>
        <color indexed="8"/>
        <rFont val="Symbol"/>
        <family val="1"/>
        <charset val="2"/>
      </rPr>
      <t>e</t>
    </r>
    <r>
      <rPr>
        <sz val="10"/>
        <color indexed="8"/>
        <rFont val="Arial"/>
        <family val="2"/>
      </rPr>
      <t>^2 - 5.9*</t>
    </r>
    <r>
      <rPr>
        <sz val="10"/>
        <color indexed="8"/>
        <rFont val="Symbol"/>
        <family val="1"/>
        <charset val="2"/>
      </rPr>
      <t>e</t>
    </r>
    <r>
      <rPr>
        <sz val="10"/>
        <color indexed="8"/>
        <rFont val="Arial"/>
        <family val="2"/>
      </rPr>
      <t xml:space="preserve"> + 4.0</t>
    </r>
  </si>
  <si>
    <r>
      <t>Cf = 3.4*</t>
    </r>
    <r>
      <rPr>
        <sz val="10"/>
        <color indexed="8"/>
        <rFont val="Symbol"/>
        <family val="1"/>
        <charset val="2"/>
      </rPr>
      <t>e</t>
    </r>
    <r>
      <rPr>
        <sz val="10"/>
        <color indexed="8"/>
        <rFont val="Arial"/>
        <family val="2"/>
      </rPr>
      <t>^2 - 4.7*</t>
    </r>
    <r>
      <rPr>
        <sz val="10"/>
        <color indexed="8"/>
        <rFont val="Symbol"/>
        <family val="1"/>
        <charset val="2"/>
      </rPr>
      <t>e</t>
    </r>
    <r>
      <rPr>
        <sz val="10"/>
        <color indexed="8"/>
        <rFont val="Arial"/>
        <family val="2"/>
      </rPr>
      <t xml:space="preserve"> + 3.4</t>
    </r>
  </si>
  <si>
    <t>Square Tower Cf =</t>
  </si>
  <si>
    <t>Triangle Tower Cf =</t>
  </si>
  <si>
    <r>
      <t>a</t>
    </r>
    <r>
      <rPr>
        <sz val="10"/>
        <color indexed="8"/>
        <rFont val="Arial"/>
        <family val="2"/>
      </rPr>
      <t xml:space="preserve"> =</t>
    </r>
  </si>
  <si>
    <r>
      <t xml:space="preserve">Determine </t>
    </r>
    <r>
      <rPr>
        <sz val="10"/>
        <color indexed="12"/>
        <rFont val="Symbol"/>
        <family val="1"/>
        <charset val="2"/>
      </rPr>
      <t>a</t>
    </r>
    <r>
      <rPr>
        <sz val="10"/>
        <color indexed="12"/>
        <rFont val="Arial"/>
        <family val="2"/>
      </rPr>
      <t xml:space="preserve">, zg, </t>
    </r>
    <r>
      <rPr>
        <sz val="10"/>
        <color indexed="12"/>
        <rFont val="Tahoma"/>
        <family val="2"/>
      </rPr>
      <t>I</t>
    </r>
    <r>
      <rPr>
        <sz val="10"/>
        <color indexed="12"/>
        <rFont val="Arial"/>
        <family val="2"/>
      </rPr>
      <t>:</t>
    </r>
  </si>
  <si>
    <t>Height of Structure, h =</t>
  </si>
  <si>
    <t>multiplied by the area, 'Af', the area normal to wind direction.</t>
  </si>
  <si>
    <t xml:space="preserve">         from Figures 6-22 and 6-23.</t>
  </si>
  <si>
    <t>All Heights</t>
  </si>
  <si>
    <t>Lattice Frameworks</t>
  </si>
  <si>
    <t xml:space="preserve">Open Signs &amp; </t>
  </si>
  <si>
    <t>Cf</t>
  </si>
  <si>
    <t>Force Coefficients</t>
  </si>
  <si>
    <t>&lt; 0.1</t>
  </si>
  <si>
    <t>0.1 to 0.29</t>
  </si>
  <si>
    <t>0.3 to 0.7</t>
  </si>
  <si>
    <t>e</t>
  </si>
  <si>
    <t>Using Method 2: Analytical Procedure (Section 6.5) for Other Structures of Any Height</t>
  </si>
  <si>
    <t>D*SQRT(qz) &lt;= 2.5</t>
  </si>
  <si>
    <t>D*SQRT(qz) &gt; 2.5</t>
  </si>
  <si>
    <t>Members</t>
  </si>
  <si>
    <t>Flat-Sided</t>
  </si>
  <si>
    <t>Notes:</t>
  </si>
  <si>
    <t>1. Signs with openings comprising 30% or more of the gross area are classified as open signs.</t>
  </si>
  <si>
    <t xml:space="preserve">2. The calculation of the design wind forces shall be based on the area of all exposed members </t>
  </si>
  <si>
    <t xml:space="preserve">    and elements projected on a plane normal to the wind direction.  Forces shall be assumed to </t>
  </si>
  <si>
    <t xml:space="preserve">    act parallel to the wind direction.</t>
  </si>
  <si>
    <t xml:space="preserve">3. The area 'Af' consistent with these force coefficients is the solid area projected normal to the </t>
  </si>
  <si>
    <t xml:space="preserve">    wind direction. </t>
  </si>
  <si>
    <t>4. Notation:</t>
  </si>
  <si>
    <r>
      <t xml:space="preserve">    </t>
    </r>
    <r>
      <rPr>
        <sz val="10"/>
        <rFont val="Symbol"/>
        <family val="1"/>
        <charset val="2"/>
      </rPr>
      <t>e</t>
    </r>
    <r>
      <rPr>
        <sz val="10"/>
        <rFont val="Arial"/>
        <family val="2"/>
      </rPr>
      <t xml:space="preserve"> = ratio of solid area to gross area</t>
    </r>
  </si>
  <si>
    <t xml:space="preserve">    D = diameter of a typical round member, in feet.</t>
  </si>
  <si>
    <t xml:space="preserve">    qz = velocity pressure evaluated at height 'z' above ground in psf.</t>
  </si>
  <si>
    <t>Tower Cross Section</t>
  </si>
  <si>
    <t>Triangle</t>
  </si>
  <si>
    <r>
      <t>4.0*</t>
    </r>
    <r>
      <rPr>
        <sz val="10"/>
        <color indexed="12"/>
        <rFont val="Symbol"/>
        <family val="1"/>
        <charset val="2"/>
      </rPr>
      <t>e</t>
    </r>
    <r>
      <rPr>
        <sz val="10"/>
        <color indexed="12"/>
        <rFont val="Arial"/>
        <family val="2"/>
      </rPr>
      <t>^2 - 5.9*</t>
    </r>
    <r>
      <rPr>
        <sz val="10"/>
        <color indexed="12"/>
        <rFont val="Symbol"/>
        <family val="1"/>
        <charset val="2"/>
      </rPr>
      <t>e</t>
    </r>
    <r>
      <rPr>
        <sz val="10"/>
        <color indexed="12"/>
        <rFont val="Arial"/>
        <family val="2"/>
      </rPr>
      <t xml:space="preserve"> + 4.0</t>
    </r>
  </si>
  <si>
    <r>
      <t>3.4*</t>
    </r>
    <r>
      <rPr>
        <sz val="10"/>
        <color indexed="12"/>
        <rFont val="Symbol"/>
        <family val="1"/>
        <charset val="2"/>
      </rPr>
      <t>e</t>
    </r>
    <r>
      <rPr>
        <sz val="10"/>
        <color indexed="12"/>
        <rFont val="Arial"/>
        <family val="2"/>
      </rPr>
      <t>^2 - 4.7*</t>
    </r>
    <r>
      <rPr>
        <sz val="10"/>
        <color indexed="12"/>
        <rFont val="Symbol"/>
        <family val="1"/>
        <charset val="2"/>
      </rPr>
      <t>e</t>
    </r>
    <r>
      <rPr>
        <sz val="10"/>
        <color indexed="12"/>
        <rFont val="Arial"/>
        <family val="2"/>
      </rPr>
      <t xml:space="preserve"> + 3.4</t>
    </r>
  </si>
  <si>
    <t>Trussed Towers</t>
  </si>
  <si>
    <t>Open Structures</t>
  </si>
  <si>
    <t xml:space="preserve">3. For towers containing rounded member, it is acceptable to multiply specified force coefficients </t>
  </si>
  <si>
    <t xml:space="preserve">4. Wind forces shall be applied in directions resulting in maximum member forces and reactions. </t>
  </si>
  <si>
    <t xml:space="preserve">    For towers with square cross-sections, wind forces shall be multiplied by following factor when </t>
  </si>
  <si>
    <r>
      <t xml:space="preserve">    by following factor when determining wind forces on such members:  0.51*</t>
    </r>
    <r>
      <rPr>
        <sz val="10"/>
        <rFont val="Symbol"/>
        <family val="1"/>
        <charset val="2"/>
      </rPr>
      <t>e</t>
    </r>
    <r>
      <rPr>
        <sz val="10"/>
        <rFont val="Arial"/>
        <family val="2"/>
      </rPr>
      <t>^2 + 0.57 &lt;= 1.0.</t>
    </r>
  </si>
  <si>
    <r>
      <t xml:space="preserve">    wind is directed along a tower diagonal:  1+ 0.75*</t>
    </r>
    <r>
      <rPr>
        <sz val="10"/>
        <rFont val="Symbol"/>
        <family val="1"/>
        <charset val="2"/>
      </rPr>
      <t>e</t>
    </r>
    <r>
      <rPr>
        <sz val="10"/>
        <rFont val="Arial"/>
        <family val="2"/>
      </rPr>
      <t xml:space="preserve"> &lt;= 1.2.</t>
    </r>
  </si>
  <si>
    <t>Structure Width, B =</t>
  </si>
  <si>
    <r>
      <t>Note:</t>
    </r>
    <r>
      <rPr>
        <b/>
        <sz val="10"/>
        <color indexed="10"/>
        <rFont val="Arial"/>
        <family val="2"/>
      </rPr>
      <t xml:space="preserve"> User is to input applicable</t>
    </r>
  </si>
  <si>
    <t xml:space="preserve">         values of Cf in table at left.</t>
  </si>
  <si>
    <t xml:space="preserve">         Use force coefficients, Cf,</t>
  </si>
  <si>
    <t>Period Coefficient, Ct =</t>
  </si>
  <si>
    <t>(0.020 to 0.035)</t>
  </si>
  <si>
    <t>(0.010 to 0.070)</t>
  </si>
  <si>
    <t xml:space="preserve">p = qz*G*Cf  (psf), where 'qz' is evaluated at </t>
  </si>
  <si>
    <t xml:space="preserve">      height 'z' of the centroid of projected area.</t>
  </si>
  <si>
    <r>
      <t>Note:</t>
    </r>
    <r>
      <rPr>
        <b/>
        <sz val="10"/>
        <color indexed="10"/>
        <rFont val="Arial"/>
        <family val="2"/>
      </rPr>
      <t xml:space="preserve"> this worksheet DOES NOT address</t>
    </r>
  </si>
  <si>
    <t>Use Input Values?</t>
  </si>
  <si>
    <t>(if used, overhangs on all sides)</t>
  </si>
  <si>
    <t>: a. ASCE 7-02, "Minimum Design Loads for Buildings and Other Structures".</t>
  </si>
  <si>
    <t xml:space="preserve">  b. "Guide to the Use of the Wind Load Provisions of ASCE 7-02"</t>
  </si>
  <si>
    <t xml:space="preserve">       by: Kishor C. Mehta and James M. Delahay (2004).</t>
  </si>
  <si>
    <t xml:space="preserve">            4. References</t>
  </si>
  <si>
    <t xml:space="preserve">            9. References</t>
  </si>
  <si>
    <t>Job Name:</t>
  </si>
  <si>
    <t>Job Number:</t>
  </si>
  <si>
    <t>Kz</t>
  </si>
  <si>
    <t>qz</t>
  </si>
  <si>
    <t>(Table 6-4)</t>
  </si>
  <si>
    <t>Surface</t>
  </si>
  <si>
    <t>z</t>
  </si>
  <si>
    <t>(ft.)</t>
  </si>
  <si>
    <t>(psf)</t>
  </si>
  <si>
    <t>zg =</t>
  </si>
  <si>
    <t>Kh =</t>
  </si>
  <si>
    <t>N</t>
  </si>
  <si>
    <t>Component</t>
  </si>
  <si>
    <t>Zone 4 (+)</t>
  </si>
  <si>
    <t>Zone 4 (-)</t>
  </si>
  <si>
    <t>Zone 5 (+)</t>
  </si>
  <si>
    <t>Zone 5 (-)</t>
  </si>
  <si>
    <t>GCp Zone 4 Pos. =</t>
  </si>
  <si>
    <t>GCp Zone 5 Pos. =</t>
  </si>
  <si>
    <t>GCp Zone 4 Neg. =</t>
  </si>
  <si>
    <t>GCp Zone 5 Neg. =</t>
  </si>
  <si>
    <t>Use 'a' =</t>
  </si>
  <si>
    <t>Compare to 0.4*h:</t>
  </si>
  <si>
    <t>ft.</t>
  </si>
  <si>
    <t>GCp Zone 1 Neg. =</t>
  </si>
  <si>
    <t>GCp Zone 2 Neg. =</t>
  </si>
  <si>
    <t>GCp Zone 3 Neg. =</t>
  </si>
  <si>
    <t>Zone 1,2,3 (+)</t>
  </si>
  <si>
    <t>Zone 1 (-)</t>
  </si>
  <si>
    <t>Zone 2 (-)</t>
  </si>
  <si>
    <t>Zone 3 (-)</t>
  </si>
  <si>
    <t>Width 'a' for Zone 5 for h &lt;= 60':</t>
  </si>
  <si>
    <t>Width 'a' for Zone 5 for h &gt; 60':</t>
  </si>
  <si>
    <t>Compare to 3':</t>
  </si>
  <si>
    <t>Width 'a' for Zone 2 for h &lt;= 60':</t>
  </si>
  <si>
    <t>Width 'a' for Zone 2 for h &gt; 60':</t>
  </si>
  <si>
    <t>For Zone 1,2,3 Pos. =</t>
  </si>
  <si>
    <t>For Zone 1 Neg. =</t>
  </si>
  <si>
    <t>For Zone 2 Neg. =</t>
  </si>
  <si>
    <t>For Zone 3 Neg. =</t>
  </si>
  <si>
    <t>Input Data:</t>
  </si>
  <si>
    <t>Wind Speed, V =</t>
  </si>
  <si>
    <t>Ridge Height, hr =</t>
  </si>
  <si>
    <t>Eave Height, he =</t>
  </si>
  <si>
    <t>Topo. Factor, Kzt =</t>
  </si>
  <si>
    <t>Mean Roof  Ht., h =</t>
  </si>
  <si>
    <t>Effective Area, Ae =</t>
  </si>
  <si>
    <t>C</t>
  </si>
  <si>
    <t>I =</t>
  </si>
  <si>
    <t>b(bar) =</t>
  </si>
  <si>
    <t>V(bar,zbar) =</t>
  </si>
  <si>
    <t>c =</t>
  </si>
  <si>
    <t>N1 =</t>
  </si>
  <si>
    <t>Rn =</t>
  </si>
  <si>
    <t>z(min) =</t>
  </si>
  <si>
    <t>Rh =</t>
  </si>
  <si>
    <t>z(bar) =</t>
  </si>
  <si>
    <t>Iz(bar) =</t>
  </si>
  <si>
    <t>Cf =</t>
  </si>
  <si>
    <t>Lz(bar) =</t>
  </si>
  <si>
    <t>Q =</t>
  </si>
  <si>
    <t>R =</t>
  </si>
  <si>
    <t>Resulting Parameters and Coefficients:</t>
  </si>
  <si>
    <t>Compare to .04*(L, B):</t>
  </si>
  <si>
    <t>D =</t>
  </si>
  <si>
    <t>CALCULATIONS:</t>
  </si>
  <si>
    <t>Lesser of L or B:</t>
  </si>
  <si>
    <t>0.1*(L or B):</t>
  </si>
  <si>
    <t>Ct =</t>
  </si>
  <si>
    <r>
      <t>a</t>
    </r>
    <r>
      <rPr>
        <sz val="10"/>
        <rFont val="Arial"/>
        <family val="2"/>
      </rPr>
      <t>(bar) =</t>
    </r>
  </si>
  <si>
    <r>
      <t>a</t>
    </r>
    <r>
      <rPr>
        <sz val="10"/>
        <rFont val="Arial"/>
        <family val="2"/>
      </rPr>
      <t>^ =</t>
    </r>
  </si>
  <si>
    <t>b^ =</t>
  </si>
  <si>
    <r>
      <t>h</t>
    </r>
    <r>
      <rPr>
        <sz val="10"/>
        <rFont val="Arial"/>
        <family val="2"/>
      </rPr>
      <t>h =</t>
    </r>
  </si>
  <si>
    <r>
      <t>b</t>
    </r>
    <r>
      <rPr>
        <sz val="10"/>
        <color indexed="8"/>
        <rFont val="Arial"/>
        <family val="2"/>
      </rPr>
      <t xml:space="preserve"> =</t>
    </r>
  </si>
  <si>
    <t>G =</t>
  </si>
  <si>
    <r>
      <t>l</t>
    </r>
    <r>
      <rPr>
        <sz val="10"/>
        <rFont val="Arial"/>
        <family val="2"/>
      </rPr>
      <t xml:space="preserve"> =</t>
    </r>
  </si>
  <si>
    <t>+GCpi Coef. (PIP) =</t>
  </si>
  <si>
    <t>-GCpi Coef. (NIP) =</t>
  </si>
  <si>
    <t>(Kh = Kz evaluated at z = h)</t>
  </si>
  <si>
    <t>+GCpi Coef. =</t>
  </si>
  <si>
    <t>-GCpi Coef. =</t>
  </si>
  <si>
    <t>freq., f =</t>
  </si>
  <si>
    <t>qh =</t>
  </si>
  <si>
    <t>(w/ +GCpi)</t>
  </si>
  <si>
    <t>(w/ -GCpi)</t>
  </si>
  <si>
    <t>Check 'Low-Rise' Criteria:</t>
  </si>
  <si>
    <t>Lesser of L or B =</t>
  </si>
  <si>
    <t>Use '2*a' =</t>
  </si>
  <si>
    <t>Notes:  1. (+) and (-) signs signify wind pressures acting toward &amp; away from respective surfaces.</t>
  </si>
  <si>
    <t>Use Zone 1,2,3 Pos. =</t>
  </si>
  <si>
    <t>Use Zone 1 Neg. =</t>
  </si>
  <si>
    <t>Use Zone 2 Neg. =</t>
  </si>
  <si>
    <t>Use Zone 3 Neg. =</t>
  </si>
  <si>
    <t>Is h &lt;= Lesser L,B?</t>
  </si>
  <si>
    <t>GCp Zone 1-3 Pos. =</t>
  </si>
  <si>
    <t>Wall External Pressure Coefficients, GCp:</t>
  </si>
  <si>
    <t>Roof External Pressure Coefficients, GCp:</t>
  </si>
  <si>
    <t xml:space="preserve">            2. Width of Zone 5 (end zones), 'a' =</t>
  </si>
  <si>
    <t>(For values, see following wind load tabulations.)</t>
  </si>
  <si>
    <t>Overhangs? (Y/N)</t>
  </si>
  <si>
    <t>(Gable or Monoslope)</t>
  </si>
  <si>
    <t>Purlin</t>
  </si>
  <si>
    <t>Wall Zones for Buildings with h &lt;= 60 ft.</t>
  </si>
  <si>
    <t>Wall Zones for Buildings with h &gt; 60 ft.</t>
  </si>
  <si>
    <t>Roof Zones for Buildings with h &lt;= 60 ft.</t>
  </si>
  <si>
    <t>Roof Zones for Buildings with h &gt; 60 ft.</t>
  </si>
  <si>
    <r>
      <t xml:space="preserve">     (for Gable Roofs &lt;= 45</t>
    </r>
    <r>
      <rPr>
        <b/>
        <vertAlign val="superscript"/>
        <sz val="10"/>
        <rFont val="Arial"/>
        <family val="2"/>
      </rPr>
      <t>o</t>
    </r>
    <r>
      <rPr>
        <b/>
        <sz val="10"/>
        <rFont val="Arial"/>
        <family val="2"/>
      </rPr>
      <t xml:space="preserve"> and Monoslope Roofs &lt;= 3</t>
    </r>
    <r>
      <rPr>
        <b/>
        <vertAlign val="superscript"/>
        <sz val="10"/>
        <rFont val="Arial"/>
        <family val="2"/>
      </rPr>
      <t>o</t>
    </r>
    <r>
      <rPr>
        <b/>
        <sz val="10"/>
        <rFont val="Arial"/>
        <family val="2"/>
      </rPr>
      <t>)</t>
    </r>
  </si>
  <si>
    <t>(positive internal pressure)</t>
  </si>
  <si>
    <t>(negative internal pressure)</t>
  </si>
  <si>
    <r>
      <t>h</t>
    </r>
    <r>
      <rPr>
        <sz val="10"/>
        <rFont val="Arial"/>
        <family val="2"/>
      </rPr>
      <t>d =</t>
    </r>
  </si>
  <si>
    <t>Determination of Gust Effect Factor, G:</t>
  </si>
  <si>
    <t>Period Coefficient</t>
  </si>
  <si>
    <t>f =</t>
  </si>
  <si>
    <t>Damping Ratio</t>
  </si>
  <si>
    <t>Use: G =</t>
  </si>
  <si>
    <r>
      <t xml:space="preserve">     (for Gable Roofs &lt;= 10</t>
    </r>
    <r>
      <rPr>
        <b/>
        <vertAlign val="superscript"/>
        <sz val="10"/>
        <rFont val="Arial"/>
        <family val="2"/>
      </rPr>
      <t>o</t>
    </r>
    <r>
      <rPr>
        <b/>
        <sz val="10"/>
        <rFont val="Arial"/>
        <family val="2"/>
      </rPr>
      <t xml:space="preserve"> and Monoslope Roofs &lt;= 3</t>
    </r>
    <r>
      <rPr>
        <b/>
        <vertAlign val="superscript"/>
        <sz val="10"/>
        <rFont val="Arial"/>
        <family val="2"/>
      </rPr>
      <t>o</t>
    </r>
    <r>
      <rPr>
        <b/>
        <sz val="10"/>
        <rFont val="Arial"/>
        <family val="2"/>
      </rPr>
      <t>)</t>
    </r>
  </si>
  <si>
    <t xml:space="preserve">            2. Width of Zone 2 (edge), 'a' =</t>
  </si>
  <si>
    <t>Gf =</t>
  </si>
  <si>
    <t>Check Criteria for a Low-Rise Building:</t>
  </si>
  <si>
    <r>
      <t>a</t>
    </r>
    <r>
      <rPr>
        <sz val="10"/>
        <rFont val="Arial"/>
        <family val="2"/>
      </rPr>
      <t xml:space="preserve"> =</t>
    </r>
  </si>
  <si>
    <t>T =</t>
  </si>
  <si>
    <r>
      <t>a</t>
    </r>
    <r>
      <rPr>
        <sz val="10"/>
        <rFont val="Arial"/>
        <family val="2"/>
      </rPr>
      <t xml:space="preserve"> </t>
    </r>
    <r>
      <rPr>
        <sz val="10"/>
        <rFont val="Arial"/>
        <family val="2"/>
      </rPr>
      <t>=</t>
    </r>
  </si>
  <si>
    <r>
      <t xml:space="preserve">Damping Ratio, </t>
    </r>
    <r>
      <rPr>
        <sz val="10"/>
        <color indexed="8"/>
        <rFont val="Symbol"/>
        <family val="1"/>
        <charset val="2"/>
      </rPr>
      <t>b</t>
    </r>
    <r>
      <rPr>
        <sz val="10"/>
        <color indexed="8"/>
        <rFont val="Arial"/>
        <family val="2"/>
      </rPr>
      <t xml:space="preserve"> =</t>
    </r>
  </si>
  <si>
    <r>
      <t>If  z &lt; 15  then:  Kz = 2.01*(15/zg)^(2/</t>
    </r>
    <r>
      <rPr>
        <sz val="10"/>
        <rFont val="Symbol"/>
        <family val="1"/>
        <charset val="2"/>
      </rPr>
      <t>a</t>
    </r>
    <r>
      <rPr>
        <sz val="10"/>
        <rFont val="Arial"/>
        <family val="2"/>
      </rPr>
      <t>)</t>
    </r>
  </si>
  <si>
    <r>
      <t>If  z &gt;= 15  then:  Kz = 2.01*(z/zg)^(2/</t>
    </r>
    <r>
      <rPr>
        <sz val="10"/>
        <rFont val="Symbol"/>
        <family val="1"/>
        <charset val="2"/>
      </rPr>
      <t>a</t>
    </r>
    <r>
      <rPr>
        <sz val="10"/>
        <rFont val="Arial"/>
        <family val="2"/>
      </rPr>
      <t>)</t>
    </r>
  </si>
  <si>
    <r>
      <t xml:space="preserve">Roof Angle, </t>
    </r>
    <r>
      <rPr>
        <sz val="10"/>
        <rFont val="Symbol"/>
        <family val="1"/>
        <charset val="2"/>
      </rPr>
      <t>q</t>
    </r>
    <r>
      <rPr>
        <sz val="10"/>
        <rFont val="Arial"/>
        <family val="2"/>
      </rPr>
      <t xml:space="preserve"> =</t>
    </r>
  </si>
  <si>
    <r>
      <t xml:space="preserve">Roof Angle, </t>
    </r>
    <r>
      <rPr>
        <sz val="10"/>
        <color indexed="12"/>
        <rFont val="Symbol"/>
        <family val="1"/>
        <charset val="2"/>
      </rPr>
      <t>q</t>
    </r>
    <r>
      <rPr>
        <sz val="10"/>
        <color indexed="12"/>
        <rFont val="Arial"/>
        <family val="2"/>
      </rPr>
      <t xml:space="preserve"> =</t>
    </r>
  </si>
  <si>
    <r>
      <t xml:space="preserve">Determine </t>
    </r>
    <r>
      <rPr>
        <sz val="10"/>
        <color indexed="12"/>
        <rFont val="Symbol"/>
        <family val="1"/>
        <charset val="2"/>
      </rPr>
      <t>a</t>
    </r>
    <r>
      <rPr>
        <sz val="10"/>
        <color indexed="12"/>
        <rFont val="Arial"/>
        <family val="2"/>
      </rPr>
      <t>, zg, Kh, I, and qh:</t>
    </r>
  </si>
  <si>
    <r>
      <t>a</t>
    </r>
    <r>
      <rPr>
        <sz val="10"/>
        <color indexed="12"/>
        <rFont val="Arial"/>
        <family val="2"/>
      </rPr>
      <t xml:space="preserve"> =</t>
    </r>
  </si>
  <si>
    <r>
      <t xml:space="preserve">GCp Reduction Factor for h &lt;= 60' and </t>
    </r>
    <r>
      <rPr>
        <sz val="10"/>
        <color indexed="12"/>
        <rFont val="Symbol"/>
        <family val="1"/>
        <charset val="2"/>
      </rPr>
      <t>q</t>
    </r>
    <r>
      <rPr>
        <sz val="10"/>
        <color indexed="12"/>
        <rFont val="Arial"/>
        <family val="2"/>
      </rPr>
      <t xml:space="preserve"> &lt;= 10 deg. =</t>
    </r>
  </si>
  <si>
    <r>
      <t xml:space="preserve">GCp for h &gt; 60' and </t>
    </r>
    <r>
      <rPr>
        <sz val="10"/>
        <color indexed="12"/>
        <rFont val="Symbol"/>
        <family val="1"/>
        <charset val="2"/>
      </rPr>
      <t>q</t>
    </r>
    <r>
      <rPr>
        <sz val="10"/>
        <color indexed="12"/>
        <rFont val="Arial"/>
        <family val="2"/>
      </rPr>
      <t xml:space="preserve"> &lt;= 10:</t>
    </r>
  </si>
  <si>
    <t>p = Net Design Pressures (psf)</t>
  </si>
  <si>
    <t>p = Net Pressures (psf)</t>
  </si>
  <si>
    <t>WIND LOADING ANALYSIS - Wall Components and Cladding</t>
  </si>
  <si>
    <t>Wind Load Tabulation for Wall Components &amp; Cladding</t>
  </si>
  <si>
    <t>Wind Load Tabulation for Roof Components &amp; Cladding</t>
  </si>
  <si>
    <t>For z = he:</t>
  </si>
  <si>
    <t>For z = h:</t>
  </si>
  <si>
    <t>= 0.6*h ,  but not &lt; z(min) ,  ft.</t>
  </si>
  <si>
    <t>= 4.6*f*h/(V(bar,zbar))</t>
  </si>
  <si>
    <t xml:space="preserve">                Zone 3 shall be treated as Zone 2.</t>
  </si>
  <si>
    <r>
      <t xml:space="preserve">            7. If a parapet &gt;= 3' in height is provided around perimeter of roof with </t>
    </r>
    <r>
      <rPr>
        <sz val="10"/>
        <rFont val="Symbol"/>
        <family val="1"/>
        <charset val="2"/>
      </rPr>
      <t>q</t>
    </r>
    <r>
      <rPr>
        <sz val="10"/>
        <rFont val="Arial"/>
        <family val="2"/>
      </rPr>
      <t xml:space="preserve"> &lt;= 10 degrees</t>
    </r>
    <r>
      <rPr>
        <sz val="10"/>
        <rFont val="Arial"/>
        <family val="2"/>
      </rPr>
      <t>,</t>
    </r>
  </si>
  <si>
    <t>WIND LOADING ANALYSIS - Roof Components and Cladding</t>
  </si>
  <si>
    <t>Direct. Factor, Kd =</t>
  </si>
  <si>
    <t xml:space="preserve">   where: q = qz for windward walls,  q = qh for leeward walls and side walls</t>
  </si>
  <si>
    <t xml:space="preserve">   where: q = qh for roof</t>
  </si>
  <si>
    <t>For h &lt;= 60 ft.:  p = qh*((GCp) - (+/-GCpi))  (psf)</t>
  </si>
  <si>
    <t>For h &gt;   60 ft.:  p = q*(GCp) - qi*(+/-GCpi)  (psf)</t>
  </si>
  <si>
    <t>(Gust Factor, Sect. 6.5.8)</t>
  </si>
  <si>
    <t>gq =</t>
  </si>
  <si>
    <t>gv =</t>
  </si>
  <si>
    <t>gr =</t>
  </si>
  <si>
    <t>RL =</t>
  </si>
  <si>
    <t>RB =</t>
  </si>
  <si>
    <r>
      <t>e</t>
    </r>
    <r>
      <rPr>
        <sz val="10"/>
        <rFont val="Arial"/>
        <family val="2"/>
      </rPr>
      <t>(bar)</t>
    </r>
    <r>
      <rPr>
        <sz val="10"/>
        <rFont val="Arial"/>
        <family val="2"/>
      </rPr>
      <t xml:space="preserve"> =</t>
    </r>
  </si>
  <si>
    <t>= V(mph)*(88/60) ,  ft./sec.</t>
  </si>
  <si>
    <r>
      <t>1:</t>
    </r>
    <r>
      <rPr>
        <sz val="10"/>
        <rFont val="Arial"/>
        <family val="2"/>
      </rPr>
      <t xml:space="preserve">  Simplified Method for Rigid Structure</t>
    </r>
  </si>
  <si>
    <t>V(fps) =</t>
  </si>
  <si>
    <t>Girt</t>
  </si>
  <si>
    <t>Building Width =</t>
  </si>
  <si>
    <t>Building Length =</t>
  </si>
  <si>
    <t>B</t>
  </si>
  <si>
    <t>Y</t>
  </si>
  <si>
    <t>= 4.6*f*B/(V(bar,zbar))</t>
  </si>
  <si>
    <t>Wall</t>
  </si>
  <si>
    <t>Component Name =</t>
  </si>
  <si>
    <t>deg.</t>
  </si>
  <si>
    <t>Hurricane Region?</t>
  </si>
  <si>
    <t>Force Coefficient, Cf</t>
  </si>
  <si>
    <t>Open Structure - Net Design Wind Pressures, p</t>
  </si>
  <si>
    <r>
      <t xml:space="preserve">2: </t>
    </r>
    <r>
      <rPr>
        <sz val="10"/>
        <rFont val="Arial"/>
        <family val="2"/>
      </rPr>
      <t xml:space="preserve"> Calculation of G for Rigid Structure</t>
    </r>
  </si>
  <si>
    <r>
      <t xml:space="preserve">3: </t>
    </r>
    <r>
      <rPr>
        <sz val="10"/>
        <rFont val="Arial"/>
        <family val="2"/>
      </rPr>
      <t xml:space="preserve"> Calculation of Gf for Flexible Structure</t>
    </r>
  </si>
  <si>
    <t>II</t>
  </si>
  <si>
    <t>III</t>
  </si>
  <si>
    <t>IV</t>
  </si>
  <si>
    <t>D</t>
  </si>
  <si>
    <t>(Purlin, Joist, Decking, or Fastener)</t>
  </si>
  <si>
    <t>Joist</t>
  </si>
  <si>
    <t>Decking</t>
  </si>
  <si>
    <t>Fastener</t>
  </si>
  <si>
    <t>Siding</t>
  </si>
  <si>
    <t>I</t>
  </si>
  <si>
    <t>Square</t>
  </si>
  <si>
    <t>psf</t>
  </si>
  <si>
    <t xml:space="preserve">  2.  Is h &lt;= Lesser of L or B?</t>
  </si>
  <si>
    <t>Flexible?</t>
  </si>
  <si>
    <t>Wall Components and Cladding:</t>
  </si>
  <si>
    <t>Roof Components and Cladding:</t>
  </si>
  <si>
    <t>Checker:</t>
  </si>
  <si>
    <t>Originator:</t>
  </si>
  <si>
    <t>Subject:</t>
  </si>
  <si>
    <t>(Girt, Siding, Wall, or Fastener)</t>
  </si>
  <si>
    <t>= 15.4*f*L/(V(bar,zbar))</t>
  </si>
  <si>
    <t xml:space="preserve">    Calculated Parameters Used in Both Rigid and/or Flexible Structure Calculations:</t>
  </si>
  <si>
    <t>= 1/T ,  Hz. (Natural Frequency)</t>
  </si>
  <si>
    <t>= Ct*h^(3/4) ,  sec. (Period)</t>
  </si>
  <si>
    <t xml:space="preserve"> </t>
  </si>
  <si>
    <t>Bldg. Classification =</t>
  </si>
  <si>
    <t>(Table 1-1)</t>
  </si>
  <si>
    <t>Exposure Category =</t>
  </si>
  <si>
    <t>Roof Type =</t>
  </si>
  <si>
    <t>Monoslope</t>
  </si>
  <si>
    <t>Gable</t>
  </si>
  <si>
    <r>
      <t xml:space="preserve">Solidity Ratio, </t>
    </r>
    <r>
      <rPr>
        <sz val="10"/>
        <color indexed="8"/>
        <rFont val="Symbol"/>
        <family val="1"/>
        <charset val="2"/>
      </rPr>
      <t>e</t>
    </r>
    <r>
      <rPr>
        <sz val="10"/>
        <color indexed="8"/>
        <rFont val="Arial"/>
        <family val="2"/>
      </rPr>
      <t xml:space="preserve"> =</t>
    </r>
  </si>
  <si>
    <t>WIND LOADING ANALYSIS - Open Structures without Roofs</t>
  </si>
  <si>
    <t>(Table 1.5-1 Risk Category)</t>
  </si>
  <si>
    <t>(Sect. 26.8 &amp; Figure 26.8-1)</t>
  </si>
  <si>
    <t>Per ASCE 7-10 Code for Buildings of Any Height</t>
  </si>
  <si>
    <t>Using Part 1 &amp; 3: Analytical Procedure (Section 30.4 &amp; 30.6)</t>
  </si>
  <si>
    <t>(Sect. 26.7)</t>
  </si>
  <si>
    <t>(Table 26.6)</t>
  </si>
  <si>
    <t>(Sect. 28.6-1 &amp; Figure 26.11-1)</t>
  </si>
  <si>
    <t>: a. ASCE 7-10, "Minimum Design Loads for Buildings and Other Structures".</t>
  </si>
  <si>
    <t>Positive &amp; Negative Internal Pressure Coefficients, GCpi (Figure 26.11-1):</t>
  </si>
  <si>
    <r>
      <t>If  z &lt;= 15  then:  Kz = 2.01*(15/zg)^(2/</t>
    </r>
    <r>
      <rPr>
        <sz val="10"/>
        <rFont val="Symbol"/>
        <family val="1"/>
        <charset val="2"/>
      </rPr>
      <t>a</t>
    </r>
    <r>
      <rPr>
        <sz val="10"/>
        <rFont val="Arial"/>
        <family val="2"/>
      </rPr>
      <t>) ,  If  z &gt; 15 then:  Kz = 2.01*(z/zg)^(2/</t>
    </r>
    <r>
      <rPr>
        <sz val="10"/>
        <rFont val="Symbol"/>
        <family val="1"/>
        <charset val="2"/>
      </rPr>
      <t>a</t>
    </r>
    <r>
      <rPr>
        <sz val="10"/>
        <rFont val="Arial"/>
        <family val="2"/>
      </rPr>
      <t>)  (Table 30.3-1)</t>
    </r>
  </si>
  <si>
    <t>(Table 26.9-1)</t>
  </si>
  <si>
    <t>(Wind Importance Factor for all cases)</t>
  </si>
  <si>
    <t>Velocity Pressure: qz = 0.00256*Kz*Kzt*Kd*V^2  (Sect. 30.3.2, Eq. 30.3-1)</t>
  </si>
  <si>
    <r>
      <t>qh = 0.00256*Kh*Kzt*Kd*V^2</t>
    </r>
    <r>
      <rPr>
        <sz val="10"/>
        <rFont val="Arial"/>
        <family val="2"/>
      </rPr>
      <t xml:space="preserve">  (qz evaluated at z = h)</t>
    </r>
  </si>
  <si>
    <r>
      <t xml:space="preserve">            3. </t>
    </r>
    <r>
      <rPr>
        <sz val="10"/>
        <color indexed="10"/>
        <rFont val="Arial"/>
        <family val="2"/>
      </rPr>
      <t>Per Code Section 30.2.2, the minimum wind load for C&amp;C shall not be less than 16 psf.</t>
    </r>
  </si>
  <si>
    <t>Design Net External Wind Pressures (Sect. 30.4 &amp; 30.6):</t>
  </si>
  <si>
    <t xml:space="preserve">             qi = qh for all walls (conservatively assumed per Sect. 30.6)</t>
  </si>
  <si>
    <t>(Table 30.3-1)</t>
  </si>
  <si>
    <t>External Pressure Coeff's., GCpf (Fig. 28.4-1):</t>
  </si>
  <si>
    <t>Positive &amp; Negative Internal Pressure Coefficients, GCpi (Table 26.11-1):</t>
  </si>
  <si>
    <t>(Table 28.3-1)</t>
  </si>
  <si>
    <t>Determine End Zone Widths 'a'  and '2*a' (Fig. 28.4-1):</t>
  </si>
  <si>
    <r>
      <t xml:space="preserve">Per ASCE 7-10 Code for Bldgs. of Any Height with Gable Roof </t>
    </r>
    <r>
      <rPr>
        <b/>
        <sz val="10"/>
        <color indexed="10"/>
        <rFont val="Symbol"/>
        <family val="1"/>
        <charset val="2"/>
      </rPr>
      <t>q</t>
    </r>
    <r>
      <rPr>
        <b/>
        <sz val="10"/>
        <color indexed="10"/>
        <rFont val="Arial"/>
        <family val="2"/>
      </rPr>
      <t xml:space="preserve"> &lt;= 45</t>
    </r>
    <r>
      <rPr>
        <b/>
        <vertAlign val="superscript"/>
        <sz val="10"/>
        <color indexed="10"/>
        <rFont val="Arial"/>
        <family val="2"/>
      </rPr>
      <t>o</t>
    </r>
    <r>
      <rPr>
        <b/>
        <sz val="10"/>
        <color indexed="10"/>
        <rFont val="Arial"/>
        <family val="2"/>
      </rPr>
      <t xml:space="preserve"> or Monoslope Roof </t>
    </r>
    <r>
      <rPr>
        <b/>
        <sz val="10"/>
        <color indexed="10"/>
        <rFont val="Symbol"/>
        <family val="1"/>
        <charset val="2"/>
      </rPr>
      <t>q</t>
    </r>
    <r>
      <rPr>
        <b/>
        <sz val="10"/>
        <color indexed="10"/>
        <rFont val="Arial"/>
        <family val="2"/>
      </rPr>
      <t xml:space="preserve"> &lt;= 3</t>
    </r>
    <r>
      <rPr>
        <b/>
        <vertAlign val="superscript"/>
        <sz val="10"/>
        <color indexed="10"/>
        <rFont val="Arial"/>
        <family val="2"/>
      </rPr>
      <t>o</t>
    </r>
  </si>
  <si>
    <t>Fig's. 30.4-2A, 30.4-2B, and 30.4-2C:</t>
  </si>
  <si>
    <t>Fig. 30.4-2A:</t>
  </si>
  <si>
    <t>Fig. 30.6-1 (or Fig. 30.4-2B):</t>
  </si>
  <si>
    <t>Fig. 30.4-2B:</t>
  </si>
  <si>
    <t>Fig. 30.4-2C:</t>
  </si>
  <si>
    <r>
      <t xml:space="preserve">Determine </t>
    </r>
    <r>
      <rPr>
        <sz val="10"/>
        <color indexed="12"/>
        <rFont val="Symbol"/>
        <family val="1"/>
        <charset val="2"/>
      </rPr>
      <t>a</t>
    </r>
    <r>
      <rPr>
        <sz val="10"/>
        <color indexed="12"/>
        <rFont val="Arial"/>
        <family val="2"/>
      </rPr>
      <t>, zg, Kh, and qh:</t>
    </r>
  </si>
  <si>
    <t xml:space="preserve">             qi = qh for roof (conservatively assumed per Sect. 30.6)</t>
  </si>
  <si>
    <r>
      <t xml:space="preserve">            8. </t>
    </r>
    <r>
      <rPr>
        <sz val="10"/>
        <color indexed="10"/>
        <rFont val="Arial"/>
        <family val="2"/>
      </rPr>
      <t>Per Code Section 30.2.2, the minimum wind load for C&amp;C shall not be less than 16 psf.</t>
    </r>
  </si>
  <si>
    <r>
      <t xml:space="preserve">            4. For monoslope roofs with </t>
    </r>
    <r>
      <rPr>
        <sz val="10"/>
        <rFont val="Symbol"/>
        <family val="1"/>
        <charset val="2"/>
      </rPr>
      <t>q</t>
    </r>
    <r>
      <rPr>
        <sz val="10"/>
        <rFont val="Arial"/>
        <family val="2"/>
      </rPr>
      <t xml:space="preserve"> &lt;= 3 degrees, use Fig. 30.4-2A for 'GCp' values with 'qh'.</t>
    </r>
  </si>
  <si>
    <t xml:space="preserve">            6. For all buildings with overhangs, use Fig. 30.4-2B for 'GCp' values per Sect. 30.10.</t>
  </si>
  <si>
    <r>
      <t xml:space="preserve">            5. For buildings with h &gt; 60' and </t>
    </r>
    <r>
      <rPr>
        <sz val="10"/>
        <rFont val="Symbol"/>
        <family val="1"/>
        <charset val="2"/>
      </rPr>
      <t>q</t>
    </r>
    <r>
      <rPr>
        <sz val="10"/>
        <rFont val="Arial"/>
        <family val="2"/>
      </rPr>
      <t xml:space="preserve"> &gt; 10 degrees, use Fig. 30.6-1 for 'GCpi' values with 'qh'.</t>
    </r>
  </si>
  <si>
    <t>Per ASCE 7-10 Code</t>
  </si>
  <si>
    <t>mph  (Wind Map, Figure 26.5-1A-C)</t>
  </si>
  <si>
    <t xml:space="preserve">    Parameters Used in Both Item #2 and Item #3 Calculations (from Table 26.9-1):</t>
  </si>
  <si>
    <t>= (2*(LN(3600*f)))^(1/2)+0.577/(2*LN(3600*f))^(1/2) , Eq. 26.9-11</t>
  </si>
  <si>
    <t>= (1/(1+0.63*((B+h)/Lz(bar))^0.63))^(1/2) ,  Eq. 26.9-8</t>
  </si>
  <si>
    <t>= 0.925*((1+1.7*gq*Iz(bar)*Q)/(1+1.7*gv*Iz(bar))) ,  Eq. 26.9-6</t>
  </si>
  <si>
    <r>
      <t>= b(bar)*(z(bar)/33)^(</t>
    </r>
    <r>
      <rPr>
        <sz val="10"/>
        <color indexed="8"/>
        <rFont val="Symbol"/>
        <family val="1"/>
        <charset val="2"/>
      </rPr>
      <t>a</t>
    </r>
    <r>
      <rPr>
        <sz val="10"/>
        <color indexed="8"/>
        <rFont val="Arial"/>
        <family val="2"/>
      </rPr>
      <t>(bar))*V*(88/60) ,  ft./sec. , Eq. 26.9-16</t>
    </r>
  </si>
  <si>
    <t>= f*Lz(bar)/(V(bar,zbar)) , Eq. 26.9-14</t>
  </si>
  <si>
    <t>(Sect. 26.8 &amp; Fig. 26.8-1)</t>
  </si>
  <si>
    <t>qz = 0.00256*Kz*Kzt*Kd*V^2</t>
  </si>
  <si>
    <t>Velocity Pressure (Sect. 30.3.2, Eq. 30.3-1)</t>
  </si>
  <si>
    <t>(3.4, per Sect. 26.9.3)</t>
  </si>
  <si>
    <r>
      <t>= (1/</t>
    </r>
    <r>
      <rPr>
        <sz val="10"/>
        <color indexed="8"/>
        <rFont val="Symbol"/>
        <family val="1"/>
        <charset val="2"/>
      </rPr>
      <t>h</t>
    </r>
    <r>
      <rPr>
        <sz val="10"/>
        <color indexed="8"/>
        <rFont val="Arial"/>
        <family val="2"/>
      </rPr>
      <t>h)-1/(2*</t>
    </r>
    <r>
      <rPr>
        <sz val="10"/>
        <color indexed="8"/>
        <rFont val="Symbol"/>
        <family val="1"/>
        <charset val="2"/>
      </rPr>
      <t>h</t>
    </r>
    <r>
      <rPr>
        <sz val="10"/>
        <color indexed="8"/>
        <rFont val="Arial"/>
        <family val="2"/>
      </rPr>
      <t>h^2)*(1-e^(-2*</t>
    </r>
    <r>
      <rPr>
        <sz val="10"/>
        <color indexed="8"/>
        <rFont val="Symbol"/>
        <family val="1"/>
        <charset val="2"/>
      </rPr>
      <t>h</t>
    </r>
    <r>
      <rPr>
        <sz val="10"/>
        <color indexed="8"/>
        <rFont val="Arial"/>
        <family val="2"/>
      </rPr>
      <t xml:space="preserve">h))  for </t>
    </r>
    <r>
      <rPr>
        <sz val="10"/>
        <color indexed="8"/>
        <rFont val="Symbol"/>
        <family val="1"/>
        <charset val="2"/>
      </rPr>
      <t>h</t>
    </r>
    <r>
      <rPr>
        <sz val="10"/>
        <color indexed="8"/>
        <rFont val="Arial"/>
        <family val="2"/>
      </rPr>
      <t xml:space="preserve">h &gt; 0,  or  = 1  for </t>
    </r>
    <r>
      <rPr>
        <sz val="10"/>
        <color indexed="8"/>
        <rFont val="Symbol"/>
        <family val="1"/>
        <charset val="2"/>
      </rPr>
      <t>h</t>
    </r>
    <r>
      <rPr>
        <sz val="10"/>
        <color indexed="8"/>
        <rFont val="Arial"/>
        <family val="2"/>
      </rPr>
      <t>h = 0 , Eq. 26.9-15a,b</t>
    </r>
  </si>
  <si>
    <r>
      <t>= (1/</t>
    </r>
    <r>
      <rPr>
        <sz val="10"/>
        <color indexed="8"/>
        <rFont val="Symbol"/>
        <family val="1"/>
        <charset val="2"/>
      </rPr>
      <t>h</t>
    </r>
    <r>
      <rPr>
        <sz val="10"/>
        <color indexed="8"/>
        <rFont val="Arial"/>
        <family val="2"/>
      </rPr>
      <t>b)-1/(2*</t>
    </r>
    <r>
      <rPr>
        <sz val="10"/>
        <color indexed="8"/>
        <rFont val="Symbol"/>
        <family val="1"/>
        <charset val="2"/>
      </rPr>
      <t>h</t>
    </r>
    <r>
      <rPr>
        <sz val="10"/>
        <color indexed="8"/>
        <rFont val="Arial"/>
        <family val="2"/>
      </rPr>
      <t>b^2)*(1-e^(-2*</t>
    </r>
    <r>
      <rPr>
        <sz val="10"/>
        <color indexed="8"/>
        <rFont val="Symbol"/>
        <family val="1"/>
        <charset val="2"/>
      </rPr>
      <t>h</t>
    </r>
    <r>
      <rPr>
        <sz val="10"/>
        <color indexed="8"/>
        <rFont val="Arial"/>
        <family val="2"/>
      </rPr>
      <t xml:space="preserve">b))  for </t>
    </r>
    <r>
      <rPr>
        <sz val="10"/>
        <color indexed="8"/>
        <rFont val="Symbol"/>
        <family val="1"/>
        <charset val="2"/>
      </rPr>
      <t>h</t>
    </r>
    <r>
      <rPr>
        <sz val="10"/>
        <color indexed="8"/>
        <rFont val="Arial"/>
        <family val="2"/>
      </rPr>
      <t xml:space="preserve">b &gt; 0,  or  = 1  for </t>
    </r>
    <r>
      <rPr>
        <sz val="10"/>
        <color indexed="8"/>
        <rFont val="Symbol"/>
        <family val="1"/>
        <charset val="2"/>
      </rPr>
      <t>h</t>
    </r>
    <r>
      <rPr>
        <sz val="10"/>
        <color indexed="8"/>
        <rFont val="Arial"/>
        <family val="2"/>
      </rPr>
      <t>b = 0 , Eq. 26.9-15a,b</t>
    </r>
  </si>
  <si>
    <r>
      <t>= (1/</t>
    </r>
    <r>
      <rPr>
        <sz val="10"/>
        <color indexed="8"/>
        <rFont val="Symbol"/>
        <family val="1"/>
        <charset val="2"/>
      </rPr>
      <t>h</t>
    </r>
    <r>
      <rPr>
        <sz val="10"/>
        <color indexed="8"/>
        <rFont val="Arial"/>
        <family val="2"/>
      </rPr>
      <t>d)-1/(2*</t>
    </r>
    <r>
      <rPr>
        <sz val="10"/>
        <color indexed="8"/>
        <rFont val="Symbol"/>
        <family val="1"/>
        <charset val="2"/>
      </rPr>
      <t>h</t>
    </r>
    <r>
      <rPr>
        <sz val="10"/>
        <color indexed="8"/>
        <rFont val="Arial"/>
        <family val="2"/>
      </rPr>
      <t>d^2)*(1-e^(-2*</t>
    </r>
    <r>
      <rPr>
        <sz val="10"/>
        <color indexed="8"/>
        <rFont val="Symbol"/>
        <family val="1"/>
        <charset val="2"/>
      </rPr>
      <t>h</t>
    </r>
    <r>
      <rPr>
        <sz val="10"/>
        <color indexed="8"/>
        <rFont val="Arial"/>
        <family val="2"/>
      </rPr>
      <t xml:space="preserve">d))  for </t>
    </r>
    <r>
      <rPr>
        <sz val="10"/>
        <color indexed="8"/>
        <rFont val="Symbol"/>
        <family val="1"/>
        <charset val="2"/>
      </rPr>
      <t>h</t>
    </r>
    <r>
      <rPr>
        <sz val="10"/>
        <color indexed="8"/>
        <rFont val="Arial"/>
        <family val="2"/>
      </rPr>
      <t xml:space="preserve">d &gt; 0,  or  = 1  for </t>
    </r>
    <r>
      <rPr>
        <sz val="10"/>
        <color indexed="8"/>
        <rFont val="Symbol"/>
        <family val="1"/>
        <charset val="2"/>
      </rPr>
      <t>h</t>
    </r>
    <r>
      <rPr>
        <sz val="10"/>
        <color indexed="8"/>
        <rFont val="Arial"/>
        <family val="2"/>
      </rPr>
      <t>d = 0 , Eq. 26.9-15a,b</t>
    </r>
  </si>
  <si>
    <t>= 0.925*(1+1.7*Iz(bar)*(gq^2*Q^2+gr^2*R^2)^(1/2))/(1+1.7*gv*Iz(bar)) ,  Eq. 26.9-10</t>
  </si>
  <si>
    <r>
      <t>Note:</t>
    </r>
    <r>
      <rPr>
        <sz val="8"/>
        <color indexed="12"/>
        <rFont val="Arial"/>
        <family val="2"/>
      </rPr>
      <t xml:space="preserve"> Per Code Section 27.4.7, design wind force for open </t>
    </r>
  </si>
  <si>
    <t xml:space="preserve">buildings and other structures shall not be less than 16 psf </t>
  </si>
  <si>
    <t>Net Design Wind Pressures (Sect. 29.5):</t>
  </si>
  <si>
    <t>Figure 29.5-2</t>
  </si>
  <si>
    <t>Other Structures - Chapter 28</t>
  </si>
  <si>
    <t>Figure 29.5-3</t>
  </si>
  <si>
    <t xml:space="preserve">1. For all wind directions considered, the area 'Af' consistent with the specified force coefficients </t>
  </si>
  <si>
    <t xml:space="preserve">    shall be solid area of tower face projected on plane of that face for tower segment under </t>
  </si>
  <si>
    <t xml:space="preserve">    consideration.</t>
  </si>
  <si>
    <r>
      <t xml:space="preserve">7. Notation:  </t>
    </r>
    <r>
      <rPr>
        <sz val="10"/>
        <rFont val="Symbol"/>
        <family val="1"/>
        <charset val="2"/>
      </rPr>
      <t>e</t>
    </r>
    <r>
      <rPr>
        <sz val="10"/>
        <rFont val="Arial"/>
        <family val="2"/>
      </rPr>
      <t xml:space="preserve"> = ratio of solid area to gross area of one tower face for segment considered.</t>
    </r>
  </si>
  <si>
    <t>6. Loads due to ice accretion as described in Chapter 10 shall be accounted for.</t>
  </si>
  <si>
    <t>α</t>
  </si>
  <si>
    <t>μ</t>
  </si>
  <si>
    <t>γ</t>
  </si>
  <si>
    <t>ε</t>
  </si>
  <si>
    <t>h/L</t>
    <phoneticPr fontId="64" type="noConversion"/>
  </si>
  <si>
    <t>10~15</t>
    <phoneticPr fontId="64" type="noConversion"/>
  </si>
  <si>
    <r>
      <rPr>
        <sz val="10"/>
        <color indexed="55"/>
        <rFont val="細明體"/>
        <family val="3"/>
        <charset val="136"/>
      </rPr>
      <t>≧</t>
    </r>
    <r>
      <rPr>
        <sz val="10"/>
        <color indexed="55"/>
        <rFont val="Times New Roman"/>
        <family val="1"/>
      </rPr>
      <t>60</t>
    </r>
    <phoneticPr fontId="64" type="noConversion"/>
  </si>
  <si>
    <r>
      <t>z</t>
    </r>
    <r>
      <rPr>
        <vertAlign val="subscript"/>
        <sz val="12"/>
        <color indexed="8"/>
        <rFont val="新細明體"/>
        <family val="1"/>
        <charset val="136"/>
      </rPr>
      <t>g</t>
    </r>
    <r>
      <rPr>
        <sz val="10"/>
        <rFont val="Arial"/>
        <family val="2"/>
      </rPr>
      <t xml:space="preserve"> (m)</t>
    </r>
    <phoneticPr fontId="64" type="noConversion"/>
  </si>
  <si>
    <t>b</t>
    <phoneticPr fontId="64" type="noConversion"/>
  </si>
  <si>
    <t>c</t>
    <phoneticPr fontId="64" type="noConversion"/>
  </si>
  <si>
    <r>
      <rPr>
        <sz val="12"/>
        <color indexed="8"/>
        <rFont val="Freestyle Script"/>
        <family val="4"/>
      </rPr>
      <t xml:space="preserve">l </t>
    </r>
    <r>
      <rPr>
        <sz val="10"/>
        <rFont val="Arial"/>
        <family val="2"/>
      </rPr>
      <t>(m)</t>
    </r>
    <phoneticPr fontId="64" type="noConversion"/>
  </si>
  <si>
    <r>
      <t>z</t>
    </r>
    <r>
      <rPr>
        <vertAlign val="subscript"/>
        <sz val="12"/>
        <color indexed="8"/>
        <rFont val="新細明體"/>
        <family val="1"/>
        <charset val="136"/>
      </rPr>
      <t>min</t>
    </r>
    <r>
      <rPr>
        <sz val="10"/>
        <rFont val="Arial"/>
        <family val="2"/>
      </rPr>
      <t>(m)</t>
    </r>
    <phoneticPr fontId="64" type="noConversion"/>
  </si>
  <si>
    <t>地況A</t>
    <phoneticPr fontId="64" type="noConversion"/>
  </si>
  <si>
    <t>地況B</t>
    <phoneticPr fontId="64" type="noConversion"/>
  </si>
  <si>
    <t>地況C</t>
    <phoneticPr fontId="64" type="noConversion"/>
  </si>
  <si>
    <t>K1/(H/Lh)</t>
    <phoneticPr fontId="64" type="noConversion"/>
  </si>
  <si>
    <t>A</t>
    <phoneticPr fontId="64" type="noConversion"/>
  </si>
  <si>
    <t>B</t>
    <phoneticPr fontId="64" type="noConversion"/>
  </si>
  <si>
    <t>C</t>
    <phoneticPr fontId="64" type="noConversion"/>
  </si>
  <si>
    <t>上風側</t>
    <phoneticPr fontId="64" type="noConversion"/>
  </si>
  <si>
    <t>下風側</t>
    <phoneticPr fontId="64" type="noConversion"/>
  </si>
  <si>
    <t>平地</t>
    <phoneticPr fontId="64" type="noConversion"/>
  </si>
  <si>
    <t>山脊</t>
    <phoneticPr fontId="64" type="noConversion"/>
  </si>
  <si>
    <t>懸崖</t>
    <phoneticPr fontId="64" type="noConversion"/>
  </si>
  <si>
    <t>山丘</t>
    <phoneticPr fontId="64" type="noConversion"/>
  </si>
  <si>
    <t>表2.5</t>
    <phoneticPr fontId="64" type="noConversion"/>
  </si>
  <si>
    <t>10~15</t>
    <phoneticPr fontId="64" type="noConversion"/>
  </si>
  <si>
    <t>≧60</t>
    <phoneticPr fontId="64" type="noConversion"/>
  </si>
  <si>
    <t>≦0.3</t>
    <phoneticPr fontId="64" type="noConversion"/>
  </si>
  <si>
    <t>≧1.5</t>
    <phoneticPr fontId="64" type="noConversion"/>
  </si>
  <si>
    <t>表2.6</t>
    <phoneticPr fontId="64" type="noConversion"/>
  </si>
  <si>
    <t>P</t>
    <phoneticPr fontId="64" type="noConversion"/>
  </si>
  <si>
    <t>Q</t>
    <phoneticPr fontId="64" type="noConversion"/>
  </si>
  <si>
    <t>0&lt;r&lt;0.2</t>
    <phoneticPr fontId="64" type="noConversion"/>
  </si>
  <si>
    <t>0.2≦r&lt;0.3</t>
    <phoneticPr fontId="64" type="noConversion"/>
  </si>
  <si>
    <t>0.3≦r&lt;0.6</t>
    <phoneticPr fontId="64" type="noConversion"/>
  </si>
  <si>
    <t>0&lt;r≦0.6</t>
    <phoneticPr fontId="64" type="noConversion"/>
  </si>
  <si>
    <t>m (hr &gt;= he)</t>
    <phoneticPr fontId="62" type="noConversion"/>
  </si>
  <si>
    <t>m (he &lt;= hr)</t>
    <phoneticPr fontId="62" type="noConversion"/>
  </si>
  <si>
    <t>A</t>
    <phoneticPr fontId="62" type="noConversion"/>
  </si>
  <si>
    <t>B</t>
    <phoneticPr fontId="62" type="noConversion"/>
  </si>
  <si>
    <t>C</t>
    <phoneticPr fontId="62" type="noConversion"/>
  </si>
  <si>
    <r>
      <t xml:space="preserve">(Sect. </t>
    </r>
    <r>
      <rPr>
        <sz val="10"/>
        <rFont val="Arial"/>
        <family val="2"/>
      </rPr>
      <t>2.3</t>
    </r>
    <r>
      <rPr>
        <sz val="10"/>
        <rFont val="Arial"/>
        <family val="2"/>
      </rPr>
      <t>)</t>
    </r>
    <phoneticPr fontId="62" type="noConversion"/>
  </si>
  <si>
    <t>第一類</t>
    <phoneticPr fontId="62" type="noConversion"/>
  </si>
  <si>
    <t>第二類</t>
    <phoneticPr fontId="62" type="noConversion"/>
  </si>
  <si>
    <t>第三類</t>
    <phoneticPr fontId="62" type="noConversion"/>
  </si>
  <si>
    <t>第四類</t>
    <phoneticPr fontId="62" type="noConversion"/>
  </si>
  <si>
    <t>第五類</t>
    <phoneticPr fontId="62" type="noConversion"/>
  </si>
  <si>
    <t>用途係數 I</t>
    <phoneticPr fontId="62" type="noConversion"/>
  </si>
  <si>
    <r>
      <rPr>
        <sz val="10"/>
        <rFont val="細明體"/>
        <family val="3"/>
        <charset val="136"/>
      </rPr>
      <t>地形係數</t>
    </r>
    <r>
      <rPr>
        <sz val="10"/>
        <rFont val="Arial"/>
        <family val="2"/>
      </rPr>
      <t>, Kzt =</t>
    </r>
    <phoneticPr fontId="62" type="noConversion"/>
  </si>
  <si>
    <r>
      <rPr>
        <sz val="10"/>
        <rFont val="細明體"/>
        <family val="3"/>
        <charset val="136"/>
      </rPr>
      <t>封閉</t>
    </r>
    <r>
      <rPr>
        <sz val="10"/>
        <rFont val="Arial"/>
        <family val="2"/>
      </rPr>
      <t>? (Y/N)</t>
    </r>
    <phoneticPr fontId="62" type="noConversion"/>
  </si>
  <si>
    <r>
      <rPr>
        <sz val="10"/>
        <rFont val="細明體"/>
        <family val="3"/>
        <charset val="136"/>
      </rPr>
      <t>基本設計風速</t>
    </r>
    <r>
      <rPr>
        <sz val="10"/>
        <rFont val="Arial"/>
        <family val="2"/>
      </rPr>
      <t>, V</t>
    </r>
    <r>
      <rPr>
        <vertAlign val="subscript"/>
        <sz val="10"/>
        <rFont val="Arial"/>
        <family val="2"/>
      </rPr>
      <t>10</t>
    </r>
    <r>
      <rPr>
        <sz val="10"/>
        <rFont val="Arial"/>
        <family val="2"/>
      </rPr>
      <t xml:space="preserve"> =</t>
    </r>
    <phoneticPr fontId="62" type="noConversion"/>
  </si>
  <si>
    <r>
      <t xml:space="preserve">1.  Is h &lt;= </t>
    </r>
    <r>
      <rPr>
        <sz val="10"/>
        <rFont val="Arial"/>
        <family val="2"/>
      </rPr>
      <t>18m</t>
    </r>
    <r>
      <rPr>
        <sz val="10"/>
        <rFont val="Arial"/>
        <family val="2"/>
      </rPr>
      <t xml:space="preserve"> ?</t>
    </r>
    <phoneticPr fontId="62" type="noConversion"/>
  </si>
  <si>
    <t>Is h &lt;=18m?</t>
    <phoneticPr fontId="62" type="noConversion"/>
  </si>
  <si>
    <t>(Table 2.2)</t>
    <phoneticPr fontId="62" type="noConversion"/>
  </si>
  <si>
    <r>
      <t>(</t>
    </r>
    <r>
      <rPr>
        <sz val="10"/>
        <color indexed="12"/>
        <rFont val="細明體"/>
        <family val="3"/>
        <charset val="136"/>
      </rPr>
      <t>式</t>
    </r>
    <r>
      <rPr>
        <sz val="10"/>
        <color indexed="12"/>
        <rFont val="Arial"/>
        <family val="2"/>
      </rPr>
      <t xml:space="preserve"> 2.7)</t>
    </r>
    <phoneticPr fontId="62" type="noConversion"/>
  </si>
  <si>
    <r>
      <rPr>
        <sz val="10"/>
        <rFont val="細明體"/>
        <family val="3"/>
        <charset val="136"/>
      </rPr>
      <t>地況種類</t>
    </r>
    <r>
      <rPr>
        <sz val="10"/>
        <rFont val="Arial"/>
        <family val="2"/>
      </rPr>
      <t xml:space="preserve"> =</t>
    </r>
    <phoneticPr fontId="62" type="noConversion"/>
  </si>
  <si>
    <r>
      <t>qz = 0.06*Kz*Kzt*(I*V</t>
    </r>
    <r>
      <rPr>
        <vertAlign val="subscript"/>
        <sz val="10"/>
        <color indexed="12"/>
        <rFont val="Arial"/>
        <family val="2"/>
      </rPr>
      <t>10</t>
    </r>
    <r>
      <rPr>
        <sz val="10"/>
        <color indexed="12"/>
        <rFont val="Arial"/>
        <family val="2"/>
      </rPr>
      <t>(C))</t>
    </r>
    <r>
      <rPr>
        <vertAlign val="superscript"/>
        <sz val="10"/>
        <color indexed="12"/>
        <rFont val="Arial"/>
        <family val="2"/>
      </rPr>
      <t>2</t>
    </r>
    <r>
      <rPr>
        <sz val="10"/>
        <color indexed="12"/>
        <rFont val="Arial"/>
        <family val="2"/>
      </rPr>
      <t xml:space="preserve"> </t>
    </r>
    <phoneticPr fontId="62" type="noConversion"/>
  </si>
  <si>
    <r>
      <t>(</t>
    </r>
    <r>
      <rPr>
        <sz val="10"/>
        <color indexed="12"/>
        <rFont val="細明體"/>
        <family val="3"/>
        <charset val="136"/>
      </rPr>
      <t>式</t>
    </r>
    <r>
      <rPr>
        <sz val="10"/>
        <color indexed="12"/>
        <rFont val="Arial"/>
        <family val="2"/>
      </rPr>
      <t xml:space="preserve"> 2.6)</t>
    </r>
    <phoneticPr fontId="62" type="noConversion"/>
  </si>
  <si>
    <r>
      <rPr>
        <sz val="10"/>
        <rFont val="細明體"/>
        <family val="3"/>
        <charset val="136"/>
      </rPr>
      <t>重要係數，</t>
    </r>
    <r>
      <rPr>
        <sz val="10"/>
        <rFont val="Arial"/>
        <family val="2"/>
      </rPr>
      <t xml:space="preserve"> I =</t>
    </r>
    <phoneticPr fontId="62" type="noConversion"/>
  </si>
  <si>
    <r>
      <t>(Sect. 2.5</t>
    </r>
    <r>
      <rPr>
        <sz val="10"/>
        <rFont val="Arial"/>
        <family val="2"/>
      </rPr>
      <t>)</t>
    </r>
    <phoneticPr fontId="62" type="noConversion"/>
  </si>
  <si>
    <t>m/s  (Sect. 2.4)</t>
    <phoneticPr fontId="62" type="noConversion"/>
  </si>
  <si>
    <r>
      <rPr>
        <sz val="10"/>
        <rFont val="細明體"/>
        <family val="3"/>
        <charset val="136"/>
      </rPr>
      <t>屋頂形式</t>
    </r>
    <r>
      <rPr>
        <sz val="10"/>
        <rFont val="Arial"/>
        <family val="2"/>
      </rPr>
      <t xml:space="preserve"> =</t>
    </r>
    <phoneticPr fontId="62" type="noConversion"/>
  </si>
  <si>
    <t>Positive &amp; Negative Internal Pressure Coefficients, GCpi (Table 2.17):</t>
    <phoneticPr fontId="62" type="noConversion"/>
  </si>
  <si>
    <r>
      <t>(K</t>
    </r>
    <r>
      <rPr>
        <vertAlign val="subscript"/>
        <sz val="10"/>
        <rFont val="Arial"/>
        <family val="2"/>
      </rPr>
      <t>h</t>
    </r>
    <r>
      <rPr>
        <sz val="10"/>
        <rFont val="Arial"/>
        <family val="2"/>
      </rPr>
      <t xml:space="preserve"> = K</t>
    </r>
    <r>
      <rPr>
        <vertAlign val="subscript"/>
        <sz val="10"/>
        <rFont val="Arial"/>
        <family val="2"/>
      </rPr>
      <t>z</t>
    </r>
    <r>
      <rPr>
        <sz val="10"/>
        <rFont val="Arial"/>
        <family val="2"/>
      </rPr>
      <t xml:space="preserve"> evaluated at z = h)</t>
    </r>
    <phoneticPr fontId="62" type="noConversion"/>
  </si>
  <si>
    <r>
      <t>K</t>
    </r>
    <r>
      <rPr>
        <vertAlign val="subscript"/>
        <sz val="10"/>
        <rFont val="Arial"/>
        <family val="2"/>
      </rPr>
      <t>h</t>
    </r>
    <r>
      <rPr>
        <sz val="10"/>
        <rFont val="Arial"/>
        <family val="2"/>
      </rPr>
      <t xml:space="preserve"> =</t>
    </r>
    <phoneticPr fontId="62" type="noConversion"/>
  </si>
  <si>
    <r>
      <t>If  z &lt;=</t>
    </r>
    <r>
      <rPr>
        <sz val="10"/>
        <rFont val="Arial"/>
        <family val="2"/>
      </rPr>
      <t xml:space="preserve"> 5  then:  K</t>
    </r>
    <r>
      <rPr>
        <sz val="10"/>
        <rFont val="Arial"/>
        <family val="2"/>
      </rPr>
      <t>(z)</t>
    </r>
    <r>
      <rPr>
        <sz val="10"/>
        <rFont val="Arial"/>
        <family val="2"/>
      </rPr>
      <t xml:space="preserve"> = 2.</t>
    </r>
    <r>
      <rPr>
        <sz val="10"/>
        <rFont val="Arial"/>
        <family val="2"/>
      </rPr>
      <t>774</t>
    </r>
    <r>
      <rPr>
        <sz val="10"/>
        <rFont val="Arial"/>
        <family val="2"/>
      </rPr>
      <t>*(5/zg)^(2</t>
    </r>
    <r>
      <rPr>
        <sz val="10"/>
        <rFont val="細明體"/>
        <family val="3"/>
        <charset val="136"/>
      </rPr>
      <t>α</t>
    </r>
    <r>
      <rPr>
        <sz val="10"/>
        <rFont val="Arial"/>
        <family val="2"/>
      </rPr>
      <t>)   (Table</t>
    </r>
    <r>
      <rPr>
        <sz val="10"/>
        <rFont val="Arial"/>
        <family val="2"/>
      </rPr>
      <t xml:space="preserve"> 2.2</t>
    </r>
    <r>
      <rPr>
        <sz val="10"/>
        <rFont val="Arial"/>
        <family val="2"/>
      </rPr>
      <t>)</t>
    </r>
    <phoneticPr fontId="62" type="noConversion"/>
  </si>
  <si>
    <r>
      <t>If z &gt; 5  then:  K(z) = 2.774*(z/zg)^(2</t>
    </r>
    <r>
      <rPr>
        <sz val="10"/>
        <rFont val="細明體"/>
        <family val="3"/>
        <charset val="136"/>
      </rPr>
      <t>α</t>
    </r>
    <r>
      <rPr>
        <sz val="10"/>
        <rFont val="Arial"/>
        <family val="2"/>
      </rPr>
      <t>)   (Table 2.</t>
    </r>
    <r>
      <rPr>
        <sz val="10"/>
        <rFont val="Arial"/>
        <family val="2"/>
      </rPr>
      <t>2</t>
    </r>
    <r>
      <rPr>
        <sz val="10"/>
        <rFont val="Arial"/>
        <family val="2"/>
      </rPr>
      <t>)</t>
    </r>
    <phoneticPr fontId="62" type="noConversion"/>
  </si>
  <si>
    <r>
      <t>Velocity Pressure: q(z) = 0.06*Kz*Kzt*(I*V</t>
    </r>
    <r>
      <rPr>
        <vertAlign val="subscript"/>
        <sz val="10"/>
        <rFont val="Arial"/>
        <family val="2"/>
      </rPr>
      <t>10</t>
    </r>
    <r>
      <rPr>
        <sz val="10"/>
        <rFont val="Arial"/>
        <family val="2"/>
      </rPr>
      <t>(C)</t>
    </r>
    <r>
      <rPr>
        <vertAlign val="superscript"/>
        <sz val="10"/>
        <rFont val="Arial"/>
        <family val="2"/>
      </rPr>
      <t>2</t>
    </r>
    <r>
      <rPr>
        <sz val="10"/>
        <rFont val="Arial"/>
        <family val="2"/>
      </rPr>
      <t xml:space="preserve">  (Eq. 2.6)</t>
    </r>
    <phoneticPr fontId="62" type="noConversion"/>
  </si>
  <si>
    <r>
      <t>k</t>
    </r>
    <r>
      <rPr>
        <sz val="10"/>
        <rFont val="Arial"/>
        <family val="2"/>
      </rPr>
      <t>gf/m</t>
    </r>
    <r>
      <rPr>
        <vertAlign val="superscript"/>
        <sz val="10"/>
        <rFont val="Arial"/>
        <family val="2"/>
      </rPr>
      <t>2</t>
    </r>
    <phoneticPr fontId="62" type="noConversion"/>
  </si>
  <si>
    <r>
      <t>q(h) = 0.06*Kz*Kzt*(I*V</t>
    </r>
    <r>
      <rPr>
        <vertAlign val="subscript"/>
        <sz val="10"/>
        <rFont val="Arial"/>
        <family val="2"/>
      </rPr>
      <t>10</t>
    </r>
    <r>
      <rPr>
        <sz val="10"/>
        <rFont val="Arial"/>
        <family val="2"/>
      </rPr>
      <t>(C)</t>
    </r>
    <r>
      <rPr>
        <vertAlign val="superscript"/>
        <sz val="10"/>
        <rFont val="Arial"/>
        <family val="2"/>
      </rPr>
      <t>2</t>
    </r>
    <r>
      <rPr>
        <sz val="10"/>
        <rFont val="Arial"/>
        <family val="2"/>
      </rPr>
      <t xml:space="preserve">  (q</t>
    </r>
    <r>
      <rPr>
        <sz val="10"/>
        <rFont val="Arial"/>
        <family val="2"/>
      </rPr>
      <t>(</t>
    </r>
    <r>
      <rPr>
        <sz val="10"/>
        <rFont val="Arial"/>
        <family val="2"/>
      </rPr>
      <t>z</t>
    </r>
    <r>
      <rPr>
        <sz val="10"/>
        <rFont val="Arial"/>
        <family val="2"/>
      </rPr>
      <t>)</t>
    </r>
    <r>
      <rPr>
        <sz val="10"/>
        <rFont val="Arial"/>
        <family val="2"/>
      </rPr>
      <t xml:space="preserve"> evaluated at z = h)</t>
    </r>
    <phoneticPr fontId="62" type="noConversion"/>
  </si>
  <si>
    <t>Design Net External Wind Pressures (Sect. 2.2):</t>
    <phoneticPr fontId="62" type="noConversion"/>
  </si>
  <si>
    <t>Compare to 0.9m:</t>
    <phoneticPr fontId="62" type="noConversion"/>
  </si>
  <si>
    <r>
      <t>p = q(GCp) - qi(GCpi)  (kgf/m</t>
    </r>
    <r>
      <rPr>
        <vertAlign val="superscript"/>
        <sz val="10"/>
        <rFont val="Arial"/>
        <family val="2"/>
      </rPr>
      <t>2</t>
    </r>
    <r>
      <rPr>
        <sz val="10"/>
        <rFont val="Arial"/>
        <family val="2"/>
      </rPr>
      <t xml:space="preserve">, Eq. </t>
    </r>
    <r>
      <rPr>
        <sz val="10"/>
        <rFont val="Arial"/>
        <family val="2"/>
      </rPr>
      <t>2.</t>
    </r>
    <r>
      <rPr>
        <sz val="10"/>
        <rFont val="Arial"/>
        <family val="2"/>
      </rPr>
      <t>1)</t>
    </r>
    <phoneticPr fontId="62" type="noConversion"/>
  </si>
  <si>
    <r>
      <t>m (</t>
    </r>
    <r>
      <rPr>
        <sz val="10"/>
        <rFont val="細明體"/>
        <family val="3"/>
        <charset val="136"/>
      </rPr>
      <t>垂直於屋脊</t>
    </r>
    <r>
      <rPr>
        <sz val="10"/>
        <rFont val="Arial"/>
        <family val="2"/>
      </rPr>
      <t>)</t>
    </r>
    <phoneticPr fontId="62" type="noConversion"/>
  </si>
  <si>
    <r>
      <t>m (</t>
    </r>
    <r>
      <rPr>
        <sz val="10"/>
        <rFont val="細明體"/>
        <family val="3"/>
        <charset val="136"/>
      </rPr>
      <t>平行於屋脊</t>
    </r>
    <r>
      <rPr>
        <sz val="10"/>
        <rFont val="Arial"/>
        <family val="2"/>
      </rPr>
      <t>)</t>
    </r>
    <phoneticPr fontId="62" type="noConversion"/>
  </si>
  <si>
    <t>L</t>
    <phoneticPr fontId="62" type="noConversion"/>
  </si>
  <si>
    <t>迎風面</t>
    <phoneticPr fontId="62" type="noConversion"/>
  </si>
  <si>
    <t>背風面</t>
    <phoneticPr fontId="62" type="noConversion"/>
  </si>
  <si>
    <t>側風面</t>
    <phoneticPr fontId="62" type="noConversion"/>
  </si>
  <si>
    <t>迎風牆面</t>
    <phoneticPr fontId="62" type="noConversion"/>
  </si>
  <si>
    <t>背風牆面</t>
    <phoneticPr fontId="62" type="noConversion"/>
  </si>
  <si>
    <t>側風牆面</t>
    <phoneticPr fontId="62" type="noConversion"/>
  </si>
  <si>
    <t>迎風屋面</t>
    <phoneticPr fontId="62" type="noConversion"/>
  </si>
  <si>
    <t>背風屋面</t>
    <phoneticPr fontId="62" type="noConversion"/>
  </si>
  <si>
    <t>qz =</t>
    <phoneticPr fontId="62" type="noConversion"/>
  </si>
  <si>
    <t>G</t>
    <phoneticPr fontId="62" type="noConversion"/>
  </si>
  <si>
    <t>Cp</t>
    <phoneticPr fontId="62" type="noConversion"/>
  </si>
  <si>
    <r>
      <t>L</t>
    </r>
    <r>
      <rPr>
        <sz val="10"/>
        <rFont val="Arial"/>
        <family val="2"/>
      </rPr>
      <t>/B</t>
    </r>
    <phoneticPr fontId="62" type="noConversion"/>
  </si>
  <si>
    <r>
      <rPr>
        <b/>
        <sz val="12"/>
        <rFont val="細明體"/>
        <family val="3"/>
        <charset val="136"/>
      </rPr>
      <t>風力計算表</t>
    </r>
    <r>
      <rPr>
        <b/>
        <sz val="12"/>
        <rFont val="Arial"/>
        <family val="2"/>
      </rPr>
      <t xml:space="preserve"> - </t>
    </r>
    <r>
      <rPr>
        <b/>
        <sz val="12"/>
        <rFont val="細明體"/>
        <family val="3"/>
        <charset val="136"/>
      </rPr>
      <t>主要風力抵抗系統</t>
    </r>
    <phoneticPr fontId="62" type="noConversion"/>
  </si>
  <si>
    <t>封閉式或部分封閉式建築物</t>
    <phoneticPr fontId="62" type="noConversion"/>
  </si>
  <si>
    <r>
      <rPr>
        <sz val="10"/>
        <rFont val="細明體"/>
        <family val="3"/>
        <charset val="136"/>
      </rPr>
      <t>建築物寬度，</t>
    </r>
    <r>
      <rPr>
        <sz val="10"/>
        <rFont val="Arial"/>
        <family val="2"/>
      </rPr>
      <t>Lx =</t>
    </r>
    <phoneticPr fontId="62" type="noConversion"/>
  </si>
  <si>
    <r>
      <rPr>
        <sz val="10"/>
        <rFont val="細明體"/>
        <family val="3"/>
        <charset val="136"/>
      </rPr>
      <t>建築物長度，</t>
    </r>
    <r>
      <rPr>
        <sz val="10"/>
        <rFont val="Arial"/>
        <family val="2"/>
      </rPr>
      <t>Ly =</t>
    </r>
    <phoneticPr fontId="62" type="noConversion"/>
  </si>
  <si>
    <r>
      <rPr>
        <sz val="10"/>
        <rFont val="細明體"/>
        <family val="3"/>
        <charset val="136"/>
      </rPr>
      <t>屋脊高度，</t>
    </r>
    <r>
      <rPr>
        <sz val="10"/>
        <rFont val="Arial"/>
        <family val="2"/>
      </rPr>
      <t>hr =</t>
    </r>
    <phoneticPr fontId="62" type="noConversion"/>
  </si>
  <si>
    <r>
      <rPr>
        <sz val="10"/>
        <rFont val="細明體"/>
        <family val="3"/>
        <charset val="136"/>
      </rPr>
      <t>屋簷高度，</t>
    </r>
    <r>
      <rPr>
        <sz val="10"/>
        <rFont val="Arial"/>
        <family val="2"/>
      </rPr>
      <t>he =</t>
    </r>
    <phoneticPr fontId="62" type="noConversion"/>
  </si>
  <si>
    <t>第五類</t>
  </si>
  <si>
    <r>
      <t>(Sect. 2.5</t>
    </r>
    <r>
      <rPr>
        <sz val="10"/>
        <rFont val="Arial"/>
        <family val="2"/>
      </rPr>
      <t>)</t>
    </r>
    <phoneticPr fontId="62" type="noConversion"/>
  </si>
  <si>
    <r>
      <t>(Sect. 2.6</t>
    </r>
    <r>
      <rPr>
        <sz val="10"/>
        <rFont val="Arial"/>
        <family val="2"/>
      </rPr>
      <t xml:space="preserve"> &amp; </t>
    </r>
    <r>
      <rPr>
        <sz val="10"/>
        <rFont val="Arial"/>
        <family val="2"/>
      </rPr>
      <t>Fig. 2.3</t>
    </r>
    <r>
      <rPr>
        <sz val="10"/>
        <rFont val="Arial"/>
        <family val="2"/>
      </rPr>
      <t>)</t>
    </r>
    <phoneticPr fontId="62" type="noConversion"/>
  </si>
  <si>
    <t>(Sect. 1.3)</t>
    <phoneticPr fontId="62" type="noConversion"/>
  </si>
  <si>
    <t>(Table 2.2)</t>
    <phoneticPr fontId="62" type="noConversion"/>
  </si>
  <si>
    <t>地況係數</t>
    <phoneticPr fontId="62" type="noConversion"/>
  </si>
  <si>
    <t>地形係數</t>
    <phoneticPr fontId="62" type="noConversion"/>
  </si>
  <si>
    <t>屋頂之外風壓係數 Cp (MWFRS)</t>
    <phoneticPr fontId="62" type="noConversion"/>
  </si>
  <si>
    <t>拱形屋頂之外風壓係數 Cp (MWFRS)</t>
    <phoneticPr fontId="62" type="noConversion"/>
  </si>
  <si>
    <t>縣市 =</t>
    <phoneticPr fontId="62" type="noConversion"/>
  </si>
  <si>
    <r>
      <rPr>
        <sz val="10"/>
        <rFont val="細明體"/>
        <family val="3"/>
        <charset val="136"/>
      </rPr>
      <t>建築物分類</t>
    </r>
    <r>
      <rPr>
        <sz val="10"/>
        <rFont val="Arial"/>
        <family val="2"/>
      </rPr>
      <t xml:space="preserve"> =</t>
    </r>
    <phoneticPr fontId="62" type="noConversion"/>
  </si>
  <si>
    <t>鄉鎮市區 =</t>
    <phoneticPr fontId="62" type="noConversion"/>
  </si>
  <si>
    <r>
      <rPr>
        <sz val="10"/>
        <rFont val="細明體"/>
        <family val="3"/>
        <charset val="136"/>
      </rPr>
      <t>基本振動週期</t>
    </r>
    <r>
      <rPr>
        <sz val="10"/>
        <rFont val="Arial"/>
        <family val="2"/>
      </rPr>
      <t xml:space="preserve"> =</t>
    </r>
    <phoneticPr fontId="62" type="noConversion"/>
  </si>
  <si>
    <t>Version 1.0 Updated 2015/9/9</t>
    <phoneticPr fontId="62" type="noConversion"/>
  </si>
  <si>
    <r>
      <rPr>
        <sz val="12"/>
        <rFont val="Arial"/>
        <family val="2"/>
      </rPr>
      <t>縣市</t>
    </r>
    <phoneticPr fontId="64" type="noConversion"/>
  </si>
  <si>
    <r>
      <rPr>
        <sz val="12"/>
        <rFont val="Arial"/>
        <family val="2"/>
      </rPr>
      <t>行政區</t>
    </r>
    <phoneticPr fontId="64" type="noConversion"/>
  </si>
  <si>
    <r>
      <t>V</t>
    </r>
    <r>
      <rPr>
        <vertAlign val="subscript"/>
        <sz val="12"/>
        <rFont val="Times New Roman"/>
        <family val="1"/>
      </rPr>
      <t>10</t>
    </r>
    <r>
      <rPr>
        <sz val="12"/>
        <rFont val="Times New Roman"/>
        <family val="1"/>
      </rPr>
      <t>(C)</t>
    </r>
    <phoneticPr fontId="64" type="noConversion"/>
  </si>
  <si>
    <r>
      <rPr>
        <sz val="12"/>
        <rFont val="Arial"/>
        <family val="2"/>
      </rPr>
      <t>郵遞區號</t>
    </r>
    <phoneticPr fontId="64" type="noConversion"/>
  </si>
  <si>
    <r>
      <rPr>
        <sz val="12"/>
        <rFont val="Arial"/>
        <family val="2"/>
      </rPr>
      <t>臺南市</t>
    </r>
  </si>
  <si>
    <r>
      <rPr>
        <b/>
        <sz val="12"/>
        <rFont val="新細明體"/>
        <family val="1"/>
        <charset val="136"/>
      </rPr>
      <t>臺北市</t>
    </r>
    <phoneticPr fontId="64" type="noConversion"/>
  </si>
  <si>
    <r>
      <rPr>
        <b/>
        <sz val="12"/>
        <rFont val="新細明體"/>
        <family val="1"/>
        <charset val="136"/>
      </rPr>
      <t>中正區</t>
    </r>
    <phoneticPr fontId="64" type="noConversion"/>
  </si>
  <si>
    <r>
      <rPr>
        <sz val="12"/>
        <rFont val="Arial"/>
        <family val="2"/>
      </rPr>
      <t>鄉鎮區</t>
    </r>
    <phoneticPr fontId="64" type="noConversion"/>
  </si>
  <si>
    <r>
      <rPr>
        <sz val="12"/>
        <rFont val="Arial"/>
        <family val="2"/>
      </rPr>
      <t>東區</t>
    </r>
  </si>
  <si>
    <r>
      <rPr>
        <b/>
        <sz val="12"/>
        <rFont val="新細明體"/>
        <family val="1"/>
        <charset val="136"/>
      </rPr>
      <t>基隆市</t>
    </r>
    <phoneticPr fontId="64" type="noConversion"/>
  </si>
  <si>
    <r>
      <rPr>
        <b/>
        <sz val="12"/>
        <rFont val="新細明體"/>
        <family val="1"/>
        <charset val="136"/>
      </rPr>
      <t>大同區</t>
    </r>
    <phoneticPr fontId="64" type="noConversion"/>
  </si>
  <si>
    <r>
      <rPr>
        <b/>
        <sz val="12"/>
        <rFont val="新細明體"/>
        <family val="1"/>
        <charset val="136"/>
      </rPr>
      <t>新北市</t>
    </r>
    <phoneticPr fontId="64" type="noConversion"/>
  </si>
  <si>
    <r>
      <rPr>
        <b/>
        <sz val="12"/>
        <rFont val="新細明體"/>
        <family val="1"/>
        <charset val="136"/>
      </rPr>
      <t>中山區</t>
    </r>
    <phoneticPr fontId="64" type="noConversion"/>
  </si>
  <si>
    <r>
      <rPr>
        <b/>
        <sz val="12"/>
        <rFont val="新細明體"/>
        <family val="1"/>
        <charset val="136"/>
      </rPr>
      <t>宜蘭縣</t>
    </r>
    <phoneticPr fontId="64" type="noConversion"/>
  </si>
  <si>
    <r>
      <rPr>
        <b/>
        <sz val="12"/>
        <rFont val="新細明體"/>
        <family val="1"/>
        <charset val="136"/>
      </rPr>
      <t>松山區</t>
    </r>
    <phoneticPr fontId="64" type="noConversion"/>
  </si>
  <si>
    <r>
      <rPr>
        <b/>
        <sz val="12"/>
        <rFont val="新細明體"/>
        <family val="1"/>
        <charset val="136"/>
      </rPr>
      <t>新竹市</t>
    </r>
    <phoneticPr fontId="64" type="noConversion"/>
  </si>
  <si>
    <r>
      <rPr>
        <b/>
        <sz val="12"/>
        <rFont val="新細明體"/>
        <family val="1"/>
        <charset val="136"/>
      </rPr>
      <t>大安區</t>
    </r>
    <phoneticPr fontId="64" type="noConversion"/>
  </si>
  <si>
    <r>
      <rPr>
        <b/>
        <sz val="12"/>
        <rFont val="新細明體"/>
        <family val="1"/>
        <charset val="136"/>
      </rPr>
      <t>新竹縣</t>
    </r>
    <phoneticPr fontId="64" type="noConversion"/>
  </si>
  <si>
    <r>
      <rPr>
        <b/>
        <sz val="12"/>
        <rFont val="新細明體"/>
        <family val="1"/>
        <charset val="136"/>
      </rPr>
      <t>萬華區</t>
    </r>
    <phoneticPr fontId="64" type="noConversion"/>
  </si>
  <si>
    <r>
      <rPr>
        <b/>
        <sz val="12"/>
        <rFont val="新細明體"/>
        <family val="1"/>
        <charset val="136"/>
      </rPr>
      <t>桃園市</t>
    </r>
    <phoneticPr fontId="64" type="noConversion"/>
  </si>
  <si>
    <r>
      <rPr>
        <b/>
        <sz val="12"/>
        <rFont val="新細明體"/>
        <family val="1"/>
        <charset val="136"/>
      </rPr>
      <t>信義區</t>
    </r>
    <phoneticPr fontId="64" type="noConversion"/>
  </si>
  <si>
    <r>
      <rPr>
        <b/>
        <sz val="12"/>
        <rFont val="新細明體"/>
        <family val="1"/>
        <charset val="136"/>
      </rPr>
      <t>苗栗縣</t>
    </r>
    <phoneticPr fontId="64" type="noConversion"/>
  </si>
  <si>
    <r>
      <rPr>
        <b/>
        <sz val="12"/>
        <rFont val="新細明體"/>
        <family val="1"/>
        <charset val="136"/>
      </rPr>
      <t>士林區</t>
    </r>
    <phoneticPr fontId="64" type="noConversion"/>
  </si>
  <si>
    <r>
      <rPr>
        <b/>
        <sz val="12"/>
        <rFont val="新細明體"/>
        <family val="1"/>
        <charset val="136"/>
      </rPr>
      <t>北投區</t>
    </r>
    <phoneticPr fontId="64" type="noConversion"/>
  </si>
  <si>
    <r>
      <rPr>
        <b/>
        <sz val="12"/>
        <rFont val="新細明體"/>
        <family val="1"/>
        <charset val="136"/>
      </rPr>
      <t>臺中市</t>
    </r>
    <phoneticPr fontId="64" type="noConversion"/>
  </si>
  <si>
    <r>
      <rPr>
        <b/>
        <sz val="12"/>
        <rFont val="新細明體"/>
        <family val="1"/>
        <charset val="136"/>
      </rPr>
      <t>內湖區</t>
    </r>
    <phoneticPr fontId="64" type="noConversion"/>
  </si>
  <si>
    <r>
      <rPr>
        <b/>
        <sz val="12"/>
        <rFont val="新細明體"/>
        <family val="1"/>
        <charset val="136"/>
      </rPr>
      <t>南港區</t>
    </r>
    <phoneticPr fontId="64" type="noConversion"/>
  </si>
  <si>
    <r>
      <rPr>
        <b/>
        <sz val="12"/>
        <rFont val="新細明體"/>
        <family val="1"/>
        <charset val="136"/>
      </rPr>
      <t>彰化縣</t>
    </r>
    <phoneticPr fontId="64" type="noConversion"/>
  </si>
  <si>
    <r>
      <rPr>
        <b/>
        <sz val="12"/>
        <rFont val="新細明體"/>
        <family val="1"/>
        <charset val="136"/>
      </rPr>
      <t>文山區</t>
    </r>
    <phoneticPr fontId="64" type="noConversion"/>
  </si>
  <si>
    <r>
      <rPr>
        <b/>
        <sz val="12"/>
        <rFont val="新細明體"/>
        <family val="1"/>
        <charset val="136"/>
      </rPr>
      <t>南投縣</t>
    </r>
    <phoneticPr fontId="64" type="noConversion"/>
  </si>
  <si>
    <r>
      <rPr>
        <b/>
        <sz val="12"/>
        <rFont val="新細明體"/>
        <family val="1"/>
        <charset val="136"/>
      </rPr>
      <t>仁愛區</t>
    </r>
    <phoneticPr fontId="64" type="noConversion"/>
  </si>
  <si>
    <r>
      <rPr>
        <b/>
        <sz val="12"/>
        <rFont val="新細明體"/>
        <family val="1"/>
        <charset val="136"/>
      </rPr>
      <t>雲林縣</t>
    </r>
    <phoneticPr fontId="64" type="noConversion"/>
  </si>
  <si>
    <r>
      <rPr>
        <b/>
        <sz val="12"/>
        <rFont val="新細明體"/>
        <family val="1"/>
        <charset val="136"/>
      </rPr>
      <t>嘉義市</t>
    </r>
    <phoneticPr fontId="64" type="noConversion"/>
  </si>
  <si>
    <r>
      <rPr>
        <b/>
        <sz val="12"/>
        <rFont val="新細明體"/>
        <family val="1"/>
        <charset val="136"/>
      </rPr>
      <t>嘉義縣</t>
    </r>
    <phoneticPr fontId="64" type="noConversion"/>
  </si>
  <si>
    <r>
      <rPr>
        <b/>
        <sz val="12"/>
        <rFont val="新細明體"/>
        <family val="1"/>
        <charset val="136"/>
      </rPr>
      <t>彭佳嶼</t>
    </r>
    <phoneticPr fontId="64" type="noConversion"/>
  </si>
  <si>
    <r>
      <rPr>
        <b/>
        <sz val="12"/>
        <rFont val="新細明體"/>
        <family val="1"/>
        <charset val="136"/>
      </rPr>
      <t>臺南市</t>
    </r>
    <phoneticPr fontId="64" type="noConversion"/>
  </si>
  <si>
    <r>
      <rPr>
        <b/>
        <sz val="12"/>
        <rFont val="新細明體"/>
        <family val="1"/>
        <charset val="136"/>
      </rPr>
      <t>高雄市</t>
    </r>
    <phoneticPr fontId="64" type="noConversion"/>
  </si>
  <si>
    <r>
      <rPr>
        <b/>
        <sz val="12"/>
        <rFont val="新細明體"/>
        <family val="1"/>
        <charset val="136"/>
      </rPr>
      <t>安樂區</t>
    </r>
    <phoneticPr fontId="64" type="noConversion"/>
  </si>
  <si>
    <r>
      <rPr>
        <b/>
        <sz val="12"/>
        <rFont val="新細明體"/>
        <family val="1"/>
        <charset val="136"/>
      </rPr>
      <t>屏東縣</t>
    </r>
    <phoneticPr fontId="64" type="noConversion"/>
  </si>
  <si>
    <r>
      <rPr>
        <b/>
        <sz val="12"/>
        <rFont val="新細明體"/>
        <family val="1"/>
        <charset val="136"/>
      </rPr>
      <t>暖暖區</t>
    </r>
    <phoneticPr fontId="64" type="noConversion"/>
  </si>
  <si>
    <r>
      <rPr>
        <b/>
        <sz val="12"/>
        <rFont val="新細明體"/>
        <family val="1"/>
        <charset val="136"/>
      </rPr>
      <t>臺東縣</t>
    </r>
    <phoneticPr fontId="64" type="noConversion"/>
  </si>
  <si>
    <r>
      <rPr>
        <b/>
        <sz val="12"/>
        <rFont val="新細明體"/>
        <family val="1"/>
        <charset val="136"/>
      </rPr>
      <t>七堵區</t>
    </r>
    <phoneticPr fontId="64" type="noConversion"/>
  </si>
  <si>
    <r>
      <rPr>
        <b/>
        <sz val="12"/>
        <rFont val="新細明體"/>
        <family val="1"/>
        <charset val="136"/>
      </rPr>
      <t>花蓮縣</t>
    </r>
    <phoneticPr fontId="64" type="noConversion"/>
  </si>
  <si>
    <r>
      <rPr>
        <b/>
        <sz val="12"/>
        <rFont val="新細明體"/>
        <family val="1"/>
        <charset val="136"/>
      </rPr>
      <t>萬里區</t>
    </r>
    <phoneticPr fontId="64" type="noConversion"/>
  </si>
  <si>
    <r>
      <rPr>
        <b/>
        <sz val="12"/>
        <rFont val="新細明體"/>
        <family val="1"/>
        <charset val="136"/>
      </rPr>
      <t>澎湖縣</t>
    </r>
    <phoneticPr fontId="64" type="noConversion"/>
  </si>
  <si>
    <r>
      <rPr>
        <b/>
        <sz val="12"/>
        <rFont val="新細明體"/>
        <family val="1"/>
        <charset val="136"/>
      </rPr>
      <t>金山區</t>
    </r>
    <phoneticPr fontId="64" type="noConversion"/>
  </si>
  <si>
    <r>
      <rPr>
        <b/>
        <sz val="12"/>
        <rFont val="新細明體"/>
        <family val="1"/>
        <charset val="136"/>
      </rPr>
      <t>金門縣</t>
    </r>
    <phoneticPr fontId="64" type="noConversion"/>
  </si>
  <si>
    <r>
      <rPr>
        <b/>
        <sz val="12"/>
        <rFont val="新細明體"/>
        <family val="1"/>
        <charset val="136"/>
      </rPr>
      <t>板橋區</t>
    </r>
    <phoneticPr fontId="64" type="noConversion"/>
  </si>
  <si>
    <r>
      <rPr>
        <b/>
        <sz val="12"/>
        <rFont val="新細明體"/>
        <family val="1"/>
        <charset val="136"/>
      </rPr>
      <t>連江縣</t>
    </r>
    <phoneticPr fontId="64" type="noConversion"/>
  </si>
  <si>
    <r>
      <rPr>
        <b/>
        <sz val="12"/>
        <rFont val="新細明體"/>
        <family val="1"/>
        <charset val="136"/>
      </rPr>
      <t>汐止區</t>
    </r>
    <phoneticPr fontId="64" type="noConversion"/>
  </si>
  <si>
    <r>
      <rPr>
        <b/>
        <sz val="12"/>
        <rFont val="新細明體"/>
        <family val="1"/>
        <charset val="136"/>
      </rPr>
      <t>南海諸島</t>
    </r>
    <phoneticPr fontId="64" type="noConversion"/>
  </si>
  <si>
    <r>
      <rPr>
        <b/>
        <sz val="12"/>
        <rFont val="新細明體"/>
        <family val="1"/>
        <charset val="136"/>
      </rPr>
      <t>深坑區</t>
    </r>
    <phoneticPr fontId="64" type="noConversion"/>
  </si>
  <si>
    <r>
      <rPr>
        <b/>
        <sz val="12"/>
        <rFont val="新細明體"/>
        <family val="1"/>
        <charset val="136"/>
      </rPr>
      <t>石碇區</t>
    </r>
    <phoneticPr fontId="64" type="noConversion"/>
  </si>
  <si>
    <r>
      <rPr>
        <b/>
        <sz val="12"/>
        <rFont val="新細明體"/>
        <family val="1"/>
        <charset val="136"/>
      </rPr>
      <t>瑞芳區</t>
    </r>
    <phoneticPr fontId="64" type="noConversion"/>
  </si>
  <si>
    <r>
      <rPr>
        <b/>
        <sz val="12"/>
        <rFont val="新細明體"/>
        <family val="1"/>
        <charset val="136"/>
      </rPr>
      <t>平溪區</t>
    </r>
    <phoneticPr fontId="64" type="noConversion"/>
  </si>
  <si>
    <r>
      <rPr>
        <b/>
        <sz val="12"/>
        <rFont val="新細明體"/>
        <family val="1"/>
        <charset val="136"/>
      </rPr>
      <t>雙溪區</t>
    </r>
    <phoneticPr fontId="64" type="noConversion"/>
  </si>
  <si>
    <r>
      <rPr>
        <b/>
        <sz val="12"/>
        <rFont val="新細明體"/>
        <family val="1"/>
        <charset val="136"/>
      </rPr>
      <t>貢寮區</t>
    </r>
    <phoneticPr fontId="64" type="noConversion"/>
  </si>
  <si>
    <r>
      <rPr>
        <b/>
        <sz val="12"/>
        <rFont val="新細明體"/>
        <family val="1"/>
        <charset val="136"/>
      </rPr>
      <t>新店區</t>
    </r>
    <phoneticPr fontId="64" type="noConversion"/>
  </si>
  <si>
    <r>
      <rPr>
        <b/>
        <sz val="12"/>
        <rFont val="新細明體"/>
        <family val="1"/>
        <charset val="136"/>
      </rPr>
      <t>坪林區</t>
    </r>
    <phoneticPr fontId="64" type="noConversion"/>
  </si>
  <si>
    <r>
      <rPr>
        <b/>
        <sz val="12"/>
        <rFont val="新細明體"/>
        <family val="1"/>
        <charset val="136"/>
      </rPr>
      <t>烏來區</t>
    </r>
    <phoneticPr fontId="64" type="noConversion"/>
  </si>
  <si>
    <r>
      <rPr>
        <b/>
        <sz val="12"/>
        <rFont val="新細明體"/>
        <family val="1"/>
        <charset val="136"/>
      </rPr>
      <t>永和區</t>
    </r>
    <phoneticPr fontId="64" type="noConversion"/>
  </si>
  <si>
    <r>
      <rPr>
        <b/>
        <sz val="12"/>
        <rFont val="新細明體"/>
        <family val="1"/>
        <charset val="136"/>
      </rPr>
      <t>中和區</t>
    </r>
    <phoneticPr fontId="64" type="noConversion"/>
  </si>
  <si>
    <r>
      <rPr>
        <b/>
        <sz val="12"/>
        <rFont val="新細明體"/>
        <family val="1"/>
        <charset val="136"/>
      </rPr>
      <t>土城區</t>
    </r>
    <phoneticPr fontId="64" type="noConversion"/>
  </si>
  <si>
    <r>
      <rPr>
        <b/>
        <sz val="12"/>
        <rFont val="新細明體"/>
        <family val="1"/>
        <charset val="136"/>
      </rPr>
      <t>三峽區</t>
    </r>
    <phoneticPr fontId="64" type="noConversion"/>
  </si>
  <si>
    <r>
      <rPr>
        <b/>
        <sz val="12"/>
        <rFont val="新細明體"/>
        <family val="1"/>
        <charset val="136"/>
      </rPr>
      <t>樹林區</t>
    </r>
    <phoneticPr fontId="64" type="noConversion"/>
  </si>
  <si>
    <r>
      <rPr>
        <b/>
        <sz val="12"/>
        <rFont val="新細明體"/>
        <family val="1"/>
        <charset val="136"/>
      </rPr>
      <t>鶯歌區</t>
    </r>
    <phoneticPr fontId="64" type="noConversion"/>
  </si>
  <si>
    <r>
      <rPr>
        <b/>
        <sz val="12"/>
        <rFont val="新細明體"/>
        <family val="1"/>
        <charset val="136"/>
      </rPr>
      <t>三重區</t>
    </r>
    <phoneticPr fontId="64" type="noConversion"/>
  </si>
  <si>
    <r>
      <rPr>
        <b/>
        <sz val="12"/>
        <rFont val="新細明體"/>
        <family val="1"/>
        <charset val="136"/>
      </rPr>
      <t>新莊區</t>
    </r>
    <phoneticPr fontId="64" type="noConversion"/>
  </si>
  <si>
    <r>
      <rPr>
        <b/>
        <sz val="12"/>
        <rFont val="新細明體"/>
        <family val="1"/>
        <charset val="136"/>
      </rPr>
      <t>泰山區</t>
    </r>
    <phoneticPr fontId="64" type="noConversion"/>
  </si>
  <si>
    <r>
      <rPr>
        <b/>
        <sz val="12"/>
        <rFont val="新細明體"/>
        <family val="1"/>
        <charset val="136"/>
      </rPr>
      <t>林口區</t>
    </r>
    <phoneticPr fontId="64" type="noConversion"/>
  </si>
  <si>
    <r>
      <rPr>
        <b/>
        <sz val="12"/>
        <rFont val="新細明體"/>
        <family val="1"/>
        <charset val="136"/>
      </rPr>
      <t>蘆洲區</t>
    </r>
    <phoneticPr fontId="64" type="noConversion"/>
  </si>
  <si>
    <r>
      <rPr>
        <b/>
        <sz val="12"/>
        <rFont val="新細明體"/>
        <family val="1"/>
        <charset val="136"/>
      </rPr>
      <t>五股區</t>
    </r>
    <phoneticPr fontId="64" type="noConversion"/>
  </si>
  <si>
    <r>
      <rPr>
        <b/>
        <sz val="12"/>
        <rFont val="新細明體"/>
        <family val="1"/>
        <charset val="136"/>
      </rPr>
      <t>八里區</t>
    </r>
    <phoneticPr fontId="64" type="noConversion"/>
  </si>
  <si>
    <r>
      <rPr>
        <b/>
        <sz val="12"/>
        <rFont val="新細明體"/>
        <family val="1"/>
        <charset val="136"/>
      </rPr>
      <t>淡水區</t>
    </r>
    <phoneticPr fontId="64" type="noConversion"/>
  </si>
  <si>
    <r>
      <rPr>
        <b/>
        <sz val="12"/>
        <rFont val="新細明體"/>
        <family val="1"/>
        <charset val="136"/>
      </rPr>
      <t>三芝區</t>
    </r>
    <phoneticPr fontId="64" type="noConversion"/>
  </si>
  <si>
    <r>
      <rPr>
        <b/>
        <sz val="12"/>
        <rFont val="新細明體"/>
        <family val="1"/>
        <charset val="136"/>
      </rPr>
      <t>石門區</t>
    </r>
    <phoneticPr fontId="64" type="noConversion"/>
  </si>
  <si>
    <r>
      <rPr>
        <b/>
        <sz val="12"/>
        <rFont val="新細明體"/>
        <family val="1"/>
        <charset val="136"/>
      </rPr>
      <t>宜蘭市</t>
    </r>
    <phoneticPr fontId="64" type="noConversion"/>
  </si>
  <si>
    <r>
      <rPr>
        <b/>
        <sz val="12"/>
        <rFont val="新細明體"/>
        <family val="1"/>
        <charset val="136"/>
      </rPr>
      <t>頭城鎮</t>
    </r>
    <phoneticPr fontId="64" type="noConversion"/>
  </si>
  <si>
    <r>
      <rPr>
        <b/>
        <sz val="12"/>
        <rFont val="新細明體"/>
        <family val="1"/>
        <charset val="136"/>
      </rPr>
      <t>礁溪鎮</t>
    </r>
    <phoneticPr fontId="64" type="noConversion"/>
  </si>
  <si>
    <r>
      <rPr>
        <b/>
        <sz val="12"/>
        <rFont val="新細明體"/>
        <family val="1"/>
        <charset val="136"/>
      </rPr>
      <t>壯圍鄉</t>
    </r>
    <phoneticPr fontId="64" type="noConversion"/>
  </si>
  <si>
    <r>
      <rPr>
        <b/>
        <sz val="12"/>
        <rFont val="新細明體"/>
        <family val="1"/>
        <charset val="136"/>
      </rPr>
      <t>員山鄉</t>
    </r>
    <phoneticPr fontId="64" type="noConversion"/>
  </si>
  <si>
    <r>
      <rPr>
        <b/>
        <sz val="12"/>
        <rFont val="新細明體"/>
        <family val="1"/>
        <charset val="136"/>
      </rPr>
      <t>羅東鎮</t>
    </r>
    <phoneticPr fontId="64" type="noConversion"/>
  </si>
  <si>
    <r>
      <rPr>
        <b/>
        <sz val="12"/>
        <rFont val="新細明體"/>
        <family val="1"/>
        <charset val="136"/>
      </rPr>
      <t>三星鄉</t>
    </r>
    <phoneticPr fontId="64" type="noConversion"/>
  </si>
  <si>
    <r>
      <rPr>
        <b/>
        <sz val="12"/>
        <rFont val="新細明體"/>
        <family val="1"/>
        <charset val="136"/>
      </rPr>
      <t>大同鄉</t>
    </r>
    <phoneticPr fontId="64" type="noConversion"/>
  </si>
  <si>
    <r>
      <rPr>
        <b/>
        <sz val="12"/>
        <rFont val="新細明體"/>
        <family val="1"/>
        <charset val="136"/>
      </rPr>
      <t>五結鄉</t>
    </r>
    <phoneticPr fontId="64" type="noConversion"/>
  </si>
  <si>
    <r>
      <rPr>
        <b/>
        <sz val="12"/>
        <rFont val="新細明體"/>
        <family val="1"/>
        <charset val="136"/>
      </rPr>
      <t>冬山鄉</t>
    </r>
    <phoneticPr fontId="64" type="noConversion"/>
  </si>
  <si>
    <r>
      <rPr>
        <b/>
        <sz val="12"/>
        <rFont val="新細明體"/>
        <family val="1"/>
        <charset val="136"/>
      </rPr>
      <t>蘇澳鎮</t>
    </r>
    <phoneticPr fontId="64" type="noConversion"/>
  </si>
  <si>
    <r>
      <rPr>
        <b/>
        <sz val="12"/>
        <rFont val="新細明體"/>
        <family val="1"/>
        <charset val="136"/>
      </rPr>
      <t>南澳鄉</t>
    </r>
    <phoneticPr fontId="64" type="noConversion"/>
  </si>
  <si>
    <r>
      <rPr>
        <b/>
        <sz val="12"/>
        <rFont val="新細明體"/>
        <family val="1"/>
        <charset val="136"/>
      </rPr>
      <t>釣魚臺列嶼</t>
    </r>
    <phoneticPr fontId="64" type="noConversion"/>
  </si>
  <si>
    <r>
      <rPr>
        <b/>
        <sz val="12"/>
        <rFont val="新細明體"/>
        <family val="1"/>
        <charset val="136"/>
      </rPr>
      <t>東區</t>
    </r>
    <phoneticPr fontId="64" type="noConversion"/>
  </si>
  <si>
    <r>
      <rPr>
        <b/>
        <sz val="12"/>
        <rFont val="新細明體"/>
        <family val="1"/>
        <charset val="136"/>
      </rPr>
      <t>北區</t>
    </r>
    <phoneticPr fontId="64" type="noConversion"/>
  </si>
  <si>
    <r>
      <rPr>
        <b/>
        <sz val="12"/>
        <rFont val="新細明體"/>
        <family val="1"/>
        <charset val="136"/>
      </rPr>
      <t>香山區</t>
    </r>
    <phoneticPr fontId="64" type="noConversion"/>
  </si>
  <si>
    <r>
      <rPr>
        <b/>
        <sz val="12"/>
        <rFont val="新細明體"/>
        <family val="1"/>
        <charset val="136"/>
      </rPr>
      <t>竹北市</t>
    </r>
    <phoneticPr fontId="64" type="noConversion"/>
  </si>
  <si>
    <r>
      <rPr>
        <b/>
        <sz val="12"/>
        <rFont val="新細明體"/>
        <family val="1"/>
        <charset val="136"/>
      </rPr>
      <t>湖口鄉</t>
    </r>
    <phoneticPr fontId="64" type="noConversion"/>
  </si>
  <si>
    <r>
      <rPr>
        <b/>
        <sz val="12"/>
        <rFont val="新細明體"/>
        <family val="1"/>
        <charset val="136"/>
      </rPr>
      <t>新豐鄉</t>
    </r>
    <phoneticPr fontId="64" type="noConversion"/>
  </si>
  <si>
    <r>
      <rPr>
        <b/>
        <sz val="12"/>
        <rFont val="新細明體"/>
        <family val="1"/>
        <charset val="136"/>
      </rPr>
      <t>新埔鎮</t>
    </r>
    <phoneticPr fontId="64" type="noConversion"/>
  </si>
  <si>
    <r>
      <rPr>
        <b/>
        <sz val="12"/>
        <rFont val="新細明體"/>
        <family val="1"/>
        <charset val="136"/>
      </rPr>
      <t>關西鎮</t>
    </r>
    <phoneticPr fontId="64" type="noConversion"/>
  </si>
  <si>
    <r>
      <rPr>
        <b/>
        <sz val="12"/>
        <rFont val="新細明體"/>
        <family val="1"/>
        <charset val="136"/>
      </rPr>
      <t>芎林鄉</t>
    </r>
    <phoneticPr fontId="64" type="noConversion"/>
  </si>
  <si>
    <r>
      <rPr>
        <b/>
        <sz val="12"/>
        <rFont val="新細明體"/>
        <family val="1"/>
        <charset val="136"/>
      </rPr>
      <t>寶山鄉</t>
    </r>
    <phoneticPr fontId="64" type="noConversion"/>
  </si>
  <si>
    <r>
      <rPr>
        <b/>
        <sz val="12"/>
        <rFont val="新細明體"/>
        <family val="1"/>
        <charset val="136"/>
      </rPr>
      <t>竹東鎮</t>
    </r>
    <phoneticPr fontId="64" type="noConversion"/>
  </si>
  <si>
    <r>
      <rPr>
        <b/>
        <sz val="12"/>
        <rFont val="新細明體"/>
        <family val="1"/>
        <charset val="136"/>
      </rPr>
      <t>五峰鄉</t>
    </r>
    <phoneticPr fontId="64" type="noConversion"/>
  </si>
  <si>
    <r>
      <rPr>
        <b/>
        <sz val="12"/>
        <rFont val="新細明體"/>
        <family val="1"/>
        <charset val="136"/>
      </rPr>
      <t>橫山鄉</t>
    </r>
    <phoneticPr fontId="64" type="noConversion"/>
  </si>
  <si>
    <r>
      <rPr>
        <b/>
        <sz val="12"/>
        <rFont val="新細明體"/>
        <family val="1"/>
        <charset val="136"/>
      </rPr>
      <t>尖石鄉</t>
    </r>
    <phoneticPr fontId="64" type="noConversion"/>
  </si>
  <si>
    <r>
      <rPr>
        <b/>
        <sz val="12"/>
        <rFont val="新細明體"/>
        <family val="1"/>
        <charset val="136"/>
      </rPr>
      <t>北埔鄉</t>
    </r>
    <phoneticPr fontId="64" type="noConversion"/>
  </si>
  <si>
    <r>
      <rPr>
        <b/>
        <sz val="12"/>
        <rFont val="新細明體"/>
        <family val="1"/>
        <charset val="136"/>
      </rPr>
      <t>峨嵋鄉</t>
    </r>
    <phoneticPr fontId="64" type="noConversion"/>
  </si>
  <si>
    <r>
      <rPr>
        <b/>
        <sz val="12"/>
        <rFont val="新細明體"/>
        <family val="1"/>
        <charset val="136"/>
      </rPr>
      <t>中壢區</t>
    </r>
    <phoneticPr fontId="64" type="noConversion"/>
  </si>
  <si>
    <r>
      <rPr>
        <b/>
        <sz val="12"/>
        <rFont val="新細明體"/>
        <family val="1"/>
        <charset val="136"/>
      </rPr>
      <t>平鎮區</t>
    </r>
    <phoneticPr fontId="64" type="noConversion"/>
  </si>
  <si>
    <r>
      <rPr>
        <b/>
        <sz val="12"/>
        <rFont val="新細明體"/>
        <family val="1"/>
        <charset val="136"/>
      </rPr>
      <t>龍潭區</t>
    </r>
    <phoneticPr fontId="64" type="noConversion"/>
  </si>
  <si>
    <r>
      <rPr>
        <b/>
        <sz val="12"/>
        <rFont val="新細明體"/>
        <family val="1"/>
        <charset val="136"/>
      </rPr>
      <t>楊梅區</t>
    </r>
    <phoneticPr fontId="64" type="noConversion"/>
  </si>
  <si>
    <r>
      <rPr>
        <b/>
        <sz val="12"/>
        <rFont val="新細明體"/>
        <family val="1"/>
        <charset val="136"/>
      </rPr>
      <t>新屋區</t>
    </r>
    <phoneticPr fontId="64" type="noConversion"/>
  </si>
  <si>
    <r>
      <rPr>
        <b/>
        <sz val="12"/>
        <rFont val="新細明體"/>
        <family val="1"/>
        <charset val="136"/>
      </rPr>
      <t>觀音區</t>
    </r>
    <phoneticPr fontId="64" type="noConversion"/>
  </si>
  <si>
    <r>
      <rPr>
        <b/>
        <sz val="12"/>
        <rFont val="新細明體"/>
        <family val="1"/>
        <charset val="136"/>
      </rPr>
      <t>桃園區</t>
    </r>
    <phoneticPr fontId="64" type="noConversion"/>
  </si>
  <si>
    <r>
      <rPr>
        <b/>
        <sz val="12"/>
        <rFont val="新細明體"/>
        <family val="1"/>
        <charset val="136"/>
      </rPr>
      <t>龜山區</t>
    </r>
    <phoneticPr fontId="64" type="noConversion"/>
  </si>
  <si>
    <r>
      <rPr>
        <b/>
        <sz val="12"/>
        <rFont val="新細明體"/>
        <family val="1"/>
        <charset val="136"/>
      </rPr>
      <t>八德區</t>
    </r>
    <phoneticPr fontId="64" type="noConversion"/>
  </si>
  <si>
    <r>
      <rPr>
        <b/>
        <sz val="12"/>
        <rFont val="新細明體"/>
        <family val="1"/>
        <charset val="136"/>
      </rPr>
      <t>大溪區</t>
    </r>
    <phoneticPr fontId="64" type="noConversion"/>
  </si>
  <si>
    <r>
      <rPr>
        <b/>
        <sz val="12"/>
        <rFont val="新細明體"/>
        <family val="1"/>
        <charset val="136"/>
      </rPr>
      <t>復興區</t>
    </r>
    <phoneticPr fontId="64" type="noConversion"/>
  </si>
  <si>
    <r>
      <rPr>
        <b/>
        <sz val="12"/>
        <rFont val="新細明體"/>
        <family val="1"/>
        <charset val="136"/>
      </rPr>
      <t>大園區</t>
    </r>
    <phoneticPr fontId="64" type="noConversion"/>
  </si>
  <si>
    <r>
      <rPr>
        <b/>
        <sz val="12"/>
        <rFont val="新細明體"/>
        <family val="1"/>
        <charset val="136"/>
      </rPr>
      <t>蘆竹區</t>
    </r>
    <phoneticPr fontId="64" type="noConversion"/>
  </si>
  <si>
    <r>
      <rPr>
        <b/>
        <sz val="12"/>
        <rFont val="新細明體"/>
        <family val="1"/>
        <charset val="136"/>
      </rPr>
      <t>竹南鎮</t>
    </r>
    <phoneticPr fontId="64" type="noConversion"/>
  </si>
  <si>
    <r>
      <rPr>
        <b/>
        <sz val="12"/>
        <rFont val="新細明體"/>
        <family val="1"/>
        <charset val="136"/>
      </rPr>
      <t>頭份鎮</t>
    </r>
    <phoneticPr fontId="64" type="noConversion"/>
  </si>
  <si>
    <r>
      <rPr>
        <b/>
        <sz val="12"/>
        <rFont val="新細明體"/>
        <family val="1"/>
        <charset val="136"/>
      </rPr>
      <t>三灣鄉</t>
    </r>
    <phoneticPr fontId="64" type="noConversion"/>
  </si>
  <si>
    <r>
      <rPr>
        <b/>
        <sz val="12"/>
        <rFont val="新細明體"/>
        <family val="1"/>
        <charset val="136"/>
      </rPr>
      <t>南庄鄉</t>
    </r>
    <phoneticPr fontId="64" type="noConversion"/>
  </si>
  <si>
    <r>
      <rPr>
        <b/>
        <sz val="12"/>
        <rFont val="新細明體"/>
        <family val="1"/>
        <charset val="136"/>
      </rPr>
      <t>獅潭鄉</t>
    </r>
    <phoneticPr fontId="64" type="noConversion"/>
  </si>
  <si>
    <r>
      <rPr>
        <b/>
        <sz val="12"/>
        <rFont val="新細明體"/>
        <family val="1"/>
        <charset val="136"/>
      </rPr>
      <t>後龍鎮</t>
    </r>
    <phoneticPr fontId="64" type="noConversion"/>
  </si>
  <si>
    <r>
      <rPr>
        <b/>
        <sz val="12"/>
        <rFont val="新細明體"/>
        <family val="1"/>
        <charset val="136"/>
      </rPr>
      <t>通霄鎮</t>
    </r>
    <phoneticPr fontId="64" type="noConversion"/>
  </si>
  <si>
    <r>
      <rPr>
        <b/>
        <sz val="12"/>
        <rFont val="新細明體"/>
        <family val="1"/>
        <charset val="136"/>
      </rPr>
      <t>苑裡鎮</t>
    </r>
    <phoneticPr fontId="64" type="noConversion"/>
  </si>
  <si>
    <r>
      <rPr>
        <b/>
        <sz val="12"/>
        <rFont val="新細明體"/>
        <family val="1"/>
        <charset val="136"/>
      </rPr>
      <t>苗栗市</t>
    </r>
    <phoneticPr fontId="64" type="noConversion"/>
  </si>
  <si>
    <r>
      <rPr>
        <b/>
        <sz val="12"/>
        <rFont val="新細明體"/>
        <family val="1"/>
        <charset val="136"/>
      </rPr>
      <t>造橋鄉</t>
    </r>
    <phoneticPr fontId="64" type="noConversion"/>
  </si>
  <si>
    <r>
      <rPr>
        <b/>
        <sz val="12"/>
        <rFont val="新細明體"/>
        <family val="1"/>
        <charset val="136"/>
      </rPr>
      <t>頭屋鄉</t>
    </r>
    <phoneticPr fontId="64" type="noConversion"/>
  </si>
  <si>
    <r>
      <rPr>
        <b/>
        <sz val="12"/>
        <rFont val="新細明體"/>
        <family val="1"/>
        <charset val="136"/>
      </rPr>
      <t>公館鄉</t>
    </r>
    <phoneticPr fontId="64" type="noConversion"/>
  </si>
  <si>
    <r>
      <rPr>
        <b/>
        <sz val="12"/>
        <rFont val="新細明體"/>
        <family val="1"/>
        <charset val="136"/>
      </rPr>
      <t>大湖鄉</t>
    </r>
    <phoneticPr fontId="64" type="noConversion"/>
  </si>
  <si>
    <r>
      <rPr>
        <b/>
        <sz val="12"/>
        <rFont val="新細明體"/>
        <family val="1"/>
        <charset val="136"/>
      </rPr>
      <t>泰安鄉</t>
    </r>
    <phoneticPr fontId="64" type="noConversion"/>
  </si>
  <si>
    <r>
      <rPr>
        <b/>
        <sz val="12"/>
        <rFont val="新細明體"/>
        <family val="1"/>
        <charset val="136"/>
      </rPr>
      <t>銅鑼鄉</t>
    </r>
    <phoneticPr fontId="64" type="noConversion"/>
  </si>
  <si>
    <r>
      <rPr>
        <b/>
        <sz val="12"/>
        <rFont val="新細明體"/>
        <family val="1"/>
        <charset val="136"/>
      </rPr>
      <t>三義鄉</t>
    </r>
    <phoneticPr fontId="64" type="noConversion"/>
  </si>
  <si>
    <r>
      <rPr>
        <b/>
        <sz val="12"/>
        <rFont val="新細明體"/>
        <family val="1"/>
        <charset val="136"/>
      </rPr>
      <t>西湖鄉</t>
    </r>
    <phoneticPr fontId="64" type="noConversion"/>
  </si>
  <si>
    <r>
      <rPr>
        <b/>
        <sz val="12"/>
        <rFont val="新細明體"/>
        <family val="1"/>
        <charset val="136"/>
      </rPr>
      <t>卓蘭鎮</t>
    </r>
    <phoneticPr fontId="64" type="noConversion"/>
  </si>
  <si>
    <r>
      <rPr>
        <b/>
        <sz val="12"/>
        <rFont val="新細明體"/>
        <family val="1"/>
        <charset val="136"/>
      </rPr>
      <t>中區</t>
    </r>
    <phoneticPr fontId="64" type="noConversion"/>
  </si>
  <si>
    <r>
      <rPr>
        <b/>
        <sz val="12"/>
        <rFont val="新細明體"/>
        <family val="1"/>
        <charset val="136"/>
      </rPr>
      <t>南區</t>
    </r>
    <phoneticPr fontId="64" type="noConversion"/>
  </si>
  <si>
    <r>
      <rPr>
        <b/>
        <sz val="12"/>
        <rFont val="新細明體"/>
        <family val="1"/>
        <charset val="136"/>
      </rPr>
      <t>西區</t>
    </r>
    <phoneticPr fontId="64" type="noConversion"/>
  </si>
  <si>
    <r>
      <rPr>
        <b/>
        <sz val="12"/>
        <rFont val="新細明體"/>
        <family val="1"/>
        <charset val="136"/>
      </rPr>
      <t>北屯區</t>
    </r>
    <phoneticPr fontId="64" type="noConversion"/>
  </si>
  <si>
    <r>
      <rPr>
        <b/>
        <sz val="12"/>
        <rFont val="新細明體"/>
        <family val="1"/>
        <charset val="136"/>
      </rPr>
      <t>西屯區</t>
    </r>
    <phoneticPr fontId="64" type="noConversion"/>
  </si>
  <si>
    <r>
      <rPr>
        <b/>
        <sz val="12"/>
        <rFont val="新細明體"/>
        <family val="1"/>
        <charset val="136"/>
      </rPr>
      <t>南屯區</t>
    </r>
    <phoneticPr fontId="64" type="noConversion"/>
  </si>
  <si>
    <r>
      <rPr>
        <b/>
        <sz val="12"/>
        <rFont val="新細明體"/>
        <family val="1"/>
        <charset val="136"/>
      </rPr>
      <t>太平區</t>
    </r>
    <phoneticPr fontId="64" type="noConversion"/>
  </si>
  <si>
    <r>
      <rPr>
        <b/>
        <sz val="12"/>
        <rFont val="新細明體"/>
        <family val="1"/>
        <charset val="136"/>
      </rPr>
      <t>大里區</t>
    </r>
    <phoneticPr fontId="64" type="noConversion"/>
  </si>
  <si>
    <r>
      <rPr>
        <b/>
        <sz val="12"/>
        <rFont val="新細明體"/>
        <family val="1"/>
        <charset val="136"/>
      </rPr>
      <t>霧峰區</t>
    </r>
    <phoneticPr fontId="64" type="noConversion"/>
  </si>
  <si>
    <r>
      <rPr>
        <b/>
        <sz val="12"/>
        <rFont val="新細明體"/>
        <family val="1"/>
        <charset val="136"/>
      </rPr>
      <t>烏日區</t>
    </r>
    <phoneticPr fontId="64" type="noConversion"/>
  </si>
  <si>
    <r>
      <rPr>
        <b/>
        <sz val="12"/>
        <rFont val="新細明體"/>
        <family val="1"/>
        <charset val="136"/>
      </rPr>
      <t>豐原區</t>
    </r>
    <phoneticPr fontId="64" type="noConversion"/>
  </si>
  <si>
    <r>
      <rPr>
        <b/>
        <sz val="12"/>
        <rFont val="新細明體"/>
        <family val="1"/>
        <charset val="136"/>
      </rPr>
      <t>后里區</t>
    </r>
    <phoneticPr fontId="64" type="noConversion"/>
  </si>
  <si>
    <r>
      <rPr>
        <b/>
        <sz val="12"/>
        <rFont val="新細明體"/>
        <family val="1"/>
        <charset val="136"/>
      </rPr>
      <t>石岡區</t>
    </r>
    <phoneticPr fontId="64" type="noConversion"/>
  </si>
  <si>
    <r>
      <rPr>
        <b/>
        <sz val="12"/>
        <rFont val="新細明體"/>
        <family val="1"/>
        <charset val="136"/>
      </rPr>
      <t>東勢區</t>
    </r>
    <phoneticPr fontId="64" type="noConversion"/>
  </si>
  <si>
    <r>
      <rPr>
        <b/>
        <sz val="12"/>
        <rFont val="新細明體"/>
        <family val="1"/>
        <charset val="136"/>
      </rPr>
      <t>和平區</t>
    </r>
    <phoneticPr fontId="64" type="noConversion"/>
  </si>
  <si>
    <r>
      <rPr>
        <b/>
        <sz val="12"/>
        <rFont val="新細明體"/>
        <family val="1"/>
        <charset val="136"/>
      </rPr>
      <t>新社區</t>
    </r>
    <phoneticPr fontId="64" type="noConversion"/>
  </si>
  <si>
    <r>
      <rPr>
        <b/>
        <sz val="12"/>
        <rFont val="新細明體"/>
        <family val="1"/>
        <charset val="136"/>
      </rPr>
      <t>潭子區</t>
    </r>
    <phoneticPr fontId="64" type="noConversion"/>
  </si>
  <si>
    <r>
      <rPr>
        <b/>
        <sz val="12"/>
        <rFont val="新細明體"/>
        <family val="1"/>
        <charset val="136"/>
      </rPr>
      <t>大雅區</t>
    </r>
    <phoneticPr fontId="64" type="noConversion"/>
  </si>
  <si>
    <r>
      <rPr>
        <b/>
        <sz val="12"/>
        <rFont val="新細明體"/>
        <family val="1"/>
        <charset val="136"/>
      </rPr>
      <t>神岡區</t>
    </r>
    <phoneticPr fontId="64" type="noConversion"/>
  </si>
  <si>
    <r>
      <rPr>
        <b/>
        <sz val="12"/>
        <rFont val="新細明體"/>
        <family val="1"/>
        <charset val="136"/>
      </rPr>
      <t>大肚區</t>
    </r>
    <phoneticPr fontId="64" type="noConversion"/>
  </si>
  <si>
    <r>
      <rPr>
        <b/>
        <sz val="12"/>
        <rFont val="新細明體"/>
        <family val="1"/>
        <charset val="136"/>
      </rPr>
      <t>沙鹿區</t>
    </r>
    <phoneticPr fontId="64" type="noConversion"/>
  </si>
  <si>
    <r>
      <rPr>
        <b/>
        <sz val="12"/>
        <rFont val="新細明體"/>
        <family val="1"/>
        <charset val="136"/>
      </rPr>
      <t>龍井區</t>
    </r>
    <phoneticPr fontId="64" type="noConversion"/>
  </si>
  <si>
    <r>
      <rPr>
        <b/>
        <sz val="12"/>
        <rFont val="新細明體"/>
        <family val="1"/>
        <charset val="136"/>
      </rPr>
      <t>梧棲區</t>
    </r>
    <phoneticPr fontId="64" type="noConversion"/>
  </si>
  <si>
    <r>
      <rPr>
        <b/>
        <sz val="12"/>
        <rFont val="新細明體"/>
        <family val="1"/>
        <charset val="136"/>
      </rPr>
      <t>清水區</t>
    </r>
    <phoneticPr fontId="64" type="noConversion"/>
  </si>
  <si>
    <r>
      <rPr>
        <b/>
        <sz val="12"/>
        <rFont val="新細明體"/>
        <family val="1"/>
        <charset val="136"/>
      </rPr>
      <t>大甲區</t>
    </r>
    <phoneticPr fontId="64" type="noConversion"/>
  </si>
  <si>
    <r>
      <rPr>
        <b/>
        <sz val="12"/>
        <rFont val="新細明體"/>
        <family val="1"/>
        <charset val="136"/>
      </rPr>
      <t>外埔區</t>
    </r>
    <phoneticPr fontId="64" type="noConversion"/>
  </si>
  <si>
    <r>
      <rPr>
        <b/>
        <sz val="12"/>
        <rFont val="新細明體"/>
        <family val="1"/>
        <charset val="136"/>
      </rPr>
      <t>彰化市</t>
    </r>
    <phoneticPr fontId="64" type="noConversion"/>
  </si>
  <si>
    <r>
      <rPr>
        <b/>
        <sz val="12"/>
        <rFont val="新細明體"/>
        <family val="1"/>
        <charset val="136"/>
      </rPr>
      <t>芬園鄉</t>
    </r>
    <phoneticPr fontId="64" type="noConversion"/>
  </si>
  <si>
    <r>
      <rPr>
        <b/>
        <sz val="12"/>
        <rFont val="新細明體"/>
        <family val="1"/>
        <charset val="136"/>
      </rPr>
      <t>花壇鄉</t>
    </r>
    <phoneticPr fontId="64" type="noConversion"/>
  </si>
  <si>
    <r>
      <rPr>
        <b/>
        <sz val="12"/>
        <rFont val="新細明體"/>
        <family val="1"/>
        <charset val="136"/>
      </rPr>
      <t>秀水鄉</t>
    </r>
    <phoneticPr fontId="64" type="noConversion"/>
  </si>
  <si>
    <r>
      <rPr>
        <b/>
        <sz val="12"/>
        <rFont val="新細明體"/>
        <family val="1"/>
        <charset val="136"/>
      </rPr>
      <t>鹿港鎮</t>
    </r>
    <phoneticPr fontId="64" type="noConversion"/>
  </si>
  <si>
    <r>
      <rPr>
        <b/>
        <sz val="12"/>
        <rFont val="新細明體"/>
        <family val="1"/>
        <charset val="136"/>
      </rPr>
      <t>福興鄉</t>
    </r>
    <phoneticPr fontId="64" type="noConversion"/>
  </si>
  <si>
    <r>
      <rPr>
        <b/>
        <sz val="12"/>
        <rFont val="新細明體"/>
        <family val="1"/>
        <charset val="136"/>
      </rPr>
      <t>線西鄉</t>
    </r>
    <phoneticPr fontId="64" type="noConversion"/>
  </si>
  <si>
    <r>
      <rPr>
        <b/>
        <sz val="12"/>
        <rFont val="新細明體"/>
        <family val="1"/>
        <charset val="136"/>
      </rPr>
      <t>和美鎮</t>
    </r>
    <phoneticPr fontId="64" type="noConversion"/>
  </si>
  <si>
    <r>
      <rPr>
        <b/>
        <sz val="12"/>
        <rFont val="新細明體"/>
        <family val="1"/>
        <charset val="136"/>
      </rPr>
      <t>伸港鄉</t>
    </r>
    <phoneticPr fontId="64" type="noConversion"/>
  </si>
  <si>
    <r>
      <rPr>
        <b/>
        <sz val="12"/>
        <rFont val="新細明體"/>
        <family val="1"/>
        <charset val="136"/>
      </rPr>
      <t>員林鎮</t>
    </r>
    <phoneticPr fontId="64" type="noConversion"/>
  </si>
  <si>
    <r>
      <rPr>
        <b/>
        <sz val="12"/>
        <rFont val="新細明體"/>
        <family val="1"/>
        <charset val="136"/>
      </rPr>
      <t>社頭鄉</t>
    </r>
    <phoneticPr fontId="64" type="noConversion"/>
  </si>
  <si>
    <r>
      <rPr>
        <b/>
        <sz val="12"/>
        <rFont val="新細明體"/>
        <family val="1"/>
        <charset val="136"/>
      </rPr>
      <t>永靖鄉</t>
    </r>
    <phoneticPr fontId="64" type="noConversion"/>
  </si>
  <si>
    <r>
      <rPr>
        <b/>
        <sz val="12"/>
        <rFont val="新細明體"/>
        <family val="1"/>
        <charset val="136"/>
      </rPr>
      <t>埔心鄉</t>
    </r>
    <phoneticPr fontId="64" type="noConversion"/>
  </si>
  <si>
    <r>
      <rPr>
        <b/>
        <sz val="12"/>
        <rFont val="新細明體"/>
        <family val="1"/>
        <charset val="136"/>
      </rPr>
      <t>溪湖鎮</t>
    </r>
    <phoneticPr fontId="64" type="noConversion"/>
  </si>
  <si>
    <r>
      <rPr>
        <b/>
        <sz val="12"/>
        <rFont val="新細明體"/>
        <family val="1"/>
        <charset val="136"/>
      </rPr>
      <t>大村鄉</t>
    </r>
    <phoneticPr fontId="64" type="noConversion"/>
  </si>
  <si>
    <r>
      <rPr>
        <b/>
        <sz val="12"/>
        <rFont val="新細明體"/>
        <family val="1"/>
        <charset val="136"/>
      </rPr>
      <t>埔鹽鄉</t>
    </r>
    <phoneticPr fontId="64" type="noConversion"/>
  </si>
  <si>
    <r>
      <rPr>
        <b/>
        <sz val="12"/>
        <rFont val="新細明體"/>
        <family val="1"/>
        <charset val="136"/>
      </rPr>
      <t>田中鎮</t>
    </r>
    <phoneticPr fontId="64" type="noConversion"/>
  </si>
  <si>
    <r>
      <rPr>
        <b/>
        <sz val="12"/>
        <rFont val="新細明體"/>
        <family val="1"/>
        <charset val="136"/>
      </rPr>
      <t>北斗鎮</t>
    </r>
    <phoneticPr fontId="64" type="noConversion"/>
  </si>
  <si>
    <r>
      <rPr>
        <b/>
        <sz val="12"/>
        <rFont val="新細明體"/>
        <family val="1"/>
        <charset val="136"/>
      </rPr>
      <t>田尾鄉</t>
    </r>
    <phoneticPr fontId="64" type="noConversion"/>
  </si>
  <si>
    <r>
      <rPr>
        <b/>
        <sz val="12"/>
        <rFont val="新細明體"/>
        <family val="1"/>
        <charset val="136"/>
      </rPr>
      <t>埤頭鄉</t>
    </r>
    <phoneticPr fontId="64" type="noConversion"/>
  </si>
  <si>
    <r>
      <rPr>
        <b/>
        <sz val="12"/>
        <rFont val="新細明體"/>
        <family val="1"/>
        <charset val="136"/>
      </rPr>
      <t>溪州鄉</t>
    </r>
    <phoneticPr fontId="64" type="noConversion"/>
  </si>
  <si>
    <r>
      <rPr>
        <b/>
        <sz val="12"/>
        <rFont val="新細明體"/>
        <family val="1"/>
        <charset val="136"/>
      </rPr>
      <t>竹塘鄉</t>
    </r>
    <phoneticPr fontId="64" type="noConversion"/>
  </si>
  <si>
    <r>
      <rPr>
        <b/>
        <sz val="12"/>
        <rFont val="新細明體"/>
        <family val="1"/>
        <charset val="136"/>
      </rPr>
      <t>二林鎮</t>
    </r>
    <phoneticPr fontId="64" type="noConversion"/>
  </si>
  <si>
    <r>
      <rPr>
        <b/>
        <sz val="12"/>
        <rFont val="新細明體"/>
        <family val="1"/>
        <charset val="136"/>
      </rPr>
      <t>大城鄉</t>
    </r>
    <phoneticPr fontId="64" type="noConversion"/>
  </si>
  <si>
    <r>
      <rPr>
        <b/>
        <sz val="12"/>
        <rFont val="新細明體"/>
        <family val="1"/>
        <charset val="136"/>
      </rPr>
      <t>芳苑鄉</t>
    </r>
    <phoneticPr fontId="64" type="noConversion"/>
  </si>
  <si>
    <r>
      <rPr>
        <b/>
        <sz val="12"/>
        <rFont val="新細明體"/>
        <family val="1"/>
        <charset val="136"/>
      </rPr>
      <t>二水鄉</t>
    </r>
    <phoneticPr fontId="64" type="noConversion"/>
  </si>
  <si>
    <r>
      <rPr>
        <b/>
        <sz val="12"/>
        <rFont val="新細明體"/>
        <family val="1"/>
        <charset val="136"/>
      </rPr>
      <t>南投市</t>
    </r>
    <phoneticPr fontId="64" type="noConversion"/>
  </si>
  <si>
    <r>
      <rPr>
        <b/>
        <sz val="12"/>
        <rFont val="新細明體"/>
        <family val="1"/>
        <charset val="136"/>
      </rPr>
      <t>中寮鄉</t>
    </r>
    <phoneticPr fontId="64" type="noConversion"/>
  </si>
  <si>
    <r>
      <rPr>
        <b/>
        <sz val="12"/>
        <rFont val="新細明體"/>
        <family val="1"/>
        <charset val="136"/>
      </rPr>
      <t>草屯鎮</t>
    </r>
    <phoneticPr fontId="64" type="noConversion"/>
  </si>
  <si>
    <r>
      <rPr>
        <b/>
        <sz val="12"/>
        <rFont val="新細明體"/>
        <family val="1"/>
        <charset val="136"/>
      </rPr>
      <t>國姓鄉</t>
    </r>
    <phoneticPr fontId="64" type="noConversion"/>
  </si>
  <si>
    <r>
      <rPr>
        <b/>
        <sz val="12"/>
        <rFont val="新細明體"/>
        <family val="1"/>
        <charset val="136"/>
      </rPr>
      <t>埔里鎮</t>
    </r>
    <phoneticPr fontId="64" type="noConversion"/>
  </si>
  <si>
    <r>
      <rPr>
        <b/>
        <sz val="12"/>
        <rFont val="新細明體"/>
        <family val="1"/>
        <charset val="136"/>
      </rPr>
      <t>仁愛鄉</t>
    </r>
    <phoneticPr fontId="64" type="noConversion"/>
  </si>
  <si>
    <r>
      <rPr>
        <b/>
        <sz val="12"/>
        <rFont val="新細明體"/>
        <family val="1"/>
        <charset val="136"/>
      </rPr>
      <t>名間鄉</t>
    </r>
    <phoneticPr fontId="64" type="noConversion"/>
  </si>
  <si>
    <r>
      <rPr>
        <b/>
        <sz val="12"/>
        <rFont val="新細明體"/>
        <family val="1"/>
        <charset val="136"/>
      </rPr>
      <t>集集鎮</t>
    </r>
    <phoneticPr fontId="64" type="noConversion"/>
  </si>
  <si>
    <r>
      <rPr>
        <b/>
        <sz val="12"/>
        <rFont val="新細明體"/>
        <family val="1"/>
        <charset val="136"/>
      </rPr>
      <t>水里鄉</t>
    </r>
    <phoneticPr fontId="64" type="noConversion"/>
  </si>
  <si>
    <r>
      <rPr>
        <b/>
        <sz val="12"/>
        <rFont val="新細明體"/>
        <family val="1"/>
        <charset val="136"/>
      </rPr>
      <t>魚池鄉</t>
    </r>
    <phoneticPr fontId="64" type="noConversion"/>
  </si>
  <si>
    <r>
      <rPr>
        <b/>
        <sz val="12"/>
        <rFont val="新細明體"/>
        <family val="1"/>
        <charset val="136"/>
      </rPr>
      <t>信義鄉</t>
    </r>
    <phoneticPr fontId="64" type="noConversion"/>
  </si>
  <si>
    <r>
      <rPr>
        <b/>
        <sz val="12"/>
        <rFont val="新細明體"/>
        <family val="1"/>
        <charset val="136"/>
      </rPr>
      <t>竹山鎮</t>
    </r>
    <phoneticPr fontId="64" type="noConversion"/>
  </si>
  <si>
    <r>
      <rPr>
        <b/>
        <sz val="12"/>
        <rFont val="新細明體"/>
        <family val="1"/>
        <charset val="136"/>
      </rPr>
      <t>鹿谷鄉</t>
    </r>
    <phoneticPr fontId="64" type="noConversion"/>
  </si>
  <si>
    <r>
      <rPr>
        <b/>
        <sz val="12"/>
        <rFont val="新細明體"/>
        <family val="1"/>
        <charset val="136"/>
      </rPr>
      <t>番路鄉</t>
    </r>
    <phoneticPr fontId="64" type="noConversion"/>
  </si>
  <si>
    <r>
      <rPr>
        <b/>
        <sz val="12"/>
        <rFont val="新細明體"/>
        <family val="1"/>
        <charset val="136"/>
      </rPr>
      <t>梅山鄉</t>
    </r>
    <phoneticPr fontId="64" type="noConversion"/>
  </si>
  <si>
    <r>
      <rPr>
        <b/>
        <sz val="12"/>
        <rFont val="新細明體"/>
        <family val="1"/>
        <charset val="136"/>
      </rPr>
      <t>竹崎鄉</t>
    </r>
    <phoneticPr fontId="64" type="noConversion"/>
  </si>
  <si>
    <r>
      <rPr>
        <b/>
        <sz val="12"/>
        <rFont val="新細明體"/>
        <family val="1"/>
        <charset val="136"/>
      </rPr>
      <t>阿里山鄉</t>
    </r>
    <phoneticPr fontId="64" type="noConversion"/>
  </si>
  <si>
    <r>
      <rPr>
        <b/>
        <sz val="12"/>
        <rFont val="新細明體"/>
        <family val="1"/>
        <charset val="136"/>
      </rPr>
      <t>中埔鄉</t>
    </r>
    <phoneticPr fontId="64" type="noConversion"/>
  </si>
  <si>
    <r>
      <rPr>
        <b/>
        <sz val="12"/>
        <rFont val="新細明體"/>
        <family val="1"/>
        <charset val="136"/>
      </rPr>
      <t>大埔鄉</t>
    </r>
    <phoneticPr fontId="64" type="noConversion"/>
  </si>
  <si>
    <r>
      <rPr>
        <b/>
        <sz val="12"/>
        <rFont val="新細明體"/>
        <family val="1"/>
        <charset val="136"/>
      </rPr>
      <t>水上鄉</t>
    </r>
    <phoneticPr fontId="64" type="noConversion"/>
  </si>
  <si>
    <r>
      <rPr>
        <b/>
        <sz val="12"/>
        <rFont val="新細明體"/>
        <family val="1"/>
        <charset val="136"/>
      </rPr>
      <t>鹿草鄉</t>
    </r>
    <phoneticPr fontId="64" type="noConversion"/>
  </si>
  <si>
    <r>
      <rPr>
        <b/>
        <sz val="12"/>
        <rFont val="新細明體"/>
        <family val="1"/>
        <charset val="136"/>
      </rPr>
      <t>太保市</t>
    </r>
    <phoneticPr fontId="64" type="noConversion"/>
  </si>
  <si>
    <r>
      <rPr>
        <b/>
        <sz val="12"/>
        <rFont val="新細明體"/>
        <family val="1"/>
        <charset val="136"/>
      </rPr>
      <t>朴子市</t>
    </r>
    <phoneticPr fontId="64" type="noConversion"/>
  </si>
  <si>
    <r>
      <rPr>
        <b/>
        <sz val="12"/>
        <rFont val="新細明體"/>
        <family val="1"/>
        <charset val="136"/>
      </rPr>
      <t>東石鄉</t>
    </r>
    <phoneticPr fontId="64" type="noConversion"/>
  </si>
  <si>
    <r>
      <rPr>
        <b/>
        <sz val="12"/>
        <rFont val="新細明體"/>
        <family val="1"/>
        <charset val="136"/>
      </rPr>
      <t>六腳鄉</t>
    </r>
    <phoneticPr fontId="64" type="noConversion"/>
  </si>
  <si>
    <r>
      <rPr>
        <b/>
        <sz val="12"/>
        <rFont val="新細明體"/>
        <family val="1"/>
        <charset val="136"/>
      </rPr>
      <t>新港鄉</t>
    </r>
    <phoneticPr fontId="64" type="noConversion"/>
  </si>
  <si>
    <r>
      <rPr>
        <b/>
        <sz val="12"/>
        <rFont val="新細明體"/>
        <family val="1"/>
        <charset val="136"/>
      </rPr>
      <t>民雄鄉</t>
    </r>
    <phoneticPr fontId="64" type="noConversion"/>
  </si>
  <si>
    <r>
      <rPr>
        <b/>
        <sz val="12"/>
        <rFont val="新細明體"/>
        <family val="1"/>
        <charset val="136"/>
      </rPr>
      <t>大林鎮</t>
    </r>
    <phoneticPr fontId="64" type="noConversion"/>
  </si>
  <si>
    <r>
      <rPr>
        <b/>
        <sz val="12"/>
        <rFont val="新細明體"/>
        <family val="1"/>
        <charset val="136"/>
      </rPr>
      <t>溪口鄉</t>
    </r>
    <phoneticPr fontId="64" type="noConversion"/>
  </si>
  <si>
    <r>
      <rPr>
        <b/>
        <sz val="12"/>
        <rFont val="新細明體"/>
        <family val="1"/>
        <charset val="136"/>
      </rPr>
      <t>義竹鄉</t>
    </r>
    <phoneticPr fontId="64" type="noConversion"/>
  </si>
  <si>
    <r>
      <rPr>
        <b/>
        <sz val="12"/>
        <rFont val="新細明體"/>
        <family val="1"/>
        <charset val="136"/>
      </rPr>
      <t>布袋鎮</t>
    </r>
    <phoneticPr fontId="64" type="noConversion"/>
  </si>
  <si>
    <r>
      <rPr>
        <b/>
        <sz val="12"/>
        <rFont val="新細明體"/>
        <family val="1"/>
        <charset val="136"/>
      </rPr>
      <t>斗南鎮</t>
    </r>
    <phoneticPr fontId="64" type="noConversion"/>
  </si>
  <si>
    <r>
      <rPr>
        <b/>
        <sz val="12"/>
        <rFont val="新細明體"/>
        <family val="1"/>
        <charset val="136"/>
      </rPr>
      <t>大埤鄉</t>
    </r>
    <phoneticPr fontId="64" type="noConversion"/>
  </si>
  <si>
    <r>
      <rPr>
        <b/>
        <sz val="12"/>
        <rFont val="新細明體"/>
        <family val="1"/>
        <charset val="136"/>
      </rPr>
      <t>虎尾鎮</t>
    </r>
    <phoneticPr fontId="64" type="noConversion"/>
  </si>
  <si>
    <r>
      <rPr>
        <b/>
        <sz val="12"/>
        <rFont val="新細明體"/>
        <family val="1"/>
        <charset val="136"/>
      </rPr>
      <t>土庫鎮</t>
    </r>
    <phoneticPr fontId="64" type="noConversion"/>
  </si>
  <si>
    <r>
      <rPr>
        <b/>
        <sz val="12"/>
        <rFont val="新細明體"/>
        <family val="1"/>
        <charset val="136"/>
      </rPr>
      <t>褒忠鄉</t>
    </r>
    <phoneticPr fontId="64" type="noConversion"/>
  </si>
  <si>
    <r>
      <rPr>
        <b/>
        <sz val="12"/>
        <rFont val="新細明體"/>
        <family val="1"/>
        <charset val="136"/>
      </rPr>
      <t>東勢鄉</t>
    </r>
    <phoneticPr fontId="64" type="noConversion"/>
  </si>
  <si>
    <r>
      <rPr>
        <b/>
        <sz val="12"/>
        <rFont val="新細明體"/>
        <family val="1"/>
        <charset val="136"/>
      </rPr>
      <t>臺西鄉</t>
    </r>
    <phoneticPr fontId="64" type="noConversion"/>
  </si>
  <si>
    <r>
      <rPr>
        <b/>
        <sz val="12"/>
        <rFont val="新細明體"/>
        <family val="1"/>
        <charset val="136"/>
      </rPr>
      <t>崙背鄉</t>
    </r>
    <phoneticPr fontId="64" type="noConversion"/>
  </si>
  <si>
    <r>
      <rPr>
        <b/>
        <sz val="12"/>
        <rFont val="新細明體"/>
        <family val="1"/>
        <charset val="136"/>
      </rPr>
      <t>麥寮鄉</t>
    </r>
    <phoneticPr fontId="64" type="noConversion"/>
  </si>
  <si>
    <r>
      <rPr>
        <b/>
        <sz val="12"/>
        <rFont val="新細明體"/>
        <family val="1"/>
        <charset val="136"/>
      </rPr>
      <t>斗六市</t>
    </r>
    <phoneticPr fontId="64" type="noConversion"/>
  </si>
  <si>
    <r>
      <rPr>
        <b/>
        <sz val="12"/>
        <rFont val="新細明體"/>
        <family val="1"/>
        <charset val="136"/>
      </rPr>
      <t>林內鄉</t>
    </r>
    <phoneticPr fontId="64" type="noConversion"/>
  </si>
  <si>
    <r>
      <rPr>
        <b/>
        <sz val="12"/>
        <rFont val="新細明體"/>
        <family val="1"/>
        <charset val="136"/>
      </rPr>
      <t>古坑鄉</t>
    </r>
    <phoneticPr fontId="64" type="noConversion"/>
  </si>
  <si>
    <r>
      <rPr>
        <b/>
        <sz val="12"/>
        <rFont val="新細明體"/>
        <family val="1"/>
        <charset val="136"/>
      </rPr>
      <t>莿桐鄉</t>
    </r>
    <phoneticPr fontId="64" type="noConversion"/>
  </si>
  <si>
    <r>
      <rPr>
        <b/>
        <sz val="12"/>
        <rFont val="新細明體"/>
        <family val="1"/>
        <charset val="136"/>
      </rPr>
      <t>西螺鎮</t>
    </r>
    <phoneticPr fontId="64" type="noConversion"/>
  </si>
  <si>
    <r>
      <rPr>
        <b/>
        <sz val="12"/>
        <rFont val="新細明體"/>
        <family val="1"/>
        <charset val="136"/>
      </rPr>
      <t>二崙鄉</t>
    </r>
    <phoneticPr fontId="64" type="noConversion"/>
  </si>
  <si>
    <r>
      <rPr>
        <b/>
        <sz val="12"/>
        <rFont val="新細明體"/>
        <family val="1"/>
        <charset val="136"/>
      </rPr>
      <t>北港鎮</t>
    </r>
    <phoneticPr fontId="64" type="noConversion"/>
  </si>
  <si>
    <r>
      <rPr>
        <b/>
        <sz val="12"/>
        <rFont val="新細明體"/>
        <family val="1"/>
        <charset val="136"/>
      </rPr>
      <t>水林鄉</t>
    </r>
    <phoneticPr fontId="64" type="noConversion"/>
  </si>
  <si>
    <r>
      <rPr>
        <b/>
        <sz val="12"/>
        <rFont val="新細明體"/>
        <family val="1"/>
        <charset val="136"/>
      </rPr>
      <t>口湖鄉</t>
    </r>
    <phoneticPr fontId="64" type="noConversion"/>
  </si>
  <si>
    <r>
      <rPr>
        <b/>
        <sz val="12"/>
        <rFont val="新細明體"/>
        <family val="1"/>
        <charset val="136"/>
      </rPr>
      <t>四湖鄉</t>
    </r>
    <phoneticPr fontId="64" type="noConversion"/>
  </si>
  <si>
    <r>
      <rPr>
        <b/>
        <sz val="12"/>
        <rFont val="新細明體"/>
        <family val="1"/>
        <charset val="136"/>
      </rPr>
      <t>元長鄉</t>
    </r>
    <phoneticPr fontId="64" type="noConversion"/>
  </si>
  <si>
    <r>
      <rPr>
        <b/>
        <sz val="12"/>
        <rFont val="新細明體"/>
        <family val="1"/>
        <charset val="136"/>
      </rPr>
      <t>中西區</t>
    </r>
    <phoneticPr fontId="64" type="noConversion"/>
  </si>
  <si>
    <r>
      <rPr>
        <b/>
        <sz val="12"/>
        <rFont val="新細明體"/>
        <family val="1"/>
        <charset val="136"/>
      </rPr>
      <t>安平區</t>
    </r>
    <phoneticPr fontId="64" type="noConversion"/>
  </si>
  <si>
    <r>
      <rPr>
        <b/>
        <sz val="12"/>
        <rFont val="新細明體"/>
        <family val="1"/>
        <charset val="136"/>
      </rPr>
      <t>安南區</t>
    </r>
    <phoneticPr fontId="64" type="noConversion"/>
  </si>
  <si>
    <r>
      <rPr>
        <b/>
        <sz val="12"/>
        <rFont val="新細明體"/>
        <family val="1"/>
        <charset val="136"/>
      </rPr>
      <t>永康區</t>
    </r>
    <phoneticPr fontId="64" type="noConversion"/>
  </si>
  <si>
    <r>
      <rPr>
        <b/>
        <sz val="12"/>
        <rFont val="新細明體"/>
        <family val="1"/>
        <charset val="136"/>
      </rPr>
      <t>歸仁區</t>
    </r>
    <phoneticPr fontId="64" type="noConversion"/>
  </si>
  <si>
    <r>
      <rPr>
        <b/>
        <sz val="12"/>
        <rFont val="新細明體"/>
        <family val="1"/>
        <charset val="136"/>
      </rPr>
      <t>新化區</t>
    </r>
    <phoneticPr fontId="64" type="noConversion"/>
  </si>
  <si>
    <r>
      <rPr>
        <b/>
        <sz val="12"/>
        <rFont val="新細明體"/>
        <family val="1"/>
        <charset val="136"/>
      </rPr>
      <t>左鎮區</t>
    </r>
    <phoneticPr fontId="64" type="noConversion"/>
  </si>
  <si>
    <r>
      <rPr>
        <b/>
        <sz val="12"/>
        <rFont val="新細明體"/>
        <family val="1"/>
        <charset val="136"/>
      </rPr>
      <t>玉井區</t>
    </r>
    <phoneticPr fontId="64" type="noConversion"/>
  </si>
  <si>
    <r>
      <rPr>
        <b/>
        <sz val="12"/>
        <rFont val="新細明體"/>
        <family val="1"/>
        <charset val="136"/>
      </rPr>
      <t>楠西區</t>
    </r>
    <phoneticPr fontId="64" type="noConversion"/>
  </si>
  <si>
    <r>
      <rPr>
        <b/>
        <sz val="12"/>
        <rFont val="新細明體"/>
        <family val="1"/>
        <charset val="136"/>
      </rPr>
      <t>南化區</t>
    </r>
    <phoneticPr fontId="64" type="noConversion"/>
  </si>
  <si>
    <r>
      <rPr>
        <b/>
        <sz val="12"/>
        <rFont val="新細明體"/>
        <family val="1"/>
        <charset val="136"/>
      </rPr>
      <t>仁德區</t>
    </r>
    <phoneticPr fontId="64" type="noConversion"/>
  </si>
  <si>
    <r>
      <rPr>
        <b/>
        <sz val="12"/>
        <rFont val="新細明體"/>
        <family val="1"/>
        <charset val="136"/>
      </rPr>
      <t>關廟區</t>
    </r>
    <phoneticPr fontId="64" type="noConversion"/>
  </si>
  <si>
    <r>
      <rPr>
        <b/>
        <sz val="12"/>
        <rFont val="新細明體"/>
        <family val="1"/>
        <charset val="136"/>
      </rPr>
      <t>龍崎區</t>
    </r>
    <phoneticPr fontId="64" type="noConversion"/>
  </si>
  <si>
    <r>
      <rPr>
        <b/>
        <sz val="12"/>
        <rFont val="新細明體"/>
        <family val="1"/>
        <charset val="136"/>
      </rPr>
      <t>官田區</t>
    </r>
    <phoneticPr fontId="64" type="noConversion"/>
  </si>
  <si>
    <r>
      <rPr>
        <b/>
        <sz val="12"/>
        <rFont val="新細明體"/>
        <family val="1"/>
        <charset val="136"/>
      </rPr>
      <t>麻豆區</t>
    </r>
    <phoneticPr fontId="64" type="noConversion"/>
  </si>
  <si>
    <r>
      <rPr>
        <b/>
        <sz val="12"/>
        <rFont val="新細明體"/>
        <family val="1"/>
        <charset val="136"/>
      </rPr>
      <t>佳里區</t>
    </r>
    <phoneticPr fontId="64" type="noConversion"/>
  </si>
  <si>
    <r>
      <rPr>
        <b/>
        <sz val="12"/>
        <rFont val="新細明體"/>
        <family val="1"/>
        <charset val="136"/>
      </rPr>
      <t>西港區</t>
    </r>
    <phoneticPr fontId="64" type="noConversion"/>
  </si>
  <si>
    <r>
      <rPr>
        <b/>
        <sz val="12"/>
        <rFont val="新細明體"/>
        <family val="1"/>
        <charset val="136"/>
      </rPr>
      <t>七股區</t>
    </r>
    <phoneticPr fontId="64" type="noConversion"/>
  </si>
  <si>
    <r>
      <rPr>
        <b/>
        <sz val="12"/>
        <rFont val="新細明體"/>
        <family val="1"/>
        <charset val="136"/>
      </rPr>
      <t>將軍區</t>
    </r>
    <phoneticPr fontId="64" type="noConversion"/>
  </si>
  <si>
    <r>
      <rPr>
        <b/>
        <sz val="12"/>
        <rFont val="新細明體"/>
        <family val="1"/>
        <charset val="136"/>
      </rPr>
      <t>學甲區</t>
    </r>
    <phoneticPr fontId="64" type="noConversion"/>
  </si>
  <si>
    <r>
      <rPr>
        <b/>
        <sz val="12"/>
        <rFont val="新細明體"/>
        <family val="1"/>
        <charset val="136"/>
      </rPr>
      <t>北門區</t>
    </r>
    <phoneticPr fontId="64" type="noConversion"/>
  </si>
  <si>
    <r>
      <rPr>
        <b/>
        <sz val="12"/>
        <rFont val="新細明體"/>
        <family val="1"/>
        <charset val="136"/>
      </rPr>
      <t>新營區</t>
    </r>
    <phoneticPr fontId="64" type="noConversion"/>
  </si>
  <si>
    <r>
      <rPr>
        <b/>
        <sz val="12"/>
        <rFont val="新細明體"/>
        <family val="1"/>
        <charset val="136"/>
      </rPr>
      <t>後壁區</t>
    </r>
    <phoneticPr fontId="64" type="noConversion"/>
  </si>
  <si>
    <r>
      <rPr>
        <b/>
        <sz val="12"/>
        <rFont val="新細明體"/>
        <family val="1"/>
        <charset val="136"/>
      </rPr>
      <t>白河區</t>
    </r>
    <phoneticPr fontId="64" type="noConversion"/>
  </si>
  <si>
    <r>
      <rPr>
        <b/>
        <sz val="12"/>
        <rFont val="新細明體"/>
        <family val="1"/>
        <charset val="136"/>
      </rPr>
      <t>東山區</t>
    </r>
    <phoneticPr fontId="64" type="noConversion"/>
  </si>
  <si>
    <r>
      <rPr>
        <b/>
        <sz val="12"/>
        <rFont val="新細明體"/>
        <family val="1"/>
        <charset val="136"/>
      </rPr>
      <t>六甲區</t>
    </r>
    <phoneticPr fontId="64" type="noConversion"/>
  </si>
  <si>
    <r>
      <rPr>
        <b/>
        <sz val="12"/>
        <rFont val="新細明體"/>
        <family val="1"/>
        <charset val="136"/>
      </rPr>
      <t>下營區</t>
    </r>
    <phoneticPr fontId="64" type="noConversion"/>
  </si>
  <si>
    <r>
      <rPr>
        <b/>
        <sz val="12"/>
        <rFont val="新細明體"/>
        <family val="1"/>
        <charset val="136"/>
      </rPr>
      <t>柳營區</t>
    </r>
    <phoneticPr fontId="64" type="noConversion"/>
  </si>
  <si>
    <r>
      <rPr>
        <b/>
        <sz val="12"/>
        <rFont val="新細明體"/>
        <family val="1"/>
        <charset val="136"/>
      </rPr>
      <t>鹽水區</t>
    </r>
    <phoneticPr fontId="64" type="noConversion"/>
  </si>
  <si>
    <r>
      <rPr>
        <b/>
        <sz val="12"/>
        <rFont val="新細明體"/>
        <family val="1"/>
        <charset val="136"/>
      </rPr>
      <t>善化區</t>
    </r>
    <phoneticPr fontId="64" type="noConversion"/>
  </si>
  <si>
    <r>
      <rPr>
        <b/>
        <sz val="12"/>
        <rFont val="新細明體"/>
        <family val="1"/>
        <charset val="136"/>
      </rPr>
      <t>大內區</t>
    </r>
    <phoneticPr fontId="64" type="noConversion"/>
  </si>
  <si>
    <r>
      <rPr>
        <b/>
        <sz val="12"/>
        <rFont val="新細明體"/>
        <family val="1"/>
        <charset val="136"/>
      </rPr>
      <t>山上區</t>
    </r>
    <phoneticPr fontId="64" type="noConversion"/>
  </si>
  <si>
    <r>
      <rPr>
        <b/>
        <sz val="12"/>
        <rFont val="新細明體"/>
        <family val="1"/>
        <charset val="136"/>
      </rPr>
      <t>新市區</t>
    </r>
    <phoneticPr fontId="64" type="noConversion"/>
  </si>
  <si>
    <r>
      <rPr>
        <b/>
        <sz val="12"/>
        <rFont val="新細明體"/>
        <family val="1"/>
        <charset val="136"/>
      </rPr>
      <t>安定區</t>
    </r>
    <phoneticPr fontId="64" type="noConversion"/>
  </si>
  <si>
    <r>
      <rPr>
        <b/>
        <sz val="12"/>
        <rFont val="新細明體"/>
        <family val="1"/>
        <charset val="136"/>
      </rPr>
      <t>新興區</t>
    </r>
    <phoneticPr fontId="64" type="noConversion"/>
  </si>
  <si>
    <r>
      <rPr>
        <b/>
        <sz val="12"/>
        <rFont val="新細明體"/>
        <family val="1"/>
        <charset val="136"/>
      </rPr>
      <t>前金區</t>
    </r>
    <phoneticPr fontId="64" type="noConversion"/>
  </si>
  <si>
    <r>
      <rPr>
        <b/>
        <sz val="12"/>
        <rFont val="新細明體"/>
        <family val="1"/>
        <charset val="136"/>
      </rPr>
      <t>苓雅區</t>
    </r>
    <phoneticPr fontId="64" type="noConversion"/>
  </si>
  <si>
    <r>
      <rPr>
        <b/>
        <sz val="12"/>
        <rFont val="新細明體"/>
        <family val="1"/>
        <charset val="136"/>
      </rPr>
      <t>鹽埕區</t>
    </r>
    <phoneticPr fontId="64" type="noConversion"/>
  </si>
  <si>
    <r>
      <rPr>
        <b/>
        <sz val="12"/>
        <rFont val="新細明體"/>
        <family val="1"/>
        <charset val="136"/>
      </rPr>
      <t>鼓山區</t>
    </r>
    <phoneticPr fontId="64" type="noConversion"/>
  </si>
  <si>
    <r>
      <rPr>
        <b/>
        <sz val="12"/>
        <rFont val="新細明體"/>
        <family val="1"/>
        <charset val="136"/>
      </rPr>
      <t>旗津區</t>
    </r>
    <phoneticPr fontId="64" type="noConversion"/>
  </si>
  <si>
    <r>
      <rPr>
        <b/>
        <sz val="12"/>
        <rFont val="新細明體"/>
        <family val="1"/>
        <charset val="136"/>
      </rPr>
      <t>前鎮區</t>
    </r>
    <phoneticPr fontId="64" type="noConversion"/>
  </si>
  <si>
    <r>
      <rPr>
        <b/>
        <sz val="12"/>
        <rFont val="新細明體"/>
        <family val="1"/>
        <charset val="136"/>
      </rPr>
      <t>三民區</t>
    </r>
    <phoneticPr fontId="64" type="noConversion"/>
  </si>
  <si>
    <r>
      <rPr>
        <b/>
        <sz val="12"/>
        <rFont val="新細明體"/>
        <family val="1"/>
        <charset val="136"/>
      </rPr>
      <t>楠梓區</t>
    </r>
    <phoneticPr fontId="64" type="noConversion"/>
  </si>
  <si>
    <r>
      <rPr>
        <b/>
        <sz val="12"/>
        <rFont val="新細明體"/>
        <family val="1"/>
        <charset val="136"/>
      </rPr>
      <t>小港區</t>
    </r>
    <phoneticPr fontId="64" type="noConversion"/>
  </si>
  <si>
    <r>
      <rPr>
        <b/>
        <sz val="12"/>
        <rFont val="新細明體"/>
        <family val="1"/>
        <charset val="136"/>
      </rPr>
      <t>左營區</t>
    </r>
    <phoneticPr fontId="64" type="noConversion"/>
  </si>
  <si>
    <r>
      <rPr>
        <b/>
        <sz val="12"/>
        <rFont val="新細明體"/>
        <family val="1"/>
        <charset val="136"/>
      </rPr>
      <t>仁武區</t>
    </r>
    <phoneticPr fontId="64" type="noConversion"/>
  </si>
  <si>
    <r>
      <rPr>
        <b/>
        <sz val="12"/>
        <rFont val="新細明體"/>
        <family val="1"/>
        <charset val="136"/>
      </rPr>
      <t>大社區</t>
    </r>
    <phoneticPr fontId="64" type="noConversion"/>
  </si>
  <si>
    <r>
      <rPr>
        <b/>
        <sz val="12"/>
        <rFont val="新細明體"/>
        <family val="1"/>
        <charset val="136"/>
      </rPr>
      <t>岡山區</t>
    </r>
    <phoneticPr fontId="64" type="noConversion"/>
  </si>
  <si>
    <r>
      <rPr>
        <b/>
        <sz val="12"/>
        <rFont val="新細明體"/>
        <family val="1"/>
        <charset val="136"/>
      </rPr>
      <t>路竹區</t>
    </r>
    <phoneticPr fontId="64" type="noConversion"/>
  </si>
  <si>
    <r>
      <rPr>
        <b/>
        <sz val="12"/>
        <rFont val="新細明體"/>
        <family val="1"/>
        <charset val="136"/>
      </rPr>
      <t>阿蓮區</t>
    </r>
    <phoneticPr fontId="64" type="noConversion"/>
  </si>
  <si>
    <r>
      <rPr>
        <b/>
        <sz val="12"/>
        <rFont val="新細明體"/>
        <family val="1"/>
        <charset val="136"/>
      </rPr>
      <t>田寮區</t>
    </r>
    <phoneticPr fontId="64" type="noConversion"/>
  </si>
  <si>
    <r>
      <rPr>
        <b/>
        <sz val="12"/>
        <rFont val="新細明體"/>
        <family val="1"/>
        <charset val="136"/>
      </rPr>
      <t>燕巢區</t>
    </r>
    <phoneticPr fontId="64" type="noConversion"/>
  </si>
  <si>
    <r>
      <rPr>
        <b/>
        <sz val="12"/>
        <rFont val="新細明體"/>
        <family val="1"/>
        <charset val="136"/>
      </rPr>
      <t>橋頭區</t>
    </r>
    <phoneticPr fontId="64" type="noConversion"/>
  </si>
  <si>
    <r>
      <rPr>
        <b/>
        <sz val="12"/>
        <rFont val="新細明體"/>
        <family val="1"/>
        <charset val="136"/>
      </rPr>
      <t>梓官區</t>
    </r>
    <phoneticPr fontId="64" type="noConversion"/>
  </si>
  <si>
    <r>
      <rPr>
        <b/>
        <sz val="12"/>
        <rFont val="新細明體"/>
        <family val="1"/>
        <charset val="136"/>
      </rPr>
      <t>彌陀區</t>
    </r>
    <phoneticPr fontId="64" type="noConversion"/>
  </si>
  <si>
    <r>
      <rPr>
        <b/>
        <sz val="12"/>
        <rFont val="新細明體"/>
        <family val="1"/>
        <charset val="136"/>
      </rPr>
      <t>永安區</t>
    </r>
    <phoneticPr fontId="64" type="noConversion"/>
  </si>
  <si>
    <r>
      <rPr>
        <b/>
        <sz val="12"/>
        <rFont val="新細明體"/>
        <family val="1"/>
        <charset val="136"/>
      </rPr>
      <t>湖內區</t>
    </r>
    <phoneticPr fontId="64" type="noConversion"/>
  </si>
  <si>
    <r>
      <rPr>
        <b/>
        <sz val="12"/>
        <rFont val="新細明體"/>
        <family val="1"/>
        <charset val="136"/>
      </rPr>
      <t>鳳山區</t>
    </r>
    <phoneticPr fontId="64" type="noConversion"/>
  </si>
  <si>
    <r>
      <rPr>
        <b/>
        <sz val="12"/>
        <rFont val="新細明體"/>
        <family val="1"/>
        <charset val="136"/>
      </rPr>
      <t>大寮區</t>
    </r>
    <phoneticPr fontId="64" type="noConversion"/>
  </si>
  <si>
    <r>
      <rPr>
        <b/>
        <sz val="12"/>
        <rFont val="新細明體"/>
        <family val="1"/>
        <charset val="136"/>
      </rPr>
      <t>林園區</t>
    </r>
    <phoneticPr fontId="64" type="noConversion"/>
  </si>
  <si>
    <r>
      <rPr>
        <b/>
        <sz val="12"/>
        <rFont val="新細明體"/>
        <family val="1"/>
        <charset val="136"/>
      </rPr>
      <t>鳥松區</t>
    </r>
    <phoneticPr fontId="64" type="noConversion"/>
  </si>
  <si>
    <r>
      <rPr>
        <b/>
        <sz val="12"/>
        <rFont val="新細明體"/>
        <family val="1"/>
        <charset val="136"/>
      </rPr>
      <t>大樹區</t>
    </r>
    <phoneticPr fontId="64" type="noConversion"/>
  </si>
  <si>
    <r>
      <rPr>
        <b/>
        <sz val="12"/>
        <rFont val="新細明體"/>
        <family val="1"/>
        <charset val="136"/>
      </rPr>
      <t>旗山區</t>
    </r>
    <phoneticPr fontId="64" type="noConversion"/>
  </si>
  <si>
    <r>
      <rPr>
        <b/>
        <sz val="12"/>
        <rFont val="新細明體"/>
        <family val="1"/>
        <charset val="136"/>
      </rPr>
      <t>美濃區</t>
    </r>
    <phoneticPr fontId="64" type="noConversion"/>
  </si>
  <si>
    <r>
      <rPr>
        <b/>
        <sz val="12"/>
        <rFont val="新細明體"/>
        <family val="1"/>
        <charset val="136"/>
      </rPr>
      <t>六龜區</t>
    </r>
    <phoneticPr fontId="64" type="noConversion"/>
  </si>
  <si>
    <r>
      <rPr>
        <b/>
        <sz val="12"/>
        <rFont val="新細明體"/>
        <family val="1"/>
        <charset val="136"/>
      </rPr>
      <t>內門區</t>
    </r>
    <phoneticPr fontId="64" type="noConversion"/>
  </si>
  <si>
    <r>
      <rPr>
        <b/>
        <sz val="12"/>
        <rFont val="新細明體"/>
        <family val="1"/>
        <charset val="136"/>
      </rPr>
      <t>杉林區</t>
    </r>
    <phoneticPr fontId="64" type="noConversion"/>
  </si>
  <si>
    <r>
      <rPr>
        <b/>
        <sz val="12"/>
        <rFont val="新細明體"/>
        <family val="1"/>
        <charset val="136"/>
      </rPr>
      <t>甲仙區</t>
    </r>
    <phoneticPr fontId="64" type="noConversion"/>
  </si>
  <si>
    <r>
      <rPr>
        <b/>
        <sz val="12"/>
        <rFont val="新細明體"/>
        <family val="1"/>
        <charset val="136"/>
      </rPr>
      <t>桃源區</t>
    </r>
    <phoneticPr fontId="64" type="noConversion"/>
  </si>
  <si>
    <r>
      <rPr>
        <b/>
        <sz val="12"/>
        <rFont val="新細明體"/>
        <family val="1"/>
        <charset val="136"/>
      </rPr>
      <t>那瑪夏區</t>
    </r>
    <phoneticPr fontId="64" type="noConversion"/>
  </si>
  <si>
    <r>
      <rPr>
        <b/>
        <sz val="12"/>
        <rFont val="新細明體"/>
        <family val="1"/>
        <charset val="136"/>
      </rPr>
      <t>茂林區</t>
    </r>
    <phoneticPr fontId="64" type="noConversion"/>
  </si>
  <si>
    <r>
      <rPr>
        <b/>
        <sz val="12"/>
        <rFont val="新細明體"/>
        <family val="1"/>
        <charset val="136"/>
      </rPr>
      <t>茄萣區</t>
    </r>
    <phoneticPr fontId="64" type="noConversion"/>
  </si>
  <si>
    <r>
      <rPr>
        <b/>
        <sz val="12"/>
        <rFont val="新細明體"/>
        <family val="1"/>
        <charset val="136"/>
      </rPr>
      <t>屏東市</t>
    </r>
    <phoneticPr fontId="64" type="noConversion"/>
  </si>
  <si>
    <r>
      <rPr>
        <b/>
        <sz val="12"/>
        <rFont val="新細明體"/>
        <family val="1"/>
        <charset val="136"/>
      </rPr>
      <t>三地門鄉</t>
    </r>
    <phoneticPr fontId="64" type="noConversion"/>
  </si>
  <si>
    <r>
      <rPr>
        <b/>
        <sz val="12"/>
        <rFont val="新細明體"/>
        <family val="1"/>
        <charset val="136"/>
      </rPr>
      <t>霧台鄉</t>
    </r>
    <phoneticPr fontId="64" type="noConversion"/>
  </si>
  <si>
    <r>
      <rPr>
        <b/>
        <sz val="12"/>
        <rFont val="新細明體"/>
        <family val="1"/>
        <charset val="136"/>
      </rPr>
      <t>瑪家鄉</t>
    </r>
    <phoneticPr fontId="64" type="noConversion"/>
  </si>
  <si>
    <r>
      <rPr>
        <b/>
        <sz val="12"/>
        <rFont val="新細明體"/>
        <family val="1"/>
        <charset val="136"/>
      </rPr>
      <t>九如鄉</t>
    </r>
    <phoneticPr fontId="64" type="noConversion"/>
  </si>
  <si>
    <r>
      <rPr>
        <b/>
        <sz val="12"/>
        <rFont val="新細明體"/>
        <family val="1"/>
        <charset val="136"/>
      </rPr>
      <t>里港鄉</t>
    </r>
    <phoneticPr fontId="64" type="noConversion"/>
  </si>
  <si>
    <r>
      <rPr>
        <b/>
        <sz val="12"/>
        <rFont val="新細明體"/>
        <family val="1"/>
        <charset val="136"/>
      </rPr>
      <t>高樹鄉</t>
    </r>
    <phoneticPr fontId="64" type="noConversion"/>
  </si>
  <si>
    <r>
      <rPr>
        <b/>
        <sz val="12"/>
        <rFont val="新細明體"/>
        <family val="1"/>
        <charset val="136"/>
      </rPr>
      <t>鹽埔鄉</t>
    </r>
    <phoneticPr fontId="64" type="noConversion"/>
  </si>
  <si>
    <r>
      <rPr>
        <b/>
        <sz val="12"/>
        <rFont val="新細明體"/>
        <family val="1"/>
        <charset val="136"/>
      </rPr>
      <t>長治鄉</t>
    </r>
    <phoneticPr fontId="64" type="noConversion"/>
  </si>
  <si>
    <r>
      <rPr>
        <b/>
        <sz val="12"/>
        <rFont val="新細明體"/>
        <family val="1"/>
        <charset val="136"/>
      </rPr>
      <t>麟洛鄉</t>
    </r>
    <phoneticPr fontId="64" type="noConversion"/>
  </si>
  <si>
    <r>
      <rPr>
        <b/>
        <sz val="12"/>
        <rFont val="新細明體"/>
        <family val="1"/>
        <charset val="136"/>
      </rPr>
      <t>竹田鄉</t>
    </r>
    <phoneticPr fontId="64" type="noConversion"/>
  </si>
  <si>
    <r>
      <rPr>
        <b/>
        <sz val="12"/>
        <rFont val="新細明體"/>
        <family val="1"/>
        <charset val="136"/>
      </rPr>
      <t>內埔鄉</t>
    </r>
    <phoneticPr fontId="64" type="noConversion"/>
  </si>
  <si>
    <r>
      <rPr>
        <b/>
        <sz val="12"/>
        <rFont val="新細明體"/>
        <family val="1"/>
        <charset val="136"/>
      </rPr>
      <t>萬丹鄉</t>
    </r>
    <phoneticPr fontId="64" type="noConversion"/>
  </si>
  <si>
    <r>
      <rPr>
        <b/>
        <sz val="12"/>
        <rFont val="新細明體"/>
        <family val="1"/>
        <charset val="136"/>
      </rPr>
      <t>潮州鎮</t>
    </r>
    <phoneticPr fontId="64" type="noConversion"/>
  </si>
  <si>
    <r>
      <rPr>
        <b/>
        <sz val="12"/>
        <rFont val="新細明體"/>
        <family val="1"/>
        <charset val="136"/>
      </rPr>
      <t>泰武鄉</t>
    </r>
    <phoneticPr fontId="64" type="noConversion"/>
  </si>
  <si>
    <r>
      <rPr>
        <b/>
        <sz val="12"/>
        <rFont val="新細明體"/>
        <family val="1"/>
        <charset val="136"/>
      </rPr>
      <t>來義鄉</t>
    </r>
    <phoneticPr fontId="64" type="noConversion"/>
  </si>
  <si>
    <r>
      <rPr>
        <b/>
        <sz val="12"/>
        <rFont val="新細明體"/>
        <family val="1"/>
        <charset val="136"/>
      </rPr>
      <t>萬巒鄉</t>
    </r>
    <phoneticPr fontId="64" type="noConversion"/>
  </si>
  <si>
    <r>
      <rPr>
        <b/>
        <sz val="12"/>
        <rFont val="新細明體"/>
        <family val="1"/>
        <charset val="136"/>
      </rPr>
      <t>崁頂鄉</t>
    </r>
    <phoneticPr fontId="64" type="noConversion"/>
  </si>
  <si>
    <r>
      <rPr>
        <b/>
        <sz val="12"/>
        <rFont val="新細明體"/>
        <family val="1"/>
        <charset val="136"/>
      </rPr>
      <t>新埤鄉</t>
    </r>
    <phoneticPr fontId="64" type="noConversion"/>
  </si>
  <si>
    <r>
      <rPr>
        <b/>
        <sz val="12"/>
        <rFont val="新細明體"/>
        <family val="1"/>
        <charset val="136"/>
      </rPr>
      <t>南州鄉</t>
    </r>
    <phoneticPr fontId="64" type="noConversion"/>
  </si>
  <si>
    <r>
      <rPr>
        <b/>
        <sz val="12"/>
        <rFont val="新細明體"/>
        <family val="1"/>
        <charset val="136"/>
      </rPr>
      <t>林邊鄉</t>
    </r>
    <phoneticPr fontId="64" type="noConversion"/>
  </si>
  <si>
    <r>
      <rPr>
        <b/>
        <sz val="12"/>
        <rFont val="新細明體"/>
        <family val="1"/>
        <charset val="136"/>
      </rPr>
      <t>東港鎮</t>
    </r>
    <phoneticPr fontId="64" type="noConversion"/>
  </si>
  <si>
    <r>
      <rPr>
        <b/>
        <sz val="12"/>
        <rFont val="新細明體"/>
        <family val="1"/>
        <charset val="136"/>
      </rPr>
      <t>琉球鄉</t>
    </r>
    <phoneticPr fontId="64" type="noConversion"/>
  </si>
  <si>
    <r>
      <rPr>
        <b/>
        <sz val="12"/>
        <rFont val="新細明體"/>
        <family val="1"/>
        <charset val="136"/>
      </rPr>
      <t>佳冬鄉</t>
    </r>
    <phoneticPr fontId="64" type="noConversion"/>
  </si>
  <si>
    <r>
      <rPr>
        <b/>
        <sz val="12"/>
        <rFont val="新細明體"/>
        <family val="1"/>
        <charset val="136"/>
      </rPr>
      <t>新園鄉</t>
    </r>
    <phoneticPr fontId="64" type="noConversion"/>
  </si>
  <si>
    <r>
      <rPr>
        <b/>
        <sz val="12"/>
        <rFont val="新細明體"/>
        <family val="1"/>
        <charset val="136"/>
      </rPr>
      <t>枋寮鄉</t>
    </r>
    <phoneticPr fontId="64" type="noConversion"/>
  </si>
  <si>
    <r>
      <rPr>
        <b/>
        <sz val="12"/>
        <rFont val="新細明體"/>
        <family val="1"/>
        <charset val="136"/>
      </rPr>
      <t>枋山鄉</t>
    </r>
    <phoneticPr fontId="64" type="noConversion"/>
  </si>
  <si>
    <r>
      <rPr>
        <b/>
        <sz val="12"/>
        <rFont val="新細明體"/>
        <family val="1"/>
        <charset val="136"/>
      </rPr>
      <t>春日鄉</t>
    </r>
    <phoneticPr fontId="64" type="noConversion"/>
  </si>
  <si>
    <r>
      <rPr>
        <b/>
        <sz val="12"/>
        <rFont val="新細明體"/>
        <family val="1"/>
        <charset val="136"/>
      </rPr>
      <t>獅子鄉</t>
    </r>
    <phoneticPr fontId="64" type="noConversion"/>
  </si>
  <si>
    <r>
      <rPr>
        <b/>
        <sz val="12"/>
        <rFont val="新細明體"/>
        <family val="1"/>
        <charset val="136"/>
      </rPr>
      <t>車城鄉</t>
    </r>
    <phoneticPr fontId="64" type="noConversion"/>
  </si>
  <si>
    <r>
      <rPr>
        <b/>
        <sz val="12"/>
        <rFont val="新細明體"/>
        <family val="1"/>
        <charset val="136"/>
      </rPr>
      <t>牡丹鄉</t>
    </r>
    <phoneticPr fontId="64" type="noConversion"/>
  </si>
  <si>
    <r>
      <rPr>
        <b/>
        <sz val="12"/>
        <rFont val="新細明體"/>
        <family val="1"/>
        <charset val="136"/>
      </rPr>
      <t>恆春鎮</t>
    </r>
    <phoneticPr fontId="64" type="noConversion"/>
  </si>
  <si>
    <r>
      <rPr>
        <b/>
        <sz val="12"/>
        <rFont val="新細明體"/>
        <family val="1"/>
        <charset val="136"/>
      </rPr>
      <t>滿州鄉</t>
    </r>
    <phoneticPr fontId="64" type="noConversion"/>
  </si>
  <si>
    <r>
      <rPr>
        <b/>
        <sz val="12"/>
        <rFont val="新細明體"/>
        <family val="1"/>
        <charset val="136"/>
      </rPr>
      <t>臺東市</t>
    </r>
    <phoneticPr fontId="64" type="noConversion"/>
  </si>
  <si>
    <r>
      <rPr>
        <b/>
        <sz val="12"/>
        <rFont val="新細明體"/>
        <family val="1"/>
        <charset val="136"/>
      </rPr>
      <t>綠島鄉</t>
    </r>
    <phoneticPr fontId="64" type="noConversion"/>
  </si>
  <si>
    <r>
      <rPr>
        <b/>
        <sz val="12"/>
        <rFont val="新細明體"/>
        <family val="1"/>
        <charset val="136"/>
      </rPr>
      <t>蘭嶼鄉</t>
    </r>
    <phoneticPr fontId="64" type="noConversion"/>
  </si>
  <si>
    <r>
      <rPr>
        <b/>
        <sz val="12"/>
        <rFont val="新細明體"/>
        <family val="1"/>
        <charset val="136"/>
      </rPr>
      <t>延平鄉</t>
    </r>
    <phoneticPr fontId="64" type="noConversion"/>
  </si>
  <si>
    <r>
      <rPr>
        <b/>
        <sz val="12"/>
        <rFont val="新細明體"/>
        <family val="1"/>
        <charset val="136"/>
      </rPr>
      <t>卑南鄉</t>
    </r>
    <phoneticPr fontId="64" type="noConversion"/>
  </si>
  <si>
    <r>
      <rPr>
        <b/>
        <sz val="12"/>
        <rFont val="新細明體"/>
        <family val="1"/>
        <charset val="136"/>
      </rPr>
      <t>鹿野鄉</t>
    </r>
    <phoneticPr fontId="64" type="noConversion"/>
  </si>
  <si>
    <r>
      <rPr>
        <b/>
        <sz val="12"/>
        <rFont val="新細明體"/>
        <family val="1"/>
        <charset val="136"/>
      </rPr>
      <t>關山鎮</t>
    </r>
    <phoneticPr fontId="64" type="noConversion"/>
  </si>
  <si>
    <r>
      <rPr>
        <b/>
        <sz val="12"/>
        <rFont val="新細明體"/>
        <family val="1"/>
        <charset val="136"/>
      </rPr>
      <t>海端鄉</t>
    </r>
    <phoneticPr fontId="64" type="noConversion"/>
  </si>
  <si>
    <r>
      <rPr>
        <b/>
        <sz val="12"/>
        <rFont val="新細明體"/>
        <family val="1"/>
        <charset val="136"/>
      </rPr>
      <t>池上鄉</t>
    </r>
    <phoneticPr fontId="64" type="noConversion"/>
  </si>
  <si>
    <r>
      <rPr>
        <b/>
        <sz val="12"/>
        <rFont val="新細明體"/>
        <family val="1"/>
        <charset val="136"/>
      </rPr>
      <t>東河鄉</t>
    </r>
    <phoneticPr fontId="64" type="noConversion"/>
  </si>
  <si>
    <r>
      <rPr>
        <b/>
        <sz val="12"/>
        <rFont val="新細明體"/>
        <family val="1"/>
        <charset val="136"/>
      </rPr>
      <t>成功鎮</t>
    </r>
    <phoneticPr fontId="64" type="noConversion"/>
  </si>
  <si>
    <r>
      <rPr>
        <b/>
        <sz val="12"/>
        <rFont val="新細明體"/>
        <family val="1"/>
        <charset val="136"/>
      </rPr>
      <t>長濱鄉</t>
    </r>
    <phoneticPr fontId="64" type="noConversion"/>
  </si>
  <si>
    <r>
      <rPr>
        <b/>
        <sz val="12"/>
        <rFont val="新細明體"/>
        <family val="1"/>
        <charset val="136"/>
      </rPr>
      <t>太麻里鄉</t>
    </r>
    <phoneticPr fontId="64" type="noConversion"/>
  </si>
  <si>
    <r>
      <rPr>
        <b/>
        <sz val="12"/>
        <rFont val="新細明體"/>
        <family val="1"/>
        <charset val="136"/>
      </rPr>
      <t>金峰鄉</t>
    </r>
    <phoneticPr fontId="64" type="noConversion"/>
  </si>
  <si>
    <r>
      <rPr>
        <b/>
        <sz val="12"/>
        <rFont val="新細明體"/>
        <family val="1"/>
        <charset val="136"/>
      </rPr>
      <t>大武鄉</t>
    </r>
    <phoneticPr fontId="64" type="noConversion"/>
  </si>
  <si>
    <r>
      <rPr>
        <b/>
        <sz val="12"/>
        <rFont val="新細明體"/>
        <family val="1"/>
        <charset val="136"/>
      </rPr>
      <t>達仁鄉</t>
    </r>
    <phoneticPr fontId="64" type="noConversion"/>
  </si>
  <si>
    <r>
      <rPr>
        <b/>
        <sz val="12"/>
        <rFont val="新細明體"/>
        <family val="1"/>
        <charset val="136"/>
      </rPr>
      <t>花蓮市</t>
    </r>
    <phoneticPr fontId="64" type="noConversion"/>
  </si>
  <si>
    <r>
      <rPr>
        <b/>
        <sz val="12"/>
        <rFont val="新細明體"/>
        <family val="1"/>
        <charset val="136"/>
      </rPr>
      <t>新城鄉</t>
    </r>
    <phoneticPr fontId="64" type="noConversion"/>
  </si>
  <si>
    <r>
      <rPr>
        <b/>
        <sz val="12"/>
        <rFont val="新細明體"/>
        <family val="1"/>
        <charset val="136"/>
      </rPr>
      <t>秀林鄉</t>
    </r>
    <phoneticPr fontId="64" type="noConversion"/>
  </si>
  <si>
    <r>
      <rPr>
        <b/>
        <sz val="12"/>
        <rFont val="新細明體"/>
        <family val="1"/>
        <charset val="136"/>
      </rPr>
      <t>吉安鄉</t>
    </r>
    <phoneticPr fontId="64" type="noConversion"/>
  </si>
  <si>
    <r>
      <rPr>
        <b/>
        <sz val="12"/>
        <rFont val="新細明體"/>
        <family val="1"/>
        <charset val="136"/>
      </rPr>
      <t>壽豐鄉</t>
    </r>
    <phoneticPr fontId="64" type="noConversion"/>
  </si>
  <si>
    <r>
      <rPr>
        <b/>
        <sz val="12"/>
        <rFont val="新細明體"/>
        <family val="1"/>
        <charset val="136"/>
      </rPr>
      <t>鳳林鎮</t>
    </r>
    <phoneticPr fontId="64" type="noConversion"/>
  </si>
  <si>
    <r>
      <rPr>
        <b/>
        <sz val="12"/>
        <rFont val="新細明體"/>
        <family val="1"/>
        <charset val="136"/>
      </rPr>
      <t>光復鄉</t>
    </r>
    <phoneticPr fontId="64" type="noConversion"/>
  </si>
  <si>
    <r>
      <rPr>
        <b/>
        <sz val="12"/>
        <rFont val="新細明體"/>
        <family val="1"/>
        <charset val="136"/>
      </rPr>
      <t>豐濱鄉</t>
    </r>
    <phoneticPr fontId="64" type="noConversion"/>
  </si>
  <si>
    <r>
      <rPr>
        <b/>
        <sz val="12"/>
        <rFont val="新細明體"/>
        <family val="1"/>
        <charset val="136"/>
      </rPr>
      <t>瑞穗鄉</t>
    </r>
    <phoneticPr fontId="64" type="noConversion"/>
  </si>
  <si>
    <r>
      <rPr>
        <b/>
        <sz val="12"/>
        <rFont val="新細明體"/>
        <family val="1"/>
        <charset val="136"/>
      </rPr>
      <t>萬榮鄉</t>
    </r>
    <phoneticPr fontId="64" type="noConversion"/>
  </si>
  <si>
    <r>
      <rPr>
        <b/>
        <sz val="12"/>
        <rFont val="新細明體"/>
        <family val="1"/>
        <charset val="136"/>
      </rPr>
      <t>玉里鎮</t>
    </r>
    <phoneticPr fontId="64" type="noConversion"/>
  </si>
  <si>
    <r>
      <rPr>
        <b/>
        <sz val="12"/>
        <rFont val="新細明體"/>
        <family val="1"/>
        <charset val="136"/>
      </rPr>
      <t>卓溪鄉</t>
    </r>
    <phoneticPr fontId="64" type="noConversion"/>
  </si>
  <si>
    <r>
      <rPr>
        <b/>
        <sz val="12"/>
        <rFont val="新細明體"/>
        <family val="1"/>
        <charset val="136"/>
      </rPr>
      <t>富里鄉</t>
    </r>
    <phoneticPr fontId="64" type="noConversion"/>
  </si>
  <si>
    <r>
      <rPr>
        <b/>
        <sz val="12"/>
        <rFont val="新細明體"/>
        <family val="1"/>
        <charset val="136"/>
      </rPr>
      <t>馬公市</t>
    </r>
    <phoneticPr fontId="64" type="noConversion"/>
  </si>
  <si>
    <r>
      <rPr>
        <b/>
        <sz val="12"/>
        <rFont val="新細明體"/>
        <family val="1"/>
        <charset val="136"/>
      </rPr>
      <t>西嶼鄉</t>
    </r>
    <phoneticPr fontId="64" type="noConversion"/>
  </si>
  <si>
    <r>
      <rPr>
        <b/>
        <sz val="12"/>
        <rFont val="新細明體"/>
        <family val="1"/>
        <charset val="136"/>
      </rPr>
      <t>望安鄉</t>
    </r>
    <phoneticPr fontId="64" type="noConversion"/>
  </si>
  <si>
    <r>
      <rPr>
        <b/>
        <sz val="12"/>
        <rFont val="新細明體"/>
        <family val="1"/>
        <charset val="136"/>
      </rPr>
      <t>東吉島</t>
    </r>
    <phoneticPr fontId="64" type="noConversion"/>
  </si>
  <si>
    <r>
      <rPr>
        <b/>
        <sz val="12"/>
        <rFont val="新細明體"/>
        <family val="1"/>
        <charset val="136"/>
      </rPr>
      <t>七美鄉</t>
    </r>
    <phoneticPr fontId="64" type="noConversion"/>
  </si>
  <si>
    <r>
      <rPr>
        <b/>
        <sz val="12"/>
        <rFont val="新細明體"/>
        <family val="1"/>
        <charset val="136"/>
      </rPr>
      <t>白沙鄉</t>
    </r>
    <phoneticPr fontId="64" type="noConversion"/>
  </si>
  <si>
    <r>
      <rPr>
        <b/>
        <sz val="12"/>
        <rFont val="新細明體"/>
        <family val="1"/>
        <charset val="136"/>
      </rPr>
      <t>湖西鄉</t>
    </r>
    <phoneticPr fontId="64" type="noConversion"/>
  </si>
  <si>
    <r>
      <rPr>
        <b/>
        <sz val="12"/>
        <rFont val="新細明體"/>
        <family val="1"/>
        <charset val="136"/>
      </rPr>
      <t>金沙鎮</t>
    </r>
    <phoneticPr fontId="64" type="noConversion"/>
  </si>
  <si>
    <r>
      <rPr>
        <b/>
        <sz val="12"/>
        <rFont val="新細明體"/>
        <family val="1"/>
        <charset val="136"/>
      </rPr>
      <t>金湖鎮</t>
    </r>
    <phoneticPr fontId="64" type="noConversion"/>
  </si>
  <si>
    <r>
      <rPr>
        <b/>
        <sz val="12"/>
        <rFont val="新細明體"/>
        <family val="1"/>
        <charset val="136"/>
      </rPr>
      <t>金寧鄉</t>
    </r>
    <phoneticPr fontId="64" type="noConversion"/>
  </si>
  <si>
    <r>
      <rPr>
        <b/>
        <sz val="12"/>
        <rFont val="新細明體"/>
        <family val="1"/>
        <charset val="136"/>
      </rPr>
      <t>金城鎮</t>
    </r>
    <phoneticPr fontId="64" type="noConversion"/>
  </si>
  <si>
    <r>
      <rPr>
        <b/>
        <sz val="12"/>
        <rFont val="新細明體"/>
        <family val="1"/>
        <charset val="136"/>
      </rPr>
      <t>烈嶼鄉</t>
    </r>
    <phoneticPr fontId="64" type="noConversion"/>
  </si>
  <si>
    <r>
      <rPr>
        <b/>
        <sz val="12"/>
        <rFont val="新細明體"/>
        <family val="1"/>
        <charset val="136"/>
      </rPr>
      <t>烏坵鄉</t>
    </r>
    <phoneticPr fontId="64" type="noConversion"/>
  </si>
  <si>
    <r>
      <rPr>
        <b/>
        <sz val="12"/>
        <rFont val="新細明體"/>
        <family val="1"/>
        <charset val="136"/>
      </rPr>
      <t>南竿</t>
    </r>
    <phoneticPr fontId="64" type="noConversion"/>
  </si>
  <si>
    <r>
      <rPr>
        <b/>
        <sz val="12"/>
        <rFont val="新細明體"/>
        <family val="1"/>
        <charset val="136"/>
      </rPr>
      <t>北竿</t>
    </r>
    <phoneticPr fontId="64" type="noConversion"/>
  </si>
  <si>
    <r>
      <rPr>
        <b/>
        <sz val="12"/>
        <rFont val="新細明體"/>
        <family val="1"/>
        <charset val="136"/>
      </rPr>
      <t>莒光</t>
    </r>
    <phoneticPr fontId="64" type="noConversion"/>
  </si>
  <si>
    <r>
      <rPr>
        <b/>
        <sz val="12"/>
        <rFont val="新細明體"/>
        <family val="1"/>
        <charset val="136"/>
      </rPr>
      <t>東引</t>
    </r>
    <phoneticPr fontId="64" type="noConversion"/>
  </si>
  <si>
    <r>
      <rPr>
        <b/>
        <sz val="12"/>
        <rFont val="新細明體"/>
        <family val="1"/>
        <charset val="136"/>
      </rPr>
      <t>東沙</t>
    </r>
    <phoneticPr fontId="64" type="noConversion"/>
  </si>
  <si>
    <r>
      <rPr>
        <b/>
        <sz val="12"/>
        <rFont val="新細明體"/>
        <family val="1"/>
        <charset val="136"/>
      </rPr>
      <t>南沙</t>
    </r>
    <phoneticPr fontId="64" type="noConversion"/>
  </si>
  <si>
    <r>
      <rPr>
        <b/>
        <sz val="10"/>
        <rFont val="細明體"/>
        <family val="3"/>
        <charset val="136"/>
      </rPr>
      <t>風力垂直於屋脊</t>
    </r>
    <r>
      <rPr>
        <b/>
        <sz val="10"/>
        <rFont val="Arial"/>
        <family val="2"/>
      </rPr>
      <t>(MWFRS)</t>
    </r>
    <r>
      <rPr>
        <b/>
        <sz val="10"/>
        <rFont val="細明體"/>
        <family val="3"/>
        <charset val="136"/>
      </rPr>
      <t>，</t>
    </r>
    <r>
      <rPr>
        <b/>
        <sz val="10"/>
        <rFont val="Arial"/>
        <family val="2"/>
      </rPr>
      <t>Wx</t>
    </r>
    <phoneticPr fontId="62" type="noConversion"/>
  </si>
  <si>
    <r>
      <rPr>
        <b/>
        <sz val="10"/>
        <rFont val="細明體"/>
        <family val="3"/>
        <charset val="136"/>
      </rPr>
      <t>平行於屋脊</t>
    </r>
    <r>
      <rPr>
        <b/>
        <sz val="10"/>
        <rFont val="Arial"/>
        <family val="2"/>
      </rPr>
      <t>(WMFRS)</t>
    </r>
    <r>
      <rPr>
        <b/>
        <sz val="10"/>
        <rFont val="細明體"/>
        <family val="3"/>
        <charset val="136"/>
      </rPr>
      <t>，</t>
    </r>
    <r>
      <rPr>
        <b/>
        <sz val="10"/>
        <rFont val="Arial"/>
        <family val="2"/>
      </rPr>
      <t>Wy</t>
    </r>
    <phoneticPr fontId="62" type="noConversion"/>
  </si>
  <si>
    <t>基隆市</t>
  </si>
  <si>
    <t>暖暖區</t>
  </si>
  <si>
    <t>開放式建築物</t>
    <phoneticPr fontId="62" type="noConversion"/>
  </si>
  <si>
    <t>澎湖縣</t>
  </si>
  <si>
    <t>七美鄉</t>
  </si>
  <si>
    <t>臺南市</t>
  </si>
  <si>
    <r>
      <t>p = Net Pressures (kgf/m</t>
    </r>
    <r>
      <rPr>
        <vertAlign val="superscript"/>
        <sz val="10"/>
        <rFont val="Arial"/>
        <family val="2"/>
      </rPr>
      <t>2</t>
    </r>
    <r>
      <rPr>
        <sz val="10"/>
        <rFont val="Arial"/>
        <family val="2"/>
      </rPr>
      <t>)</t>
    </r>
    <phoneticPr fontId="62" type="noConversion"/>
  </si>
  <si>
    <r>
      <t>p = Net Pressures (</t>
    </r>
    <r>
      <rPr>
        <sz val="10"/>
        <rFont val="Arial"/>
        <family val="2"/>
      </rPr>
      <t>kgf/m</t>
    </r>
    <r>
      <rPr>
        <vertAlign val="superscript"/>
        <sz val="10"/>
        <rFont val="Arial"/>
        <family val="2"/>
      </rPr>
      <t>2</t>
    </r>
    <r>
      <rPr>
        <sz val="10"/>
        <rFont val="Arial"/>
        <family val="2"/>
      </rPr>
      <t>)</t>
    </r>
    <phoneticPr fontId="62" type="noConversion"/>
  </si>
  <si>
    <r>
      <t xml:space="preserve">  2.  Is h &lt;= Lesser of L</t>
    </r>
    <r>
      <rPr>
        <sz val="10"/>
        <rFont val="Arial"/>
        <family val="2"/>
      </rPr>
      <t>x</t>
    </r>
    <r>
      <rPr>
        <sz val="10"/>
        <rFont val="Arial"/>
        <family val="2"/>
      </rPr>
      <t xml:space="preserve"> or </t>
    </r>
    <r>
      <rPr>
        <sz val="10"/>
        <rFont val="Arial"/>
        <family val="2"/>
      </rPr>
      <t>Ly</t>
    </r>
    <r>
      <rPr>
        <sz val="10"/>
        <rFont val="Arial"/>
        <family val="2"/>
      </rPr>
      <t>?</t>
    </r>
    <phoneticPr fontId="62" type="noConversion"/>
  </si>
  <si>
    <t>新市區</t>
  </si>
  <si>
    <t>1.  Is h &gt; 18m ?</t>
    <phoneticPr fontId="62" type="noConversion"/>
  </si>
  <si>
    <t>GCp</t>
    <phoneticPr fontId="62" type="noConversion"/>
  </si>
  <si>
    <r>
      <t>K</t>
    </r>
    <r>
      <rPr>
        <sz val="10"/>
        <rFont val="Arial"/>
        <family val="2"/>
      </rPr>
      <t>z</t>
    </r>
    <phoneticPr fontId="62" type="noConversion"/>
  </si>
  <si>
    <r>
      <t>q</t>
    </r>
    <r>
      <rPr>
        <sz val="10"/>
        <rFont val="Arial"/>
        <family val="2"/>
      </rPr>
      <t>z</t>
    </r>
    <phoneticPr fontId="62" type="noConversion"/>
  </si>
  <si>
    <r>
      <t>q(h) = 0.06*Kh*Kzt*(I*V</t>
    </r>
    <r>
      <rPr>
        <vertAlign val="subscript"/>
        <sz val="10"/>
        <rFont val="Arial"/>
        <family val="2"/>
      </rPr>
      <t>10</t>
    </r>
    <r>
      <rPr>
        <sz val="10"/>
        <rFont val="Arial"/>
        <family val="2"/>
      </rPr>
      <t>©)</t>
    </r>
    <r>
      <rPr>
        <vertAlign val="superscript"/>
        <sz val="10"/>
        <rFont val="Arial"/>
        <family val="2"/>
      </rPr>
      <t>2</t>
    </r>
    <r>
      <rPr>
        <sz val="10"/>
        <rFont val="Arial"/>
        <family val="2"/>
      </rPr>
      <t xml:space="preserve">  (q(z) evaluated at z = h)</t>
    </r>
    <phoneticPr fontId="62" type="noConversion"/>
  </si>
  <si>
    <t>qGCp</t>
    <phoneticPr fontId="62" type="noConversion"/>
  </si>
  <si>
    <t>雲林縣</t>
  </si>
  <si>
    <t>斗六市</t>
  </si>
  <si>
    <t>第一類</t>
  </si>
  <si>
    <t>A</t>
  </si>
  <si>
    <t>設計風力係數 v20210710 版權所有：施忠賢結構技師事務所，使用者應註明來源並自行驗算正確性。</t>
    <phoneticPr fontId="6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</si>
</sst>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
    <numFmt numFmtId="177" formatCode="0.000"/>
    <numFmt numFmtId="178" formatCode="0.0"/>
    <numFmt numFmtId="179" formatCode="&quot;$&quot;#,##0\ ;\(&quot;$&quot;#,##0\)"/>
    <numFmt numFmtId="180" formatCode="0.00_ "/>
    <numFmt numFmtId="181" formatCode="0.000_ "/>
    <numFmt numFmtId="182" formatCode="0_ "/>
    <numFmt numFmtId="183" formatCode="0.0_ "/>
  </numFmts>
  <fonts count="91">
    <font>
      <sz val="10"/>
      <name val="Arial"/>
    </font>
    <font>
      <b/>
      <sz val="10"/>
      <name val="Arial"/>
      <family val="2"/>
    </font>
    <font>
      <sz val="10"/>
      <name val="Arial"/>
      <family val="2"/>
    </font>
    <font>
      <b/>
      <u/>
      <sz val="10"/>
      <name val="Arial"/>
      <family val="2"/>
    </font>
    <font>
      <sz val="10"/>
      <color indexed="12"/>
      <name val="Arial"/>
      <family val="2"/>
    </font>
    <font>
      <sz val="10"/>
      <name val="Arial"/>
      <family val="2"/>
    </font>
    <font>
      <sz val="10"/>
      <color indexed="8"/>
      <name val="Arial"/>
      <family val="2"/>
    </font>
    <font>
      <b/>
      <sz val="10"/>
      <color indexed="10"/>
      <name val="Arial"/>
      <family val="2"/>
    </font>
    <font>
      <sz val="10"/>
      <color indexed="10"/>
      <name val="Arial"/>
      <family val="2"/>
    </font>
    <font>
      <sz val="10"/>
      <name val="GreekC"/>
    </font>
    <font>
      <sz val="10"/>
      <name val="Italic"/>
    </font>
    <font>
      <sz val="10"/>
      <name val="GreekS"/>
    </font>
    <font>
      <b/>
      <sz val="12"/>
      <name val="Arial"/>
      <family val="2"/>
    </font>
    <font>
      <b/>
      <sz val="10"/>
      <color indexed="8"/>
      <name val="Arial"/>
      <family val="2"/>
    </font>
    <font>
      <b/>
      <vertAlign val="superscript"/>
      <sz val="10"/>
      <color indexed="10"/>
      <name val="Arial"/>
      <family val="2"/>
    </font>
    <font>
      <sz val="8"/>
      <color indexed="81"/>
      <name val="Tahoma"/>
      <family val="2"/>
    </font>
    <font>
      <u/>
      <sz val="8"/>
      <color indexed="81"/>
      <name val="Tahoma"/>
      <family val="2"/>
    </font>
    <font>
      <b/>
      <u/>
      <sz val="8"/>
      <color indexed="81"/>
      <name val="Tahoma"/>
      <family val="2"/>
    </font>
    <font>
      <b/>
      <sz val="8"/>
      <color indexed="81"/>
      <name val="Tahoma"/>
      <family val="2"/>
    </font>
    <font>
      <u/>
      <sz val="10"/>
      <name val="Arial"/>
      <family val="2"/>
    </font>
    <font>
      <b/>
      <sz val="10"/>
      <name val="Arial"/>
      <family val="2"/>
    </font>
    <font>
      <b/>
      <vertAlign val="superscript"/>
      <sz val="10"/>
      <name val="Arial"/>
      <family val="2"/>
    </font>
    <font>
      <b/>
      <u/>
      <sz val="12"/>
      <name val="Arial"/>
      <family val="2"/>
    </font>
    <font>
      <sz val="8"/>
      <color indexed="81"/>
      <name val="Italic"/>
    </font>
    <font>
      <sz val="8"/>
      <color indexed="81"/>
      <name val="GreekS"/>
    </font>
    <font>
      <sz val="10"/>
      <name val="Symbol"/>
      <family val="1"/>
      <charset val="2"/>
    </font>
    <font>
      <sz val="10"/>
      <color indexed="8"/>
      <name val="Symbol"/>
      <family val="1"/>
      <charset val="2"/>
    </font>
    <font>
      <b/>
      <sz val="10"/>
      <color indexed="10"/>
      <name val="Symbol"/>
      <family val="1"/>
      <charset val="2"/>
    </font>
    <font>
      <sz val="10"/>
      <color indexed="12"/>
      <name val="Symbol"/>
      <family val="1"/>
      <charset val="2"/>
    </font>
    <font>
      <sz val="10"/>
      <color indexed="12"/>
      <name val="Arial"/>
      <family val="2"/>
    </font>
    <font>
      <u/>
      <sz val="10"/>
      <color indexed="12"/>
      <name val="Arial"/>
      <family val="2"/>
    </font>
    <font>
      <b/>
      <sz val="8"/>
      <color indexed="81"/>
      <name val="Symbol"/>
      <family val="1"/>
      <charset val="2"/>
    </font>
    <font>
      <sz val="8"/>
      <color indexed="81"/>
      <name val="Symbol"/>
      <family val="1"/>
      <charset val="2"/>
    </font>
    <font>
      <u/>
      <sz val="8"/>
      <color indexed="81"/>
      <name val="Symbol"/>
      <family val="1"/>
      <charset val="2"/>
    </font>
    <font>
      <u/>
      <sz val="8"/>
      <color indexed="81"/>
      <name val="Italic"/>
    </font>
    <font>
      <sz val="8"/>
      <color indexed="12"/>
      <name val="Arial"/>
      <family val="2"/>
    </font>
    <font>
      <sz val="10"/>
      <color indexed="8"/>
      <name val="Arial"/>
      <family val="2"/>
    </font>
    <font>
      <b/>
      <u/>
      <sz val="8"/>
      <color indexed="81"/>
      <name val="Symbol"/>
      <family val="1"/>
      <charset val="2"/>
    </font>
    <font>
      <sz val="8"/>
      <name val="Arial"/>
      <family val="2"/>
    </font>
    <font>
      <sz val="10"/>
      <color indexed="12"/>
      <name val="Tahoma"/>
      <family val="2"/>
    </font>
    <font>
      <sz val="8"/>
      <name val="Arial"/>
      <family val="2"/>
    </font>
    <font>
      <sz val="8"/>
      <color indexed="12"/>
      <name val="Arial"/>
      <family val="2"/>
    </font>
    <font>
      <sz val="9"/>
      <color indexed="12"/>
      <name val="Arial"/>
      <family val="2"/>
    </font>
    <font>
      <sz val="9"/>
      <color indexed="12"/>
      <name val="Arial"/>
      <family val="2"/>
    </font>
    <font>
      <sz val="10"/>
      <name val="Tahoma"/>
      <family val="2"/>
    </font>
    <font>
      <b/>
      <u/>
      <sz val="10"/>
      <color indexed="8"/>
      <name val="Arial"/>
      <family val="2"/>
    </font>
    <font>
      <sz val="8"/>
      <color indexed="8"/>
      <name val="Arial"/>
      <family val="2"/>
    </font>
    <font>
      <sz val="10"/>
      <color indexed="8"/>
      <name val="Italic"/>
    </font>
    <font>
      <sz val="10"/>
      <color indexed="24"/>
      <name val="Arial"/>
      <family val="2"/>
    </font>
    <font>
      <b/>
      <sz val="18"/>
      <color indexed="24"/>
      <name val="Arial"/>
      <family val="2"/>
    </font>
    <font>
      <b/>
      <sz val="12"/>
      <color indexed="24"/>
      <name val="Arial"/>
      <family val="2"/>
    </font>
    <font>
      <b/>
      <sz val="10"/>
      <color indexed="8"/>
      <name val="Symbol"/>
      <family val="1"/>
      <charset val="2"/>
    </font>
    <font>
      <b/>
      <sz val="10"/>
      <color indexed="8"/>
      <name val="Arial"/>
      <family val="2"/>
    </font>
    <font>
      <i/>
      <u/>
      <sz val="10"/>
      <color indexed="10"/>
      <name val="Arial"/>
      <family val="2"/>
    </font>
    <font>
      <i/>
      <sz val="10"/>
      <color indexed="10"/>
      <name val="Arial"/>
      <family val="2"/>
    </font>
    <font>
      <i/>
      <sz val="10"/>
      <name val="Arial"/>
      <family val="2"/>
    </font>
    <font>
      <b/>
      <u/>
      <sz val="10"/>
      <color indexed="10"/>
      <name val="Arial"/>
      <family val="2"/>
    </font>
    <font>
      <u/>
      <sz val="8"/>
      <color indexed="12"/>
      <name val="Arial"/>
      <family val="2"/>
    </font>
    <font>
      <b/>
      <sz val="11"/>
      <name val="Symbol"/>
      <family val="1"/>
      <charset val="2"/>
    </font>
    <font>
      <b/>
      <i/>
      <sz val="10"/>
      <color indexed="10"/>
      <name val="Arial"/>
      <family val="2"/>
    </font>
    <font>
      <vertAlign val="subscript"/>
      <sz val="8"/>
      <color indexed="81"/>
      <name val="Tahoma"/>
      <family val="2"/>
    </font>
    <font>
      <sz val="10"/>
      <name val="Arial"/>
      <family val="2"/>
    </font>
    <font>
      <sz val="9"/>
      <name val="細明體"/>
      <family val="3"/>
      <charset val="136"/>
    </font>
    <font>
      <sz val="12"/>
      <color theme="1"/>
      <name val="新細明體"/>
      <family val="1"/>
      <charset val="136"/>
      <scheme val="minor"/>
    </font>
    <font>
      <sz val="9"/>
      <name val="新細明體"/>
      <family val="1"/>
      <charset val="136"/>
    </font>
    <font>
      <sz val="10"/>
      <color theme="0" tint="-0.249977111117893"/>
      <name val="Times New Roman"/>
      <family val="1"/>
    </font>
    <font>
      <sz val="10"/>
      <color indexed="55"/>
      <name val="細明體"/>
      <family val="3"/>
      <charset val="136"/>
    </font>
    <font>
      <sz val="10"/>
      <color indexed="55"/>
      <name val="Times New Roman"/>
      <family val="1"/>
    </font>
    <font>
      <vertAlign val="subscript"/>
      <sz val="12"/>
      <color indexed="8"/>
      <name val="新細明體"/>
      <family val="1"/>
      <charset val="136"/>
    </font>
    <font>
      <sz val="12"/>
      <color indexed="8"/>
      <name val="Freestyle Script"/>
      <family val="4"/>
    </font>
    <font>
      <sz val="10"/>
      <name val="細明體"/>
      <family val="3"/>
      <charset val="136"/>
    </font>
    <font>
      <b/>
      <sz val="8"/>
      <color indexed="81"/>
      <name val="細明體"/>
      <family val="3"/>
      <charset val="136"/>
    </font>
    <font>
      <sz val="8"/>
      <color indexed="81"/>
      <name val="細明體"/>
      <family val="3"/>
      <charset val="136"/>
    </font>
    <font>
      <b/>
      <u/>
      <sz val="8"/>
      <color indexed="81"/>
      <name val="細明體"/>
      <family val="3"/>
      <charset val="136"/>
    </font>
    <font>
      <sz val="10"/>
      <color indexed="12"/>
      <name val="細明體"/>
      <family val="3"/>
      <charset val="136"/>
    </font>
    <font>
      <vertAlign val="subscript"/>
      <sz val="10"/>
      <name val="Arial"/>
      <family val="2"/>
    </font>
    <font>
      <vertAlign val="subscript"/>
      <sz val="10"/>
      <color indexed="12"/>
      <name val="Arial"/>
      <family val="2"/>
    </font>
    <font>
      <vertAlign val="superscript"/>
      <sz val="10"/>
      <color indexed="12"/>
      <name val="Arial"/>
      <family val="2"/>
    </font>
    <font>
      <vertAlign val="superscript"/>
      <sz val="10"/>
      <name val="Arial"/>
      <family val="2"/>
    </font>
    <font>
      <b/>
      <sz val="10"/>
      <name val="細明體"/>
      <family val="3"/>
      <charset val="136"/>
    </font>
    <font>
      <b/>
      <sz val="12"/>
      <name val="細明體"/>
      <family val="3"/>
      <charset val="136"/>
    </font>
    <font>
      <b/>
      <sz val="10"/>
      <color indexed="10"/>
      <name val="細明體"/>
      <family val="3"/>
      <charset val="136"/>
    </font>
    <font>
      <sz val="12"/>
      <name val="新細明體"/>
      <family val="1"/>
      <charset val="136"/>
    </font>
    <font>
      <sz val="12"/>
      <name val="Arial"/>
      <family val="2"/>
    </font>
    <font>
      <b/>
      <sz val="12"/>
      <name val="新細明體"/>
      <family val="1"/>
      <charset val="136"/>
    </font>
    <font>
      <sz val="12"/>
      <name val="Times New Roman"/>
      <family val="1"/>
    </font>
    <font>
      <vertAlign val="subscript"/>
      <sz val="12"/>
      <name val="Times New Roman"/>
      <family val="1"/>
    </font>
    <font>
      <b/>
      <sz val="12"/>
      <name val="Times New Roman"/>
      <family val="1"/>
    </font>
    <font>
      <sz val="12"/>
      <color theme="1"/>
      <name val="Times New Roman"/>
      <family val="1"/>
    </font>
    <font>
      <b/>
      <sz val="12"/>
      <color theme="1"/>
      <name val="新細明體"/>
      <family val="1"/>
      <charset val="136"/>
      <scheme val="minor"/>
    </font>
    <font>
      <sz val="10"/>
      <color rgb="FFFF0000"/>
      <name val="微軟正黑體"/>
      <family val="2"/>
      <charset val="136"/>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s>
  <borders count="30">
    <border>
      <left/>
      <right/>
      <top/>
      <bottom/>
      <diagonal/>
    </border>
    <border>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right/>
      <top style="thin">
        <color indexed="64"/>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diagonal/>
    </border>
    <border>
      <left style="thin">
        <color indexed="64"/>
      </left>
      <right style="thin">
        <color indexed="64"/>
      </right>
      <top style="thin">
        <color indexed="22"/>
      </top>
      <bottom style="thin">
        <color theme="0" tint="-0.24994659260841701"/>
      </bottom>
      <diagonal/>
    </border>
    <border>
      <left style="thin">
        <color indexed="64"/>
      </left>
      <right style="thin">
        <color indexed="64"/>
      </right>
      <top style="thin">
        <color theme="0" tint="-0.24994659260841701"/>
      </top>
      <bottom style="thin">
        <color indexed="22"/>
      </bottom>
      <diagonal/>
    </border>
    <border>
      <left style="dotted">
        <color indexed="64"/>
      </left>
      <right style="dotted">
        <color indexed="64"/>
      </right>
      <top style="dotted">
        <color indexed="64"/>
      </top>
      <bottom style="dotted">
        <color indexed="64"/>
      </bottom>
      <diagonal/>
    </border>
    <border>
      <left style="double">
        <color auto="1"/>
      </left>
      <right/>
      <top style="thin">
        <color indexed="64"/>
      </top>
      <bottom/>
      <diagonal/>
    </border>
  </borders>
  <cellStyleXfs count="13">
    <xf numFmtId="0" fontId="0" fillId="0" borderId="0"/>
    <xf numFmtId="3" fontId="48" fillId="0" borderId="0" applyFont="0" applyFill="0" applyBorder="0" applyAlignment="0" applyProtection="0"/>
    <xf numFmtId="179" fontId="48" fillId="0" borderId="0" applyFont="0" applyFill="0" applyBorder="0" applyAlignment="0" applyProtection="0"/>
    <xf numFmtId="0" fontId="48" fillId="0" borderId="0" applyFont="0" applyFill="0" applyBorder="0" applyAlignment="0" applyProtection="0"/>
    <xf numFmtId="2" fontId="48"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61" fillId="0" borderId="0"/>
    <xf numFmtId="0" fontId="48" fillId="0" borderId="1" applyNumberFormat="0" applyFont="0" applyFill="0" applyAlignment="0" applyProtection="0"/>
    <xf numFmtId="0" fontId="2" fillId="0" borderId="0"/>
    <xf numFmtId="0" fontId="63" fillId="0" borderId="0">
      <alignment vertical="center"/>
    </xf>
    <xf numFmtId="0" fontId="82" fillId="0" borderId="0"/>
    <xf numFmtId="0" fontId="82" fillId="0" borderId="0">
      <alignment vertical="center"/>
    </xf>
  </cellStyleXfs>
  <cellXfs count="458">
    <xf numFmtId="0" fontId="0" fillId="0" borderId="0" xfId="0"/>
    <xf numFmtId="0" fontId="0" fillId="0" borderId="0" xfId="0" applyAlignment="1">
      <alignment horizontal="right"/>
    </xf>
    <xf numFmtId="2" fontId="0" fillId="0" borderId="0" xfId="0" applyNumberFormat="1" applyAlignment="1">
      <alignment horizontal="center"/>
    </xf>
    <xf numFmtId="0" fontId="4" fillId="2" borderId="0" xfId="0" applyFont="1" applyFill="1" applyAlignment="1">
      <alignment horizontal="center"/>
    </xf>
    <xf numFmtId="2" fontId="0" fillId="0" borderId="0" xfId="0" applyNumberFormat="1" applyAlignment="1">
      <alignment horizontal="left"/>
    </xf>
    <xf numFmtId="177" fontId="0" fillId="0" borderId="0" xfId="0" applyNumberFormat="1" applyAlignment="1">
      <alignment horizontal="center"/>
    </xf>
    <xf numFmtId="2" fontId="4" fillId="2" borderId="0" xfId="0" applyNumberFormat="1" applyFont="1" applyFill="1" applyAlignment="1">
      <alignment horizontal="center"/>
    </xf>
    <xf numFmtId="0" fontId="4" fillId="0" borderId="0" xfId="0" applyFont="1"/>
    <xf numFmtId="2" fontId="4" fillId="0" borderId="0" xfId="0" applyNumberFormat="1" applyFont="1" applyAlignment="1">
      <alignment horizontal="center"/>
    </xf>
    <xf numFmtId="177"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Alignment="1">
      <alignment horizontal="left"/>
    </xf>
    <xf numFmtId="0" fontId="4" fillId="0" borderId="0" xfId="0" quotePrefix="1" applyFont="1" applyAlignment="1">
      <alignment horizontal="right"/>
    </xf>
    <xf numFmtId="2" fontId="4" fillId="0" borderId="0" xfId="0" applyNumberFormat="1" applyFont="1" applyAlignment="1">
      <alignment horizontal="left"/>
    </xf>
    <xf numFmtId="0" fontId="28" fillId="0" borderId="0" xfId="0" applyFont="1" applyAlignment="1">
      <alignment horizontal="right"/>
    </xf>
    <xf numFmtId="176" fontId="4" fillId="0" borderId="0" xfId="0" applyNumberFormat="1" applyFont="1" applyAlignment="1">
      <alignment horizontal="center"/>
    </xf>
    <xf numFmtId="0" fontId="29" fillId="0" borderId="0" xfId="0" applyFont="1"/>
    <xf numFmtId="0" fontId="29" fillId="0" borderId="0" xfId="0" applyFont="1" applyAlignment="1">
      <alignment horizontal="center"/>
    </xf>
    <xf numFmtId="0" fontId="30" fillId="0" borderId="0" xfId="0" applyFont="1"/>
    <xf numFmtId="14" fontId="29" fillId="0" borderId="0" xfId="0" applyNumberFormat="1" applyFont="1" applyAlignment="1">
      <alignment horizontal="center"/>
    </xf>
    <xf numFmtId="18" fontId="29" fillId="0" borderId="0" xfId="0" applyNumberFormat="1" applyFont="1" applyAlignment="1">
      <alignment horizontal="center"/>
    </xf>
    <xf numFmtId="0" fontId="0" fillId="0" borderId="0" xfId="0" applyAlignment="1">
      <alignment horizontal="center"/>
    </xf>
    <xf numFmtId="0" fontId="12" fillId="3" borderId="5" xfId="0" applyFont="1" applyFill="1" applyBorder="1" applyAlignment="1" applyProtection="1">
      <alignment horizontal="centerContinuous"/>
      <protection hidden="1"/>
    </xf>
    <xf numFmtId="0" fontId="0" fillId="3" borderId="6" xfId="0" applyFill="1" applyBorder="1" applyAlignment="1" applyProtection="1">
      <alignment horizontal="centerContinuous"/>
      <protection hidden="1"/>
    </xf>
    <xf numFmtId="0" fontId="7" fillId="3" borderId="7" xfId="0" applyFont="1" applyFill="1" applyBorder="1" applyAlignment="1" applyProtection="1">
      <alignment horizontal="centerContinuous"/>
      <protection hidden="1"/>
    </xf>
    <xf numFmtId="0" fontId="7" fillId="3" borderId="0" xfId="0" applyFont="1" applyFill="1" applyAlignment="1" applyProtection="1">
      <alignment horizontal="centerContinuous"/>
      <protection hidden="1"/>
    </xf>
    <xf numFmtId="0" fontId="0" fillId="3" borderId="0" xfId="0" applyFill="1" applyAlignment="1" applyProtection="1">
      <alignment horizontal="centerContinuous"/>
      <protection hidden="1"/>
    </xf>
    <xf numFmtId="0" fontId="0" fillId="3" borderId="8" xfId="0" applyFill="1" applyBorder="1" applyAlignment="1" applyProtection="1">
      <alignment horizontal="centerContinuous"/>
      <protection hidden="1"/>
    </xf>
    <xf numFmtId="0" fontId="0" fillId="3" borderId="9" xfId="0" applyFill="1" applyBorder="1" applyAlignment="1" applyProtection="1">
      <alignment horizontal="centerContinuous"/>
      <protection hidden="1"/>
    </xf>
    <xf numFmtId="0" fontId="0" fillId="2" borderId="0" xfId="0" applyFill="1" applyProtection="1">
      <protection hidden="1"/>
    </xf>
    <xf numFmtId="0" fontId="4" fillId="2" borderId="0" xfId="0" applyFont="1" applyFill="1" applyAlignment="1" applyProtection="1">
      <alignment horizontal="center"/>
      <protection hidden="1"/>
    </xf>
    <xf numFmtId="2" fontId="4" fillId="2" borderId="0" xfId="0" applyNumberFormat="1" applyFont="1" applyFill="1" applyAlignment="1" applyProtection="1">
      <alignment horizontal="center"/>
      <protection hidden="1"/>
    </xf>
    <xf numFmtId="0" fontId="0" fillId="2" borderId="0" xfId="0" applyFill="1" applyAlignment="1" applyProtection="1">
      <alignment horizontal="left"/>
      <protection hidden="1"/>
    </xf>
    <xf numFmtId="2" fontId="6" fillId="2" borderId="0" xfId="0" applyNumberFormat="1" applyFont="1" applyFill="1" applyAlignment="1" applyProtection="1">
      <alignment horizontal="left"/>
      <protection hidden="1"/>
    </xf>
    <xf numFmtId="0" fontId="0" fillId="2" borderId="8" xfId="0" applyFill="1" applyBorder="1" applyProtection="1">
      <protection hidden="1"/>
    </xf>
    <xf numFmtId="0" fontId="5" fillId="2" borderId="0" xfId="0" applyFont="1" applyFill="1" applyProtection="1">
      <protection hidden="1"/>
    </xf>
    <xf numFmtId="177" fontId="4" fillId="2" borderId="0" xfId="0" applyNumberFormat="1" applyFont="1" applyFill="1" applyAlignment="1" applyProtection="1">
      <alignment horizontal="center"/>
      <protection hidden="1"/>
    </xf>
    <xf numFmtId="0" fontId="0" fillId="2" borderId="0" xfId="0" applyFill="1" applyAlignment="1" applyProtection="1">
      <alignment horizontal="center"/>
      <protection hidden="1"/>
    </xf>
    <xf numFmtId="0" fontId="0" fillId="3" borderId="10" xfId="0" applyFill="1" applyBorder="1" applyAlignment="1" applyProtection="1">
      <alignment horizontal="centerContinuous"/>
      <protection hidden="1"/>
    </xf>
    <xf numFmtId="0" fontId="7" fillId="3" borderId="0" xfId="0" quotePrefix="1" applyFont="1" applyFill="1" applyAlignment="1" applyProtection="1">
      <alignment horizontal="centerContinuous"/>
      <protection hidden="1"/>
    </xf>
    <xf numFmtId="0" fontId="0" fillId="3" borderId="11" xfId="0" applyFill="1" applyBorder="1" applyAlignment="1" applyProtection="1">
      <alignment horizontal="centerContinuous"/>
      <protection hidden="1"/>
    </xf>
    <xf numFmtId="0" fontId="7" fillId="3" borderId="8" xfId="0" applyFont="1" applyFill="1" applyBorder="1" applyAlignment="1" applyProtection="1">
      <alignment horizontal="centerContinuous"/>
      <protection hidden="1"/>
    </xf>
    <xf numFmtId="0" fontId="0" fillId="3" borderId="12" xfId="0" applyFill="1" applyBorder="1" applyAlignment="1" applyProtection="1">
      <alignment horizontal="centerContinuous"/>
      <protection hidden="1"/>
    </xf>
    <xf numFmtId="0" fontId="0" fillId="0" borderId="7" xfId="0" applyBorder="1" applyProtection="1">
      <protection hidden="1"/>
    </xf>
    <xf numFmtId="0" fontId="0" fillId="0" borderId="0" xfId="0" applyProtection="1">
      <protection hidden="1"/>
    </xf>
    <xf numFmtId="0" fontId="3" fillId="0" borderId="7" xfId="0" applyFont="1" applyBorder="1" applyProtection="1">
      <protection hidden="1"/>
    </xf>
    <xf numFmtId="0" fontId="0" fillId="0" borderId="13" xfId="0" applyBorder="1" applyAlignment="1" applyProtection="1">
      <alignment horizontal="center"/>
      <protection hidden="1"/>
    </xf>
    <xf numFmtId="0" fontId="4" fillId="0" borderId="13" xfId="0" applyFont="1" applyBorder="1" applyAlignment="1" applyProtection="1">
      <alignment horizontal="center"/>
      <protection hidden="1"/>
    </xf>
    <xf numFmtId="0" fontId="0" fillId="0" borderId="7" xfId="0" applyBorder="1" applyAlignment="1" applyProtection="1">
      <alignment horizontal="right"/>
      <protection hidden="1"/>
    </xf>
    <xf numFmtId="0" fontId="0" fillId="0" borderId="11" xfId="0" applyBorder="1" applyProtection="1">
      <protection hidden="1"/>
    </xf>
    <xf numFmtId="0" fontId="7" fillId="0" borderId="0" xfId="0" applyFont="1" applyAlignment="1" applyProtection="1">
      <alignment horizontal="left"/>
      <protection hidden="1"/>
    </xf>
    <xf numFmtId="0" fontId="0" fillId="0" borderId="0" xfId="0" applyAlignment="1" applyProtection="1">
      <alignment horizontal="left"/>
      <protection hidden="1"/>
    </xf>
    <xf numFmtId="0" fontId="7" fillId="0" borderId="0" xfId="0" applyFont="1" applyProtection="1">
      <protection hidden="1"/>
    </xf>
    <xf numFmtId="0" fontId="0" fillId="0" borderId="9" xfId="0" applyBorder="1" applyProtection="1">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0" fillId="3" borderId="4" xfId="0" applyFill="1" applyBorder="1" applyAlignment="1" applyProtection="1">
      <alignment horizontal="centerContinuous"/>
      <protection hidden="1"/>
    </xf>
    <xf numFmtId="0" fontId="0" fillId="3" borderId="14" xfId="0" applyFill="1" applyBorder="1" applyAlignment="1" applyProtection="1">
      <alignment horizontal="center"/>
      <protection hidden="1"/>
    </xf>
    <xf numFmtId="2" fontId="4" fillId="0" borderId="13" xfId="0" applyNumberFormat="1" applyFont="1" applyBorder="1" applyAlignment="1" applyProtection="1">
      <alignment horizontal="center"/>
      <protection hidden="1"/>
    </xf>
    <xf numFmtId="0" fontId="20" fillId="3" borderId="4" xfId="0" applyFont="1" applyFill="1" applyBorder="1" applyAlignment="1" applyProtection="1">
      <alignment horizontal="centerContinuous"/>
      <protection hidden="1"/>
    </xf>
    <xf numFmtId="0" fontId="0" fillId="0" borderId="0" xfId="0" applyAlignment="1" applyProtection="1">
      <alignment horizontal="center"/>
      <protection hidden="1"/>
    </xf>
    <xf numFmtId="0" fontId="0" fillId="3" borderId="5" xfId="0" applyFill="1" applyBorder="1" applyAlignment="1" applyProtection="1">
      <alignment horizontal="center"/>
      <protection hidden="1"/>
    </xf>
    <xf numFmtId="0" fontId="0" fillId="3" borderId="8" xfId="0" applyFill="1" applyBorder="1" applyProtection="1">
      <protection hidden="1"/>
    </xf>
    <xf numFmtId="0" fontId="0" fillId="0" borderId="0" xfId="0" applyAlignment="1" applyProtection="1">
      <alignment horizontal="right"/>
      <protection hidden="1"/>
    </xf>
    <xf numFmtId="0" fontId="4" fillId="0" borderId="0" xfId="0" applyFont="1" applyProtection="1">
      <protection hidden="1"/>
    </xf>
    <xf numFmtId="0" fontId="0" fillId="0" borderId="8" xfId="0" applyBorder="1" applyProtection="1">
      <protection hidden="1"/>
    </xf>
    <xf numFmtId="0" fontId="0" fillId="0" borderId="12" xfId="0" applyBorder="1" applyProtection="1">
      <protection hidden="1"/>
    </xf>
    <xf numFmtId="2" fontId="0" fillId="2" borderId="0" xfId="0" applyNumberFormat="1" applyFill="1" applyAlignment="1" applyProtection="1">
      <alignment horizontal="center"/>
      <protection hidden="1"/>
    </xf>
    <xf numFmtId="2" fontId="0" fillId="0" borderId="0" xfId="0" applyNumberFormat="1" applyAlignment="1" applyProtection="1">
      <alignment horizontal="center"/>
      <protection hidden="1"/>
    </xf>
    <xf numFmtId="0" fontId="20" fillId="0" borderId="0" xfId="0" applyFont="1" applyProtection="1">
      <protection hidden="1"/>
    </xf>
    <xf numFmtId="0" fontId="3" fillId="0" borderId="0" xfId="0" applyFont="1" applyAlignment="1" applyProtection="1">
      <alignment horizontal="centerContinuous"/>
      <protection hidden="1"/>
    </xf>
    <xf numFmtId="0" fontId="4" fillId="0" borderId="0" xfId="0" applyFont="1" applyProtection="1">
      <protection locked="0"/>
    </xf>
    <xf numFmtId="0" fontId="4" fillId="0" borderId="4" xfId="0" applyFont="1" applyBorder="1" applyAlignment="1" applyProtection="1">
      <alignment horizontal="centerContinuous"/>
      <protection hidden="1"/>
    </xf>
    <xf numFmtId="0" fontId="0" fillId="0" borderId="3" xfId="0" applyBorder="1" applyAlignment="1" applyProtection="1">
      <alignment horizontal="centerContinuous"/>
      <protection hidden="1"/>
    </xf>
    <xf numFmtId="0" fontId="0" fillId="0" borderId="11" xfId="0" applyBorder="1" applyAlignment="1" applyProtection="1">
      <alignment horizontal="center"/>
      <protection hidden="1"/>
    </xf>
    <xf numFmtId="0" fontId="0" fillId="0" borderId="7" xfId="0" quotePrefix="1" applyBorder="1" applyAlignment="1" applyProtection="1">
      <alignment horizontal="right"/>
      <protection hidden="1"/>
    </xf>
    <xf numFmtId="0" fontId="0" fillId="0" borderId="7" xfId="0" quotePrefix="1" applyBorder="1" applyProtection="1">
      <protection hidden="1"/>
    </xf>
    <xf numFmtId="0" fontId="25" fillId="0" borderId="7" xfId="0" applyFont="1" applyBorder="1" applyAlignment="1" applyProtection="1">
      <alignment horizontal="right"/>
      <protection hidden="1"/>
    </xf>
    <xf numFmtId="2" fontId="0" fillId="0" borderId="0" xfId="0" applyNumberFormat="1" applyAlignment="1" applyProtection="1">
      <alignment horizontal="left"/>
      <protection hidden="1"/>
    </xf>
    <xf numFmtId="2" fontId="0" fillId="2" borderId="0" xfId="0" applyNumberFormat="1" applyFill="1" applyAlignment="1" applyProtection="1">
      <alignment horizontal="left"/>
      <protection hidden="1"/>
    </xf>
    <xf numFmtId="177" fontId="8" fillId="0" borderId="0" xfId="0" applyNumberFormat="1" applyFont="1" applyAlignment="1" applyProtection="1">
      <alignment horizontal="left"/>
      <protection hidden="1"/>
    </xf>
    <xf numFmtId="0" fontId="0" fillId="0" borderId="7" xfId="0" applyBorder="1" applyAlignment="1" applyProtection="1">
      <alignment horizontal="left"/>
      <protection hidden="1"/>
    </xf>
    <xf numFmtId="0" fontId="1" fillId="3" borderId="2" xfId="0" applyFont="1" applyFill="1" applyBorder="1" applyAlignment="1" applyProtection="1">
      <alignment horizontal="centerContinuous"/>
      <protection hidden="1"/>
    </xf>
    <xf numFmtId="0" fontId="1" fillId="3" borderId="3" xfId="0" applyFont="1" applyFill="1" applyBorder="1" applyAlignment="1" applyProtection="1">
      <alignment horizontal="centerContinuous"/>
      <protection hidden="1"/>
    </xf>
    <xf numFmtId="0" fontId="0" fillId="3" borderId="15" xfId="0" applyFill="1" applyBorder="1" applyAlignment="1" applyProtection="1">
      <alignment horizontal="center"/>
      <protection hidden="1"/>
    </xf>
    <xf numFmtId="2" fontId="0" fillId="3" borderId="16" xfId="0" applyNumberFormat="1" applyFill="1" applyBorder="1" applyAlignment="1" applyProtection="1">
      <alignment horizontal="centerContinuous"/>
      <protection hidden="1"/>
    </xf>
    <xf numFmtId="0" fontId="0" fillId="3" borderId="8" xfId="0" applyFill="1" applyBorder="1" applyAlignment="1" applyProtection="1">
      <alignment horizontal="center"/>
      <protection hidden="1"/>
    </xf>
    <xf numFmtId="0" fontId="0" fillId="0" borderId="5" xfId="0" applyBorder="1" applyProtection="1">
      <protection hidden="1"/>
    </xf>
    <xf numFmtId="0" fontId="0" fillId="0" borderId="6" xfId="0" applyBorder="1" applyProtection="1">
      <protection hidden="1"/>
    </xf>
    <xf numFmtId="18" fontId="0" fillId="0" borderId="11" xfId="0" applyNumberFormat="1" applyBorder="1" applyAlignment="1" applyProtection="1">
      <alignment horizontal="center"/>
      <protection hidden="1"/>
    </xf>
    <xf numFmtId="0" fontId="22" fillId="0" borderId="7" xfId="0" applyFont="1" applyBorder="1" applyProtection="1">
      <protection hidden="1"/>
    </xf>
    <xf numFmtId="0" fontId="6" fillId="0" borderId="0" xfId="0" applyFont="1" applyAlignment="1" applyProtection="1">
      <alignment horizontal="left"/>
      <protection hidden="1"/>
    </xf>
    <xf numFmtId="0" fontId="6" fillId="0" borderId="7" xfId="0" applyFont="1" applyBorder="1" applyAlignment="1" applyProtection="1">
      <alignment horizontal="right"/>
      <protection hidden="1"/>
    </xf>
    <xf numFmtId="0" fontId="6" fillId="0" borderId="0" xfId="0" applyFont="1" applyProtection="1">
      <protection hidden="1"/>
    </xf>
    <xf numFmtId="0" fontId="6" fillId="0" borderId="11" xfId="0" applyFont="1" applyBorder="1" applyProtection="1">
      <protection hidden="1"/>
    </xf>
    <xf numFmtId="2" fontId="0" fillId="3" borderId="2" xfId="0" applyNumberFormat="1" applyFill="1" applyBorder="1" applyAlignment="1" applyProtection="1">
      <alignment horizontal="centerContinuous"/>
      <protection hidden="1"/>
    </xf>
    <xf numFmtId="2" fontId="0" fillId="3" borderId="3" xfId="0" applyNumberFormat="1" applyFill="1" applyBorder="1" applyAlignment="1" applyProtection="1">
      <alignment horizontal="centerContinuous"/>
      <protection hidden="1"/>
    </xf>
    <xf numFmtId="0" fontId="0" fillId="3" borderId="7"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8" fillId="3" borderId="7" xfId="0" applyFont="1" applyFill="1" applyBorder="1" applyAlignment="1" applyProtection="1">
      <alignment horizontal="right"/>
      <protection hidden="1"/>
    </xf>
    <xf numFmtId="2" fontId="4" fillId="0" borderId="0" xfId="0" applyNumberFormat="1" applyFont="1" applyAlignment="1" applyProtection="1">
      <alignment horizontal="center"/>
      <protection hidden="1"/>
    </xf>
    <xf numFmtId="177" fontId="6" fillId="2" borderId="0" xfId="0" applyNumberFormat="1" applyFont="1" applyFill="1" applyAlignment="1" applyProtection="1">
      <alignment horizontal="center"/>
      <protection hidden="1"/>
    </xf>
    <xf numFmtId="0" fontId="1" fillId="3" borderId="4" xfId="0" applyFont="1" applyFill="1" applyBorder="1" applyAlignment="1" applyProtection="1">
      <alignment horizontal="centerContinuous"/>
      <protection hidden="1"/>
    </xf>
    <xf numFmtId="0" fontId="3" fillId="0" borderId="0" xfId="0" applyFont="1" applyProtection="1">
      <protection hidden="1"/>
    </xf>
    <xf numFmtId="0" fontId="19" fillId="0" borderId="0" xfId="0" applyFont="1" applyProtection="1">
      <protection hidden="1"/>
    </xf>
    <xf numFmtId="0" fontId="5" fillId="0" borderId="7" xfId="0" applyFont="1" applyBorder="1" applyProtection="1">
      <protection hidden="1"/>
    </xf>
    <xf numFmtId="0" fontId="4" fillId="3" borderId="5" xfId="0" applyFont="1" applyFill="1" applyBorder="1" applyAlignment="1" applyProtection="1">
      <alignment horizontal="center"/>
      <protection hidden="1"/>
    </xf>
    <xf numFmtId="0" fontId="8" fillId="3" borderId="8" xfId="0" applyFont="1" applyFill="1" applyBorder="1" applyAlignment="1" applyProtection="1">
      <alignment horizontal="right"/>
      <protection hidden="1"/>
    </xf>
    <xf numFmtId="0" fontId="5" fillId="0" borderId="14" xfId="0" applyFont="1" applyBorder="1" applyAlignment="1" applyProtection="1">
      <alignment horizontal="center"/>
      <protection hidden="1"/>
    </xf>
    <xf numFmtId="49" fontId="4" fillId="0" borderId="4" xfId="0" applyNumberFormat="1" applyFont="1" applyBorder="1" applyAlignment="1" applyProtection="1">
      <alignment horizontal="left"/>
      <protection locked="0"/>
    </xf>
    <xf numFmtId="49" fontId="4" fillId="0" borderId="2" xfId="0" applyNumberFormat="1" applyFont="1" applyBorder="1" applyProtection="1">
      <protection locked="0"/>
    </xf>
    <xf numFmtId="49" fontId="4" fillId="0" borderId="3" xfId="0" applyNumberFormat="1" applyFont="1" applyBorder="1" applyProtection="1">
      <protection locked="0"/>
    </xf>
    <xf numFmtId="49" fontId="4" fillId="2" borderId="3" xfId="0" applyNumberFormat="1" applyFont="1" applyFill="1" applyBorder="1" applyAlignment="1" applyProtection="1">
      <alignment horizontal="center"/>
      <protection locked="0"/>
    </xf>
    <xf numFmtId="49" fontId="4" fillId="0" borderId="2" xfId="0" applyNumberFormat="1" applyFont="1" applyBorder="1" applyAlignment="1" applyProtection="1">
      <alignment horizontal="left"/>
      <protection locked="0"/>
    </xf>
    <xf numFmtId="0" fontId="5" fillId="0" borderId="12" xfId="0" applyFont="1" applyBorder="1" applyAlignment="1" applyProtection="1">
      <alignment horizontal="center"/>
      <protection hidden="1"/>
    </xf>
    <xf numFmtId="0" fontId="5" fillId="0" borderId="13" xfId="0" applyFont="1" applyBorder="1" applyAlignment="1" applyProtection="1">
      <alignment horizontal="center"/>
      <protection hidden="1"/>
    </xf>
    <xf numFmtId="49" fontId="4" fillId="2" borderId="12" xfId="0" applyNumberFormat="1" applyFont="1" applyFill="1" applyBorder="1" applyAlignment="1" applyProtection="1">
      <alignment horizontal="center"/>
      <protection locked="0"/>
    </xf>
    <xf numFmtId="49" fontId="4" fillId="0" borderId="9" xfId="0" applyNumberFormat="1" applyFont="1" applyBorder="1" applyProtection="1">
      <protection locked="0"/>
    </xf>
    <xf numFmtId="49" fontId="4" fillId="0" borderId="9" xfId="0" applyNumberFormat="1" applyFont="1" applyBorder="1" applyAlignment="1" applyProtection="1">
      <alignment horizontal="left"/>
      <protection locked="0"/>
    </xf>
    <xf numFmtId="0" fontId="6" fillId="2" borderId="13" xfId="0" applyFont="1" applyFill="1" applyBorder="1" applyAlignment="1" applyProtection="1">
      <alignment horizontal="center"/>
      <protection hidden="1"/>
    </xf>
    <xf numFmtId="0" fontId="4" fillId="4" borderId="18" xfId="0" applyFont="1" applyFill="1" applyBorder="1" applyAlignment="1" applyProtection="1">
      <alignment horizontal="center"/>
      <protection locked="0"/>
    </xf>
    <xf numFmtId="0" fontId="4" fillId="4" borderId="19" xfId="0" applyFont="1" applyFill="1" applyBorder="1" applyAlignment="1" applyProtection="1">
      <alignment horizontal="center"/>
      <protection locked="0"/>
    </xf>
    <xf numFmtId="2" fontId="4" fillId="4" borderId="19" xfId="0" applyNumberFormat="1" applyFont="1" applyFill="1" applyBorder="1" applyAlignment="1" applyProtection="1">
      <alignment horizontal="center"/>
      <protection locked="0"/>
    </xf>
    <xf numFmtId="2" fontId="4" fillId="4" borderId="20" xfId="0" applyNumberFormat="1" applyFont="1" applyFill="1" applyBorder="1" applyAlignment="1" applyProtection="1">
      <alignment horizontal="center"/>
      <protection locked="0"/>
    </xf>
    <xf numFmtId="2" fontId="4" fillId="2" borderId="18" xfId="0" applyNumberFormat="1" applyFont="1" applyFill="1" applyBorder="1" applyAlignment="1" applyProtection="1">
      <alignment horizontal="center"/>
      <protection hidden="1"/>
    </xf>
    <xf numFmtId="2" fontId="4" fillId="2" borderId="20" xfId="0" applyNumberFormat="1" applyFont="1" applyFill="1" applyBorder="1" applyAlignment="1" applyProtection="1">
      <alignment horizontal="center"/>
      <protection hidden="1"/>
    </xf>
    <xf numFmtId="2" fontId="4" fillId="0" borderId="18" xfId="0" applyNumberFormat="1" applyFont="1" applyBorder="1" applyAlignment="1" applyProtection="1">
      <alignment horizontal="center"/>
      <protection hidden="1"/>
    </xf>
    <xf numFmtId="2" fontId="4" fillId="0" borderId="19" xfId="0" applyNumberFormat="1" applyFont="1" applyBorder="1" applyAlignment="1" applyProtection="1">
      <alignment horizontal="center"/>
      <protection hidden="1"/>
    </xf>
    <xf numFmtId="2" fontId="4" fillId="2" borderId="19" xfId="0" applyNumberFormat="1" applyFont="1" applyFill="1" applyBorder="1" applyAlignment="1" applyProtection="1">
      <alignment horizontal="center"/>
      <protection hidden="1"/>
    </xf>
    <xf numFmtId="2" fontId="4" fillId="0" borderId="20" xfId="0" applyNumberFormat="1" applyFont="1" applyBorder="1" applyAlignment="1" applyProtection="1">
      <alignment horizontal="center"/>
      <protection hidden="1"/>
    </xf>
    <xf numFmtId="0" fontId="4" fillId="4" borderId="20" xfId="0" applyFont="1" applyFill="1" applyBorder="1" applyAlignment="1" applyProtection="1">
      <alignment horizontal="center"/>
      <protection locked="0"/>
    </xf>
    <xf numFmtId="1" fontId="4" fillId="0" borderId="19" xfId="0" applyNumberFormat="1" applyFont="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2" fontId="4" fillId="0" borderId="21" xfId="0" applyNumberFormat="1" applyFont="1" applyBorder="1" applyAlignment="1" applyProtection="1">
      <alignment horizontal="center"/>
      <protection hidden="1"/>
    </xf>
    <xf numFmtId="2" fontId="4" fillId="0" borderId="22" xfId="0" applyNumberFormat="1" applyFont="1" applyBorder="1" applyAlignment="1" applyProtection="1">
      <alignment horizontal="center"/>
      <protection hidden="1"/>
    </xf>
    <xf numFmtId="2" fontId="4" fillId="0" borderId="23" xfId="0" applyNumberFormat="1" applyFont="1" applyBorder="1" applyAlignment="1" applyProtection="1">
      <alignment horizontal="center"/>
      <protection hidden="1"/>
    </xf>
    <xf numFmtId="177" fontId="4" fillId="4" borderId="19" xfId="0" applyNumberFormat="1" applyFont="1" applyFill="1" applyBorder="1" applyAlignment="1" applyProtection="1">
      <alignment horizontal="center"/>
      <protection locked="0"/>
    </xf>
    <xf numFmtId="177" fontId="4" fillId="0" borderId="20" xfId="0" applyNumberFormat="1" applyFont="1" applyBorder="1" applyAlignment="1" applyProtection="1">
      <alignment horizontal="center"/>
      <protection hidden="1"/>
    </xf>
    <xf numFmtId="0" fontId="4" fillId="0" borderId="18" xfId="0" applyFont="1" applyBorder="1" applyAlignment="1" applyProtection="1">
      <alignment horizontal="center"/>
      <protection hidden="1"/>
    </xf>
    <xf numFmtId="0" fontId="4" fillId="0" borderId="19" xfId="0" applyFont="1" applyBorder="1" applyAlignment="1" applyProtection="1">
      <alignment horizontal="center"/>
      <protection hidden="1"/>
    </xf>
    <xf numFmtId="177" fontId="4" fillId="2" borderId="18" xfId="0" applyNumberFormat="1" applyFont="1" applyFill="1" applyBorder="1" applyAlignment="1" applyProtection="1">
      <alignment horizontal="center"/>
      <protection hidden="1"/>
    </xf>
    <xf numFmtId="177" fontId="4" fillId="2" borderId="19" xfId="0" applyNumberFormat="1" applyFont="1" applyFill="1" applyBorder="1" applyAlignment="1" applyProtection="1">
      <alignment horizontal="center"/>
      <protection hidden="1"/>
    </xf>
    <xf numFmtId="176" fontId="4" fillId="4" borderId="19" xfId="0" applyNumberFormat="1" applyFont="1" applyFill="1" applyBorder="1" applyAlignment="1" applyProtection="1">
      <alignment horizontal="center"/>
      <protection locked="0"/>
    </xf>
    <xf numFmtId="0" fontId="35" fillId="2" borderId="0" xfId="0" applyFont="1" applyFill="1" applyAlignment="1" applyProtection="1">
      <alignment horizontal="center"/>
      <protection hidden="1"/>
    </xf>
    <xf numFmtId="14" fontId="0" fillId="2" borderId="10" xfId="0" applyNumberFormat="1" applyFill="1" applyBorder="1" applyAlignment="1" applyProtection="1">
      <alignment horizontal="center"/>
      <protection hidden="1"/>
    </xf>
    <xf numFmtId="18" fontId="0" fillId="2" borderId="11" xfId="0" applyNumberFormat="1" applyFill="1" applyBorder="1" applyAlignment="1" applyProtection="1">
      <alignment horizontal="center"/>
      <protection hidden="1"/>
    </xf>
    <xf numFmtId="0" fontId="4" fillId="2" borderId="0" xfId="0" applyFont="1" applyFill="1" applyProtection="1">
      <protection locked="0"/>
    </xf>
    <xf numFmtId="0" fontId="4" fillId="0" borderId="13" xfId="0" applyFont="1" applyBorder="1" applyAlignment="1" applyProtection="1">
      <alignment horizontal="left"/>
      <protection locked="0"/>
    </xf>
    <xf numFmtId="0" fontId="4" fillId="2" borderId="13" xfId="0" applyFont="1" applyFill="1" applyBorder="1" applyAlignment="1" applyProtection="1">
      <alignment horizontal="left"/>
      <protection locked="0"/>
    </xf>
    <xf numFmtId="0" fontId="0" fillId="2" borderId="6" xfId="0" applyFill="1" applyBorder="1" applyAlignment="1" applyProtection="1">
      <alignment horizontal="center"/>
      <protection hidden="1"/>
    </xf>
    <xf numFmtId="0" fontId="4" fillId="2" borderId="11" xfId="0" applyFont="1" applyFill="1" applyBorder="1" applyAlignment="1" applyProtection="1">
      <alignment horizontal="center"/>
      <protection hidden="1"/>
    </xf>
    <xf numFmtId="0" fontId="36" fillId="3" borderId="5" xfId="0" applyFont="1" applyFill="1" applyBorder="1" applyAlignment="1" applyProtection="1">
      <alignment horizontal="center"/>
      <protection hidden="1"/>
    </xf>
    <xf numFmtId="0" fontId="36" fillId="3" borderId="15" xfId="0" applyFont="1" applyFill="1" applyBorder="1" applyAlignment="1" applyProtection="1">
      <alignment horizontal="center"/>
      <protection hidden="1"/>
    </xf>
    <xf numFmtId="0" fontId="36" fillId="3" borderId="7" xfId="0" applyFont="1" applyFill="1" applyBorder="1" applyAlignment="1" applyProtection="1">
      <alignment horizontal="center"/>
      <protection hidden="1"/>
    </xf>
    <xf numFmtId="0" fontId="36" fillId="3" borderId="17" xfId="0" applyFont="1" applyFill="1" applyBorder="1" applyAlignment="1" applyProtection="1">
      <alignment horizontal="center"/>
      <protection hidden="1"/>
    </xf>
    <xf numFmtId="2" fontId="29" fillId="4" borderId="19" xfId="0" applyNumberFormat="1" applyFont="1" applyFill="1" applyBorder="1" applyAlignment="1" applyProtection="1">
      <alignment horizontal="center"/>
      <protection locked="0"/>
    </xf>
    <xf numFmtId="0" fontId="39" fillId="4" borderId="19" xfId="0" applyFont="1" applyFill="1" applyBorder="1" applyAlignment="1" applyProtection="1">
      <alignment horizontal="center"/>
      <protection locked="0"/>
    </xf>
    <xf numFmtId="0" fontId="42" fillId="0" borderId="11" xfId="0" applyFont="1" applyBorder="1" applyProtection="1">
      <protection hidden="1"/>
    </xf>
    <xf numFmtId="2" fontId="42" fillId="0" borderId="11" xfId="0" applyNumberFormat="1" applyFont="1" applyBorder="1" applyAlignment="1" applyProtection="1">
      <alignment horizontal="left"/>
      <protection hidden="1"/>
    </xf>
    <xf numFmtId="0" fontId="39" fillId="0" borderId="0" xfId="0" applyFont="1" applyAlignment="1">
      <alignment horizontal="center"/>
    </xf>
    <xf numFmtId="0" fontId="42" fillId="0" borderId="0" xfId="0" applyFont="1" applyProtection="1">
      <protection hidden="1"/>
    </xf>
    <xf numFmtId="0" fontId="43" fillId="4" borderId="19" xfId="0" applyFont="1" applyFill="1" applyBorder="1" applyAlignment="1" applyProtection="1">
      <alignment horizontal="center"/>
      <protection locked="0"/>
    </xf>
    <xf numFmtId="0" fontId="20" fillId="3" borderId="2" xfId="0" applyFont="1" applyFill="1" applyBorder="1" applyAlignment="1" applyProtection="1">
      <alignment horizontal="centerContinuous"/>
      <protection hidden="1"/>
    </xf>
    <xf numFmtId="0" fontId="5" fillId="3" borderId="2" xfId="0" applyFont="1" applyFill="1" applyBorder="1" applyAlignment="1" applyProtection="1">
      <alignment horizontal="centerContinuous"/>
      <protection hidden="1"/>
    </xf>
    <xf numFmtId="0" fontId="0" fillId="3" borderId="13" xfId="0" applyFill="1" applyBorder="1" applyAlignment="1" applyProtection="1">
      <alignment horizontal="center"/>
      <protection hidden="1"/>
    </xf>
    <xf numFmtId="0" fontId="6" fillId="2" borderId="0" xfId="0" applyFont="1" applyFill="1" applyProtection="1">
      <protection hidden="1"/>
    </xf>
    <xf numFmtId="0" fontId="0" fillId="2" borderId="7" xfId="0" applyFill="1" applyBorder="1" applyProtection="1">
      <protection hidden="1"/>
    </xf>
    <xf numFmtId="14" fontId="0" fillId="2" borderId="11" xfId="0" applyNumberFormat="1" applyFill="1" applyBorder="1" applyAlignment="1" applyProtection="1">
      <alignment horizontal="center"/>
      <protection hidden="1"/>
    </xf>
    <xf numFmtId="0" fontId="0" fillId="2" borderId="9" xfId="0" applyFill="1" applyBorder="1" applyAlignment="1" applyProtection="1">
      <alignment horizontal="center"/>
      <protection hidden="1"/>
    </xf>
    <xf numFmtId="18" fontId="0" fillId="2" borderId="12" xfId="0" applyNumberFormat="1" applyFill="1" applyBorder="1" applyAlignment="1" applyProtection="1">
      <alignment horizontal="center"/>
      <protection hidden="1"/>
    </xf>
    <xf numFmtId="0" fontId="2" fillId="0" borderId="6" xfId="0" applyFont="1" applyBorder="1" applyProtection="1">
      <protection hidden="1"/>
    </xf>
    <xf numFmtId="0" fontId="2" fillId="0" borderId="10" xfId="0" applyFont="1" applyBorder="1" applyProtection="1">
      <protection hidden="1"/>
    </xf>
    <xf numFmtId="0" fontId="36" fillId="0" borderId="0" xfId="0" applyFont="1" applyProtection="1">
      <protection hidden="1"/>
    </xf>
    <xf numFmtId="0" fontId="36" fillId="0" borderId="11" xfId="0" applyFont="1" applyBorder="1" applyProtection="1">
      <protection hidden="1"/>
    </xf>
    <xf numFmtId="0" fontId="29" fillId="0" borderId="11" xfId="0" applyFont="1" applyBorder="1" applyAlignment="1" applyProtection="1">
      <alignment horizontal="left"/>
      <protection hidden="1"/>
    </xf>
    <xf numFmtId="0" fontId="3" fillId="0" borderId="5" xfId="0" applyFont="1" applyBorder="1" applyAlignment="1" applyProtection="1">
      <alignment horizontal="left"/>
      <protection hidden="1"/>
    </xf>
    <xf numFmtId="0" fontId="45" fillId="0" borderId="7"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6" fillId="0" borderId="7" xfId="0" applyFont="1" applyBorder="1" applyProtection="1">
      <protection hidden="1"/>
    </xf>
    <xf numFmtId="2" fontId="29" fillId="0" borderId="20" xfId="0" applyNumberFormat="1" applyFont="1" applyBorder="1" applyAlignment="1" applyProtection="1">
      <alignment horizontal="center"/>
      <protection hidden="1"/>
    </xf>
    <xf numFmtId="0" fontId="5" fillId="0" borderId="0" xfId="0" applyFont="1" applyProtection="1">
      <protection hidden="1"/>
    </xf>
    <xf numFmtId="0" fontId="0" fillId="3" borderId="14" xfId="0" applyFill="1" applyBorder="1" applyProtection="1">
      <protection hidden="1"/>
    </xf>
    <xf numFmtId="0" fontId="0" fillId="3" borderId="9" xfId="0" applyFill="1" applyBorder="1" applyAlignment="1" applyProtection="1">
      <alignment horizontal="center"/>
      <protection hidden="1"/>
    </xf>
    <xf numFmtId="0" fontId="2" fillId="0" borderId="7" xfId="0" applyFont="1" applyBorder="1" applyProtection="1">
      <protection hidden="1"/>
    </xf>
    <xf numFmtId="0" fontId="2" fillId="0" borderId="0" xfId="0" applyFont="1" applyProtection="1">
      <protection hidden="1"/>
    </xf>
    <xf numFmtId="0" fontId="2" fillId="0" borderId="11" xfId="0" applyFont="1" applyBorder="1" applyProtection="1">
      <protection hidden="1"/>
    </xf>
    <xf numFmtId="0" fontId="2" fillId="0" borderId="0" xfId="0" applyFont="1" applyAlignment="1" applyProtection="1">
      <alignment horizontal="centerContinuous"/>
      <protection hidden="1"/>
    </xf>
    <xf numFmtId="0" fontId="2" fillId="0" borderId="11" xfId="0" applyFont="1" applyBorder="1" applyAlignment="1" applyProtection="1">
      <alignment horizontal="centerContinuous"/>
      <protection hidden="1"/>
    </xf>
    <xf numFmtId="0" fontId="2" fillId="0" borderId="7" xfId="0" applyFont="1" applyBorder="1" applyAlignment="1" applyProtection="1">
      <alignment horizontal="left"/>
      <protection hidden="1"/>
    </xf>
    <xf numFmtId="0" fontId="2" fillId="0" borderId="0" xfId="0" applyFont="1" applyAlignment="1" applyProtection="1">
      <alignment horizontal="left"/>
      <protection hidden="1"/>
    </xf>
    <xf numFmtId="0" fontId="2" fillId="0" borderId="11" xfId="0" applyFont="1" applyBorder="1" applyAlignment="1" applyProtection="1">
      <alignment horizontal="left"/>
      <protection hidden="1"/>
    </xf>
    <xf numFmtId="0" fontId="2" fillId="0" borderId="0" xfId="0" applyFont="1" applyAlignment="1" applyProtection="1">
      <alignment horizontal="center"/>
      <protection hidden="1"/>
    </xf>
    <xf numFmtId="14" fontId="2" fillId="0" borderId="11" xfId="0" applyNumberFormat="1" applyFont="1" applyBorder="1" applyAlignment="1" applyProtection="1">
      <alignment horizontal="center"/>
      <protection hidden="1"/>
    </xf>
    <xf numFmtId="18" fontId="2" fillId="0" borderId="11" xfId="0" applyNumberFormat="1" applyFont="1" applyBorder="1" applyAlignment="1" applyProtection="1">
      <alignment horizontal="center"/>
      <protection hidden="1"/>
    </xf>
    <xf numFmtId="0" fontId="2" fillId="0" borderId="8" xfId="0" applyFont="1" applyBorder="1" applyProtection="1">
      <protection hidden="1"/>
    </xf>
    <xf numFmtId="0" fontId="2" fillId="0" borderId="9" xfId="0" applyFont="1" applyBorder="1" applyProtection="1">
      <protection hidden="1"/>
    </xf>
    <xf numFmtId="0" fontId="2" fillId="0" borderId="12" xfId="0" applyFont="1" applyBorder="1" applyProtection="1">
      <protection hidden="1"/>
    </xf>
    <xf numFmtId="0" fontId="36" fillId="0" borderId="7" xfId="0" applyFont="1" applyBorder="1" applyAlignment="1" applyProtection="1">
      <alignment horizontal="right"/>
      <protection hidden="1"/>
    </xf>
    <xf numFmtId="0" fontId="0" fillId="0" borderId="14" xfId="0" applyBorder="1" applyAlignment="1" applyProtection="1">
      <alignment horizontal="center"/>
      <protection hidden="1"/>
    </xf>
    <xf numFmtId="49" fontId="4" fillId="0" borderId="8" xfId="0" applyNumberFormat="1" applyFont="1" applyBorder="1" applyAlignment="1" applyProtection="1">
      <alignment horizontal="left"/>
      <protection locked="0"/>
    </xf>
    <xf numFmtId="49" fontId="4" fillId="0" borderId="12" xfId="0" applyNumberFormat="1" applyFont="1" applyBorder="1" applyProtection="1">
      <protection locked="0"/>
    </xf>
    <xf numFmtId="0" fontId="44" fillId="0" borderId="7" xfId="0" applyFont="1" applyBorder="1" applyAlignment="1" applyProtection="1">
      <alignment horizontal="right"/>
      <protection hidden="1"/>
    </xf>
    <xf numFmtId="0" fontId="29" fillId="0" borderId="11" xfId="0" applyFont="1" applyBorder="1" applyProtection="1">
      <protection hidden="1"/>
    </xf>
    <xf numFmtId="0" fontId="4" fillId="2" borderId="0" xfId="0" applyFont="1" applyFill="1" applyProtection="1">
      <protection hidden="1"/>
    </xf>
    <xf numFmtId="0" fontId="29" fillId="0" borderId="0" xfId="0" applyFont="1" applyProtection="1">
      <protection hidden="1"/>
    </xf>
    <xf numFmtId="0" fontId="3" fillId="0" borderId="0" xfId="0" applyFont="1" applyAlignment="1" applyProtection="1">
      <alignment horizontal="left"/>
      <protection hidden="1"/>
    </xf>
    <xf numFmtId="14" fontId="4" fillId="2" borderId="10" xfId="0" applyNumberFormat="1" applyFont="1" applyFill="1" applyBorder="1" applyAlignment="1" applyProtection="1">
      <alignment horizontal="center"/>
      <protection hidden="1"/>
    </xf>
    <xf numFmtId="0" fontId="20" fillId="0" borderId="0" xfId="0" applyFont="1"/>
    <xf numFmtId="0" fontId="29" fillId="4" borderId="18" xfId="0" applyFont="1" applyFill="1" applyBorder="1" applyAlignment="1" applyProtection="1">
      <alignment horizontal="center"/>
      <protection locked="0"/>
    </xf>
    <xf numFmtId="2" fontId="29" fillId="4" borderId="20" xfId="0" applyNumberFormat="1" applyFont="1" applyFill="1" applyBorder="1" applyAlignment="1" applyProtection="1">
      <alignment horizontal="center"/>
      <protection locked="0"/>
    </xf>
    <xf numFmtId="0" fontId="0" fillId="0" borderId="0" xfId="0" applyAlignment="1">
      <alignment horizontal="left"/>
    </xf>
    <xf numFmtId="0" fontId="5" fillId="0" borderId="0" xfId="0" applyFont="1" applyAlignment="1" applyProtection="1">
      <alignment horizontal="left"/>
      <protection hidden="1"/>
    </xf>
    <xf numFmtId="0" fontId="51" fillId="0" borderId="7" xfId="0" applyFont="1" applyBorder="1" applyAlignment="1" applyProtection="1">
      <alignment horizontal="centerContinuous"/>
      <protection hidden="1"/>
    </xf>
    <xf numFmtId="0" fontId="36" fillId="0" borderId="0" xfId="0" applyFont="1" applyAlignment="1" applyProtection="1">
      <alignment horizontal="centerContinuous"/>
      <protection hidden="1"/>
    </xf>
    <xf numFmtId="0" fontId="52" fillId="0" borderId="0" xfId="0" applyFont="1" applyAlignment="1" applyProtection="1">
      <alignment horizontal="centerContinuous"/>
      <protection hidden="1"/>
    </xf>
    <xf numFmtId="0" fontId="36" fillId="0" borderId="11" xfId="0" applyFont="1" applyBorder="1" applyAlignment="1" applyProtection="1">
      <alignment horizontal="centerContinuous"/>
      <protection hidden="1"/>
    </xf>
    <xf numFmtId="0" fontId="6" fillId="2" borderId="0" xfId="0" applyFont="1" applyFill="1" applyAlignment="1" applyProtection="1">
      <alignment vertical="justify"/>
      <protection hidden="1"/>
    </xf>
    <xf numFmtId="0" fontId="0" fillId="2" borderId="14" xfId="0" applyFill="1" applyBorder="1" applyAlignment="1" applyProtection="1">
      <alignment horizontal="center"/>
      <protection hidden="1"/>
    </xf>
    <xf numFmtId="49" fontId="4" fillId="2" borderId="8" xfId="0" applyNumberFormat="1" applyFont="1" applyFill="1" applyBorder="1" applyProtection="1">
      <protection locked="0"/>
    </xf>
    <xf numFmtId="49" fontId="4" fillId="2" borderId="9" xfId="0" applyNumberFormat="1" applyFont="1" applyFill="1" applyBorder="1" applyProtection="1">
      <protection locked="0"/>
    </xf>
    <xf numFmtId="0" fontId="6" fillId="2" borderId="14" xfId="0" applyFont="1" applyFill="1" applyBorder="1" applyAlignment="1" applyProtection="1">
      <alignment horizontal="center"/>
      <protection hidden="1"/>
    </xf>
    <xf numFmtId="0" fontId="4" fillId="2" borderId="4" xfId="0" applyFont="1" applyFill="1" applyBorder="1" applyProtection="1">
      <protection locked="0"/>
    </xf>
    <xf numFmtId="0" fontId="4" fillId="2" borderId="2" xfId="0" applyFont="1" applyFill="1" applyBorder="1" applyProtection="1">
      <protection locked="0"/>
    </xf>
    <xf numFmtId="0" fontId="4" fillId="2" borderId="3" xfId="0" applyFont="1" applyFill="1" applyBorder="1" applyProtection="1">
      <protection locked="0"/>
    </xf>
    <xf numFmtId="49" fontId="4" fillId="2" borderId="2" xfId="0" applyNumberFormat="1" applyFont="1" applyFill="1" applyBorder="1" applyProtection="1">
      <protection locked="0"/>
    </xf>
    <xf numFmtId="0" fontId="6" fillId="2" borderId="3" xfId="0" applyFont="1" applyFill="1" applyBorder="1" applyAlignment="1" applyProtection="1">
      <alignment horizontal="center"/>
      <protection hidden="1"/>
    </xf>
    <xf numFmtId="0" fontId="36" fillId="2" borderId="7" xfId="0" applyFont="1" applyFill="1" applyBorder="1" applyProtection="1">
      <protection hidden="1"/>
    </xf>
    <xf numFmtId="0" fontId="19" fillId="2" borderId="0" xfId="0" applyFont="1" applyFill="1" applyProtection="1">
      <protection hidden="1"/>
    </xf>
    <xf numFmtId="177" fontId="4" fillId="2" borderId="0" xfId="0" applyNumberFormat="1" applyFont="1" applyFill="1" applyProtection="1">
      <protection hidden="1"/>
    </xf>
    <xf numFmtId="2" fontId="4" fillId="2" borderId="0" xfId="0" applyNumberFormat="1" applyFont="1" applyFill="1" applyProtection="1">
      <protection hidden="1"/>
    </xf>
    <xf numFmtId="0" fontId="0" fillId="2" borderId="0" xfId="0" applyFill="1" applyAlignment="1" applyProtection="1">
      <alignment horizontal="right"/>
      <protection hidden="1"/>
    </xf>
    <xf numFmtId="0" fontId="0" fillId="2" borderId="9" xfId="0" applyFill="1" applyBorder="1" applyProtection="1">
      <protection hidden="1"/>
    </xf>
    <xf numFmtId="0" fontId="20" fillId="3" borderId="6" xfId="0" applyFont="1" applyFill="1" applyBorder="1" applyAlignment="1" applyProtection="1">
      <alignment horizontal="centerContinuous"/>
      <protection hidden="1"/>
    </xf>
    <xf numFmtId="0" fontId="20" fillId="3" borderId="0" xfId="0" applyFont="1" applyFill="1" applyAlignment="1" applyProtection="1">
      <alignment horizontal="centerContinuous"/>
      <protection hidden="1"/>
    </xf>
    <xf numFmtId="0" fontId="20" fillId="3" borderId="9" xfId="0" applyFont="1" applyFill="1" applyBorder="1" applyAlignment="1" applyProtection="1">
      <alignment horizontal="centerContinuous"/>
      <protection hidden="1"/>
    </xf>
    <xf numFmtId="0" fontId="0" fillId="2" borderId="0" xfId="0" quotePrefix="1" applyFill="1" applyProtection="1">
      <protection hidden="1"/>
    </xf>
    <xf numFmtId="0" fontId="39" fillId="0" borderId="0" xfId="0" applyFont="1" applyAlignment="1" applyProtection="1">
      <alignment horizontal="right"/>
      <protection hidden="1"/>
    </xf>
    <xf numFmtId="2" fontId="29" fillId="2" borderId="0" xfId="0" applyNumberFormat="1" applyFont="1" applyFill="1" applyAlignment="1" applyProtection="1">
      <alignment horizontal="center"/>
      <protection hidden="1"/>
    </xf>
    <xf numFmtId="0" fontId="29" fillId="2" borderId="0" xfId="0" applyFont="1" applyFill="1" applyAlignment="1" applyProtection="1">
      <alignment horizontal="center"/>
      <protection hidden="1"/>
    </xf>
    <xf numFmtId="0" fontId="6" fillId="2" borderId="0" xfId="0" applyFont="1" applyFill="1" applyAlignment="1" applyProtection="1">
      <alignment horizontal="right"/>
      <protection hidden="1"/>
    </xf>
    <xf numFmtId="2" fontId="29" fillId="2" borderId="24" xfId="0" applyNumberFormat="1" applyFont="1" applyFill="1" applyBorder="1" applyAlignment="1" applyProtection="1">
      <alignment horizontal="center"/>
      <protection hidden="1"/>
    </xf>
    <xf numFmtId="2" fontId="29" fillId="2" borderId="19" xfId="0" applyNumberFormat="1" applyFont="1" applyFill="1" applyBorder="1" applyAlignment="1" applyProtection="1">
      <alignment horizontal="center"/>
      <protection hidden="1"/>
    </xf>
    <xf numFmtId="2" fontId="29" fillId="2" borderId="18" xfId="0" applyNumberFormat="1" applyFont="1" applyFill="1" applyBorder="1" applyAlignment="1" applyProtection="1">
      <alignment horizontal="center"/>
      <protection hidden="1"/>
    </xf>
    <xf numFmtId="0" fontId="0" fillId="2" borderId="5" xfId="0" applyFill="1" applyBorder="1" applyProtection="1">
      <protection hidden="1"/>
    </xf>
    <xf numFmtId="0" fontId="0" fillId="2" borderId="6" xfId="0" applyFill="1" applyBorder="1" applyProtection="1">
      <protection hidden="1"/>
    </xf>
    <xf numFmtId="0" fontId="3" fillId="2" borderId="7" xfId="0" applyFont="1" applyFill="1" applyBorder="1" applyProtection="1">
      <protection hidden="1"/>
    </xf>
    <xf numFmtId="0" fontId="0" fillId="2" borderId="7" xfId="0" applyFill="1" applyBorder="1" applyAlignment="1" applyProtection="1">
      <alignment horizontal="right"/>
      <protection hidden="1"/>
    </xf>
    <xf numFmtId="0" fontId="4" fillId="2" borderId="13" xfId="0" applyFont="1" applyFill="1" applyBorder="1" applyAlignment="1" applyProtection="1">
      <alignment horizontal="center"/>
      <protection hidden="1"/>
    </xf>
    <xf numFmtId="0" fontId="4" fillId="2" borderId="11" xfId="0" applyFont="1" applyFill="1" applyBorder="1" applyAlignment="1" applyProtection="1">
      <alignment horizontal="left"/>
      <protection hidden="1"/>
    </xf>
    <xf numFmtId="0" fontId="0" fillId="2" borderId="11" xfId="0" applyFill="1" applyBorder="1" applyProtection="1">
      <protection hidden="1"/>
    </xf>
    <xf numFmtId="177" fontId="20" fillId="2" borderId="7" xfId="0" applyNumberFormat="1" applyFont="1" applyFill="1" applyBorder="1" applyAlignment="1" applyProtection="1">
      <alignment horizontal="left"/>
      <protection hidden="1"/>
    </xf>
    <xf numFmtId="2" fontId="4" fillId="2" borderId="13" xfId="0" applyNumberFormat="1" applyFont="1" applyFill="1" applyBorder="1" applyAlignment="1" applyProtection="1">
      <alignment horizontal="center"/>
      <protection hidden="1"/>
    </xf>
    <xf numFmtId="2" fontId="25" fillId="2" borderId="7" xfId="0" applyNumberFormat="1" applyFont="1" applyFill="1" applyBorder="1" applyAlignment="1" applyProtection="1">
      <alignment horizontal="right"/>
      <protection hidden="1"/>
    </xf>
    <xf numFmtId="0" fontId="38" fillId="2" borderId="0" xfId="0" applyFont="1" applyFill="1" applyProtection="1">
      <protection hidden="1"/>
    </xf>
    <xf numFmtId="2" fontId="9" fillId="2" borderId="0" xfId="0" applyNumberFormat="1" applyFont="1" applyFill="1" applyAlignment="1" applyProtection="1">
      <alignment horizontal="right"/>
      <protection hidden="1"/>
    </xf>
    <xf numFmtId="177" fontId="0" fillId="2" borderId="0" xfId="0" applyNumberFormat="1" applyFill="1" applyAlignment="1" applyProtection="1">
      <alignment horizontal="center"/>
      <protection hidden="1"/>
    </xf>
    <xf numFmtId="2" fontId="0" fillId="2" borderId="7" xfId="0" applyNumberFormat="1" applyFill="1" applyBorder="1" applyAlignment="1" applyProtection="1">
      <alignment horizontal="right"/>
      <protection hidden="1"/>
    </xf>
    <xf numFmtId="2" fontId="0" fillId="2" borderId="0" xfId="0" applyNumberFormat="1" applyFill="1" applyAlignment="1" applyProtection="1">
      <alignment horizontal="right"/>
      <protection hidden="1"/>
    </xf>
    <xf numFmtId="0" fontId="10" fillId="2" borderId="7" xfId="0" applyFont="1" applyFill="1" applyBorder="1" applyAlignment="1" applyProtection="1">
      <alignment horizontal="right"/>
      <protection hidden="1"/>
    </xf>
    <xf numFmtId="1" fontId="4" fillId="2" borderId="19" xfId="0" applyNumberFormat="1" applyFont="1" applyFill="1" applyBorder="1" applyAlignment="1" applyProtection="1">
      <alignment horizontal="center"/>
      <protection hidden="1"/>
    </xf>
    <xf numFmtId="0" fontId="25" fillId="2" borderId="7" xfId="0" applyFont="1" applyFill="1" applyBorder="1" applyAlignment="1" applyProtection="1">
      <alignment horizontal="right"/>
      <protection hidden="1"/>
    </xf>
    <xf numFmtId="1" fontId="4" fillId="2" borderId="20" xfId="0" applyNumberFormat="1" applyFont="1" applyFill="1" applyBorder="1" applyAlignment="1" applyProtection="1">
      <alignment horizontal="center"/>
      <protection hidden="1"/>
    </xf>
    <xf numFmtId="0" fontId="10" fillId="2" borderId="0" xfId="0" applyFont="1" applyFill="1" applyAlignment="1" applyProtection="1">
      <alignment horizontal="right"/>
      <protection hidden="1"/>
    </xf>
    <xf numFmtId="1" fontId="0" fillId="2" borderId="0" xfId="0" applyNumberFormat="1" applyFill="1" applyAlignment="1" applyProtection="1">
      <alignment horizontal="center"/>
      <protection hidden="1"/>
    </xf>
    <xf numFmtId="0" fontId="0" fillId="2" borderId="0" xfId="0" quotePrefix="1" applyFill="1" applyAlignment="1" applyProtection="1">
      <alignment horizontal="left"/>
      <protection hidden="1"/>
    </xf>
    <xf numFmtId="0" fontId="9" fillId="2" borderId="0" xfId="0" applyFont="1" applyFill="1" applyAlignment="1" applyProtection="1">
      <alignment horizontal="right"/>
      <protection hidden="1"/>
    </xf>
    <xf numFmtId="0" fontId="36" fillId="2" borderId="0" xfId="0" quotePrefix="1" applyFont="1" applyFill="1" applyAlignment="1" applyProtection="1">
      <alignment horizontal="left"/>
      <protection hidden="1"/>
    </xf>
    <xf numFmtId="176" fontId="0" fillId="2" borderId="0" xfId="0" applyNumberFormat="1" applyFill="1" applyAlignment="1" applyProtection="1">
      <alignment horizontal="center"/>
      <protection hidden="1"/>
    </xf>
    <xf numFmtId="0" fontId="4" fillId="2" borderId="19" xfId="0" applyFont="1" applyFill="1" applyBorder="1" applyAlignment="1" applyProtection="1">
      <alignment horizontal="center"/>
      <protection hidden="1"/>
    </xf>
    <xf numFmtId="177" fontId="4" fillId="2" borderId="19" xfId="0" quotePrefix="1" applyNumberFormat="1" applyFont="1" applyFill="1" applyBorder="1" applyAlignment="1" applyProtection="1">
      <alignment horizontal="center"/>
      <protection hidden="1"/>
    </xf>
    <xf numFmtId="177" fontId="4" fillId="2" borderId="20" xfId="0" applyNumberFormat="1" applyFont="1" applyFill="1" applyBorder="1" applyAlignment="1" applyProtection="1">
      <alignment horizontal="center"/>
      <protection hidden="1"/>
    </xf>
    <xf numFmtId="0" fontId="20" fillId="2" borderId="7" xfId="0" applyFont="1" applyFill="1" applyBorder="1" applyProtection="1">
      <protection hidden="1"/>
    </xf>
    <xf numFmtId="177" fontId="4" fillId="2" borderId="13" xfId="0" applyNumberFormat="1" applyFont="1" applyFill="1" applyBorder="1" applyAlignment="1" applyProtection="1">
      <alignment horizontal="center"/>
      <protection hidden="1"/>
    </xf>
    <xf numFmtId="2" fontId="26" fillId="2" borderId="7" xfId="0" applyNumberFormat="1" applyFont="1" applyFill="1" applyBorder="1" applyAlignment="1" applyProtection="1">
      <alignment horizontal="right"/>
      <protection hidden="1"/>
    </xf>
    <xf numFmtId="0" fontId="6" fillId="2" borderId="0" xfId="0" applyFont="1" applyFill="1" applyAlignment="1" applyProtection="1">
      <alignment horizontal="left"/>
      <protection hidden="1"/>
    </xf>
    <xf numFmtId="0" fontId="6" fillId="2" borderId="7" xfId="0" applyFont="1" applyFill="1" applyBorder="1" applyAlignment="1" applyProtection="1">
      <alignment horizontal="right"/>
      <protection hidden="1"/>
    </xf>
    <xf numFmtId="0" fontId="11" fillId="2" borderId="0" xfId="0" applyFont="1" applyFill="1" applyAlignment="1" applyProtection="1">
      <alignment horizontal="right"/>
      <protection hidden="1"/>
    </xf>
    <xf numFmtId="0" fontId="0" fillId="2" borderId="11" xfId="0" applyFill="1" applyBorder="1" applyAlignment="1" applyProtection="1">
      <alignment horizontal="left"/>
      <protection hidden="1"/>
    </xf>
    <xf numFmtId="177" fontId="6" fillId="2" borderId="0" xfId="0" quotePrefix="1" applyNumberFormat="1" applyFont="1" applyFill="1" applyAlignment="1" applyProtection="1">
      <alignment horizontal="left"/>
      <protection hidden="1"/>
    </xf>
    <xf numFmtId="0" fontId="38" fillId="2" borderId="0" xfId="0" applyFont="1" applyFill="1" applyAlignment="1" applyProtection="1">
      <alignment horizontal="left"/>
      <protection hidden="1"/>
    </xf>
    <xf numFmtId="177" fontId="6" fillId="2" borderId="0" xfId="0" applyNumberFormat="1" applyFont="1" applyFill="1" applyAlignment="1" applyProtection="1">
      <alignment horizontal="left"/>
      <protection hidden="1"/>
    </xf>
    <xf numFmtId="0" fontId="0" fillId="3" borderId="5" xfId="0" applyFill="1" applyBorder="1" applyProtection="1">
      <protection hidden="1"/>
    </xf>
    <xf numFmtId="0" fontId="0" fillId="3" borderId="6" xfId="0" applyFill="1" applyBorder="1" applyProtection="1">
      <protection hidden="1"/>
    </xf>
    <xf numFmtId="0" fontId="2" fillId="3" borderId="10" xfId="0" applyFont="1" applyFill="1" applyBorder="1" applyAlignment="1" applyProtection="1">
      <alignment horizontal="centerContinuous"/>
      <protection hidden="1"/>
    </xf>
    <xf numFmtId="0" fontId="2" fillId="2" borderId="0" xfId="0" applyFont="1" applyFill="1" applyProtection="1">
      <protection hidden="1"/>
    </xf>
    <xf numFmtId="0" fontId="30" fillId="0" borderId="0" xfId="0" applyFont="1" applyProtection="1">
      <protection hidden="1"/>
    </xf>
    <xf numFmtId="0" fontId="2" fillId="3" borderId="12" xfId="0" applyFont="1" applyFill="1" applyBorder="1" applyAlignment="1" applyProtection="1">
      <alignment horizontal="centerContinuous"/>
      <protection hidden="1"/>
    </xf>
    <xf numFmtId="0" fontId="39" fillId="2" borderId="0" xfId="0" applyFont="1" applyFill="1" applyAlignment="1" applyProtection="1">
      <alignment horizontal="center"/>
      <protection hidden="1"/>
    </xf>
    <xf numFmtId="0" fontId="4" fillId="2" borderId="0" xfId="0" applyFont="1" applyFill="1" applyAlignment="1" applyProtection="1">
      <alignment horizontal="centerContinuous"/>
      <protection hidden="1"/>
    </xf>
    <xf numFmtId="0" fontId="2" fillId="2" borderId="0" xfId="0" applyFont="1" applyFill="1" applyAlignment="1" applyProtection="1">
      <alignment horizontal="centerContinuous"/>
      <protection hidden="1"/>
    </xf>
    <xf numFmtId="177" fontId="29" fillId="2" borderId="0" xfId="0" applyNumberFormat="1" applyFont="1" applyFill="1" applyAlignment="1" applyProtection="1">
      <alignment horizontal="center"/>
      <protection hidden="1"/>
    </xf>
    <xf numFmtId="0" fontId="53" fillId="2" borderId="0" xfId="0" applyFont="1" applyFill="1" applyProtection="1">
      <protection hidden="1"/>
    </xf>
    <xf numFmtId="0" fontId="54" fillId="2" borderId="0" xfId="0" applyFont="1" applyFill="1" applyProtection="1">
      <protection hidden="1"/>
    </xf>
    <xf numFmtId="0" fontId="55" fillId="2" borderId="0" xfId="0" applyFont="1" applyFill="1" applyProtection="1">
      <protection hidden="1"/>
    </xf>
    <xf numFmtId="0" fontId="2" fillId="2" borderId="11" xfId="0" applyFont="1" applyFill="1" applyBorder="1" applyProtection="1">
      <protection hidden="1"/>
    </xf>
    <xf numFmtId="0" fontId="28" fillId="2" borderId="0" xfId="0" applyFont="1" applyFill="1" applyAlignment="1" applyProtection="1">
      <alignment horizontal="right"/>
      <protection hidden="1"/>
    </xf>
    <xf numFmtId="0" fontId="4" fillId="2" borderId="0" xfId="0" applyFont="1" applyFill="1" applyAlignment="1" applyProtection="1">
      <alignment horizontal="right"/>
      <protection hidden="1"/>
    </xf>
    <xf numFmtId="0" fontId="29" fillId="2" borderId="0" xfId="0" applyFont="1" applyFill="1" applyProtection="1">
      <protection hidden="1"/>
    </xf>
    <xf numFmtId="0" fontId="26" fillId="2" borderId="0" xfId="0" applyFont="1" applyFill="1" applyAlignment="1" applyProtection="1">
      <alignment horizontal="right"/>
      <protection hidden="1"/>
    </xf>
    <xf numFmtId="2" fontId="0" fillId="2" borderId="7" xfId="0" applyNumberFormat="1" applyFill="1" applyBorder="1" applyAlignment="1" applyProtection="1">
      <alignment horizontal="center"/>
      <protection hidden="1"/>
    </xf>
    <xf numFmtId="0" fontId="4" fillId="2" borderId="0" xfId="0" applyFont="1" applyFill="1" applyAlignment="1" applyProtection="1">
      <alignment horizontal="left"/>
      <protection hidden="1"/>
    </xf>
    <xf numFmtId="0" fontId="28" fillId="2" borderId="0" xfId="0" applyFont="1" applyFill="1" applyAlignment="1" applyProtection="1">
      <alignment horizontal="left"/>
      <protection hidden="1"/>
    </xf>
    <xf numFmtId="2" fontId="29" fillId="2" borderId="20" xfId="0" applyNumberFormat="1" applyFont="1" applyFill="1" applyBorder="1" applyAlignment="1" applyProtection="1">
      <alignment horizontal="center"/>
      <protection hidden="1"/>
    </xf>
    <xf numFmtId="0" fontId="2" fillId="2" borderId="12" xfId="0" applyFont="1" applyFill="1" applyBorder="1" applyProtection="1">
      <protection hidden="1"/>
    </xf>
    <xf numFmtId="2" fontId="4" fillId="4" borderId="13" xfId="0" applyNumberFormat="1" applyFont="1" applyFill="1" applyBorder="1" applyAlignment="1" applyProtection="1">
      <alignment horizontal="center"/>
      <protection locked="0"/>
    </xf>
    <xf numFmtId="0" fontId="36" fillId="2" borderId="7" xfId="0" applyFont="1" applyFill="1" applyBorder="1" applyAlignment="1" applyProtection="1">
      <alignment horizontal="right"/>
      <protection hidden="1"/>
    </xf>
    <xf numFmtId="2" fontId="45" fillId="2" borderId="7" xfId="0" applyNumberFormat="1" applyFont="1" applyFill="1" applyBorder="1" applyAlignment="1" applyProtection="1">
      <alignment horizontal="right"/>
      <protection hidden="1"/>
    </xf>
    <xf numFmtId="0" fontId="5" fillId="2" borderId="7" xfId="0" applyFont="1" applyFill="1" applyBorder="1" applyAlignment="1" applyProtection="1">
      <alignment horizontal="right"/>
      <protection hidden="1"/>
    </xf>
    <xf numFmtId="0" fontId="0" fillId="3" borderId="10" xfId="0" applyFill="1" applyBorder="1" applyAlignment="1" applyProtection="1">
      <alignment horizontal="center"/>
      <protection hidden="1"/>
    </xf>
    <xf numFmtId="0" fontId="20" fillId="3" borderId="5" xfId="0" applyFont="1" applyFill="1" applyBorder="1" applyAlignment="1" applyProtection="1">
      <alignment horizontal="centerContinuous"/>
      <protection hidden="1"/>
    </xf>
    <xf numFmtId="0" fontId="0" fillId="3" borderId="24" xfId="0" applyFill="1" applyBorder="1" applyAlignment="1" applyProtection="1">
      <alignment horizontal="center"/>
      <protection hidden="1"/>
    </xf>
    <xf numFmtId="2" fontId="4" fillId="0" borderId="24" xfId="0" applyNumberFormat="1" applyFont="1" applyBorder="1" applyAlignment="1" applyProtection="1">
      <alignment horizontal="center"/>
      <protection hidden="1"/>
    </xf>
    <xf numFmtId="0" fontId="0" fillId="3" borderId="0" xfId="0" applyFill="1" applyAlignment="1" applyProtection="1">
      <alignment horizontal="center"/>
      <protection hidden="1"/>
    </xf>
    <xf numFmtId="0" fontId="0" fillId="3" borderId="15" xfId="0" applyFill="1" applyBorder="1" applyProtection="1">
      <protection hidden="1"/>
    </xf>
    <xf numFmtId="0" fontId="38" fillId="3" borderId="14" xfId="0" applyFont="1" applyFill="1" applyBorder="1" applyAlignment="1" applyProtection="1">
      <alignment horizontal="center"/>
      <protection hidden="1"/>
    </xf>
    <xf numFmtId="0" fontId="38" fillId="3" borderId="12" xfId="0" applyFont="1" applyFill="1" applyBorder="1" applyAlignment="1" applyProtection="1">
      <alignment horizontal="center"/>
      <protection hidden="1"/>
    </xf>
    <xf numFmtId="2" fontId="4" fillId="4" borderId="3" xfId="0" applyNumberFormat="1" applyFont="1" applyFill="1" applyBorder="1" applyAlignment="1" applyProtection="1">
      <alignment horizontal="center"/>
      <protection locked="0"/>
    </xf>
    <xf numFmtId="0" fontId="38" fillId="3" borderId="9" xfId="0" applyFont="1" applyFill="1" applyBorder="1" applyAlignment="1" applyProtection="1">
      <alignment horizontal="center"/>
      <protection hidden="1"/>
    </xf>
    <xf numFmtId="0" fontId="38" fillId="3" borderId="17" xfId="0" applyFont="1" applyFill="1" applyBorder="1" applyAlignment="1" applyProtection="1">
      <alignment horizontal="center"/>
      <protection hidden="1"/>
    </xf>
    <xf numFmtId="0" fontId="38" fillId="3" borderId="7" xfId="0" applyFont="1" applyFill="1" applyBorder="1" applyAlignment="1" applyProtection="1">
      <alignment horizontal="center"/>
      <protection hidden="1"/>
    </xf>
    <xf numFmtId="2" fontId="6" fillId="2" borderId="0" xfId="0" applyNumberFormat="1" applyFont="1" applyFill="1" applyAlignment="1" applyProtection="1">
      <alignment horizontal="right"/>
      <protection hidden="1"/>
    </xf>
    <xf numFmtId="0" fontId="46" fillId="2" borderId="0" xfId="0" applyFont="1" applyFill="1" applyAlignment="1" applyProtection="1">
      <alignment horizontal="left"/>
      <protection hidden="1"/>
    </xf>
    <xf numFmtId="0" fontId="40" fillId="2" borderId="0" xfId="0" applyFont="1" applyFill="1" applyAlignment="1" applyProtection="1">
      <alignment horizontal="left"/>
      <protection hidden="1"/>
    </xf>
    <xf numFmtId="0" fontId="41" fillId="2" borderId="7" xfId="0" applyFont="1" applyFill="1" applyBorder="1" applyProtection="1">
      <protection hidden="1"/>
    </xf>
    <xf numFmtId="0" fontId="56" fillId="2" borderId="5" xfId="0" applyFont="1" applyFill="1" applyBorder="1" applyProtection="1">
      <protection hidden="1"/>
    </xf>
    <xf numFmtId="0" fontId="4" fillId="2" borderId="6" xfId="0" applyFont="1" applyFill="1" applyBorder="1" applyProtection="1">
      <protection hidden="1"/>
    </xf>
    <xf numFmtId="0" fontId="5" fillId="2" borderId="6" xfId="0" applyFont="1" applyFill="1" applyBorder="1" applyProtection="1">
      <protection hidden="1"/>
    </xf>
    <xf numFmtId="0" fontId="5" fillId="2" borderId="10" xfId="0" applyFont="1" applyFill="1" applyBorder="1" applyProtection="1">
      <protection hidden="1"/>
    </xf>
    <xf numFmtId="0" fontId="7" fillId="2" borderId="7" xfId="0" applyFont="1" applyFill="1" applyBorder="1" applyProtection="1">
      <protection hidden="1"/>
    </xf>
    <xf numFmtId="0" fontId="5" fillId="2" borderId="11" xfId="0" applyFont="1" applyFill="1" applyBorder="1" applyProtection="1">
      <protection hidden="1"/>
    </xf>
    <xf numFmtId="177" fontId="4" fillId="2" borderId="11" xfId="0" applyNumberFormat="1" applyFont="1" applyFill="1" applyBorder="1" applyProtection="1">
      <protection hidden="1"/>
    </xf>
    <xf numFmtId="0" fontId="7" fillId="2" borderId="8" xfId="0" applyFont="1" applyFill="1" applyBorder="1" applyProtection="1">
      <protection hidden="1"/>
    </xf>
    <xf numFmtId="0" fontId="5" fillId="2" borderId="9" xfId="0" applyFont="1" applyFill="1" applyBorder="1" applyProtection="1">
      <protection hidden="1"/>
    </xf>
    <xf numFmtId="177" fontId="4" fillId="2" borderId="12" xfId="0" applyNumberFormat="1" applyFont="1" applyFill="1" applyBorder="1" applyProtection="1">
      <protection hidden="1"/>
    </xf>
    <xf numFmtId="0" fontId="2" fillId="2" borderId="10" xfId="0" applyFont="1" applyFill="1" applyBorder="1" applyProtection="1">
      <protection hidden="1"/>
    </xf>
    <xf numFmtId="0" fontId="20" fillId="3" borderId="10" xfId="0" applyFont="1" applyFill="1" applyBorder="1" applyAlignment="1" applyProtection="1">
      <alignment horizontal="centerContinuous"/>
      <protection hidden="1"/>
    </xf>
    <xf numFmtId="0" fontId="20" fillId="3" borderId="3" xfId="0" applyFont="1" applyFill="1" applyBorder="1" applyAlignment="1" applyProtection="1">
      <alignment horizontal="centerContinuous"/>
      <protection hidden="1"/>
    </xf>
    <xf numFmtId="0" fontId="20" fillId="3" borderId="8" xfId="0" applyFont="1" applyFill="1" applyBorder="1" applyAlignment="1" applyProtection="1">
      <alignment horizontal="centerContinuous"/>
      <protection hidden="1"/>
    </xf>
    <xf numFmtId="0" fontId="29" fillId="2" borderId="5" xfId="0" applyFont="1" applyFill="1" applyBorder="1" applyAlignment="1" applyProtection="1">
      <alignment horizontal="centerContinuous"/>
      <protection hidden="1"/>
    </xf>
    <xf numFmtId="0" fontId="29" fillId="2" borderId="10" xfId="0" applyFont="1" applyFill="1" applyBorder="1" applyAlignment="1" applyProtection="1">
      <alignment horizontal="centerContinuous"/>
      <protection hidden="1"/>
    </xf>
    <xf numFmtId="178" fontId="29" fillId="2" borderId="7" xfId="0" applyNumberFormat="1" applyFont="1" applyFill="1" applyBorder="1" applyAlignment="1" applyProtection="1">
      <alignment horizontal="centerContinuous"/>
      <protection hidden="1"/>
    </xf>
    <xf numFmtId="0" fontId="29" fillId="2" borderId="11" xfId="0" applyFont="1" applyFill="1" applyBorder="1" applyAlignment="1" applyProtection="1">
      <alignment horizontal="centerContinuous"/>
      <protection hidden="1"/>
    </xf>
    <xf numFmtId="0" fontId="29" fillId="2" borderId="8" xfId="0" applyFont="1" applyFill="1" applyBorder="1" applyAlignment="1" applyProtection="1">
      <alignment horizontal="centerContinuous"/>
      <protection hidden="1"/>
    </xf>
    <xf numFmtId="0" fontId="29" fillId="2" borderId="12" xfId="0" applyFont="1" applyFill="1" applyBorder="1" applyAlignment="1" applyProtection="1">
      <alignment horizontal="centerContinuous"/>
      <protection hidden="1"/>
    </xf>
    <xf numFmtId="0" fontId="29" fillId="2" borderId="7" xfId="0" applyFont="1" applyFill="1" applyBorder="1" applyAlignment="1" applyProtection="1">
      <alignment horizontal="centerContinuous"/>
      <protection hidden="1"/>
    </xf>
    <xf numFmtId="0" fontId="20" fillId="3" borderId="8" xfId="0" applyFont="1" applyFill="1" applyBorder="1" applyProtection="1">
      <protection hidden="1"/>
    </xf>
    <xf numFmtId="0" fontId="20" fillId="3" borderId="12" xfId="0" applyFont="1" applyFill="1" applyBorder="1" applyProtection="1">
      <protection hidden="1"/>
    </xf>
    <xf numFmtId="0" fontId="20" fillId="3" borderId="12" xfId="0" applyFont="1" applyFill="1" applyBorder="1" applyAlignment="1" applyProtection="1">
      <alignment horizontal="centerContinuous"/>
      <protection hidden="1"/>
    </xf>
    <xf numFmtId="0" fontId="20" fillId="3" borderId="7" xfId="0" applyFont="1" applyFill="1" applyBorder="1" applyAlignment="1" applyProtection="1">
      <alignment horizontal="centerContinuous"/>
      <protection hidden="1"/>
    </xf>
    <xf numFmtId="0" fontId="20" fillId="3" borderId="11" xfId="0" applyFont="1" applyFill="1" applyBorder="1" applyAlignment="1" applyProtection="1">
      <alignment horizontal="centerContinuous"/>
      <protection hidden="1"/>
    </xf>
    <xf numFmtId="0" fontId="5" fillId="3" borderId="5" xfId="0" applyFont="1" applyFill="1" applyBorder="1" applyAlignment="1" applyProtection="1">
      <alignment horizontal="centerContinuous"/>
      <protection hidden="1"/>
    </xf>
    <xf numFmtId="0" fontId="5" fillId="3" borderId="10" xfId="0" applyFont="1"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5" fillId="3" borderId="11"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5" fillId="3" borderId="12" xfId="0" applyFont="1" applyFill="1" applyBorder="1" applyAlignment="1" applyProtection="1">
      <alignment horizontal="centerContinuous"/>
      <protection hidden="1"/>
    </xf>
    <xf numFmtId="0" fontId="29" fillId="2" borderId="6" xfId="0" applyFont="1" applyFill="1" applyBorder="1" applyAlignment="1" applyProtection="1">
      <alignment horizontal="centerContinuous"/>
      <protection hidden="1"/>
    </xf>
    <xf numFmtId="0" fontId="29" fillId="2" borderId="0" xfId="0" applyFont="1" applyFill="1" applyAlignment="1" applyProtection="1">
      <alignment horizontal="centerContinuous"/>
      <protection hidden="1"/>
    </xf>
    <xf numFmtId="0" fontId="29" fillId="2" borderId="9" xfId="0" applyFont="1" applyFill="1" applyBorder="1" applyAlignment="1" applyProtection="1">
      <alignment horizontal="centerContinuous"/>
      <protection hidden="1"/>
    </xf>
    <xf numFmtId="0" fontId="19" fillId="2" borderId="7" xfId="0" applyFont="1" applyFill="1" applyBorder="1" applyAlignment="1" applyProtection="1">
      <alignment horizontal="right"/>
      <protection hidden="1"/>
    </xf>
    <xf numFmtId="0" fontId="57" fillId="2" borderId="7" xfId="0" applyFont="1" applyFill="1" applyBorder="1" applyProtection="1">
      <protection hidden="1"/>
    </xf>
    <xf numFmtId="0" fontId="0" fillId="3" borderId="0" xfId="0" applyFill="1" applyProtection="1">
      <protection hidden="1"/>
    </xf>
    <xf numFmtId="0" fontId="58" fillId="3" borderId="5" xfId="0" applyFont="1" applyFill="1" applyBorder="1" applyAlignment="1" applyProtection="1">
      <alignment horizontal="centerContinuous"/>
      <protection hidden="1"/>
    </xf>
    <xf numFmtId="0" fontId="4" fillId="2" borderId="20" xfId="0" applyFont="1" applyFill="1" applyBorder="1" applyAlignment="1" applyProtection="1">
      <alignment horizontal="center"/>
      <protection hidden="1"/>
    </xf>
    <xf numFmtId="0" fontId="13" fillId="2" borderId="0" xfId="0" applyFont="1" applyFill="1" applyProtection="1">
      <protection hidden="1"/>
    </xf>
    <xf numFmtId="178" fontId="4" fillId="2" borderId="20" xfId="0" applyNumberFormat="1" applyFont="1" applyFill="1" applyBorder="1" applyAlignment="1" applyProtection="1">
      <alignment horizontal="center"/>
      <protection hidden="1"/>
    </xf>
    <xf numFmtId="2" fontId="4" fillId="4" borderId="18" xfId="0" applyNumberFormat="1" applyFont="1" applyFill="1" applyBorder="1" applyAlignment="1" applyProtection="1">
      <alignment horizontal="center"/>
      <protection locked="0"/>
    </xf>
    <xf numFmtId="177" fontId="4" fillId="2" borderId="24" xfId="0" applyNumberFormat="1" applyFont="1" applyFill="1" applyBorder="1" applyAlignment="1" applyProtection="1">
      <alignment horizontal="center"/>
      <protection hidden="1"/>
    </xf>
    <xf numFmtId="177" fontId="4" fillId="4" borderId="18" xfId="0" applyNumberFormat="1" applyFont="1" applyFill="1" applyBorder="1" applyAlignment="1" applyProtection="1">
      <alignment horizontal="center"/>
      <protection locked="0"/>
    </xf>
    <xf numFmtId="2" fontId="36" fillId="2" borderId="0" xfId="0" applyNumberFormat="1" applyFont="1" applyFill="1" applyAlignment="1" applyProtection="1">
      <alignment horizontal="center"/>
      <protection hidden="1"/>
    </xf>
    <xf numFmtId="2" fontId="26" fillId="2" borderId="0" xfId="0" applyNumberFormat="1" applyFont="1" applyFill="1" applyProtection="1">
      <protection hidden="1"/>
    </xf>
    <xf numFmtId="2" fontId="36" fillId="2" borderId="0" xfId="0" applyNumberFormat="1" applyFont="1" applyFill="1" applyAlignment="1" applyProtection="1">
      <alignment horizontal="left"/>
      <protection hidden="1"/>
    </xf>
    <xf numFmtId="0" fontId="36" fillId="2" borderId="0" xfId="0" applyFont="1" applyFill="1" applyAlignment="1" applyProtection="1">
      <alignment horizontal="left"/>
      <protection hidden="1"/>
    </xf>
    <xf numFmtId="0" fontId="46" fillId="2" borderId="0" xfId="0" applyFont="1" applyFill="1" applyProtection="1">
      <protection hidden="1"/>
    </xf>
    <xf numFmtId="0" fontId="5" fillId="3" borderId="3" xfId="0" applyFont="1" applyFill="1" applyBorder="1" applyAlignment="1" applyProtection="1">
      <alignment horizontal="centerContinuous"/>
      <protection hidden="1"/>
    </xf>
    <xf numFmtId="0" fontId="7" fillId="2" borderId="0" xfId="0" applyFont="1" applyFill="1" applyProtection="1">
      <protection hidden="1"/>
    </xf>
    <xf numFmtId="0" fontId="59" fillId="2" borderId="0" xfId="0" applyFont="1" applyFill="1" applyProtection="1">
      <protection hidden="1"/>
    </xf>
    <xf numFmtId="0" fontId="56" fillId="2" borderId="0" xfId="0" applyFont="1" applyFill="1" applyProtection="1">
      <protection hidden="1"/>
    </xf>
    <xf numFmtId="14" fontId="4" fillId="2" borderId="6" xfId="0" applyNumberFormat="1" applyFont="1" applyFill="1" applyBorder="1" applyProtection="1">
      <protection locked="0"/>
    </xf>
    <xf numFmtId="0" fontId="4" fillId="2" borderId="11" xfId="0" applyFont="1" applyFill="1" applyBorder="1" applyProtection="1">
      <protection locked="0"/>
    </xf>
    <xf numFmtId="18" fontId="4" fillId="2" borderId="0" xfId="0" applyNumberFormat="1" applyFont="1" applyFill="1" applyProtection="1">
      <protection locked="0"/>
    </xf>
    <xf numFmtId="0" fontId="6" fillId="3" borderId="2" xfId="0" applyFont="1" applyFill="1" applyBorder="1" applyAlignment="1" applyProtection="1">
      <alignment horizontal="centerContinuous"/>
      <protection hidden="1"/>
    </xf>
    <xf numFmtId="49" fontId="4" fillId="2" borderId="4" xfId="0" applyNumberFormat="1" applyFont="1" applyFill="1" applyBorder="1" applyProtection="1">
      <protection locked="0"/>
    </xf>
    <xf numFmtId="0" fontId="0" fillId="2" borderId="0" xfId="0" applyFill="1" applyAlignment="1">
      <alignment horizontal="left"/>
    </xf>
    <xf numFmtId="0" fontId="0" fillId="2" borderId="0" xfId="0" applyFill="1"/>
    <xf numFmtId="0" fontId="29" fillId="4" borderId="19" xfId="0" applyFont="1" applyFill="1" applyBorder="1" applyAlignment="1" applyProtection="1">
      <alignment horizontal="center"/>
      <protection locked="0"/>
    </xf>
    <xf numFmtId="0" fontId="5" fillId="0" borderId="7" xfId="0" quotePrefix="1" applyFont="1" applyBorder="1" applyProtection="1">
      <protection hidden="1"/>
    </xf>
    <xf numFmtId="2" fontId="4" fillId="0" borderId="25" xfId="0" applyNumberFormat="1" applyFont="1" applyBorder="1" applyAlignment="1" applyProtection="1">
      <alignment horizontal="center"/>
      <protection hidden="1"/>
    </xf>
    <xf numFmtId="2" fontId="4" fillId="0" borderId="6" xfId="0" applyNumberFormat="1" applyFont="1" applyBorder="1" applyAlignment="1" applyProtection="1">
      <alignment horizontal="center"/>
      <protection hidden="1"/>
    </xf>
    <xf numFmtId="0" fontId="5" fillId="0" borderId="7" xfId="0" applyFont="1" applyBorder="1" applyAlignment="1" applyProtection="1">
      <alignment horizontal="left"/>
      <protection hidden="1"/>
    </xf>
    <xf numFmtId="0" fontId="6" fillId="0" borderId="7" xfId="0" applyFont="1" applyBorder="1" applyProtection="1">
      <protection hidden="1"/>
    </xf>
    <xf numFmtId="0" fontId="4" fillId="0" borderId="0" xfId="0" applyFont="1" applyAlignment="1" applyProtection="1">
      <alignment horizontal="right"/>
      <protection hidden="1"/>
    </xf>
    <xf numFmtId="0" fontId="4" fillId="0" borderId="0" xfId="0" applyFont="1" applyAlignment="1" applyProtection="1">
      <alignment horizontal="center"/>
      <protection hidden="1"/>
    </xf>
    <xf numFmtId="177" fontId="4" fillId="0" borderId="0" xfId="0" applyNumberFormat="1" applyFont="1" applyProtection="1">
      <protection hidden="1"/>
    </xf>
    <xf numFmtId="0" fontId="4" fillId="0" borderId="0" xfId="0" applyFont="1" applyAlignment="1" applyProtection="1">
      <alignment horizontal="left"/>
      <protection hidden="1"/>
    </xf>
    <xf numFmtId="177" fontId="4" fillId="0" borderId="0" xfId="0" applyNumberFormat="1" applyFont="1" applyAlignment="1" applyProtection="1">
      <alignment horizontal="center"/>
      <protection hidden="1"/>
    </xf>
    <xf numFmtId="0" fontId="4" fillId="0" borderId="0" xfId="0" quotePrefix="1" applyFont="1" applyAlignment="1" applyProtection="1">
      <alignment horizontal="right"/>
      <protection hidden="1"/>
    </xf>
    <xf numFmtId="2" fontId="4" fillId="0" borderId="0" xfId="0" applyNumberFormat="1" applyFont="1" applyAlignment="1" applyProtection="1">
      <alignment horizontal="left"/>
      <protection hidden="1"/>
    </xf>
    <xf numFmtId="0" fontId="28" fillId="0" borderId="0" xfId="0" applyFont="1" applyAlignment="1" applyProtection="1">
      <alignment horizontal="right"/>
      <protection hidden="1"/>
    </xf>
    <xf numFmtId="1" fontId="4" fillId="0" borderId="0" xfId="0" applyNumberFormat="1" applyFont="1" applyAlignment="1" applyProtection="1">
      <alignment horizontal="center"/>
      <protection hidden="1"/>
    </xf>
    <xf numFmtId="0" fontId="42" fillId="4" borderId="19" xfId="0" applyFont="1" applyFill="1" applyBorder="1" applyAlignment="1" applyProtection="1">
      <alignment horizontal="center"/>
      <protection locked="0"/>
    </xf>
    <xf numFmtId="2" fontId="4" fillId="2" borderId="6" xfId="0" applyNumberFormat="1" applyFont="1" applyFill="1" applyBorder="1" applyAlignment="1" applyProtection="1">
      <alignment horizontal="center"/>
      <protection hidden="1"/>
    </xf>
    <xf numFmtId="0" fontId="2" fillId="0" borderId="7" xfId="0" quotePrefix="1" applyFont="1" applyBorder="1" applyProtection="1">
      <protection hidden="1"/>
    </xf>
    <xf numFmtId="0" fontId="29" fillId="2" borderId="26" xfId="0" applyFont="1" applyFill="1" applyBorder="1" applyAlignment="1" applyProtection="1">
      <alignment horizontal="center"/>
      <protection hidden="1"/>
    </xf>
    <xf numFmtId="177" fontId="4" fillId="0" borderId="27" xfId="0" applyNumberFormat="1" applyFont="1" applyBorder="1" applyAlignment="1" applyProtection="1">
      <alignment horizontal="center"/>
      <protection hidden="1"/>
    </xf>
    <xf numFmtId="0" fontId="2" fillId="2" borderId="7" xfId="0" applyFont="1" applyFill="1" applyBorder="1" applyProtection="1">
      <protection hidden="1"/>
    </xf>
    <xf numFmtId="0" fontId="6" fillId="2" borderId="0" xfId="0" quotePrefix="1" applyFont="1" applyFill="1" applyProtection="1">
      <protection hidden="1"/>
    </xf>
    <xf numFmtId="0" fontId="6" fillId="2" borderId="0" xfId="0" quotePrefix="1" applyFont="1" applyFill="1" applyAlignment="1" applyProtection="1">
      <alignment horizontal="left"/>
      <protection hidden="1"/>
    </xf>
    <xf numFmtId="0" fontId="35" fillId="2" borderId="7" xfId="0" applyFont="1" applyFill="1" applyBorder="1" applyProtection="1">
      <protection hidden="1"/>
    </xf>
    <xf numFmtId="0" fontId="63" fillId="0" borderId="0" xfId="10">
      <alignment vertical="center"/>
    </xf>
    <xf numFmtId="0" fontId="63" fillId="0" borderId="0" xfId="10" applyAlignment="1">
      <alignment horizontal="center" vertical="center"/>
    </xf>
    <xf numFmtId="181" fontId="65" fillId="0" borderId="28" xfId="10" applyNumberFormat="1" applyFont="1" applyBorder="1" applyAlignment="1">
      <alignment horizontal="center" vertical="center"/>
    </xf>
    <xf numFmtId="180" fontId="65" fillId="0" borderId="28" xfId="10" applyNumberFormat="1" applyFont="1" applyBorder="1" applyAlignment="1">
      <alignment horizontal="center" vertical="center"/>
    </xf>
    <xf numFmtId="182" fontId="65" fillId="0" borderId="28" xfId="10" applyNumberFormat="1" applyFont="1" applyBorder="1" applyAlignment="1">
      <alignment horizontal="center" vertical="center"/>
    </xf>
    <xf numFmtId="0" fontId="74" fillId="0" borderId="0" xfId="0" applyFont="1" applyAlignment="1" applyProtection="1">
      <alignment horizontal="center"/>
      <protection hidden="1"/>
    </xf>
    <xf numFmtId="0" fontId="70" fillId="0" borderId="0" xfId="0" applyFont="1" applyProtection="1">
      <protection hidden="1"/>
    </xf>
    <xf numFmtId="0" fontId="2" fillId="0" borderId="7" xfId="0" applyFont="1" applyBorder="1" applyAlignment="1" applyProtection="1">
      <alignment horizontal="right"/>
      <protection hidden="1"/>
    </xf>
    <xf numFmtId="0" fontId="2" fillId="0" borderId="7" xfId="0" applyFont="1" applyBorder="1" applyAlignment="1" applyProtection="1">
      <alignment horizontal="center"/>
      <protection hidden="1"/>
    </xf>
    <xf numFmtId="178" fontId="4" fillId="0" borderId="19" xfId="0" applyNumberFormat="1" applyFont="1" applyBorder="1" applyAlignment="1" applyProtection="1">
      <alignment horizontal="center"/>
      <protection hidden="1"/>
    </xf>
    <xf numFmtId="2" fontId="0" fillId="0" borderId="9" xfId="0" applyNumberFormat="1" applyBorder="1" applyProtection="1">
      <protection hidden="1"/>
    </xf>
    <xf numFmtId="0" fontId="70" fillId="3" borderId="18" xfId="0" applyFont="1" applyFill="1" applyBorder="1" applyAlignment="1" applyProtection="1">
      <alignment horizontal="center"/>
      <protection hidden="1"/>
    </xf>
    <xf numFmtId="0" fontId="70" fillId="3" borderId="19" xfId="0" applyFont="1" applyFill="1" applyBorder="1" applyAlignment="1" applyProtection="1">
      <alignment horizontal="center"/>
      <protection hidden="1"/>
    </xf>
    <xf numFmtId="180" fontId="0" fillId="0" borderId="9" xfId="0" applyNumberFormat="1" applyBorder="1" applyProtection="1">
      <protection hidden="1"/>
    </xf>
    <xf numFmtId="0" fontId="2" fillId="3" borderId="5" xfId="0" applyFont="1" applyFill="1" applyBorder="1" applyAlignment="1" applyProtection="1">
      <alignment horizontal="center"/>
      <protection hidden="1"/>
    </xf>
    <xf numFmtId="0" fontId="2" fillId="3" borderId="6" xfId="0" applyFont="1" applyFill="1" applyBorder="1" applyAlignment="1" applyProtection="1">
      <alignment horizontal="center"/>
      <protection hidden="1"/>
    </xf>
    <xf numFmtId="181" fontId="4" fillId="0" borderId="0" xfId="0" applyNumberFormat="1" applyFont="1" applyProtection="1">
      <protection hidden="1"/>
    </xf>
    <xf numFmtId="2" fontId="0" fillId="0" borderId="0" xfId="0" applyNumberFormat="1" applyProtection="1">
      <protection hidden="1"/>
    </xf>
    <xf numFmtId="180" fontId="0" fillId="0" borderId="0" xfId="0" applyNumberFormat="1" applyAlignment="1" applyProtection="1">
      <alignment horizontal="center"/>
      <protection hidden="1"/>
    </xf>
    <xf numFmtId="0" fontId="70" fillId="3" borderId="20" xfId="0" applyFont="1" applyFill="1" applyBorder="1" applyAlignment="1" applyProtection="1">
      <alignment horizontal="center"/>
      <protection hidden="1"/>
    </xf>
    <xf numFmtId="180" fontId="2" fillId="0" borderId="0" xfId="0" applyNumberFormat="1" applyFont="1" applyAlignment="1" applyProtection="1">
      <alignment horizontal="center"/>
      <protection hidden="1"/>
    </xf>
    <xf numFmtId="0" fontId="81" fillId="3" borderId="7" xfId="0" applyFont="1" applyFill="1" applyBorder="1" applyAlignment="1" applyProtection="1">
      <alignment horizontal="centerContinuous"/>
      <protection hidden="1"/>
    </xf>
    <xf numFmtId="0" fontId="70" fillId="0" borderId="7" xfId="0" applyFont="1" applyBorder="1" applyAlignment="1" applyProtection="1">
      <alignment horizontal="right"/>
      <protection hidden="1"/>
    </xf>
    <xf numFmtId="2" fontId="35" fillId="5" borderId="4" xfId="7" applyNumberFormat="1" applyFont="1" applyFill="1" applyBorder="1" applyAlignment="1" applyProtection="1">
      <alignment horizontal="center" vertical="center"/>
      <protection locked="0"/>
    </xf>
    <xf numFmtId="0" fontId="85" fillId="0" borderId="0" xfId="0" applyFont="1"/>
    <xf numFmtId="0" fontId="85" fillId="0" borderId="0" xfId="10" applyFont="1" applyAlignment="1">
      <alignment horizontal="center" vertical="center"/>
    </xf>
    <xf numFmtId="0" fontId="85" fillId="0" borderId="0" xfId="0" applyFont="1" applyAlignment="1">
      <alignment horizontal="center"/>
    </xf>
    <xf numFmtId="0" fontId="85" fillId="7" borderId="0" xfId="0" applyFont="1" applyFill="1" applyAlignment="1">
      <alignment horizontal="right"/>
    </xf>
    <xf numFmtId="0" fontId="85" fillId="5" borderId="0" xfId="0" applyFont="1" applyFill="1"/>
    <xf numFmtId="0" fontId="87" fillId="0" borderId="0" xfId="0" applyFont="1" applyAlignment="1">
      <alignment horizontal="left"/>
    </xf>
    <xf numFmtId="0" fontId="88" fillId="0" borderId="0" xfId="10" applyFont="1" applyAlignment="1">
      <alignment horizontal="center" vertical="center"/>
    </xf>
    <xf numFmtId="0" fontId="85" fillId="7" borderId="0" xfId="10" applyFont="1" applyFill="1" applyAlignment="1">
      <alignment horizontal="center" vertical="center"/>
    </xf>
    <xf numFmtId="0" fontId="87" fillId="0" borderId="0" xfId="0" applyFont="1"/>
    <xf numFmtId="0" fontId="1" fillId="3" borderId="5" xfId="0" applyFont="1" applyFill="1" applyBorder="1" applyAlignment="1" applyProtection="1">
      <alignment horizontal="centerContinuous"/>
      <protection hidden="1"/>
    </xf>
    <xf numFmtId="0" fontId="2" fillId="3" borderId="4" xfId="0" applyFont="1" applyFill="1" applyBorder="1" applyAlignment="1" applyProtection="1">
      <alignment horizontal="centerContinuous"/>
      <protection hidden="1"/>
    </xf>
    <xf numFmtId="0" fontId="70" fillId="3" borderId="24" xfId="0" applyFont="1" applyFill="1" applyBorder="1" applyAlignment="1" applyProtection="1">
      <alignment horizontal="center"/>
      <protection hidden="1"/>
    </xf>
    <xf numFmtId="181" fontId="0" fillId="0" borderId="0" xfId="0" applyNumberFormat="1" applyProtection="1">
      <protection hidden="1"/>
    </xf>
    <xf numFmtId="180" fontId="0" fillId="0" borderId="0" xfId="0" applyNumberFormat="1" applyProtection="1">
      <protection hidden="1"/>
    </xf>
    <xf numFmtId="0" fontId="89" fillId="0" borderId="0" xfId="10" applyFont="1" applyAlignment="1">
      <alignment horizontal="center" vertical="center"/>
    </xf>
    <xf numFmtId="0" fontId="89" fillId="0" borderId="0" xfId="10" applyFont="1">
      <alignment vertical="center"/>
    </xf>
    <xf numFmtId="181" fontId="89" fillId="0" borderId="0" xfId="10" applyNumberFormat="1" applyFont="1">
      <alignment vertical="center"/>
    </xf>
    <xf numFmtId="183" fontId="65" fillId="0" borderId="28" xfId="10" applyNumberFormat="1" applyFont="1" applyBorder="1" applyAlignment="1">
      <alignment horizontal="center" vertical="center"/>
    </xf>
    <xf numFmtId="2" fontId="35" fillId="6" borderId="4" xfId="0" applyNumberFormat="1" applyFont="1" applyFill="1" applyBorder="1" applyAlignment="1" applyProtection="1">
      <alignment horizontal="center"/>
      <protection hidden="1"/>
    </xf>
    <xf numFmtId="0" fontId="35" fillId="6" borderId="3" xfId="0" applyFont="1" applyFill="1" applyBorder="1" applyAlignment="1" applyProtection="1">
      <alignment horizontal="center"/>
      <protection hidden="1"/>
    </xf>
    <xf numFmtId="0" fontId="90" fillId="0" borderId="29" xfId="12" applyFont="1" applyBorder="1" applyAlignment="1">
      <alignment horizontal="center"/>
    </xf>
    <xf numFmtId="0" fontId="2" fillId="0" borderId="6" xfId="0" applyFont="1" applyBorder="1" applyAlignment="1"/>
    <xf numFmtId="0" fontId="2" fillId="0" borderId="10" xfId="0" applyFont="1" applyBorder="1" applyAlignment="1"/>
  </cellXfs>
  <cellStyles count="13">
    <cellStyle name="Comma0" xfId="1" xr:uid="{00000000-0005-0000-0000-000000000000}"/>
    <cellStyle name="Currency0" xfId="2" xr:uid="{00000000-0005-0000-0000-000001000000}"/>
    <cellStyle name="Date" xfId="3" xr:uid="{00000000-0005-0000-0000-000002000000}"/>
    <cellStyle name="Fixed" xfId="4" xr:uid="{00000000-0005-0000-0000-000003000000}"/>
    <cellStyle name="Normal 2" xfId="9" xr:uid="{00000000-0005-0000-0000-000004000000}"/>
    <cellStyle name="Normal_CONNXJA-VERSION 1.0" xfId="7" xr:uid="{00000000-0005-0000-0000-000005000000}"/>
    <cellStyle name="一般" xfId="0" builtinId="0"/>
    <cellStyle name="一般 2" xfId="10" xr:uid="{00000000-0005-0000-0000-000007000000}"/>
    <cellStyle name="一般 3" xfId="11" xr:uid="{00000000-0005-0000-0000-000008000000}"/>
    <cellStyle name="一般 6" xfId="12" xr:uid="{EFAACDCB-593D-4470-9DD7-E99B65EC6866}"/>
    <cellStyle name="合計" xfId="8" builtinId="25" customBuiltin="1"/>
    <cellStyle name="標題 1" xfId="5" builtinId="16" customBuiltin="1"/>
    <cellStyle name="標題 2" xfId="6" builtinId="17" customBuiltin="1"/>
  </cellStyles>
  <dxfs count="3">
    <dxf>
      <font>
        <b/>
        <i/>
        <strike val="0"/>
        <condense val="0"/>
        <extend val="0"/>
        <color indexed="10"/>
      </font>
    </dxf>
    <dxf>
      <font>
        <b/>
        <i/>
        <strike val="0"/>
        <condense val="0"/>
        <extend val="0"/>
        <color indexed="10"/>
      </font>
    </dxf>
    <dxf>
      <font>
        <b/>
        <i/>
        <strike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5</xdr:col>
      <xdr:colOff>381000</xdr:colOff>
      <xdr:row>5</xdr:row>
      <xdr:rowOff>104775</xdr:rowOff>
    </xdr:from>
    <xdr:to>
      <xdr:col>7</xdr:col>
      <xdr:colOff>114300</xdr:colOff>
      <xdr:row>12</xdr:row>
      <xdr:rowOff>114300</xdr:rowOff>
    </xdr:to>
    <xdr:sp macro="" textlink="">
      <xdr:nvSpPr>
        <xdr:cNvPr id="2" name="Rectangle 21">
          <a:extLst>
            <a:ext uri="{FF2B5EF4-FFF2-40B4-BE49-F238E27FC236}">
              <a16:creationId xmlns:a16="http://schemas.microsoft.com/office/drawing/2014/main" id="{00000000-0008-0000-0000-000002000000}"/>
            </a:ext>
          </a:extLst>
        </xdr:cNvPr>
        <xdr:cNvSpPr>
          <a:spLocks noChangeArrowheads="1"/>
        </xdr:cNvSpPr>
      </xdr:nvSpPr>
      <xdr:spPr bwMode="auto">
        <a:xfrm>
          <a:off x="4533900" y="1011555"/>
          <a:ext cx="1203960" cy="1259205"/>
        </a:xfrm>
        <a:prstGeom prst="rect">
          <a:avLst/>
        </a:prstGeom>
        <a:solidFill>
          <a:srgbClr val="FFFFFF"/>
        </a:solidFill>
        <a:ln w="9525">
          <a:solidFill>
            <a:srgbClr val="000000"/>
          </a:solidFill>
          <a:miter lim="800000"/>
          <a:headEnd/>
          <a:tailEnd/>
        </a:ln>
      </xdr:spPr>
    </xdr:sp>
    <xdr:clientData/>
  </xdr:twoCellAnchor>
  <xdr:twoCellAnchor>
    <xdr:from>
      <xdr:col>6</xdr:col>
      <xdr:colOff>352425</xdr:colOff>
      <xdr:row>5</xdr:row>
      <xdr:rowOff>104775</xdr:rowOff>
    </xdr:from>
    <xdr:to>
      <xdr:col>6</xdr:col>
      <xdr:colOff>352425</xdr:colOff>
      <xdr:row>12</xdr:row>
      <xdr:rowOff>114300</xdr:rowOff>
    </xdr:to>
    <xdr:sp macro="" textlink="">
      <xdr:nvSpPr>
        <xdr:cNvPr id="3" name="Line 22">
          <a:extLst>
            <a:ext uri="{FF2B5EF4-FFF2-40B4-BE49-F238E27FC236}">
              <a16:creationId xmlns:a16="http://schemas.microsoft.com/office/drawing/2014/main" id="{00000000-0008-0000-0000-000003000000}"/>
            </a:ext>
          </a:extLst>
        </xdr:cNvPr>
        <xdr:cNvSpPr>
          <a:spLocks noChangeShapeType="1"/>
        </xdr:cNvSpPr>
      </xdr:nvSpPr>
      <xdr:spPr bwMode="auto">
        <a:xfrm>
          <a:off x="5130165" y="1011555"/>
          <a:ext cx="0" cy="1259205"/>
        </a:xfrm>
        <a:prstGeom prst="line">
          <a:avLst/>
        </a:prstGeom>
        <a:noFill/>
        <a:ln w="9525">
          <a:solidFill>
            <a:srgbClr val="000000"/>
          </a:solidFill>
          <a:round/>
          <a:headEnd/>
          <a:tailEnd/>
        </a:ln>
      </xdr:spPr>
    </xdr:sp>
    <xdr:clientData/>
  </xdr:twoCellAnchor>
  <xdr:twoCellAnchor>
    <xdr:from>
      <xdr:col>5</xdr:col>
      <xdr:colOff>381000</xdr:colOff>
      <xdr:row>19</xdr:row>
      <xdr:rowOff>9525</xdr:rowOff>
    </xdr:from>
    <xdr:to>
      <xdr:col>5</xdr:col>
      <xdr:colOff>381000</xdr:colOff>
      <xdr:row>21</xdr:row>
      <xdr:rowOff>95250</xdr:rowOff>
    </xdr:to>
    <xdr:sp macro="" textlink="">
      <xdr:nvSpPr>
        <xdr:cNvPr id="4" name="Line 23">
          <a:extLst>
            <a:ext uri="{FF2B5EF4-FFF2-40B4-BE49-F238E27FC236}">
              <a16:creationId xmlns:a16="http://schemas.microsoft.com/office/drawing/2014/main" id="{00000000-0008-0000-0000-000004000000}"/>
            </a:ext>
          </a:extLst>
        </xdr:cNvPr>
        <xdr:cNvSpPr>
          <a:spLocks noChangeShapeType="1"/>
        </xdr:cNvSpPr>
      </xdr:nvSpPr>
      <xdr:spPr bwMode="auto">
        <a:xfrm flipV="1">
          <a:off x="4533900" y="3469005"/>
          <a:ext cx="0" cy="428625"/>
        </a:xfrm>
        <a:prstGeom prst="line">
          <a:avLst/>
        </a:prstGeom>
        <a:noFill/>
        <a:ln w="9525">
          <a:solidFill>
            <a:srgbClr val="000000"/>
          </a:solidFill>
          <a:round/>
          <a:headEnd/>
          <a:tailEnd/>
        </a:ln>
      </xdr:spPr>
    </xdr:sp>
    <xdr:clientData/>
  </xdr:twoCellAnchor>
  <xdr:twoCellAnchor>
    <xdr:from>
      <xdr:col>7</xdr:col>
      <xdr:colOff>114300</xdr:colOff>
      <xdr:row>19</xdr:row>
      <xdr:rowOff>9525</xdr:rowOff>
    </xdr:from>
    <xdr:to>
      <xdr:col>7</xdr:col>
      <xdr:colOff>114300</xdr:colOff>
      <xdr:row>21</xdr:row>
      <xdr:rowOff>95250</xdr:rowOff>
    </xdr:to>
    <xdr:sp macro="" textlink="">
      <xdr:nvSpPr>
        <xdr:cNvPr id="5" name="Line 24">
          <a:extLst>
            <a:ext uri="{FF2B5EF4-FFF2-40B4-BE49-F238E27FC236}">
              <a16:creationId xmlns:a16="http://schemas.microsoft.com/office/drawing/2014/main" id="{00000000-0008-0000-0000-000005000000}"/>
            </a:ext>
          </a:extLst>
        </xdr:cNvPr>
        <xdr:cNvSpPr>
          <a:spLocks noChangeShapeType="1"/>
        </xdr:cNvSpPr>
      </xdr:nvSpPr>
      <xdr:spPr bwMode="auto">
        <a:xfrm flipV="1">
          <a:off x="5737860" y="3469005"/>
          <a:ext cx="0" cy="428625"/>
        </a:xfrm>
        <a:prstGeom prst="line">
          <a:avLst/>
        </a:prstGeom>
        <a:noFill/>
        <a:ln w="9525">
          <a:solidFill>
            <a:srgbClr val="000000"/>
          </a:solidFill>
          <a:round/>
          <a:headEnd/>
          <a:tailEnd/>
        </a:ln>
      </xdr:spPr>
    </xdr:sp>
    <xdr:clientData/>
  </xdr:twoCellAnchor>
  <xdr:twoCellAnchor>
    <xdr:from>
      <xdr:col>5</xdr:col>
      <xdr:colOff>381000</xdr:colOff>
      <xdr:row>16</xdr:row>
      <xdr:rowOff>152400</xdr:rowOff>
    </xdr:from>
    <xdr:to>
      <xdr:col>6</xdr:col>
      <xdr:colOff>352425</xdr:colOff>
      <xdr:row>19</xdr:row>
      <xdr:rowOff>9525</xdr:rowOff>
    </xdr:to>
    <xdr:sp macro="" textlink="">
      <xdr:nvSpPr>
        <xdr:cNvPr id="6" name="Line 25">
          <a:extLst>
            <a:ext uri="{FF2B5EF4-FFF2-40B4-BE49-F238E27FC236}">
              <a16:creationId xmlns:a16="http://schemas.microsoft.com/office/drawing/2014/main" id="{00000000-0008-0000-0000-000006000000}"/>
            </a:ext>
          </a:extLst>
        </xdr:cNvPr>
        <xdr:cNvSpPr>
          <a:spLocks noChangeShapeType="1"/>
        </xdr:cNvSpPr>
      </xdr:nvSpPr>
      <xdr:spPr bwMode="auto">
        <a:xfrm flipV="1">
          <a:off x="4533900" y="3086100"/>
          <a:ext cx="596265" cy="382905"/>
        </a:xfrm>
        <a:prstGeom prst="line">
          <a:avLst/>
        </a:prstGeom>
        <a:noFill/>
        <a:ln w="9525">
          <a:solidFill>
            <a:srgbClr val="000000"/>
          </a:solidFill>
          <a:round/>
          <a:headEnd/>
          <a:tailEnd/>
        </a:ln>
      </xdr:spPr>
    </xdr:sp>
    <xdr:clientData/>
  </xdr:twoCellAnchor>
  <xdr:twoCellAnchor>
    <xdr:from>
      <xdr:col>6</xdr:col>
      <xdr:colOff>352425</xdr:colOff>
      <xdr:row>16</xdr:row>
      <xdr:rowOff>152400</xdr:rowOff>
    </xdr:from>
    <xdr:to>
      <xdr:col>7</xdr:col>
      <xdr:colOff>114300</xdr:colOff>
      <xdr:row>19</xdr:row>
      <xdr:rowOff>9525</xdr:rowOff>
    </xdr:to>
    <xdr:sp macro="" textlink="">
      <xdr:nvSpPr>
        <xdr:cNvPr id="7" name="Line 26">
          <a:extLst>
            <a:ext uri="{FF2B5EF4-FFF2-40B4-BE49-F238E27FC236}">
              <a16:creationId xmlns:a16="http://schemas.microsoft.com/office/drawing/2014/main" id="{00000000-0008-0000-0000-000007000000}"/>
            </a:ext>
          </a:extLst>
        </xdr:cNvPr>
        <xdr:cNvSpPr>
          <a:spLocks noChangeShapeType="1"/>
        </xdr:cNvSpPr>
      </xdr:nvSpPr>
      <xdr:spPr bwMode="auto">
        <a:xfrm>
          <a:off x="5130165" y="3086100"/>
          <a:ext cx="607695" cy="382905"/>
        </a:xfrm>
        <a:prstGeom prst="line">
          <a:avLst/>
        </a:prstGeom>
        <a:noFill/>
        <a:ln w="9525">
          <a:solidFill>
            <a:srgbClr val="000000"/>
          </a:solidFill>
          <a:round/>
          <a:headEnd/>
          <a:tailEnd/>
        </a:ln>
      </xdr:spPr>
    </xdr:sp>
    <xdr:clientData/>
  </xdr:twoCellAnchor>
  <xdr:twoCellAnchor>
    <xdr:from>
      <xdr:col>5</xdr:col>
      <xdr:colOff>381000</xdr:colOff>
      <xdr:row>21</xdr:row>
      <xdr:rowOff>95250</xdr:rowOff>
    </xdr:from>
    <xdr:to>
      <xdr:col>7</xdr:col>
      <xdr:colOff>114300</xdr:colOff>
      <xdr:row>21</xdr:row>
      <xdr:rowOff>95250</xdr:rowOff>
    </xdr:to>
    <xdr:sp macro="" textlink="">
      <xdr:nvSpPr>
        <xdr:cNvPr id="8" name="Line 27">
          <a:extLst>
            <a:ext uri="{FF2B5EF4-FFF2-40B4-BE49-F238E27FC236}">
              <a16:creationId xmlns:a16="http://schemas.microsoft.com/office/drawing/2014/main" id="{00000000-0008-0000-0000-000008000000}"/>
            </a:ext>
          </a:extLst>
        </xdr:cNvPr>
        <xdr:cNvSpPr>
          <a:spLocks noChangeShapeType="1"/>
        </xdr:cNvSpPr>
      </xdr:nvSpPr>
      <xdr:spPr bwMode="auto">
        <a:xfrm>
          <a:off x="4533900" y="3897630"/>
          <a:ext cx="1203960" cy="0"/>
        </a:xfrm>
        <a:prstGeom prst="line">
          <a:avLst/>
        </a:prstGeom>
        <a:noFill/>
        <a:ln w="9525">
          <a:solidFill>
            <a:srgbClr val="000000"/>
          </a:solidFill>
          <a:round/>
          <a:headEnd/>
          <a:tailEnd/>
        </a:ln>
      </xdr:spPr>
    </xdr:sp>
    <xdr:clientData/>
  </xdr:twoCellAnchor>
  <xdr:twoCellAnchor>
    <xdr:from>
      <xdr:col>5</xdr:col>
      <xdr:colOff>381000</xdr:colOff>
      <xdr:row>14</xdr:row>
      <xdr:rowOff>38100</xdr:rowOff>
    </xdr:from>
    <xdr:to>
      <xdr:col>7</xdr:col>
      <xdr:colOff>114300</xdr:colOff>
      <xdr:row>14</xdr:row>
      <xdr:rowOff>38100</xdr:rowOff>
    </xdr:to>
    <xdr:sp macro="" textlink="">
      <xdr:nvSpPr>
        <xdr:cNvPr id="9" name="Line 28">
          <a:extLst>
            <a:ext uri="{FF2B5EF4-FFF2-40B4-BE49-F238E27FC236}">
              <a16:creationId xmlns:a16="http://schemas.microsoft.com/office/drawing/2014/main" id="{00000000-0008-0000-0000-000009000000}"/>
            </a:ext>
          </a:extLst>
        </xdr:cNvPr>
        <xdr:cNvSpPr>
          <a:spLocks noChangeShapeType="1"/>
        </xdr:cNvSpPr>
      </xdr:nvSpPr>
      <xdr:spPr bwMode="auto">
        <a:xfrm>
          <a:off x="4533900" y="2545080"/>
          <a:ext cx="1203960" cy="0"/>
        </a:xfrm>
        <a:prstGeom prst="line">
          <a:avLst/>
        </a:prstGeom>
        <a:noFill/>
        <a:ln w="9525">
          <a:solidFill>
            <a:srgbClr val="000000"/>
          </a:solidFill>
          <a:round/>
          <a:headEnd type="stealth" w="sm" len="sm"/>
          <a:tailEnd type="stealth" w="sm" len="sm"/>
        </a:ln>
      </xdr:spPr>
    </xdr:sp>
    <xdr:clientData/>
  </xdr:twoCellAnchor>
  <xdr:twoCellAnchor>
    <xdr:from>
      <xdr:col>5</xdr:col>
      <xdr:colOff>381000</xdr:colOff>
      <xdr:row>13</xdr:row>
      <xdr:rowOff>66675</xdr:rowOff>
    </xdr:from>
    <xdr:to>
      <xdr:col>5</xdr:col>
      <xdr:colOff>381000</xdr:colOff>
      <xdr:row>15</xdr:row>
      <xdr:rowOff>9525</xdr:rowOff>
    </xdr:to>
    <xdr:sp macro="" textlink="">
      <xdr:nvSpPr>
        <xdr:cNvPr id="10" name="Line 29">
          <a:extLst>
            <a:ext uri="{FF2B5EF4-FFF2-40B4-BE49-F238E27FC236}">
              <a16:creationId xmlns:a16="http://schemas.microsoft.com/office/drawing/2014/main" id="{00000000-0008-0000-0000-00000A000000}"/>
            </a:ext>
          </a:extLst>
        </xdr:cNvPr>
        <xdr:cNvSpPr>
          <a:spLocks noChangeShapeType="1"/>
        </xdr:cNvSpPr>
      </xdr:nvSpPr>
      <xdr:spPr bwMode="auto">
        <a:xfrm>
          <a:off x="4533900" y="2398395"/>
          <a:ext cx="0" cy="331470"/>
        </a:xfrm>
        <a:prstGeom prst="line">
          <a:avLst/>
        </a:prstGeom>
        <a:noFill/>
        <a:ln w="9525">
          <a:solidFill>
            <a:srgbClr val="000000"/>
          </a:solidFill>
          <a:round/>
          <a:headEnd/>
          <a:tailEnd/>
        </a:ln>
      </xdr:spPr>
    </xdr:sp>
    <xdr:clientData/>
  </xdr:twoCellAnchor>
  <xdr:twoCellAnchor>
    <xdr:from>
      <xdr:col>7</xdr:col>
      <xdr:colOff>114300</xdr:colOff>
      <xdr:row>13</xdr:row>
      <xdr:rowOff>66675</xdr:rowOff>
    </xdr:from>
    <xdr:to>
      <xdr:col>7</xdr:col>
      <xdr:colOff>114300</xdr:colOff>
      <xdr:row>15</xdr:row>
      <xdr:rowOff>9525</xdr:rowOff>
    </xdr:to>
    <xdr:sp macro="" textlink="">
      <xdr:nvSpPr>
        <xdr:cNvPr id="11" name="Line 30">
          <a:extLst>
            <a:ext uri="{FF2B5EF4-FFF2-40B4-BE49-F238E27FC236}">
              <a16:creationId xmlns:a16="http://schemas.microsoft.com/office/drawing/2014/main" id="{00000000-0008-0000-0000-00000B000000}"/>
            </a:ext>
          </a:extLst>
        </xdr:cNvPr>
        <xdr:cNvSpPr>
          <a:spLocks noChangeShapeType="1"/>
        </xdr:cNvSpPr>
      </xdr:nvSpPr>
      <xdr:spPr bwMode="auto">
        <a:xfrm>
          <a:off x="5737860" y="2398395"/>
          <a:ext cx="0" cy="331470"/>
        </a:xfrm>
        <a:prstGeom prst="line">
          <a:avLst/>
        </a:prstGeom>
        <a:noFill/>
        <a:ln w="9525">
          <a:solidFill>
            <a:srgbClr val="000000"/>
          </a:solidFill>
          <a:round/>
          <a:headEnd/>
          <a:tailEnd/>
        </a:ln>
      </xdr:spPr>
    </xdr:sp>
    <xdr:clientData/>
  </xdr:twoCellAnchor>
  <xdr:twoCellAnchor>
    <xdr:from>
      <xdr:col>5</xdr:col>
      <xdr:colOff>381000</xdr:colOff>
      <xdr:row>21</xdr:row>
      <xdr:rowOff>123825</xdr:rowOff>
    </xdr:from>
    <xdr:to>
      <xdr:col>5</xdr:col>
      <xdr:colOff>381000</xdr:colOff>
      <xdr:row>23</xdr:row>
      <xdr:rowOff>66675</xdr:rowOff>
    </xdr:to>
    <xdr:sp macro="" textlink="">
      <xdr:nvSpPr>
        <xdr:cNvPr id="12" name="Line 31">
          <a:extLst>
            <a:ext uri="{FF2B5EF4-FFF2-40B4-BE49-F238E27FC236}">
              <a16:creationId xmlns:a16="http://schemas.microsoft.com/office/drawing/2014/main" id="{00000000-0008-0000-0000-00000C000000}"/>
            </a:ext>
          </a:extLst>
        </xdr:cNvPr>
        <xdr:cNvSpPr>
          <a:spLocks noChangeShapeType="1"/>
        </xdr:cNvSpPr>
      </xdr:nvSpPr>
      <xdr:spPr bwMode="auto">
        <a:xfrm>
          <a:off x="4533900" y="3926205"/>
          <a:ext cx="0" cy="278130"/>
        </a:xfrm>
        <a:prstGeom prst="line">
          <a:avLst/>
        </a:prstGeom>
        <a:noFill/>
        <a:ln w="9525">
          <a:solidFill>
            <a:srgbClr val="000000"/>
          </a:solidFill>
          <a:round/>
          <a:headEnd/>
          <a:tailEnd/>
        </a:ln>
      </xdr:spPr>
    </xdr:sp>
    <xdr:clientData/>
  </xdr:twoCellAnchor>
  <xdr:twoCellAnchor>
    <xdr:from>
      <xdr:col>7</xdr:col>
      <xdr:colOff>114300</xdr:colOff>
      <xdr:row>21</xdr:row>
      <xdr:rowOff>123825</xdr:rowOff>
    </xdr:from>
    <xdr:to>
      <xdr:col>7</xdr:col>
      <xdr:colOff>114300</xdr:colOff>
      <xdr:row>23</xdr:row>
      <xdr:rowOff>66675</xdr:rowOff>
    </xdr:to>
    <xdr:sp macro="" textlink="">
      <xdr:nvSpPr>
        <xdr:cNvPr id="13" name="Line 32">
          <a:extLst>
            <a:ext uri="{FF2B5EF4-FFF2-40B4-BE49-F238E27FC236}">
              <a16:creationId xmlns:a16="http://schemas.microsoft.com/office/drawing/2014/main" id="{00000000-0008-0000-0000-00000D000000}"/>
            </a:ext>
          </a:extLst>
        </xdr:cNvPr>
        <xdr:cNvSpPr>
          <a:spLocks noChangeShapeType="1"/>
        </xdr:cNvSpPr>
      </xdr:nvSpPr>
      <xdr:spPr bwMode="auto">
        <a:xfrm>
          <a:off x="5737860" y="3926205"/>
          <a:ext cx="0" cy="278130"/>
        </a:xfrm>
        <a:prstGeom prst="line">
          <a:avLst/>
        </a:prstGeom>
        <a:noFill/>
        <a:ln w="9525">
          <a:solidFill>
            <a:srgbClr val="000000"/>
          </a:solidFill>
          <a:round/>
          <a:headEnd/>
          <a:tailEnd/>
        </a:ln>
      </xdr:spPr>
    </xdr:sp>
    <xdr:clientData/>
  </xdr:twoCellAnchor>
  <xdr:twoCellAnchor>
    <xdr:from>
      <xdr:col>5</xdr:col>
      <xdr:colOff>381000</xdr:colOff>
      <xdr:row>22</xdr:row>
      <xdr:rowOff>114300</xdr:rowOff>
    </xdr:from>
    <xdr:to>
      <xdr:col>7</xdr:col>
      <xdr:colOff>114300</xdr:colOff>
      <xdr:row>22</xdr:row>
      <xdr:rowOff>114300</xdr:rowOff>
    </xdr:to>
    <xdr:sp macro="" textlink="">
      <xdr:nvSpPr>
        <xdr:cNvPr id="14" name="Line 33">
          <a:extLst>
            <a:ext uri="{FF2B5EF4-FFF2-40B4-BE49-F238E27FC236}">
              <a16:creationId xmlns:a16="http://schemas.microsoft.com/office/drawing/2014/main" id="{00000000-0008-0000-0000-00000E000000}"/>
            </a:ext>
          </a:extLst>
        </xdr:cNvPr>
        <xdr:cNvSpPr>
          <a:spLocks noChangeShapeType="1"/>
        </xdr:cNvSpPr>
      </xdr:nvSpPr>
      <xdr:spPr bwMode="auto">
        <a:xfrm>
          <a:off x="4533900" y="4084320"/>
          <a:ext cx="1203960" cy="0"/>
        </a:xfrm>
        <a:prstGeom prst="line">
          <a:avLst/>
        </a:prstGeom>
        <a:noFill/>
        <a:ln w="9525">
          <a:solidFill>
            <a:srgbClr val="000000"/>
          </a:solidFill>
          <a:round/>
          <a:headEnd type="stealth" w="sm" len="sm"/>
          <a:tailEnd type="stealth" w="sm" len="sm"/>
        </a:ln>
      </xdr:spPr>
    </xdr:sp>
    <xdr:clientData/>
  </xdr:twoCellAnchor>
  <xdr:twoCellAnchor>
    <xdr:from>
      <xdr:col>7</xdr:col>
      <xdr:colOff>247650</xdr:colOff>
      <xdr:row>21</xdr:row>
      <xdr:rowOff>95250</xdr:rowOff>
    </xdr:from>
    <xdr:to>
      <xdr:col>7</xdr:col>
      <xdr:colOff>504825</xdr:colOff>
      <xdr:row>21</xdr:row>
      <xdr:rowOff>95250</xdr:rowOff>
    </xdr:to>
    <xdr:sp macro="" textlink="">
      <xdr:nvSpPr>
        <xdr:cNvPr id="15" name="Line 34">
          <a:extLst>
            <a:ext uri="{FF2B5EF4-FFF2-40B4-BE49-F238E27FC236}">
              <a16:creationId xmlns:a16="http://schemas.microsoft.com/office/drawing/2014/main" id="{00000000-0008-0000-0000-00000F000000}"/>
            </a:ext>
          </a:extLst>
        </xdr:cNvPr>
        <xdr:cNvSpPr>
          <a:spLocks noChangeShapeType="1"/>
        </xdr:cNvSpPr>
      </xdr:nvSpPr>
      <xdr:spPr bwMode="auto">
        <a:xfrm>
          <a:off x="5871210" y="3897630"/>
          <a:ext cx="257175" cy="0"/>
        </a:xfrm>
        <a:prstGeom prst="line">
          <a:avLst/>
        </a:prstGeom>
        <a:noFill/>
        <a:ln w="9525">
          <a:solidFill>
            <a:srgbClr val="000000"/>
          </a:solidFill>
          <a:round/>
          <a:headEnd/>
          <a:tailEnd/>
        </a:ln>
      </xdr:spPr>
    </xdr:sp>
    <xdr:clientData/>
  </xdr:twoCellAnchor>
  <xdr:twoCellAnchor>
    <xdr:from>
      <xdr:col>7</xdr:col>
      <xdr:colOff>257175</xdr:colOff>
      <xdr:row>19</xdr:row>
      <xdr:rowOff>9525</xdr:rowOff>
    </xdr:from>
    <xdr:to>
      <xdr:col>7</xdr:col>
      <xdr:colOff>514350</xdr:colOff>
      <xdr:row>19</xdr:row>
      <xdr:rowOff>9525</xdr:rowOff>
    </xdr:to>
    <xdr:sp macro="" textlink="">
      <xdr:nvSpPr>
        <xdr:cNvPr id="16" name="Line 35">
          <a:extLst>
            <a:ext uri="{FF2B5EF4-FFF2-40B4-BE49-F238E27FC236}">
              <a16:creationId xmlns:a16="http://schemas.microsoft.com/office/drawing/2014/main" id="{00000000-0008-0000-0000-000010000000}"/>
            </a:ext>
          </a:extLst>
        </xdr:cNvPr>
        <xdr:cNvSpPr>
          <a:spLocks noChangeShapeType="1"/>
        </xdr:cNvSpPr>
      </xdr:nvSpPr>
      <xdr:spPr bwMode="auto">
        <a:xfrm>
          <a:off x="5880735" y="3469005"/>
          <a:ext cx="257175" cy="0"/>
        </a:xfrm>
        <a:prstGeom prst="line">
          <a:avLst/>
        </a:prstGeom>
        <a:noFill/>
        <a:ln w="9525">
          <a:solidFill>
            <a:srgbClr val="000000"/>
          </a:solidFill>
          <a:round/>
          <a:headEnd/>
          <a:tailEnd/>
        </a:ln>
      </xdr:spPr>
    </xdr:sp>
    <xdr:clientData/>
  </xdr:twoCellAnchor>
  <xdr:twoCellAnchor>
    <xdr:from>
      <xdr:col>4</xdr:col>
      <xdr:colOff>581025</xdr:colOff>
      <xdr:row>16</xdr:row>
      <xdr:rowOff>142875</xdr:rowOff>
    </xdr:from>
    <xdr:to>
      <xdr:col>6</xdr:col>
      <xdr:colOff>304800</xdr:colOff>
      <xdr:row>16</xdr:row>
      <xdr:rowOff>142875</xdr:rowOff>
    </xdr:to>
    <xdr:sp macro="" textlink="">
      <xdr:nvSpPr>
        <xdr:cNvPr id="17" name="Line 36">
          <a:extLst>
            <a:ext uri="{FF2B5EF4-FFF2-40B4-BE49-F238E27FC236}">
              <a16:creationId xmlns:a16="http://schemas.microsoft.com/office/drawing/2014/main" id="{00000000-0008-0000-0000-000011000000}"/>
            </a:ext>
          </a:extLst>
        </xdr:cNvPr>
        <xdr:cNvSpPr>
          <a:spLocks noChangeShapeType="1"/>
        </xdr:cNvSpPr>
      </xdr:nvSpPr>
      <xdr:spPr bwMode="auto">
        <a:xfrm>
          <a:off x="4109085" y="3076575"/>
          <a:ext cx="973455" cy="0"/>
        </a:xfrm>
        <a:prstGeom prst="line">
          <a:avLst/>
        </a:prstGeom>
        <a:noFill/>
        <a:ln w="9525">
          <a:solidFill>
            <a:srgbClr val="000000"/>
          </a:solidFill>
          <a:round/>
          <a:headEnd/>
          <a:tailEnd/>
        </a:ln>
      </xdr:spPr>
    </xdr:sp>
    <xdr:clientData/>
  </xdr:twoCellAnchor>
  <xdr:twoCellAnchor>
    <xdr:from>
      <xdr:col>4</xdr:col>
      <xdr:colOff>581025</xdr:colOff>
      <xdr:row>21</xdr:row>
      <xdr:rowOff>95250</xdr:rowOff>
    </xdr:from>
    <xdr:to>
      <xdr:col>5</xdr:col>
      <xdr:colOff>180975</xdr:colOff>
      <xdr:row>21</xdr:row>
      <xdr:rowOff>95250</xdr:rowOff>
    </xdr:to>
    <xdr:sp macro="" textlink="">
      <xdr:nvSpPr>
        <xdr:cNvPr id="18" name="Line 37">
          <a:extLst>
            <a:ext uri="{FF2B5EF4-FFF2-40B4-BE49-F238E27FC236}">
              <a16:creationId xmlns:a16="http://schemas.microsoft.com/office/drawing/2014/main" id="{00000000-0008-0000-0000-000012000000}"/>
            </a:ext>
          </a:extLst>
        </xdr:cNvPr>
        <xdr:cNvSpPr>
          <a:spLocks noChangeShapeType="1"/>
        </xdr:cNvSpPr>
      </xdr:nvSpPr>
      <xdr:spPr bwMode="auto">
        <a:xfrm flipH="1">
          <a:off x="4109085" y="3897630"/>
          <a:ext cx="224790" cy="0"/>
        </a:xfrm>
        <a:prstGeom prst="line">
          <a:avLst/>
        </a:prstGeom>
        <a:noFill/>
        <a:ln w="9525">
          <a:solidFill>
            <a:srgbClr val="000000"/>
          </a:solidFill>
          <a:round/>
          <a:headEnd/>
          <a:tailEnd/>
        </a:ln>
      </xdr:spPr>
    </xdr:sp>
    <xdr:clientData/>
  </xdr:twoCellAnchor>
  <xdr:twoCellAnchor>
    <xdr:from>
      <xdr:col>7</xdr:col>
      <xdr:colOff>381000</xdr:colOff>
      <xdr:row>19</xdr:row>
      <xdr:rowOff>9525</xdr:rowOff>
    </xdr:from>
    <xdr:to>
      <xdr:col>7</xdr:col>
      <xdr:colOff>381000</xdr:colOff>
      <xdr:row>21</xdr:row>
      <xdr:rowOff>95250</xdr:rowOff>
    </xdr:to>
    <xdr:sp macro="" textlink="">
      <xdr:nvSpPr>
        <xdr:cNvPr id="19" name="Line 38">
          <a:extLst>
            <a:ext uri="{FF2B5EF4-FFF2-40B4-BE49-F238E27FC236}">
              <a16:creationId xmlns:a16="http://schemas.microsoft.com/office/drawing/2014/main" id="{00000000-0008-0000-0000-000013000000}"/>
            </a:ext>
          </a:extLst>
        </xdr:cNvPr>
        <xdr:cNvSpPr>
          <a:spLocks noChangeShapeType="1"/>
        </xdr:cNvSpPr>
      </xdr:nvSpPr>
      <xdr:spPr bwMode="auto">
        <a:xfrm>
          <a:off x="6004560" y="3469005"/>
          <a:ext cx="0" cy="428625"/>
        </a:xfrm>
        <a:prstGeom prst="line">
          <a:avLst/>
        </a:prstGeom>
        <a:noFill/>
        <a:ln w="9525">
          <a:solidFill>
            <a:srgbClr val="000000"/>
          </a:solidFill>
          <a:round/>
          <a:headEnd type="stealth" w="sm" len="sm"/>
          <a:tailEnd type="stealth" w="sm" len="sm"/>
        </a:ln>
      </xdr:spPr>
    </xdr:sp>
    <xdr:clientData/>
  </xdr:twoCellAnchor>
  <xdr:twoCellAnchor>
    <xdr:from>
      <xdr:col>5</xdr:col>
      <xdr:colOff>76200</xdr:colOff>
      <xdr:row>16</xdr:row>
      <xdr:rowOff>142875</xdr:rowOff>
    </xdr:from>
    <xdr:to>
      <xdr:col>5</xdr:col>
      <xdr:colOff>76200</xdr:colOff>
      <xdr:row>21</xdr:row>
      <xdr:rowOff>95250</xdr:rowOff>
    </xdr:to>
    <xdr:sp macro="" textlink="">
      <xdr:nvSpPr>
        <xdr:cNvPr id="20" name="Line 39">
          <a:extLst>
            <a:ext uri="{FF2B5EF4-FFF2-40B4-BE49-F238E27FC236}">
              <a16:creationId xmlns:a16="http://schemas.microsoft.com/office/drawing/2014/main" id="{00000000-0008-0000-0000-000014000000}"/>
            </a:ext>
          </a:extLst>
        </xdr:cNvPr>
        <xdr:cNvSpPr>
          <a:spLocks noChangeShapeType="1"/>
        </xdr:cNvSpPr>
      </xdr:nvSpPr>
      <xdr:spPr bwMode="auto">
        <a:xfrm>
          <a:off x="4229100" y="3076575"/>
          <a:ext cx="0" cy="821055"/>
        </a:xfrm>
        <a:prstGeom prst="line">
          <a:avLst/>
        </a:prstGeom>
        <a:noFill/>
        <a:ln w="9525">
          <a:solidFill>
            <a:srgbClr val="000000"/>
          </a:solidFill>
          <a:round/>
          <a:headEnd type="stealth" w="sm" len="sm"/>
          <a:tailEnd type="stealth" w="sm" len="sm"/>
        </a:ln>
      </xdr:spPr>
    </xdr:sp>
    <xdr:clientData/>
  </xdr:twoCellAnchor>
  <xdr:twoCellAnchor>
    <xdr:from>
      <xdr:col>7</xdr:col>
      <xdr:colOff>257175</xdr:colOff>
      <xdr:row>12</xdr:row>
      <xdr:rowOff>114300</xdr:rowOff>
    </xdr:from>
    <xdr:to>
      <xdr:col>7</xdr:col>
      <xdr:colOff>514350</xdr:colOff>
      <xdr:row>12</xdr:row>
      <xdr:rowOff>114300</xdr:rowOff>
    </xdr:to>
    <xdr:sp macro="" textlink="">
      <xdr:nvSpPr>
        <xdr:cNvPr id="21" name="Line 40">
          <a:extLst>
            <a:ext uri="{FF2B5EF4-FFF2-40B4-BE49-F238E27FC236}">
              <a16:creationId xmlns:a16="http://schemas.microsoft.com/office/drawing/2014/main" id="{00000000-0008-0000-0000-000015000000}"/>
            </a:ext>
          </a:extLst>
        </xdr:cNvPr>
        <xdr:cNvSpPr>
          <a:spLocks noChangeShapeType="1"/>
        </xdr:cNvSpPr>
      </xdr:nvSpPr>
      <xdr:spPr bwMode="auto">
        <a:xfrm>
          <a:off x="5880735" y="2270760"/>
          <a:ext cx="257175" cy="0"/>
        </a:xfrm>
        <a:prstGeom prst="line">
          <a:avLst/>
        </a:prstGeom>
        <a:noFill/>
        <a:ln w="9525">
          <a:solidFill>
            <a:srgbClr val="000000"/>
          </a:solidFill>
          <a:round/>
          <a:headEnd/>
          <a:tailEnd/>
        </a:ln>
      </xdr:spPr>
    </xdr:sp>
    <xdr:clientData/>
  </xdr:twoCellAnchor>
  <xdr:twoCellAnchor>
    <xdr:from>
      <xdr:col>7</xdr:col>
      <xdr:colOff>257175</xdr:colOff>
      <xdr:row>5</xdr:row>
      <xdr:rowOff>104775</xdr:rowOff>
    </xdr:from>
    <xdr:to>
      <xdr:col>7</xdr:col>
      <xdr:colOff>514350</xdr:colOff>
      <xdr:row>5</xdr:row>
      <xdr:rowOff>104775</xdr:rowOff>
    </xdr:to>
    <xdr:sp macro="" textlink="">
      <xdr:nvSpPr>
        <xdr:cNvPr id="22" name="Line 41">
          <a:extLst>
            <a:ext uri="{FF2B5EF4-FFF2-40B4-BE49-F238E27FC236}">
              <a16:creationId xmlns:a16="http://schemas.microsoft.com/office/drawing/2014/main" id="{00000000-0008-0000-0000-000016000000}"/>
            </a:ext>
          </a:extLst>
        </xdr:cNvPr>
        <xdr:cNvSpPr>
          <a:spLocks noChangeShapeType="1"/>
        </xdr:cNvSpPr>
      </xdr:nvSpPr>
      <xdr:spPr bwMode="auto">
        <a:xfrm>
          <a:off x="5880735" y="1011555"/>
          <a:ext cx="257175" cy="0"/>
        </a:xfrm>
        <a:prstGeom prst="line">
          <a:avLst/>
        </a:prstGeom>
        <a:noFill/>
        <a:ln w="9525">
          <a:solidFill>
            <a:srgbClr val="000000"/>
          </a:solidFill>
          <a:round/>
          <a:headEnd/>
          <a:tailEnd/>
        </a:ln>
      </xdr:spPr>
    </xdr:sp>
    <xdr:clientData/>
  </xdr:twoCellAnchor>
  <xdr:twoCellAnchor>
    <xdr:from>
      <xdr:col>7</xdr:col>
      <xdr:colOff>371475</xdr:colOff>
      <xdr:row>5</xdr:row>
      <xdr:rowOff>104775</xdr:rowOff>
    </xdr:from>
    <xdr:to>
      <xdr:col>7</xdr:col>
      <xdr:colOff>371475</xdr:colOff>
      <xdr:row>12</xdr:row>
      <xdr:rowOff>114300</xdr:rowOff>
    </xdr:to>
    <xdr:sp macro="" textlink="">
      <xdr:nvSpPr>
        <xdr:cNvPr id="23" name="Line 42">
          <a:extLst>
            <a:ext uri="{FF2B5EF4-FFF2-40B4-BE49-F238E27FC236}">
              <a16:creationId xmlns:a16="http://schemas.microsoft.com/office/drawing/2014/main" id="{00000000-0008-0000-0000-000017000000}"/>
            </a:ext>
          </a:extLst>
        </xdr:cNvPr>
        <xdr:cNvSpPr>
          <a:spLocks noChangeShapeType="1"/>
        </xdr:cNvSpPr>
      </xdr:nvSpPr>
      <xdr:spPr bwMode="auto">
        <a:xfrm>
          <a:off x="5995035" y="1011555"/>
          <a:ext cx="0" cy="1259205"/>
        </a:xfrm>
        <a:prstGeom prst="line">
          <a:avLst/>
        </a:prstGeom>
        <a:noFill/>
        <a:ln w="9525">
          <a:solidFill>
            <a:srgbClr val="000000"/>
          </a:solidFill>
          <a:round/>
          <a:headEnd type="stealth" w="sm" len="sm"/>
          <a:tailEnd type="stealth" w="sm" len="sm"/>
        </a:ln>
      </xdr:spPr>
    </xdr:sp>
    <xdr:clientData/>
  </xdr:twoCellAnchor>
  <xdr:twoCellAnchor>
    <xdr:from>
      <xdr:col>5</xdr:col>
      <xdr:colOff>419100</xdr:colOff>
      <xdr:row>19</xdr:row>
      <xdr:rowOff>9525</xdr:rowOff>
    </xdr:from>
    <xdr:to>
      <xdr:col>6</xdr:col>
      <xdr:colOff>219075</xdr:colOff>
      <xdr:row>19</xdr:row>
      <xdr:rowOff>9525</xdr:rowOff>
    </xdr:to>
    <xdr:sp macro="" textlink="">
      <xdr:nvSpPr>
        <xdr:cNvPr id="24" name="Line 43">
          <a:extLst>
            <a:ext uri="{FF2B5EF4-FFF2-40B4-BE49-F238E27FC236}">
              <a16:creationId xmlns:a16="http://schemas.microsoft.com/office/drawing/2014/main" id="{00000000-0008-0000-0000-000018000000}"/>
            </a:ext>
          </a:extLst>
        </xdr:cNvPr>
        <xdr:cNvSpPr>
          <a:spLocks noChangeShapeType="1"/>
        </xdr:cNvSpPr>
      </xdr:nvSpPr>
      <xdr:spPr bwMode="auto">
        <a:xfrm>
          <a:off x="4572000" y="3469005"/>
          <a:ext cx="424815" cy="0"/>
        </a:xfrm>
        <a:prstGeom prst="line">
          <a:avLst/>
        </a:prstGeom>
        <a:noFill/>
        <a:ln w="9525">
          <a:solidFill>
            <a:srgbClr val="000000"/>
          </a:solidFill>
          <a:round/>
          <a:headEnd/>
          <a:tailEnd/>
        </a:ln>
      </xdr:spPr>
    </xdr:sp>
    <xdr:clientData/>
  </xdr:twoCellAnchor>
  <xdr:twoCellAnchor>
    <xdr:from>
      <xdr:col>6</xdr:col>
      <xdr:colOff>28575</xdr:colOff>
      <xdr:row>18</xdr:row>
      <xdr:rowOff>19050</xdr:rowOff>
    </xdr:from>
    <xdr:to>
      <xdr:col>6</xdr:col>
      <xdr:colOff>114300</xdr:colOff>
      <xdr:row>19</xdr:row>
      <xdr:rowOff>123825</xdr:rowOff>
    </xdr:to>
    <xdr:sp macro="" textlink="">
      <xdr:nvSpPr>
        <xdr:cNvPr id="25" name="Arc 44">
          <a:extLst>
            <a:ext uri="{FF2B5EF4-FFF2-40B4-BE49-F238E27FC236}">
              <a16:creationId xmlns:a16="http://schemas.microsoft.com/office/drawing/2014/main" id="{00000000-0008-0000-0000-000019000000}"/>
            </a:ext>
          </a:extLst>
        </xdr:cNvPr>
        <xdr:cNvSpPr>
          <a:spLocks/>
        </xdr:cNvSpPr>
      </xdr:nvSpPr>
      <xdr:spPr bwMode="auto">
        <a:xfrm>
          <a:off x="4806315" y="3303270"/>
          <a:ext cx="85725" cy="280035"/>
        </a:xfrm>
        <a:custGeom>
          <a:avLst/>
          <a:gdLst>
            <a:gd name="T0" fmla="*/ 2147483647 w 19129"/>
            <a:gd name="T1" fmla="*/ 0 h 21502"/>
            <a:gd name="T2" fmla="*/ 2147483647 w 19129"/>
            <a:gd name="T3" fmla="*/ 2147483647 h 21502"/>
            <a:gd name="T4" fmla="*/ 0 w 19129"/>
            <a:gd name="T5" fmla="*/ 2147483647 h 21502"/>
            <a:gd name="T6" fmla="*/ 0 60000 65536"/>
            <a:gd name="T7" fmla="*/ 0 60000 65536"/>
            <a:gd name="T8" fmla="*/ 0 60000 65536"/>
            <a:gd name="T9" fmla="*/ 0 w 19129"/>
            <a:gd name="T10" fmla="*/ 0 h 21502"/>
            <a:gd name="T11" fmla="*/ 19129 w 19129"/>
            <a:gd name="T12" fmla="*/ 21502 h 21502"/>
          </a:gdLst>
          <a:ahLst/>
          <a:cxnLst>
            <a:cxn ang="T6">
              <a:pos x="T0" y="T1"/>
            </a:cxn>
            <a:cxn ang="T7">
              <a:pos x="T2" y="T3"/>
            </a:cxn>
            <a:cxn ang="T8">
              <a:pos x="T4" y="T5"/>
            </a:cxn>
          </a:cxnLst>
          <a:rect l="T9" t="T10" r="T11" b="T12"/>
          <a:pathLst>
            <a:path w="19129" h="21502" fill="none" extrusionOk="0">
              <a:moveTo>
                <a:pt x="2052" y="-1"/>
              </a:moveTo>
              <a:cubicBezTo>
                <a:pt x="9316" y="692"/>
                <a:pt x="15739" y="5007"/>
                <a:pt x="19129" y="11469"/>
              </a:cubicBezTo>
            </a:path>
            <a:path w="19129" h="21502" stroke="0" extrusionOk="0">
              <a:moveTo>
                <a:pt x="2052" y="-1"/>
              </a:moveTo>
              <a:cubicBezTo>
                <a:pt x="9316" y="692"/>
                <a:pt x="15739" y="5007"/>
                <a:pt x="19129" y="11469"/>
              </a:cubicBezTo>
              <a:lnTo>
                <a:pt x="0" y="21502"/>
              </a:lnTo>
              <a:lnTo>
                <a:pt x="2052" y="-1"/>
              </a:lnTo>
              <a:close/>
            </a:path>
          </a:pathLst>
        </a:custGeom>
        <a:noFill/>
        <a:ln w="9525">
          <a:solidFill>
            <a:srgbClr val="000000"/>
          </a:solidFill>
          <a:round/>
          <a:headEnd/>
          <a:tailEnd/>
        </a:ln>
      </xdr:spPr>
    </xdr:sp>
    <xdr:clientData/>
  </xdr:twoCellAnchor>
  <xdr:twoCellAnchor editAs="oneCell">
    <xdr:from>
      <xdr:col>6</xdr:col>
      <xdr:colOff>95250</xdr:colOff>
      <xdr:row>17</xdr:row>
      <xdr:rowOff>133350</xdr:rowOff>
    </xdr:from>
    <xdr:to>
      <xdr:col>6</xdr:col>
      <xdr:colOff>323850</xdr:colOff>
      <xdr:row>18</xdr:row>
      <xdr:rowOff>104775</xdr:rowOff>
    </xdr:to>
    <xdr:sp macro="" textlink="">
      <xdr:nvSpPr>
        <xdr:cNvPr id="26" name="Text Box 45">
          <a:extLst>
            <a:ext uri="{FF2B5EF4-FFF2-40B4-BE49-F238E27FC236}">
              <a16:creationId xmlns:a16="http://schemas.microsoft.com/office/drawing/2014/main" id="{00000000-0008-0000-0000-00001A000000}"/>
            </a:ext>
          </a:extLst>
        </xdr:cNvPr>
        <xdr:cNvSpPr txBox="1">
          <a:spLocks noChangeArrowheads="1"/>
        </xdr:cNvSpPr>
      </xdr:nvSpPr>
      <xdr:spPr bwMode="auto">
        <a:xfrm>
          <a:off x="4872990" y="3242310"/>
          <a:ext cx="228600" cy="146685"/>
        </a:xfrm>
        <a:prstGeom prst="rect">
          <a:avLst/>
        </a:prstGeom>
        <a:noFill/>
        <a:ln>
          <a:noFill/>
        </a:ln>
      </xdr:spPr>
      <xdr:txBody>
        <a:bodyPr vertOverflow="clip" wrap="square" lIns="27432" tIns="22860" rIns="0" bIns="0" anchor="t" upright="1"/>
        <a:lstStyle/>
        <a:p>
          <a:pPr algn="l" rtl="0">
            <a:defRPr sz="1000"/>
          </a:pPr>
          <a:r>
            <a:rPr lang="en-US" sz="1000" b="0" i="0" u="none" strike="noStrike" baseline="0">
              <a:solidFill>
                <a:srgbClr val="0000FF"/>
              </a:solidFill>
              <a:latin typeface="Symbol"/>
            </a:rPr>
            <a:t>q </a:t>
          </a:r>
          <a:r>
            <a:rPr lang="en-US" sz="800" b="0" i="0" u="none" strike="noStrike" baseline="30000">
              <a:solidFill>
                <a:srgbClr val="0000FF"/>
              </a:solidFill>
              <a:latin typeface="Arial"/>
              <a:cs typeface="Arial"/>
            </a:rPr>
            <a:t>o</a:t>
          </a:r>
          <a:endParaRPr lang="en-US"/>
        </a:p>
      </xdr:txBody>
    </xdr:sp>
    <xdr:clientData/>
  </xdr:twoCellAnchor>
  <xdr:twoCellAnchor>
    <xdr:from>
      <xdr:col>6</xdr:col>
      <xdr:colOff>400050</xdr:colOff>
      <xdr:row>17</xdr:row>
      <xdr:rowOff>152400</xdr:rowOff>
    </xdr:from>
    <xdr:to>
      <xdr:col>6</xdr:col>
      <xdr:colOff>771525</xdr:colOff>
      <xdr:row>17</xdr:row>
      <xdr:rowOff>152400</xdr:rowOff>
    </xdr:to>
    <xdr:sp macro="" textlink="">
      <xdr:nvSpPr>
        <xdr:cNvPr id="27" name="Line 46">
          <a:extLst>
            <a:ext uri="{FF2B5EF4-FFF2-40B4-BE49-F238E27FC236}">
              <a16:creationId xmlns:a16="http://schemas.microsoft.com/office/drawing/2014/main" id="{00000000-0008-0000-0000-00001B000000}"/>
            </a:ext>
          </a:extLst>
        </xdr:cNvPr>
        <xdr:cNvSpPr>
          <a:spLocks noChangeShapeType="1"/>
        </xdr:cNvSpPr>
      </xdr:nvSpPr>
      <xdr:spPr bwMode="auto">
        <a:xfrm>
          <a:off x="5177790" y="3261360"/>
          <a:ext cx="371475" cy="0"/>
        </a:xfrm>
        <a:prstGeom prst="line">
          <a:avLst/>
        </a:prstGeom>
        <a:noFill/>
        <a:ln w="9525">
          <a:solidFill>
            <a:srgbClr val="000000"/>
          </a:solidFill>
          <a:round/>
          <a:headEnd/>
          <a:tailEnd/>
        </a:ln>
      </xdr:spPr>
    </xdr:sp>
    <xdr:clientData/>
  </xdr:twoCellAnchor>
  <xdr:twoCellAnchor>
    <xdr:from>
      <xdr:col>6</xdr:col>
      <xdr:colOff>542925</xdr:colOff>
      <xdr:row>17</xdr:row>
      <xdr:rowOff>152400</xdr:rowOff>
    </xdr:from>
    <xdr:to>
      <xdr:col>6</xdr:col>
      <xdr:colOff>542925</xdr:colOff>
      <xdr:row>21</xdr:row>
      <xdr:rowOff>95250</xdr:rowOff>
    </xdr:to>
    <xdr:sp macro="" textlink="">
      <xdr:nvSpPr>
        <xdr:cNvPr id="28" name="Line 47">
          <a:extLst>
            <a:ext uri="{FF2B5EF4-FFF2-40B4-BE49-F238E27FC236}">
              <a16:creationId xmlns:a16="http://schemas.microsoft.com/office/drawing/2014/main" id="{00000000-0008-0000-0000-00001C000000}"/>
            </a:ext>
          </a:extLst>
        </xdr:cNvPr>
        <xdr:cNvSpPr>
          <a:spLocks noChangeShapeType="1"/>
        </xdr:cNvSpPr>
      </xdr:nvSpPr>
      <xdr:spPr bwMode="auto">
        <a:xfrm>
          <a:off x="5320665" y="3261360"/>
          <a:ext cx="0" cy="636270"/>
        </a:xfrm>
        <a:prstGeom prst="line">
          <a:avLst/>
        </a:prstGeom>
        <a:noFill/>
        <a:ln w="9525">
          <a:solidFill>
            <a:srgbClr val="000000"/>
          </a:solidFill>
          <a:round/>
          <a:headEnd type="stealth" w="sm" len="sm"/>
          <a:tailEnd type="stealth" w="sm" len="sm"/>
        </a:ln>
      </xdr:spPr>
    </xdr:sp>
    <xdr:clientData/>
  </xdr:twoCellAnchor>
  <xdr:twoCellAnchor>
    <xdr:from>
      <xdr:col>6</xdr:col>
      <xdr:colOff>257175</xdr:colOff>
      <xdr:row>13</xdr:row>
      <xdr:rowOff>47625</xdr:rowOff>
    </xdr:from>
    <xdr:to>
      <xdr:col>6</xdr:col>
      <xdr:colOff>695325</xdr:colOff>
      <xdr:row>14</xdr:row>
      <xdr:rowOff>47625</xdr:rowOff>
    </xdr:to>
    <xdr:sp macro="" textlink="">
      <xdr:nvSpPr>
        <xdr:cNvPr id="29" name="Text Box 48">
          <a:extLst>
            <a:ext uri="{FF2B5EF4-FFF2-40B4-BE49-F238E27FC236}">
              <a16:creationId xmlns:a16="http://schemas.microsoft.com/office/drawing/2014/main" id="{00000000-0008-0000-0000-00001D000000}"/>
            </a:ext>
          </a:extLst>
        </xdr:cNvPr>
        <xdr:cNvSpPr txBox="1">
          <a:spLocks noChangeArrowheads="1"/>
        </xdr:cNvSpPr>
      </xdr:nvSpPr>
      <xdr:spPr bwMode="auto">
        <a:xfrm>
          <a:off x="5034915" y="2379345"/>
          <a:ext cx="438150" cy="175260"/>
        </a:xfrm>
        <a:prstGeom prst="rect">
          <a:avLst/>
        </a:prstGeom>
        <a:noFill/>
        <a:ln>
          <a:noFill/>
        </a:ln>
      </xdr:spPr>
      <xdr:txBody>
        <a:bodyPr vertOverflow="clip" wrap="square" lIns="27432" tIns="22860" rIns="0" bIns="0" anchor="t" upright="1"/>
        <a:lstStyle/>
        <a:p>
          <a:pPr algn="l" rtl="0">
            <a:defRPr sz="1000"/>
          </a:pPr>
          <a:r>
            <a:rPr lang="en-US" altLang="zh-TW" sz="900" b="0" i="0" u="none" strike="noStrike" baseline="0">
              <a:solidFill>
                <a:srgbClr val="0000FF"/>
              </a:solidFill>
              <a:latin typeface="Arial"/>
              <a:cs typeface="Arial"/>
            </a:rPr>
            <a:t>Lx</a:t>
          </a:r>
          <a:endParaRPr lang="en-US"/>
        </a:p>
      </xdr:txBody>
    </xdr:sp>
    <xdr:clientData/>
  </xdr:twoCellAnchor>
  <xdr:twoCellAnchor>
    <xdr:from>
      <xdr:col>7</xdr:col>
      <xdr:colOff>371475</xdr:colOff>
      <xdr:row>8</xdr:row>
      <xdr:rowOff>114300</xdr:rowOff>
    </xdr:from>
    <xdr:to>
      <xdr:col>7</xdr:col>
      <xdr:colOff>762000</xdr:colOff>
      <xdr:row>9</xdr:row>
      <xdr:rowOff>123825</xdr:rowOff>
    </xdr:to>
    <xdr:sp macro="" textlink="">
      <xdr:nvSpPr>
        <xdr:cNvPr id="30" name="Text Box 49">
          <a:extLst>
            <a:ext uri="{FF2B5EF4-FFF2-40B4-BE49-F238E27FC236}">
              <a16:creationId xmlns:a16="http://schemas.microsoft.com/office/drawing/2014/main" id="{00000000-0008-0000-0000-00001E000000}"/>
            </a:ext>
          </a:extLst>
        </xdr:cNvPr>
        <xdr:cNvSpPr txBox="1">
          <a:spLocks noChangeArrowheads="1"/>
        </xdr:cNvSpPr>
      </xdr:nvSpPr>
      <xdr:spPr bwMode="auto">
        <a:xfrm>
          <a:off x="5995035" y="1546860"/>
          <a:ext cx="390525" cy="20764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Ly</a:t>
          </a:r>
          <a:endParaRPr lang="en-US"/>
        </a:p>
      </xdr:txBody>
    </xdr:sp>
    <xdr:clientData/>
  </xdr:twoCellAnchor>
  <xdr:twoCellAnchor>
    <xdr:from>
      <xdr:col>4</xdr:col>
      <xdr:colOff>533400</xdr:colOff>
      <xdr:row>18</xdr:row>
      <xdr:rowOff>104775</xdr:rowOff>
    </xdr:from>
    <xdr:to>
      <xdr:col>5</xdr:col>
      <xdr:colOff>104775</xdr:colOff>
      <xdr:row>19</xdr:row>
      <xdr:rowOff>95250</xdr:rowOff>
    </xdr:to>
    <xdr:sp macro="" textlink="">
      <xdr:nvSpPr>
        <xdr:cNvPr id="31" name="Text Box 50">
          <a:extLst>
            <a:ext uri="{FF2B5EF4-FFF2-40B4-BE49-F238E27FC236}">
              <a16:creationId xmlns:a16="http://schemas.microsoft.com/office/drawing/2014/main" id="{00000000-0008-0000-0000-00001F000000}"/>
            </a:ext>
          </a:extLst>
        </xdr:cNvPr>
        <xdr:cNvSpPr txBox="1">
          <a:spLocks noChangeArrowheads="1"/>
        </xdr:cNvSpPr>
      </xdr:nvSpPr>
      <xdr:spPr bwMode="auto">
        <a:xfrm>
          <a:off x="4061460" y="3388995"/>
          <a:ext cx="196215" cy="16573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r</a:t>
          </a:r>
          <a:endParaRPr lang="en-US"/>
        </a:p>
      </xdr:txBody>
    </xdr:sp>
    <xdr:clientData/>
  </xdr:twoCellAnchor>
  <xdr:twoCellAnchor>
    <xdr:from>
      <xdr:col>7</xdr:col>
      <xdr:colOff>381000</xdr:colOff>
      <xdr:row>19</xdr:row>
      <xdr:rowOff>133350</xdr:rowOff>
    </xdr:from>
    <xdr:to>
      <xdr:col>7</xdr:col>
      <xdr:colOff>561975</xdr:colOff>
      <xdr:row>20</xdr:row>
      <xdr:rowOff>123825</xdr:rowOff>
    </xdr:to>
    <xdr:sp macro="" textlink="">
      <xdr:nvSpPr>
        <xdr:cNvPr id="32" name="Text Box 51">
          <a:extLst>
            <a:ext uri="{FF2B5EF4-FFF2-40B4-BE49-F238E27FC236}">
              <a16:creationId xmlns:a16="http://schemas.microsoft.com/office/drawing/2014/main" id="{00000000-0008-0000-0000-000020000000}"/>
            </a:ext>
          </a:extLst>
        </xdr:cNvPr>
        <xdr:cNvSpPr txBox="1">
          <a:spLocks noChangeArrowheads="1"/>
        </xdr:cNvSpPr>
      </xdr:nvSpPr>
      <xdr:spPr bwMode="auto">
        <a:xfrm>
          <a:off x="6004560" y="3592830"/>
          <a:ext cx="180975" cy="16573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e</a:t>
          </a:r>
          <a:endParaRPr lang="en-US"/>
        </a:p>
      </xdr:txBody>
    </xdr:sp>
    <xdr:clientData/>
  </xdr:twoCellAnchor>
  <xdr:twoCellAnchor>
    <xdr:from>
      <xdr:col>6</xdr:col>
      <xdr:colOff>542925</xdr:colOff>
      <xdr:row>19</xdr:row>
      <xdr:rowOff>38100</xdr:rowOff>
    </xdr:from>
    <xdr:to>
      <xdr:col>7</xdr:col>
      <xdr:colOff>142875</xdr:colOff>
      <xdr:row>20</xdr:row>
      <xdr:rowOff>47625</xdr:rowOff>
    </xdr:to>
    <xdr:sp macro="" textlink="">
      <xdr:nvSpPr>
        <xdr:cNvPr id="33" name="Text Box 52">
          <a:extLst>
            <a:ext uri="{FF2B5EF4-FFF2-40B4-BE49-F238E27FC236}">
              <a16:creationId xmlns:a16="http://schemas.microsoft.com/office/drawing/2014/main" id="{00000000-0008-0000-0000-000021000000}"/>
            </a:ext>
          </a:extLst>
        </xdr:cNvPr>
        <xdr:cNvSpPr txBox="1">
          <a:spLocks noChangeArrowheads="1"/>
        </xdr:cNvSpPr>
      </xdr:nvSpPr>
      <xdr:spPr bwMode="auto">
        <a:xfrm>
          <a:off x="5320665" y="3497580"/>
          <a:ext cx="445770" cy="18478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endParaRPr lang="en-US"/>
        </a:p>
      </xdr:txBody>
    </xdr:sp>
    <xdr:clientData/>
  </xdr:twoCellAnchor>
  <xdr:twoCellAnchor>
    <xdr:from>
      <xdr:col>6</xdr:col>
      <xdr:colOff>352425</xdr:colOff>
      <xdr:row>16</xdr:row>
      <xdr:rowOff>9525</xdr:rowOff>
    </xdr:from>
    <xdr:to>
      <xdr:col>6</xdr:col>
      <xdr:colOff>447675</xdr:colOff>
      <xdr:row>16</xdr:row>
      <xdr:rowOff>152400</xdr:rowOff>
    </xdr:to>
    <xdr:sp macro="" textlink="">
      <xdr:nvSpPr>
        <xdr:cNvPr id="34" name="Line 53">
          <a:extLst>
            <a:ext uri="{FF2B5EF4-FFF2-40B4-BE49-F238E27FC236}">
              <a16:creationId xmlns:a16="http://schemas.microsoft.com/office/drawing/2014/main" id="{00000000-0008-0000-0000-000022000000}"/>
            </a:ext>
          </a:extLst>
        </xdr:cNvPr>
        <xdr:cNvSpPr>
          <a:spLocks noChangeShapeType="1"/>
        </xdr:cNvSpPr>
      </xdr:nvSpPr>
      <xdr:spPr bwMode="auto">
        <a:xfrm flipV="1">
          <a:off x="5130165" y="2943225"/>
          <a:ext cx="95250" cy="142875"/>
        </a:xfrm>
        <a:prstGeom prst="line">
          <a:avLst/>
        </a:prstGeom>
        <a:noFill/>
        <a:ln w="9525">
          <a:solidFill>
            <a:srgbClr val="000000"/>
          </a:solidFill>
          <a:round/>
          <a:headEnd/>
          <a:tailEnd type="stealth" w="sm" len="sm"/>
        </a:ln>
      </xdr:spPr>
    </xdr:sp>
    <xdr:clientData/>
  </xdr:twoCellAnchor>
  <xdr:twoCellAnchor>
    <xdr:from>
      <xdr:col>6</xdr:col>
      <xdr:colOff>466725</xdr:colOff>
      <xdr:row>16</xdr:row>
      <xdr:rowOff>76200</xdr:rowOff>
    </xdr:from>
    <xdr:to>
      <xdr:col>6</xdr:col>
      <xdr:colOff>561975</xdr:colOff>
      <xdr:row>17</xdr:row>
      <xdr:rowOff>57150</xdr:rowOff>
    </xdr:to>
    <xdr:sp macro="" textlink="">
      <xdr:nvSpPr>
        <xdr:cNvPr id="35" name="Line 54">
          <a:extLst>
            <a:ext uri="{FF2B5EF4-FFF2-40B4-BE49-F238E27FC236}">
              <a16:creationId xmlns:a16="http://schemas.microsoft.com/office/drawing/2014/main" id="{00000000-0008-0000-0000-000023000000}"/>
            </a:ext>
          </a:extLst>
        </xdr:cNvPr>
        <xdr:cNvSpPr>
          <a:spLocks noChangeShapeType="1"/>
        </xdr:cNvSpPr>
      </xdr:nvSpPr>
      <xdr:spPr bwMode="auto">
        <a:xfrm flipV="1">
          <a:off x="5244465" y="3009900"/>
          <a:ext cx="95250" cy="156210"/>
        </a:xfrm>
        <a:prstGeom prst="line">
          <a:avLst/>
        </a:prstGeom>
        <a:noFill/>
        <a:ln w="9525">
          <a:solidFill>
            <a:srgbClr val="000000"/>
          </a:solidFill>
          <a:round/>
          <a:headEnd/>
          <a:tailEnd type="stealth" w="sm" len="sm"/>
        </a:ln>
      </xdr:spPr>
    </xdr:sp>
    <xdr:clientData/>
  </xdr:twoCellAnchor>
  <xdr:twoCellAnchor>
    <xdr:from>
      <xdr:col>6</xdr:col>
      <xdr:colOff>800100</xdr:colOff>
      <xdr:row>17</xdr:row>
      <xdr:rowOff>114300</xdr:rowOff>
    </xdr:from>
    <xdr:to>
      <xdr:col>7</xdr:col>
      <xdr:colOff>76200</xdr:colOff>
      <xdr:row>18</xdr:row>
      <xdr:rowOff>95250</xdr:rowOff>
    </xdr:to>
    <xdr:sp macro="" textlink="">
      <xdr:nvSpPr>
        <xdr:cNvPr id="36" name="Line 55">
          <a:extLst>
            <a:ext uri="{FF2B5EF4-FFF2-40B4-BE49-F238E27FC236}">
              <a16:creationId xmlns:a16="http://schemas.microsoft.com/office/drawing/2014/main" id="{00000000-0008-0000-0000-000024000000}"/>
            </a:ext>
          </a:extLst>
        </xdr:cNvPr>
        <xdr:cNvSpPr>
          <a:spLocks noChangeShapeType="1"/>
        </xdr:cNvSpPr>
      </xdr:nvSpPr>
      <xdr:spPr bwMode="auto">
        <a:xfrm flipV="1">
          <a:off x="5577840" y="3223260"/>
          <a:ext cx="121920" cy="156210"/>
        </a:xfrm>
        <a:prstGeom prst="line">
          <a:avLst/>
        </a:prstGeom>
        <a:noFill/>
        <a:ln w="9525">
          <a:solidFill>
            <a:srgbClr val="000000"/>
          </a:solidFill>
          <a:round/>
          <a:headEnd/>
          <a:tailEnd type="stealth" w="sm" len="sm"/>
        </a:ln>
      </xdr:spPr>
    </xdr:sp>
    <xdr:clientData/>
  </xdr:twoCellAnchor>
  <xdr:twoCellAnchor>
    <xdr:from>
      <xdr:col>7</xdr:col>
      <xdr:colOff>114300</xdr:colOff>
      <xdr:row>18</xdr:row>
      <xdr:rowOff>28575</xdr:rowOff>
    </xdr:from>
    <xdr:to>
      <xdr:col>7</xdr:col>
      <xdr:colOff>209550</xdr:colOff>
      <xdr:row>19</xdr:row>
      <xdr:rowOff>9525</xdr:rowOff>
    </xdr:to>
    <xdr:sp macro="" textlink="">
      <xdr:nvSpPr>
        <xdr:cNvPr id="37" name="Line 56">
          <a:extLst>
            <a:ext uri="{FF2B5EF4-FFF2-40B4-BE49-F238E27FC236}">
              <a16:creationId xmlns:a16="http://schemas.microsoft.com/office/drawing/2014/main" id="{00000000-0008-0000-0000-000025000000}"/>
            </a:ext>
          </a:extLst>
        </xdr:cNvPr>
        <xdr:cNvSpPr>
          <a:spLocks noChangeShapeType="1"/>
        </xdr:cNvSpPr>
      </xdr:nvSpPr>
      <xdr:spPr bwMode="auto">
        <a:xfrm flipV="1">
          <a:off x="5737860" y="3312795"/>
          <a:ext cx="95250" cy="156210"/>
        </a:xfrm>
        <a:prstGeom prst="line">
          <a:avLst/>
        </a:prstGeom>
        <a:noFill/>
        <a:ln w="9525">
          <a:solidFill>
            <a:srgbClr val="000000"/>
          </a:solidFill>
          <a:round/>
          <a:headEnd/>
          <a:tailEnd type="stealth" w="sm" len="sm"/>
        </a:ln>
      </xdr:spPr>
    </xdr:sp>
    <xdr:clientData/>
  </xdr:twoCellAnchor>
  <xdr:twoCellAnchor>
    <xdr:from>
      <xdr:col>6</xdr:col>
      <xdr:colOff>571500</xdr:colOff>
      <xdr:row>16</xdr:row>
      <xdr:rowOff>142875</xdr:rowOff>
    </xdr:from>
    <xdr:to>
      <xdr:col>6</xdr:col>
      <xdr:colOff>666750</xdr:colOff>
      <xdr:row>17</xdr:row>
      <xdr:rowOff>123825</xdr:rowOff>
    </xdr:to>
    <xdr:sp macro="" textlink="">
      <xdr:nvSpPr>
        <xdr:cNvPr id="38" name="Line 57">
          <a:extLst>
            <a:ext uri="{FF2B5EF4-FFF2-40B4-BE49-F238E27FC236}">
              <a16:creationId xmlns:a16="http://schemas.microsoft.com/office/drawing/2014/main" id="{00000000-0008-0000-0000-000026000000}"/>
            </a:ext>
          </a:extLst>
        </xdr:cNvPr>
        <xdr:cNvSpPr>
          <a:spLocks noChangeShapeType="1"/>
        </xdr:cNvSpPr>
      </xdr:nvSpPr>
      <xdr:spPr bwMode="auto">
        <a:xfrm flipV="1">
          <a:off x="5349240" y="3076575"/>
          <a:ext cx="95250" cy="156210"/>
        </a:xfrm>
        <a:prstGeom prst="line">
          <a:avLst/>
        </a:prstGeom>
        <a:noFill/>
        <a:ln w="9525">
          <a:solidFill>
            <a:srgbClr val="000000"/>
          </a:solidFill>
          <a:round/>
          <a:headEnd/>
          <a:tailEnd type="stealth" w="sm" len="sm"/>
        </a:ln>
      </xdr:spPr>
    </xdr:sp>
    <xdr:clientData/>
  </xdr:twoCellAnchor>
  <xdr:twoCellAnchor>
    <xdr:from>
      <xdr:col>5</xdr:col>
      <xdr:colOff>514350</xdr:colOff>
      <xdr:row>17</xdr:row>
      <xdr:rowOff>47625</xdr:rowOff>
    </xdr:from>
    <xdr:to>
      <xdr:col>6</xdr:col>
      <xdr:colOff>0</xdr:colOff>
      <xdr:row>18</xdr:row>
      <xdr:rowOff>28575</xdr:rowOff>
    </xdr:to>
    <xdr:sp macro="" textlink="">
      <xdr:nvSpPr>
        <xdr:cNvPr id="39" name="Line 58">
          <a:extLst>
            <a:ext uri="{FF2B5EF4-FFF2-40B4-BE49-F238E27FC236}">
              <a16:creationId xmlns:a16="http://schemas.microsoft.com/office/drawing/2014/main" id="{00000000-0008-0000-0000-000027000000}"/>
            </a:ext>
          </a:extLst>
        </xdr:cNvPr>
        <xdr:cNvSpPr>
          <a:spLocks noChangeShapeType="1"/>
        </xdr:cNvSpPr>
      </xdr:nvSpPr>
      <xdr:spPr bwMode="auto">
        <a:xfrm flipH="1" flipV="1">
          <a:off x="4667250" y="3156585"/>
          <a:ext cx="110490" cy="156210"/>
        </a:xfrm>
        <a:prstGeom prst="line">
          <a:avLst/>
        </a:prstGeom>
        <a:noFill/>
        <a:ln w="9525">
          <a:solidFill>
            <a:srgbClr val="000000"/>
          </a:solidFill>
          <a:round/>
          <a:headEnd type="stealth"/>
          <a:tailEnd type="none" w="sm" len="sm"/>
        </a:ln>
      </xdr:spPr>
    </xdr:sp>
    <xdr:clientData/>
  </xdr:twoCellAnchor>
  <xdr:twoCellAnchor>
    <xdr:from>
      <xdr:col>5</xdr:col>
      <xdr:colOff>400050</xdr:colOff>
      <xdr:row>17</xdr:row>
      <xdr:rowOff>123825</xdr:rowOff>
    </xdr:from>
    <xdr:to>
      <xdr:col>5</xdr:col>
      <xdr:colOff>495300</xdr:colOff>
      <xdr:row>18</xdr:row>
      <xdr:rowOff>104775</xdr:rowOff>
    </xdr:to>
    <xdr:sp macro="" textlink="">
      <xdr:nvSpPr>
        <xdr:cNvPr id="40" name="Line 59">
          <a:extLst>
            <a:ext uri="{FF2B5EF4-FFF2-40B4-BE49-F238E27FC236}">
              <a16:creationId xmlns:a16="http://schemas.microsoft.com/office/drawing/2014/main" id="{00000000-0008-0000-0000-000028000000}"/>
            </a:ext>
          </a:extLst>
        </xdr:cNvPr>
        <xdr:cNvSpPr>
          <a:spLocks noChangeShapeType="1"/>
        </xdr:cNvSpPr>
      </xdr:nvSpPr>
      <xdr:spPr bwMode="auto">
        <a:xfrm flipH="1" flipV="1">
          <a:off x="4552950" y="3232785"/>
          <a:ext cx="95250" cy="156210"/>
        </a:xfrm>
        <a:prstGeom prst="line">
          <a:avLst/>
        </a:prstGeom>
        <a:noFill/>
        <a:ln w="9525">
          <a:solidFill>
            <a:srgbClr val="000000"/>
          </a:solidFill>
          <a:round/>
          <a:headEnd type="stealth"/>
          <a:tailEnd type="none" w="sm" len="sm"/>
        </a:ln>
      </xdr:spPr>
    </xdr:sp>
    <xdr:clientData/>
  </xdr:twoCellAnchor>
  <xdr:twoCellAnchor>
    <xdr:from>
      <xdr:col>5</xdr:col>
      <xdr:colOff>285750</xdr:colOff>
      <xdr:row>18</xdr:row>
      <xdr:rowOff>28575</xdr:rowOff>
    </xdr:from>
    <xdr:to>
      <xdr:col>5</xdr:col>
      <xdr:colOff>381000</xdr:colOff>
      <xdr:row>19</xdr:row>
      <xdr:rowOff>9525</xdr:rowOff>
    </xdr:to>
    <xdr:sp macro="" textlink="">
      <xdr:nvSpPr>
        <xdr:cNvPr id="41" name="Line 60">
          <a:extLst>
            <a:ext uri="{FF2B5EF4-FFF2-40B4-BE49-F238E27FC236}">
              <a16:creationId xmlns:a16="http://schemas.microsoft.com/office/drawing/2014/main" id="{00000000-0008-0000-0000-000029000000}"/>
            </a:ext>
          </a:extLst>
        </xdr:cNvPr>
        <xdr:cNvSpPr>
          <a:spLocks noChangeShapeType="1"/>
        </xdr:cNvSpPr>
      </xdr:nvSpPr>
      <xdr:spPr bwMode="auto">
        <a:xfrm flipH="1" flipV="1">
          <a:off x="4438650" y="3312795"/>
          <a:ext cx="95250" cy="156210"/>
        </a:xfrm>
        <a:prstGeom prst="line">
          <a:avLst/>
        </a:prstGeom>
        <a:noFill/>
        <a:ln w="9525">
          <a:solidFill>
            <a:srgbClr val="000000"/>
          </a:solidFill>
          <a:round/>
          <a:headEnd type="stealth"/>
          <a:tailEnd type="none" w="sm" len="sm"/>
        </a:ln>
      </xdr:spPr>
    </xdr:sp>
    <xdr:clientData/>
  </xdr:twoCellAnchor>
  <xdr:twoCellAnchor>
    <xdr:from>
      <xdr:col>6</xdr:col>
      <xdr:colOff>257175</xdr:colOff>
      <xdr:row>16</xdr:row>
      <xdr:rowOff>9525</xdr:rowOff>
    </xdr:from>
    <xdr:to>
      <xdr:col>6</xdr:col>
      <xdr:colOff>352425</xdr:colOff>
      <xdr:row>16</xdr:row>
      <xdr:rowOff>152400</xdr:rowOff>
    </xdr:to>
    <xdr:sp macro="" textlink="">
      <xdr:nvSpPr>
        <xdr:cNvPr id="42" name="Line 61">
          <a:extLst>
            <a:ext uri="{FF2B5EF4-FFF2-40B4-BE49-F238E27FC236}">
              <a16:creationId xmlns:a16="http://schemas.microsoft.com/office/drawing/2014/main" id="{00000000-0008-0000-0000-00002A000000}"/>
            </a:ext>
          </a:extLst>
        </xdr:cNvPr>
        <xdr:cNvSpPr>
          <a:spLocks noChangeShapeType="1"/>
        </xdr:cNvSpPr>
      </xdr:nvSpPr>
      <xdr:spPr bwMode="auto">
        <a:xfrm flipH="1" flipV="1">
          <a:off x="5034915" y="2943225"/>
          <a:ext cx="95250" cy="142875"/>
        </a:xfrm>
        <a:prstGeom prst="line">
          <a:avLst/>
        </a:prstGeom>
        <a:noFill/>
        <a:ln w="9525">
          <a:solidFill>
            <a:srgbClr val="000000"/>
          </a:solidFill>
          <a:round/>
          <a:headEnd type="stealth"/>
          <a:tailEnd type="none" w="sm" len="sm"/>
        </a:ln>
      </xdr:spPr>
    </xdr:sp>
    <xdr:clientData/>
  </xdr:twoCellAnchor>
  <xdr:twoCellAnchor>
    <xdr:from>
      <xdr:col>6</xdr:col>
      <xdr:colOff>133350</xdr:colOff>
      <xdr:row>16</xdr:row>
      <xdr:rowOff>76200</xdr:rowOff>
    </xdr:from>
    <xdr:to>
      <xdr:col>6</xdr:col>
      <xdr:colOff>228600</xdr:colOff>
      <xdr:row>17</xdr:row>
      <xdr:rowOff>57150</xdr:rowOff>
    </xdr:to>
    <xdr:sp macro="" textlink="">
      <xdr:nvSpPr>
        <xdr:cNvPr id="43" name="Line 62">
          <a:extLst>
            <a:ext uri="{FF2B5EF4-FFF2-40B4-BE49-F238E27FC236}">
              <a16:creationId xmlns:a16="http://schemas.microsoft.com/office/drawing/2014/main" id="{00000000-0008-0000-0000-00002B000000}"/>
            </a:ext>
          </a:extLst>
        </xdr:cNvPr>
        <xdr:cNvSpPr>
          <a:spLocks noChangeShapeType="1"/>
        </xdr:cNvSpPr>
      </xdr:nvSpPr>
      <xdr:spPr bwMode="auto">
        <a:xfrm flipH="1" flipV="1">
          <a:off x="4911090" y="3009900"/>
          <a:ext cx="95250" cy="156210"/>
        </a:xfrm>
        <a:prstGeom prst="line">
          <a:avLst/>
        </a:prstGeom>
        <a:noFill/>
        <a:ln w="9525">
          <a:solidFill>
            <a:srgbClr val="000000"/>
          </a:solidFill>
          <a:round/>
          <a:headEnd type="stealth"/>
          <a:tailEnd type="none" w="sm" len="sm"/>
        </a:ln>
      </xdr:spPr>
    </xdr:sp>
    <xdr:clientData/>
  </xdr:twoCellAnchor>
  <xdr:twoCellAnchor>
    <xdr:from>
      <xdr:col>6</xdr:col>
      <xdr:colOff>28575</xdr:colOff>
      <xdr:row>16</xdr:row>
      <xdr:rowOff>142875</xdr:rowOff>
    </xdr:from>
    <xdr:to>
      <xdr:col>6</xdr:col>
      <xdr:colOff>123825</xdr:colOff>
      <xdr:row>17</xdr:row>
      <xdr:rowOff>123825</xdr:rowOff>
    </xdr:to>
    <xdr:sp macro="" textlink="">
      <xdr:nvSpPr>
        <xdr:cNvPr id="44" name="Line 63">
          <a:extLst>
            <a:ext uri="{FF2B5EF4-FFF2-40B4-BE49-F238E27FC236}">
              <a16:creationId xmlns:a16="http://schemas.microsoft.com/office/drawing/2014/main" id="{00000000-0008-0000-0000-00002C000000}"/>
            </a:ext>
          </a:extLst>
        </xdr:cNvPr>
        <xdr:cNvSpPr>
          <a:spLocks noChangeShapeType="1"/>
        </xdr:cNvSpPr>
      </xdr:nvSpPr>
      <xdr:spPr bwMode="auto">
        <a:xfrm flipH="1" flipV="1">
          <a:off x="4806315" y="3076575"/>
          <a:ext cx="95250" cy="156210"/>
        </a:xfrm>
        <a:prstGeom prst="line">
          <a:avLst/>
        </a:prstGeom>
        <a:noFill/>
        <a:ln w="9525">
          <a:solidFill>
            <a:srgbClr val="000000"/>
          </a:solidFill>
          <a:round/>
          <a:headEnd type="stealth"/>
          <a:tailEnd type="none" w="sm" len="sm"/>
        </a:ln>
      </xdr:spPr>
    </xdr:sp>
    <xdr:clientData/>
  </xdr:twoCellAnchor>
  <xdr:twoCellAnchor>
    <xdr:from>
      <xdr:col>5</xdr:col>
      <xdr:colOff>219075</xdr:colOff>
      <xdr:row>20</xdr:row>
      <xdr:rowOff>123825</xdr:rowOff>
    </xdr:from>
    <xdr:to>
      <xdr:col>5</xdr:col>
      <xdr:colOff>381000</xdr:colOff>
      <xdr:row>20</xdr:row>
      <xdr:rowOff>123825</xdr:rowOff>
    </xdr:to>
    <xdr:sp macro="" textlink="">
      <xdr:nvSpPr>
        <xdr:cNvPr id="45" name="Line 64">
          <a:extLst>
            <a:ext uri="{FF2B5EF4-FFF2-40B4-BE49-F238E27FC236}">
              <a16:creationId xmlns:a16="http://schemas.microsoft.com/office/drawing/2014/main" id="{00000000-0008-0000-0000-00002D000000}"/>
            </a:ext>
          </a:extLst>
        </xdr:cNvPr>
        <xdr:cNvSpPr>
          <a:spLocks noChangeShapeType="1"/>
        </xdr:cNvSpPr>
      </xdr:nvSpPr>
      <xdr:spPr bwMode="auto">
        <a:xfrm>
          <a:off x="4371975" y="375856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21</xdr:row>
      <xdr:rowOff>95250</xdr:rowOff>
    </xdr:from>
    <xdr:to>
      <xdr:col>5</xdr:col>
      <xdr:colOff>381000</xdr:colOff>
      <xdr:row>21</xdr:row>
      <xdr:rowOff>95250</xdr:rowOff>
    </xdr:to>
    <xdr:sp macro="" textlink="">
      <xdr:nvSpPr>
        <xdr:cNvPr id="46" name="Line 65">
          <a:extLst>
            <a:ext uri="{FF2B5EF4-FFF2-40B4-BE49-F238E27FC236}">
              <a16:creationId xmlns:a16="http://schemas.microsoft.com/office/drawing/2014/main" id="{00000000-0008-0000-0000-00002E000000}"/>
            </a:ext>
          </a:extLst>
        </xdr:cNvPr>
        <xdr:cNvSpPr>
          <a:spLocks noChangeShapeType="1"/>
        </xdr:cNvSpPr>
      </xdr:nvSpPr>
      <xdr:spPr bwMode="auto">
        <a:xfrm>
          <a:off x="4371975" y="389763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19</xdr:row>
      <xdr:rowOff>142875</xdr:rowOff>
    </xdr:from>
    <xdr:to>
      <xdr:col>5</xdr:col>
      <xdr:colOff>381000</xdr:colOff>
      <xdr:row>19</xdr:row>
      <xdr:rowOff>142875</xdr:rowOff>
    </xdr:to>
    <xdr:sp macro="" textlink="">
      <xdr:nvSpPr>
        <xdr:cNvPr id="47" name="Line 66">
          <a:extLst>
            <a:ext uri="{FF2B5EF4-FFF2-40B4-BE49-F238E27FC236}">
              <a16:creationId xmlns:a16="http://schemas.microsoft.com/office/drawing/2014/main" id="{00000000-0008-0000-0000-00002F000000}"/>
            </a:ext>
          </a:extLst>
        </xdr:cNvPr>
        <xdr:cNvSpPr>
          <a:spLocks noChangeShapeType="1"/>
        </xdr:cNvSpPr>
      </xdr:nvSpPr>
      <xdr:spPr bwMode="auto">
        <a:xfrm>
          <a:off x="4371975" y="360235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19</xdr:row>
      <xdr:rowOff>9525</xdr:rowOff>
    </xdr:from>
    <xdr:to>
      <xdr:col>5</xdr:col>
      <xdr:colOff>381000</xdr:colOff>
      <xdr:row>19</xdr:row>
      <xdr:rowOff>9525</xdr:rowOff>
    </xdr:to>
    <xdr:sp macro="" textlink="">
      <xdr:nvSpPr>
        <xdr:cNvPr id="48" name="Line 67">
          <a:extLst>
            <a:ext uri="{FF2B5EF4-FFF2-40B4-BE49-F238E27FC236}">
              <a16:creationId xmlns:a16="http://schemas.microsoft.com/office/drawing/2014/main" id="{00000000-0008-0000-0000-000030000000}"/>
            </a:ext>
          </a:extLst>
        </xdr:cNvPr>
        <xdr:cNvSpPr>
          <a:spLocks noChangeShapeType="1"/>
        </xdr:cNvSpPr>
      </xdr:nvSpPr>
      <xdr:spPr bwMode="auto">
        <a:xfrm>
          <a:off x="4371975" y="3469005"/>
          <a:ext cx="161925" cy="0"/>
        </a:xfrm>
        <a:prstGeom prst="line">
          <a:avLst/>
        </a:prstGeom>
        <a:noFill/>
        <a:ln w="9525">
          <a:solidFill>
            <a:srgbClr val="000000"/>
          </a:solidFill>
          <a:round/>
          <a:headEnd/>
          <a:tailEnd type="stealth" w="sm" len="sm"/>
        </a:ln>
      </xdr:spPr>
    </xdr:sp>
    <xdr:clientData/>
  </xdr:twoCellAnchor>
  <xdr:twoCellAnchor>
    <xdr:from>
      <xdr:col>7</xdr:col>
      <xdr:colOff>114300</xdr:colOff>
      <xdr:row>21</xdr:row>
      <xdr:rowOff>95250</xdr:rowOff>
    </xdr:from>
    <xdr:to>
      <xdr:col>7</xdr:col>
      <xdr:colOff>209550</xdr:colOff>
      <xdr:row>21</xdr:row>
      <xdr:rowOff>95250</xdr:rowOff>
    </xdr:to>
    <xdr:sp macro="" textlink="">
      <xdr:nvSpPr>
        <xdr:cNvPr id="49" name="Line 68">
          <a:extLst>
            <a:ext uri="{FF2B5EF4-FFF2-40B4-BE49-F238E27FC236}">
              <a16:creationId xmlns:a16="http://schemas.microsoft.com/office/drawing/2014/main" id="{00000000-0008-0000-0000-000031000000}"/>
            </a:ext>
          </a:extLst>
        </xdr:cNvPr>
        <xdr:cNvSpPr>
          <a:spLocks noChangeShapeType="1"/>
        </xdr:cNvSpPr>
      </xdr:nvSpPr>
      <xdr:spPr bwMode="auto">
        <a:xfrm>
          <a:off x="5737860" y="389763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20</xdr:row>
      <xdr:rowOff>123825</xdr:rowOff>
    </xdr:from>
    <xdr:to>
      <xdr:col>7</xdr:col>
      <xdr:colOff>209550</xdr:colOff>
      <xdr:row>20</xdr:row>
      <xdr:rowOff>123825</xdr:rowOff>
    </xdr:to>
    <xdr:sp macro="" textlink="">
      <xdr:nvSpPr>
        <xdr:cNvPr id="50" name="Line 69">
          <a:extLst>
            <a:ext uri="{FF2B5EF4-FFF2-40B4-BE49-F238E27FC236}">
              <a16:creationId xmlns:a16="http://schemas.microsoft.com/office/drawing/2014/main" id="{00000000-0008-0000-0000-000032000000}"/>
            </a:ext>
          </a:extLst>
        </xdr:cNvPr>
        <xdr:cNvSpPr>
          <a:spLocks noChangeShapeType="1"/>
        </xdr:cNvSpPr>
      </xdr:nvSpPr>
      <xdr:spPr bwMode="auto">
        <a:xfrm>
          <a:off x="5737860" y="375856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19</xdr:row>
      <xdr:rowOff>142875</xdr:rowOff>
    </xdr:from>
    <xdr:to>
      <xdr:col>7</xdr:col>
      <xdr:colOff>209550</xdr:colOff>
      <xdr:row>19</xdr:row>
      <xdr:rowOff>142875</xdr:rowOff>
    </xdr:to>
    <xdr:sp macro="" textlink="">
      <xdr:nvSpPr>
        <xdr:cNvPr id="51" name="Line 70">
          <a:extLst>
            <a:ext uri="{FF2B5EF4-FFF2-40B4-BE49-F238E27FC236}">
              <a16:creationId xmlns:a16="http://schemas.microsoft.com/office/drawing/2014/main" id="{00000000-0008-0000-0000-000033000000}"/>
            </a:ext>
          </a:extLst>
        </xdr:cNvPr>
        <xdr:cNvSpPr>
          <a:spLocks noChangeShapeType="1"/>
        </xdr:cNvSpPr>
      </xdr:nvSpPr>
      <xdr:spPr bwMode="auto">
        <a:xfrm>
          <a:off x="5737860" y="3602355"/>
          <a:ext cx="95250" cy="0"/>
        </a:xfrm>
        <a:prstGeom prst="line">
          <a:avLst/>
        </a:prstGeom>
        <a:noFill/>
        <a:ln w="9525">
          <a:solidFill>
            <a:srgbClr val="000000"/>
          </a:solidFill>
          <a:round/>
          <a:headEnd/>
          <a:tailEnd type="stealth" w="med" len="sm"/>
        </a:ln>
      </xdr:spPr>
    </xdr:sp>
    <xdr:clientData/>
  </xdr:twoCellAnchor>
  <xdr:twoCellAnchor>
    <xdr:from>
      <xdr:col>7</xdr:col>
      <xdr:colOff>123825</xdr:colOff>
      <xdr:row>19</xdr:row>
      <xdr:rowOff>9525</xdr:rowOff>
    </xdr:from>
    <xdr:to>
      <xdr:col>7</xdr:col>
      <xdr:colOff>219075</xdr:colOff>
      <xdr:row>19</xdr:row>
      <xdr:rowOff>9525</xdr:rowOff>
    </xdr:to>
    <xdr:sp macro="" textlink="">
      <xdr:nvSpPr>
        <xdr:cNvPr id="52" name="Line 71">
          <a:extLst>
            <a:ext uri="{FF2B5EF4-FFF2-40B4-BE49-F238E27FC236}">
              <a16:creationId xmlns:a16="http://schemas.microsoft.com/office/drawing/2014/main" id="{00000000-0008-0000-0000-000034000000}"/>
            </a:ext>
          </a:extLst>
        </xdr:cNvPr>
        <xdr:cNvSpPr>
          <a:spLocks noChangeShapeType="1"/>
        </xdr:cNvSpPr>
      </xdr:nvSpPr>
      <xdr:spPr bwMode="auto">
        <a:xfrm>
          <a:off x="5747385" y="3469005"/>
          <a:ext cx="95250" cy="0"/>
        </a:xfrm>
        <a:prstGeom prst="line">
          <a:avLst/>
        </a:prstGeom>
        <a:noFill/>
        <a:ln w="9525">
          <a:solidFill>
            <a:srgbClr val="000000"/>
          </a:solidFill>
          <a:round/>
          <a:headEnd/>
          <a:tailEnd type="stealth" w="sm" len="sm"/>
        </a:ln>
      </xdr:spPr>
    </xdr:sp>
    <xdr:clientData/>
  </xdr:twoCellAnchor>
  <xdr:twoCellAnchor>
    <xdr:from>
      <xdr:col>6</xdr:col>
      <xdr:colOff>676275</xdr:colOff>
      <xdr:row>17</xdr:row>
      <xdr:rowOff>38100</xdr:rowOff>
    </xdr:from>
    <xdr:to>
      <xdr:col>6</xdr:col>
      <xdr:colOff>771525</xdr:colOff>
      <xdr:row>18</xdr:row>
      <xdr:rowOff>19050</xdr:rowOff>
    </xdr:to>
    <xdr:sp macro="" textlink="">
      <xdr:nvSpPr>
        <xdr:cNvPr id="53" name="Line 72">
          <a:extLst>
            <a:ext uri="{FF2B5EF4-FFF2-40B4-BE49-F238E27FC236}">
              <a16:creationId xmlns:a16="http://schemas.microsoft.com/office/drawing/2014/main" id="{00000000-0008-0000-0000-000035000000}"/>
            </a:ext>
          </a:extLst>
        </xdr:cNvPr>
        <xdr:cNvSpPr>
          <a:spLocks noChangeShapeType="1"/>
        </xdr:cNvSpPr>
      </xdr:nvSpPr>
      <xdr:spPr bwMode="auto">
        <a:xfrm flipV="1">
          <a:off x="5454015" y="3147060"/>
          <a:ext cx="95250" cy="156210"/>
        </a:xfrm>
        <a:prstGeom prst="line">
          <a:avLst/>
        </a:prstGeom>
        <a:noFill/>
        <a:ln w="9525">
          <a:solidFill>
            <a:srgbClr val="000000"/>
          </a:solidFill>
          <a:round/>
          <a:headEnd/>
          <a:tailEnd type="stealth" w="sm" len="sm"/>
        </a:ln>
      </xdr:spPr>
    </xdr:sp>
    <xdr:clientData/>
  </xdr:twoCellAnchor>
  <xdr:twoCellAnchor>
    <xdr:from>
      <xdr:col>5</xdr:col>
      <xdr:colOff>219075</xdr:colOff>
      <xdr:row>19</xdr:row>
      <xdr:rowOff>9525</xdr:rowOff>
    </xdr:from>
    <xdr:to>
      <xdr:col>5</xdr:col>
      <xdr:colOff>219075</xdr:colOff>
      <xdr:row>21</xdr:row>
      <xdr:rowOff>95250</xdr:rowOff>
    </xdr:to>
    <xdr:sp macro="" textlink="">
      <xdr:nvSpPr>
        <xdr:cNvPr id="54" name="Line 73">
          <a:extLst>
            <a:ext uri="{FF2B5EF4-FFF2-40B4-BE49-F238E27FC236}">
              <a16:creationId xmlns:a16="http://schemas.microsoft.com/office/drawing/2014/main" id="{00000000-0008-0000-0000-000036000000}"/>
            </a:ext>
          </a:extLst>
        </xdr:cNvPr>
        <xdr:cNvSpPr>
          <a:spLocks noChangeShapeType="1"/>
        </xdr:cNvSpPr>
      </xdr:nvSpPr>
      <xdr:spPr bwMode="auto">
        <a:xfrm>
          <a:off x="4371975" y="3469005"/>
          <a:ext cx="0" cy="428625"/>
        </a:xfrm>
        <a:prstGeom prst="line">
          <a:avLst/>
        </a:prstGeom>
        <a:noFill/>
        <a:ln w="9525">
          <a:solidFill>
            <a:srgbClr val="000000"/>
          </a:solidFill>
          <a:round/>
          <a:headEnd/>
          <a:tailEnd/>
        </a:ln>
      </xdr:spPr>
    </xdr:sp>
    <xdr:clientData/>
  </xdr:twoCellAnchor>
  <xdr:twoCellAnchor>
    <xdr:from>
      <xdr:col>7</xdr:col>
      <xdr:colOff>209550</xdr:colOff>
      <xdr:row>19</xdr:row>
      <xdr:rowOff>9525</xdr:rowOff>
    </xdr:from>
    <xdr:to>
      <xdr:col>7</xdr:col>
      <xdr:colOff>209550</xdr:colOff>
      <xdr:row>21</xdr:row>
      <xdr:rowOff>95250</xdr:rowOff>
    </xdr:to>
    <xdr:sp macro="" textlink="">
      <xdr:nvSpPr>
        <xdr:cNvPr id="55" name="Line 74">
          <a:extLst>
            <a:ext uri="{FF2B5EF4-FFF2-40B4-BE49-F238E27FC236}">
              <a16:creationId xmlns:a16="http://schemas.microsoft.com/office/drawing/2014/main" id="{00000000-0008-0000-0000-000037000000}"/>
            </a:ext>
          </a:extLst>
        </xdr:cNvPr>
        <xdr:cNvSpPr>
          <a:spLocks noChangeShapeType="1"/>
        </xdr:cNvSpPr>
      </xdr:nvSpPr>
      <xdr:spPr bwMode="auto">
        <a:xfrm>
          <a:off x="5833110" y="3469005"/>
          <a:ext cx="0" cy="428625"/>
        </a:xfrm>
        <a:prstGeom prst="line">
          <a:avLst/>
        </a:prstGeom>
        <a:noFill/>
        <a:ln w="9525">
          <a:solidFill>
            <a:srgbClr val="000000"/>
          </a:solidFill>
          <a:round/>
          <a:headEnd/>
          <a:tailEnd/>
        </a:ln>
      </xdr:spPr>
    </xdr:sp>
    <xdr:clientData/>
  </xdr:twoCellAnchor>
  <xdr:twoCellAnchor>
    <xdr:from>
      <xdr:col>5</xdr:col>
      <xdr:colOff>285750</xdr:colOff>
      <xdr:row>16</xdr:row>
      <xdr:rowOff>9525</xdr:rowOff>
    </xdr:from>
    <xdr:to>
      <xdr:col>6</xdr:col>
      <xdr:colOff>257175</xdr:colOff>
      <xdr:row>18</xdr:row>
      <xdr:rowOff>28575</xdr:rowOff>
    </xdr:to>
    <xdr:sp macro="" textlink="">
      <xdr:nvSpPr>
        <xdr:cNvPr id="56" name="Line 75">
          <a:extLst>
            <a:ext uri="{FF2B5EF4-FFF2-40B4-BE49-F238E27FC236}">
              <a16:creationId xmlns:a16="http://schemas.microsoft.com/office/drawing/2014/main" id="{00000000-0008-0000-0000-000038000000}"/>
            </a:ext>
          </a:extLst>
        </xdr:cNvPr>
        <xdr:cNvSpPr>
          <a:spLocks noChangeShapeType="1"/>
        </xdr:cNvSpPr>
      </xdr:nvSpPr>
      <xdr:spPr bwMode="auto">
        <a:xfrm flipV="1">
          <a:off x="4438650" y="2943225"/>
          <a:ext cx="596265" cy="369570"/>
        </a:xfrm>
        <a:prstGeom prst="line">
          <a:avLst/>
        </a:prstGeom>
        <a:noFill/>
        <a:ln w="9525">
          <a:solidFill>
            <a:srgbClr val="000000"/>
          </a:solidFill>
          <a:round/>
          <a:headEnd/>
          <a:tailEnd/>
        </a:ln>
      </xdr:spPr>
    </xdr:sp>
    <xdr:clientData/>
  </xdr:twoCellAnchor>
  <xdr:twoCellAnchor>
    <xdr:from>
      <xdr:col>6</xdr:col>
      <xdr:colOff>447675</xdr:colOff>
      <xdr:row>16</xdr:row>
      <xdr:rowOff>9525</xdr:rowOff>
    </xdr:from>
    <xdr:to>
      <xdr:col>7</xdr:col>
      <xdr:colOff>209550</xdr:colOff>
      <xdr:row>18</xdr:row>
      <xdr:rowOff>28575</xdr:rowOff>
    </xdr:to>
    <xdr:sp macro="" textlink="">
      <xdr:nvSpPr>
        <xdr:cNvPr id="57" name="Line 76">
          <a:extLst>
            <a:ext uri="{FF2B5EF4-FFF2-40B4-BE49-F238E27FC236}">
              <a16:creationId xmlns:a16="http://schemas.microsoft.com/office/drawing/2014/main" id="{00000000-0008-0000-0000-000039000000}"/>
            </a:ext>
          </a:extLst>
        </xdr:cNvPr>
        <xdr:cNvSpPr>
          <a:spLocks noChangeShapeType="1"/>
        </xdr:cNvSpPr>
      </xdr:nvSpPr>
      <xdr:spPr bwMode="auto">
        <a:xfrm>
          <a:off x="5225415" y="2943225"/>
          <a:ext cx="607695" cy="369570"/>
        </a:xfrm>
        <a:prstGeom prst="line">
          <a:avLst/>
        </a:prstGeom>
        <a:noFill/>
        <a:ln w="9525">
          <a:solidFill>
            <a:srgbClr val="000000"/>
          </a:solidFill>
          <a:round/>
          <a:headEnd/>
          <a:tailEnd/>
        </a:ln>
      </xdr:spPr>
    </xdr:sp>
    <xdr:clientData/>
  </xdr:twoCellAnchor>
  <xdr:twoCellAnchor>
    <xdr:from>
      <xdr:col>5</xdr:col>
      <xdr:colOff>381000</xdr:colOff>
      <xdr:row>5</xdr:row>
      <xdr:rowOff>9525</xdr:rowOff>
    </xdr:from>
    <xdr:to>
      <xdr:col>5</xdr:col>
      <xdr:colOff>381000</xdr:colOff>
      <xdr:row>5</xdr:row>
      <xdr:rowOff>104775</xdr:rowOff>
    </xdr:to>
    <xdr:sp macro="" textlink="">
      <xdr:nvSpPr>
        <xdr:cNvPr id="58" name="Line 77">
          <a:extLst>
            <a:ext uri="{FF2B5EF4-FFF2-40B4-BE49-F238E27FC236}">
              <a16:creationId xmlns:a16="http://schemas.microsoft.com/office/drawing/2014/main" id="{00000000-0008-0000-0000-00003A000000}"/>
            </a:ext>
          </a:extLst>
        </xdr:cNvPr>
        <xdr:cNvSpPr>
          <a:spLocks noChangeShapeType="1"/>
        </xdr:cNvSpPr>
      </xdr:nvSpPr>
      <xdr:spPr bwMode="auto">
        <a:xfrm flipV="1">
          <a:off x="4533900" y="916305"/>
          <a:ext cx="0" cy="95250"/>
        </a:xfrm>
        <a:prstGeom prst="line">
          <a:avLst/>
        </a:prstGeom>
        <a:noFill/>
        <a:ln w="9525">
          <a:solidFill>
            <a:srgbClr val="000000"/>
          </a:solidFill>
          <a:round/>
          <a:headEnd/>
          <a:tailEnd type="stealth" w="sm" len="sm"/>
        </a:ln>
      </xdr:spPr>
    </xdr:sp>
    <xdr:clientData/>
  </xdr:twoCellAnchor>
  <xdr:twoCellAnchor>
    <xdr:from>
      <xdr:col>6</xdr:col>
      <xdr:colOff>104775</xdr:colOff>
      <xdr:row>5</xdr:row>
      <xdr:rowOff>9525</xdr:rowOff>
    </xdr:from>
    <xdr:to>
      <xdr:col>6</xdr:col>
      <xdr:colOff>104775</xdr:colOff>
      <xdr:row>5</xdr:row>
      <xdr:rowOff>104775</xdr:rowOff>
    </xdr:to>
    <xdr:sp macro="" textlink="">
      <xdr:nvSpPr>
        <xdr:cNvPr id="59" name="Line 78">
          <a:extLst>
            <a:ext uri="{FF2B5EF4-FFF2-40B4-BE49-F238E27FC236}">
              <a16:creationId xmlns:a16="http://schemas.microsoft.com/office/drawing/2014/main" id="{00000000-0008-0000-0000-00003B000000}"/>
            </a:ext>
          </a:extLst>
        </xdr:cNvPr>
        <xdr:cNvSpPr>
          <a:spLocks noChangeShapeType="1"/>
        </xdr:cNvSpPr>
      </xdr:nvSpPr>
      <xdr:spPr bwMode="auto">
        <a:xfrm flipV="1">
          <a:off x="4882515" y="916305"/>
          <a:ext cx="0" cy="95250"/>
        </a:xfrm>
        <a:prstGeom prst="line">
          <a:avLst/>
        </a:prstGeom>
        <a:noFill/>
        <a:ln w="9525">
          <a:solidFill>
            <a:srgbClr val="000000"/>
          </a:solidFill>
          <a:round/>
          <a:headEnd/>
          <a:tailEnd type="stealth" w="sm" len="sm"/>
        </a:ln>
      </xdr:spPr>
    </xdr:sp>
    <xdr:clientData/>
  </xdr:twoCellAnchor>
  <xdr:twoCellAnchor>
    <xdr:from>
      <xdr:col>6</xdr:col>
      <xdr:colOff>276225</xdr:colOff>
      <xdr:row>5</xdr:row>
      <xdr:rowOff>9525</xdr:rowOff>
    </xdr:from>
    <xdr:to>
      <xdr:col>6</xdr:col>
      <xdr:colOff>276225</xdr:colOff>
      <xdr:row>5</xdr:row>
      <xdr:rowOff>104775</xdr:rowOff>
    </xdr:to>
    <xdr:sp macro="" textlink="">
      <xdr:nvSpPr>
        <xdr:cNvPr id="60" name="Line 79">
          <a:extLst>
            <a:ext uri="{FF2B5EF4-FFF2-40B4-BE49-F238E27FC236}">
              <a16:creationId xmlns:a16="http://schemas.microsoft.com/office/drawing/2014/main" id="{00000000-0008-0000-0000-00003C000000}"/>
            </a:ext>
          </a:extLst>
        </xdr:cNvPr>
        <xdr:cNvSpPr>
          <a:spLocks noChangeShapeType="1"/>
        </xdr:cNvSpPr>
      </xdr:nvSpPr>
      <xdr:spPr bwMode="auto">
        <a:xfrm flipV="1">
          <a:off x="5053965" y="916305"/>
          <a:ext cx="0" cy="95250"/>
        </a:xfrm>
        <a:prstGeom prst="line">
          <a:avLst/>
        </a:prstGeom>
        <a:noFill/>
        <a:ln w="9525">
          <a:solidFill>
            <a:srgbClr val="000000"/>
          </a:solidFill>
          <a:round/>
          <a:headEnd/>
          <a:tailEnd type="stealth" w="sm" len="sm"/>
        </a:ln>
      </xdr:spPr>
    </xdr:sp>
    <xdr:clientData/>
  </xdr:twoCellAnchor>
  <xdr:twoCellAnchor>
    <xdr:from>
      <xdr:col>5</xdr:col>
      <xdr:colOff>542925</xdr:colOff>
      <xdr:row>5</xdr:row>
      <xdr:rowOff>9525</xdr:rowOff>
    </xdr:from>
    <xdr:to>
      <xdr:col>5</xdr:col>
      <xdr:colOff>542925</xdr:colOff>
      <xdr:row>5</xdr:row>
      <xdr:rowOff>104775</xdr:rowOff>
    </xdr:to>
    <xdr:sp macro="" textlink="">
      <xdr:nvSpPr>
        <xdr:cNvPr id="61" name="Line 80">
          <a:extLst>
            <a:ext uri="{FF2B5EF4-FFF2-40B4-BE49-F238E27FC236}">
              <a16:creationId xmlns:a16="http://schemas.microsoft.com/office/drawing/2014/main" id="{00000000-0008-0000-0000-00003D000000}"/>
            </a:ext>
          </a:extLst>
        </xdr:cNvPr>
        <xdr:cNvSpPr>
          <a:spLocks noChangeShapeType="1"/>
        </xdr:cNvSpPr>
      </xdr:nvSpPr>
      <xdr:spPr bwMode="auto">
        <a:xfrm flipV="1">
          <a:off x="4695825" y="916305"/>
          <a:ext cx="0" cy="95250"/>
        </a:xfrm>
        <a:prstGeom prst="line">
          <a:avLst/>
        </a:prstGeom>
        <a:noFill/>
        <a:ln w="9525">
          <a:solidFill>
            <a:srgbClr val="000000"/>
          </a:solidFill>
          <a:round/>
          <a:headEnd/>
          <a:tailEnd type="stealth" w="sm" len="sm"/>
        </a:ln>
      </xdr:spPr>
    </xdr:sp>
    <xdr:clientData/>
  </xdr:twoCellAnchor>
  <xdr:twoCellAnchor>
    <xdr:from>
      <xdr:col>6</xdr:col>
      <xdr:colOff>428625</xdr:colOff>
      <xdr:row>5</xdr:row>
      <xdr:rowOff>9525</xdr:rowOff>
    </xdr:from>
    <xdr:to>
      <xdr:col>6</xdr:col>
      <xdr:colOff>428625</xdr:colOff>
      <xdr:row>5</xdr:row>
      <xdr:rowOff>104775</xdr:rowOff>
    </xdr:to>
    <xdr:sp macro="" textlink="">
      <xdr:nvSpPr>
        <xdr:cNvPr id="62" name="Line 81">
          <a:extLst>
            <a:ext uri="{FF2B5EF4-FFF2-40B4-BE49-F238E27FC236}">
              <a16:creationId xmlns:a16="http://schemas.microsoft.com/office/drawing/2014/main" id="{00000000-0008-0000-0000-00003E000000}"/>
            </a:ext>
          </a:extLst>
        </xdr:cNvPr>
        <xdr:cNvSpPr>
          <a:spLocks noChangeShapeType="1"/>
        </xdr:cNvSpPr>
      </xdr:nvSpPr>
      <xdr:spPr bwMode="auto">
        <a:xfrm flipV="1">
          <a:off x="5206365" y="916305"/>
          <a:ext cx="0" cy="95250"/>
        </a:xfrm>
        <a:prstGeom prst="line">
          <a:avLst/>
        </a:prstGeom>
        <a:noFill/>
        <a:ln w="9525">
          <a:solidFill>
            <a:srgbClr val="000000"/>
          </a:solidFill>
          <a:round/>
          <a:headEnd/>
          <a:tailEnd type="stealth" w="sm" len="sm"/>
        </a:ln>
      </xdr:spPr>
    </xdr:sp>
    <xdr:clientData/>
  </xdr:twoCellAnchor>
  <xdr:twoCellAnchor>
    <xdr:from>
      <xdr:col>6</xdr:col>
      <xdr:colOff>600075</xdr:colOff>
      <xdr:row>5</xdr:row>
      <xdr:rowOff>9525</xdr:rowOff>
    </xdr:from>
    <xdr:to>
      <xdr:col>6</xdr:col>
      <xdr:colOff>600075</xdr:colOff>
      <xdr:row>5</xdr:row>
      <xdr:rowOff>104775</xdr:rowOff>
    </xdr:to>
    <xdr:sp macro="" textlink="">
      <xdr:nvSpPr>
        <xdr:cNvPr id="63" name="Line 82">
          <a:extLst>
            <a:ext uri="{FF2B5EF4-FFF2-40B4-BE49-F238E27FC236}">
              <a16:creationId xmlns:a16="http://schemas.microsoft.com/office/drawing/2014/main" id="{00000000-0008-0000-0000-00003F000000}"/>
            </a:ext>
          </a:extLst>
        </xdr:cNvPr>
        <xdr:cNvSpPr>
          <a:spLocks noChangeShapeType="1"/>
        </xdr:cNvSpPr>
      </xdr:nvSpPr>
      <xdr:spPr bwMode="auto">
        <a:xfrm flipV="1">
          <a:off x="5377815" y="916305"/>
          <a:ext cx="0" cy="95250"/>
        </a:xfrm>
        <a:prstGeom prst="line">
          <a:avLst/>
        </a:prstGeom>
        <a:noFill/>
        <a:ln w="9525">
          <a:solidFill>
            <a:srgbClr val="000000"/>
          </a:solidFill>
          <a:round/>
          <a:headEnd/>
          <a:tailEnd type="stealth" w="sm" len="sm"/>
        </a:ln>
      </xdr:spPr>
    </xdr:sp>
    <xdr:clientData/>
  </xdr:twoCellAnchor>
  <xdr:twoCellAnchor>
    <xdr:from>
      <xdr:col>6</xdr:col>
      <xdr:colOff>771525</xdr:colOff>
      <xdr:row>5</xdr:row>
      <xdr:rowOff>9525</xdr:rowOff>
    </xdr:from>
    <xdr:to>
      <xdr:col>6</xdr:col>
      <xdr:colOff>771525</xdr:colOff>
      <xdr:row>5</xdr:row>
      <xdr:rowOff>104775</xdr:rowOff>
    </xdr:to>
    <xdr:sp macro="" textlink="">
      <xdr:nvSpPr>
        <xdr:cNvPr id="64" name="Line 83">
          <a:extLst>
            <a:ext uri="{FF2B5EF4-FFF2-40B4-BE49-F238E27FC236}">
              <a16:creationId xmlns:a16="http://schemas.microsoft.com/office/drawing/2014/main" id="{00000000-0008-0000-0000-000040000000}"/>
            </a:ext>
          </a:extLst>
        </xdr:cNvPr>
        <xdr:cNvSpPr>
          <a:spLocks noChangeShapeType="1"/>
        </xdr:cNvSpPr>
      </xdr:nvSpPr>
      <xdr:spPr bwMode="auto">
        <a:xfrm flipV="1">
          <a:off x="5549265" y="916305"/>
          <a:ext cx="0" cy="95250"/>
        </a:xfrm>
        <a:prstGeom prst="line">
          <a:avLst/>
        </a:prstGeom>
        <a:noFill/>
        <a:ln w="9525">
          <a:solidFill>
            <a:srgbClr val="000000"/>
          </a:solidFill>
          <a:round/>
          <a:headEnd/>
          <a:tailEnd type="stealth" w="sm" len="sm"/>
        </a:ln>
      </xdr:spPr>
    </xdr:sp>
    <xdr:clientData/>
  </xdr:twoCellAnchor>
  <xdr:twoCellAnchor>
    <xdr:from>
      <xdr:col>7</xdr:col>
      <xdr:colOff>114300</xdr:colOff>
      <xdr:row>5</xdr:row>
      <xdr:rowOff>9525</xdr:rowOff>
    </xdr:from>
    <xdr:to>
      <xdr:col>7</xdr:col>
      <xdr:colOff>114300</xdr:colOff>
      <xdr:row>5</xdr:row>
      <xdr:rowOff>104775</xdr:rowOff>
    </xdr:to>
    <xdr:sp macro="" textlink="">
      <xdr:nvSpPr>
        <xdr:cNvPr id="65" name="Line 84">
          <a:extLst>
            <a:ext uri="{FF2B5EF4-FFF2-40B4-BE49-F238E27FC236}">
              <a16:creationId xmlns:a16="http://schemas.microsoft.com/office/drawing/2014/main" id="{00000000-0008-0000-0000-000041000000}"/>
            </a:ext>
          </a:extLst>
        </xdr:cNvPr>
        <xdr:cNvSpPr>
          <a:spLocks noChangeShapeType="1"/>
        </xdr:cNvSpPr>
      </xdr:nvSpPr>
      <xdr:spPr bwMode="auto">
        <a:xfrm flipV="1">
          <a:off x="5737860" y="916305"/>
          <a:ext cx="0" cy="95250"/>
        </a:xfrm>
        <a:prstGeom prst="line">
          <a:avLst/>
        </a:prstGeom>
        <a:noFill/>
        <a:ln w="9525">
          <a:solidFill>
            <a:srgbClr val="000000"/>
          </a:solidFill>
          <a:round/>
          <a:headEnd/>
          <a:tailEnd type="stealth" w="sm" len="sm"/>
        </a:ln>
      </xdr:spPr>
    </xdr:sp>
    <xdr:clientData/>
  </xdr:twoCellAnchor>
  <xdr:twoCellAnchor>
    <xdr:from>
      <xdr:col>5</xdr:col>
      <xdr:colOff>381000</xdr:colOff>
      <xdr:row>5</xdr:row>
      <xdr:rowOff>9525</xdr:rowOff>
    </xdr:from>
    <xdr:to>
      <xdr:col>7</xdr:col>
      <xdr:colOff>114300</xdr:colOff>
      <xdr:row>5</xdr:row>
      <xdr:rowOff>9525</xdr:rowOff>
    </xdr:to>
    <xdr:sp macro="" textlink="">
      <xdr:nvSpPr>
        <xdr:cNvPr id="66" name="Line 85">
          <a:extLst>
            <a:ext uri="{FF2B5EF4-FFF2-40B4-BE49-F238E27FC236}">
              <a16:creationId xmlns:a16="http://schemas.microsoft.com/office/drawing/2014/main" id="{00000000-0008-0000-0000-000042000000}"/>
            </a:ext>
          </a:extLst>
        </xdr:cNvPr>
        <xdr:cNvSpPr>
          <a:spLocks noChangeShapeType="1"/>
        </xdr:cNvSpPr>
      </xdr:nvSpPr>
      <xdr:spPr bwMode="auto">
        <a:xfrm>
          <a:off x="4533900" y="916305"/>
          <a:ext cx="1203960" cy="0"/>
        </a:xfrm>
        <a:prstGeom prst="line">
          <a:avLst/>
        </a:prstGeom>
        <a:noFill/>
        <a:ln w="9525">
          <a:solidFill>
            <a:srgbClr val="000000"/>
          </a:solidFill>
          <a:round/>
          <a:headEnd/>
          <a:tailEnd/>
        </a:ln>
      </xdr:spPr>
    </xdr:sp>
    <xdr:clientData/>
  </xdr:twoCellAnchor>
  <xdr:twoCellAnchor>
    <xdr:from>
      <xdr:col>5</xdr:col>
      <xdr:colOff>542925</xdr:colOff>
      <xdr:row>12</xdr:row>
      <xdr:rowOff>114300</xdr:rowOff>
    </xdr:from>
    <xdr:to>
      <xdr:col>5</xdr:col>
      <xdr:colOff>542925</xdr:colOff>
      <xdr:row>13</xdr:row>
      <xdr:rowOff>47625</xdr:rowOff>
    </xdr:to>
    <xdr:sp macro="" textlink="">
      <xdr:nvSpPr>
        <xdr:cNvPr id="67" name="Line 86">
          <a:extLst>
            <a:ext uri="{FF2B5EF4-FFF2-40B4-BE49-F238E27FC236}">
              <a16:creationId xmlns:a16="http://schemas.microsoft.com/office/drawing/2014/main" id="{00000000-0008-0000-0000-000043000000}"/>
            </a:ext>
          </a:extLst>
        </xdr:cNvPr>
        <xdr:cNvSpPr>
          <a:spLocks noChangeShapeType="1"/>
        </xdr:cNvSpPr>
      </xdr:nvSpPr>
      <xdr:spPr bwMode="auto">
        <a:xfrm flipV="1">
          <a:off x="4695825" y="2270760"/>
          <a:ext cx="0" cy="108585"/>
        </a:xfrm>
        <a:prstGeom prst="line">
          <a:avLst/>
        </a:prstGeom>
        <a:noFill/>
        <a:ln w="9525">
          <a:solidFill>
            <a:srgbClr val="000000"/>
          </a:solidFill>
          <a:round/>
          <a:headEnd type="stealth" w="sm" len="sm"/>
          <a:tailEnd type="none" w="sm" len="sm"/>
        </a:ln>
      </xdr:spPr>
    </xdr:sp>
    <xdr:clientData/>
  </xdr:twoCellAnchor>
  <xdr:twoCellAnchor>
    <xdr:from>
      <xdr:col>6</xdr:col>
      <xdr:colOff>276225</xdr:colOff>
      <xdr:row>12</xdr:row>
      <xdr:rowOff>114300</xdr:rowOff>
    </xdr:from>
    <xdr:to>
      <xdr:col>6</xdr:col>
      <xdr:colOff>276225</xdr:colOff>
      <xdr:row>13</xdr:row>
      <xdr:rowOff>47625</xdr:rowOff>
    </xdr:to>
    <xdr:sp macro="" textlink="">
      <xdr:nvSpPr>
        <xdr:cNvPr id="68" name="Line 87">
          <a:extLst>
            <a:ext uri="{FF2B5EF4-FFF2-40B4-BE49-F238E27FC236}">
              <a16:creationId xmlns:a16="http://schemas.microsoft.com/office/drawing/2014/main" id="{00000000-0008-0000-0000-000044000000}"/>
            </a:ext>
          </a:extLst>
        </xdr:cNvPr>
        <xdr:cNvSpPr>
          <a:spLocks noChangeShapeType="1"/>
        </xdr:cNvSpPr>
      </xdr:nvSpPr>
      <xdr:spPr bwMode="auto">
        <a:xfrm flipV="1">
          <a:off x="5053965" y="2270760"/>
          <a:ext cx="0" cy="108585"/>
        </a:xfrm>
        <a:prstGeom prst="line">
          <a:avLst/>
        </a:prstGeom>
        <a:noFill/>
        <a:ln w="9525">
          <a:solidFill>
            <a:srgbClr val="000000"/>
          </a:solidFill>
          <a:round/>
          <a:headEnd type="stealth" w="sm" len="sm"/>
          <a:tailEnd type="none" w="sm" len="sm"/>
        </a:ln>
      </xdr:spPr>
    </xdr:sp>
    <xdr:clientData/>
  </xdr:twoCellAnchor>
  <xdr:twoCellAnchor>
    <xdr:from>
      <xdr:col>6</xdr:col>
      <xdr:colOff>428625</xdr:colOff>
      <xdr:row>12</xdr:row>
      <xdr:rowOff>114300</xdr:rowOff>
    </xdr:from>
    <xdr:to>
      <xdr:col>6</xdr:col>
      <xdr:colOff>428625</xdr:colOff>
      <xdr:row>13</xdr:row>
      <xdr:rowOff>47625</xdr:rowOff>
    </xdr:to>
    <xdr:sp macro="" textlink="">
      <xdr:nvSpPr>
        <xdr:cNvPr id="69" name="Line 88">
          <a:extLst>
            <a:ext uri="{FF2B5EF4-FFF2-40B4-BE49-F238E27FC236}">
              <a16:creationId xmlns:a16="http://schemas.microsoft.com/office/drawing/2014/main" id="{00000000-0008-0000-0000-000045000000}"/>
            </a:ext>
          </a:extLst>
        </xdr:cNvPr>
        <xdr:cNvSpPr>
          <a:spLocks noChangeShapeType="1"/>
        </xdr:cNvSpPr>
      </xdr:nvSpPr>
      <xdr:spPr bwMode="auto">
        <a:xfrm flipV="1">
          <a:off x="5206365" y="2270760"/>
          <a:ext cx="0" cy="108585"/>
        </a:xfrm>
        <a:prstGeom prst="line">
          <a:avLst/>
        </a:prstGeom>
        <a:noFill/>
        <a:ln w="9525">
          <a:solidFill>
            <a:srgbClr val="000000"/>
          </a:solidFill>
          <a:round/>
          <a:headEnd type="stealth" w="sm" len="sm"/>
          <a:tailEnd type="none" w="sm" len="sm"/>
        </a:ln>
      </xdr:spPr>
    </xdr:sp>
    <xdr:clientData/>
  </xdr:twoCellAnchor>
  <xdr:twoCellAnchor>
    <xdr:from>
      <xdr:col>6</xdr:col>
      <xdr:colOff>104775</xdr:colOff>
      <xdr:row>12</xdr:row>
      <xdr:rowOff>114300</xdr:rowOff>
    </xdr:from>
    <xdr:to>
      <xdr:col>6</xdr:col>
      <xdr:colOff>104775</xdr:colOff>
      <xdr:row>13</xdr:row>
      <xdr:rowOff>47625</xdr:rowOff>
    </xdr:to>
    <xdr:sp macro="" textlink="">
      <xdr:nvSpPr>
        <xdr:cNvPr id="70" name="Line 89">
          <a:extLst>
            <a:ext uri="{FF2B5EF4-FFF2-40B4-BE49-F238E27FC236}">
              <a16:creationId xmlns:a16="http://schemas.microsoft.com/office/drawing/2014/main" id="{00000000-0008-0000-0000-000046000000}"/>
            </a:ext>
          </a:extLst>
        </xdr:cNvPr>
        <xdr:cNvSpPr>
          <a:spLocks noChangeShapeType="1"/>
        </xdr:cNvSpPr>
      </xdr:nvSpPr>
      <xdr:spPr bwMode="auto">
        <a:xfrm flipV="1">
          <a:off x="4882515" y="2270760"/>
          <a:ext cx="0" cy="108585"/>
        </a:xfrm>
        <a:prstGeom prst="line">
          <a:avLst/>
        </a:prstGeom>
        <a:noFill/>
        <a:ln w="9525">
          <a:solidFill>
            <a:srgbClr val="000000"/>
          </a:solidFill>
          <a:round/>
          <a:headEnd type="stealth" w="sm" len="sm"/>
          <a:tailEnd type="none" w="sm" len="sm"/>
        </a:ln>
      </xdr:spPr>
    </xdr:sp>
    <xdr:clientData/>
  </xdr:twoCellAnchor>
  <xdr:twoCellAnchor>
    <xdr:from>
      <xdr:col>6</xdr:col>
      <xdr:colOff>600075</xdr:colOff>
      <xdr:row>12</xdr:row>
      <xdr:rowOff>114300</xdr:rowOff>
    </xdr:from>
    <xdr:to>
      <xdr:col>6</xdr:col>
      <xdr:colOff>600075</xdr:colOff>
      <xdr:row>13</xdr:row>
      <xdr:rowOff>47625</xdr:rowOff>
    </xdr:to>
    <xdr:sp macro="" textlink="">
      <xdr:nvSpPr>
        <xdr:cNvPr id="71" name="Line 90">
          <a:extLst>
            <a:ext uri="{FF2B5EF4-FFF2-40B4-BE49-F238E27FC236}">
              <a16:creationId xmlns:a16="http://schemas.microsoft.com/office/drawing/2014/main" id="{00000000-0008-0000-0000-000047000000}"/>
            </a:ext>
          </a:extLst>
        </xdr:cNvPr>
        <xdr:cNvSpPr>
          <a:spLocks noChangeShapeType="1"/>
        </xdr:cNvSpPr>
      </xdr:nvSpPr>
      <xdr:spPr bwMode="auto">
        <a:xfrm flipV="1">
          <a:off x="5377815" y="2270760"/>
          <a:ext cx="0" cy="108585"/>
        </a:xfrm>
        <a:prstGeom prst="line">
          <a:avLst/>
        </a:prstGeom>
        <a:noFill/>
        <a:ln w="9525">
          <a:solidFill>
            <a:srgbClr val="000000"/>
          </a:solidFill>
          <a:round/>
          <a:headEnd type="stealth" w="sm" len="sm"/>
          <a:tailEnd type="none" w="sm" len="sm"/>
        </a:ln>
      </xdr:spPr>
    </xdr:sp>
    <xdr:clientData/>
  </xdr:twoCellAnchor>
  <xdr:twoCellAnchor>
    <xdr:from>
      <xdr:col>6</xdr:col>
      <xdr:colOff>771525</xdr:colOff>
      <xdr:row>12</xdr:row>
      <xdr:rowOff>114300</xdr:rowOff>
    </xdr:from>
    <xdr:to>
      <xdr:col>6</xdr:col>
      <xdr:colOff>771525</xdr:colOff>
      <xdr:row>13</xdr:row>
      <xdr:rowOff>47625</xdr:rowOff>
    </xdr:to>
    <xdr:sp macro="" textlink="">
      <xdr:nvSpPr>
        <xdr:cNvPr id="72" name="Line 91">
          <a:extLst>
            <a:ext uri="{FF2B5EF4-FFF2-40B4-BE49-F238E27FC236}">
              <a16:creationId xmlns:a16="http://schemas.microsoft.com/office/drawing/2014/main" id="{00000000-0008-0000-0000-000048000000}"/>
            </a:ext>
          </a:extLst>
        </xdr:cNvPr>
        <xdr:cNvSpPr>
          <a:spLocks noChangeShapeType="1"/>
        </xdr:cNvSpPr>
      </xdr:nvSpPr>
      <xdr:spPr bwMode="auto">
        <a:xfrm flipV="1">
          <a:off x="5549265" y="2270760"/>
          <a:ext cx="0" cy="108585"/>
        </a:xfrm>
        <a:prstGeom prst="line">
          <a:avLst/>
        </a:prstGeom>
        <a:noFill/>
        <a:ln w="9525">
          <a:solidFill>
            <a:srgbClr val="000000"/>
          </a:solidFill>
          <a:round/>
          <a:headEnd type="stealth" w="sm" len="sm"/>
          <a:tailEnd type="none" w="sm" len="sm"/>
        </a:ln>
      </xdr:spPr>
    </xdr:sp>
    <xdr:clientData/>
  </xdr:twoCellAnchor>
  <xdr:twoCellAnchor>
    <xdr:from>
      <xdr:col>7</xdr:col>
      <xdr:colOff>114300</xdr:colOff>
      <xdr:row>12</xdr:row>
      <xdr:rowOff>114300</xdr:rowOff>
    </xdr:from>
    <xdr:to>
      <xdr:col>7</xdr:col>
      <xdr:colOff>114300</xdr:colOff>
      <xdr:row>13</xdr:row>
      <xdr:rowOff>47625</xdr:rowOff>
    </xdr:to>
    <xdr:sp macro="" textlink="">
      <xdr:nvSpPr>
        <xdr:cNvPr id="73" name="Line 92">
          <a:extLst>
            <a:ext uri="{FF2B5EF4-FFF2-40B4-BE49-F238E27FC236}">
              <a16:creationId xmlns:a16="http://schemas.microsoft.com/office/drawing/2014/main" id="{00000000-0008-0000-0000-000049000000}"/>
            </a:ext>
          </a:extLst>
        </xdr:cNvPr>
        <xdr:cNvSpPr>
          <a:spLocks noChangeShapeType="1"/>
        </xdr:cNvSpPr>
      </xdr:nvSpPr>
      <xdr:spPr bwMode="auto">
        <a:xfrm flipV="1">
          <a:off x="5737860" y="2270760"/>
          <a:ext cx="0" cy="108585"/>
        </a:xfrm>
        <a:prstGeom prst="line">
          <a:avLst/>
        </a:prstGeom>
        <a:noFill/>
        <a:ln w="9525">
          <a:solidFill>
            <a:srgbClr val="000000"/>
          </a:solidFill>
          <a:round/>
          <a:headEnd type="stealth" w="sm" len="sm"/>
          <a:tailEnd type="none" w="sm" len="sm"/>
        </a:ln>
      </xdr:spPr>
    </xdr:sp>
    <xdr:clientData/>
  </xdr:twoCellAnchor>
  <xdr:twoCellAnchor>
    <xdr:from>
      <xdr:col>5</xdr:col>
      <xdr:colOff>381000</xdr:colOff>
      <xdr:row>12</xdr:row>
      <xdr:rowOff>114300</xdr:rowOff>
    </xdr:from>
    <xdr:to>
      <xdr:col>5</xdr:col>
      <xdr:colOff>381000</xdr:colOff>
      <xdr:row>13</xdr:row>
      <xdr:rowOff>47625</xdr:rowOff>
    </xdr:to>
    <xdr:sp macro="" textlink="">
      <xdr:nvSpPr>
        <xdr:cNvPr id="74" name="Line 93">
          <a:extLst>
            <a:ext uri="{FF2B5EF4-FFF2-40B4-BE49-F238E27FC236}">
              <a16:creationId xmlns:a16="http://schemas.microsoft.com/office/drawing/2014/main" id="{00000000-0008-0000-0000-00004A000000}"/>
            </a:ext>
          </a:extLst>
        </xdr:cNvPr>
        <xdr:cNvSpPr>
          <a:spLocks noChangeShapeType="1"/>
        </xdr:cNvSpPr>
      </xdr:nvSpPr>
      <xdr:spPr bwMode="auto">
        <a:xfrm flipV="1">
          <a:off x="4533900" y="2270760"/>
          <a:ext cx="0" cy="108585"/>
        </a:xfrm>
        <a:prstGeom prst="line">
          <a:avLst/>
        </a:prstGeom>
        <a:noFill/>
        <a:ln w="9525">
          <a:solidFill>
            <a:srgbClr val="000000"/>
          </a:solidFill>
          <a:round/>
          <a:headEnd type="stealth" w="sm" len="sm"/>
          <a:tailEnd type="none" w="sm" len="sm"/>
        </a:ln>
      </xdr:spPr>
    </xdr:sp>
    <xdr:clientData/>
  </xdr:twoCellAnchor>
  <xdr:twoCellAnchor>
    <xdr:from>
      <xdr:col>5</xdr:col>
      <xdr:colOff>381000</xdr:colOff>
      <xdr:row>13</xdr:row>
      <xdr:rowOff>47625</xdr:rowOff>
    </xdr:from>
    <xdr:to>
      <xdr:col>7</xdr:col>
      <xdr:colOff>114300</xdr:colOff>
      <xdr:row>13</xdr:row>
      <xdr:rowOff>47625</xdr:rowOff>
    </xdr:to>
    <xdr:sp macro="" textlink="">
      <xdr:nvSpPr>
        <xdr:cNvPr id="75" name="Line 94">
          <a:extLst>
            <a:ext uri="{FF2B5EF4-FFF2-40B4-BE49-F238E27FC236}">
              <a16:creationId xmlns:a16="http://schemas.microsoft.com/office/drawing/2014/main" id="{00000000-0008-0000-0000-00004B000000}"/>
            </a:ext>
          </a:extLst>
        </xdr:cNvPr>
        <xdr:cNvSpPr>
          <a:spLocks noChangeShapeType="1"/>
        </xdr:cNvSpPr>
      </xdr:nvSpPr>
      <xdr:spPr bwMode="auto">
        <a:xfrm>
          <a:off x="4533900" y="2379345"/>
          <a:ext cx="1203960" cy="0"/>
        </a:xfrm>
        <a:prstGeom prst="line">
          <a:avLst/>
        </a:prstGeom>
        <a:noFill/>
        <a:ln w="9525">
          <a:solidFill>
            <a:srgbClr val="000000"/>
          </a:solidFill>
          <a:round/>
          <a:headEnd/>
          <a:tailEnd/>
        </a:ln>
      </xdr:spPr>
    </xdr:sp>
    <xdr:clientData/>
  </xdr:twoCellAnchor>
  <xdr:twoCellAnchor>
    <xdr:from>
      <xdr:col>5</xdr:col>
      <xdr:colOff>219075</xdr:colOff>
      <xdr:row>12</xdr:row>
      <xdr:rowOff>114300</xdr:rowOff>
    </xdr:from>
    <xdr:to>
      <xdr:col>5</xdr:col>
      <xdr:colOff>381000</xdr:colOff>
      <xdr:row>12</xdr:row>
      <xdr:rowOff>114300</xdr:rowOff>
    </xdr:to>
    <xdr:sp macro="" textlink="">
      <xdr:nvSpPr>
        <xdr:cNvPr id="76" name="Line 95">
          <a:extLst>
            <a:ext uri="{FF2B5EF4-FFF2-40B4-BE49-F238E27FC236}">
              <a16:creationId xmlns:a16="http://schemas.microsoft.com/office/drawing/2014/main" id="{00000000-0008-0000-0000-00004C000000}"/>
            </a:ext>
          </a:extLst>
        </xdr:cNvPr>
        <xdr:cNvSpPr>
          <a:spLocks noChangeShapeType="1"/>
        </xdr:cNvSpPr>
      </xdr:nvSpPr>
      <xdr:spPr bwMode="auto">
        <a:xfrm>
          <a:off x="4371975" y="227076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11</xdr:row>
      <xdr:rowOff>114300</xdr:rowOff>
    </xdr:from>
    <xdr:to>
      <xdr:col>5</xdr:col>
      <xdr:colOff>381000</xdr:colOff>
      <xdr:row>11</xdr:row>
      <xdr:rowOff>114300</xdr:rowOff>
    </xdr:to>
    <xdr:sp macro="" textlink="">
      <xdr:nvSpPr>
        <xdr:cNvPr id="77" name="Line 96">
          <a:extLst>
            <a:ext uri="{FF2B5EF4-FFF2-40B4-BE49-F238E27FC236}">
              <a16:creationId xmlns:a16="http://schemas.microsoft.com/office/drawing/2014/main" id="{00000000-0008-0000-0000-00004D000000}"/>
            </a:ext>
          </a:extLst>
        </xdr:cNvPr>
        <xdr:cNvSpPr>
          <a:spLocks noChangeShapeType="1"/>
        </xdr:cNvSpPr>
      </xdr:nvSpPr>
      <xdr:spPr bwMode="auto">
        <a:xfrm>
          <a:off x="4371975" y="209550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10</xdr:row>
      <xdr:rowOff>114300</xdr:rowOff>
    </xdr:from>
    <xdr:to>
      <xdr:col>5</xdr:col>
      <xdr:colOff>381000</xdr:colOff>
      <xdr:row>10</xdr:row>
      <xdr:rowOff>114300</xdr:rowOff>
    </xdr:to>
    <xdr:sp macro="" textlink="">
      <xdr:nvSpPr>
        <xdr:cNvPr id="78" name="Line 97">
          <a:extLst>
            <a:ext uri="{FF2B5EF4-FFF2-40B4-BE49-F238E27FC236}">
              <a16:creationId xmlns:a16="http://schemas.microsoft.com/office/drawing/2014/main" id="{00000000-0008-0000-0000-00004E000000}"/>
            </a:ext>
          </a:extLst>
        </xdr:cNvPr>
        <xdr:cNvSpPr>
          <a:spLocks noChangeShapeType="1"/>
        </xdr:cNvSpPr>
      </xdr:nvSpPr>
      <xdr:spPr bwMode="auto">
        <a:xfrm>
          <a:off x="4371975" y="192024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5</xdr:row>
      <xdr:rowOff>104775</xdr:rowOff>
    </xdr:from>
    <xdr:to>
      <xdr:col>5</xdr:col>
      <xdr:colOff>381000</xdr:colOff>
      <xdr:row>5</xdr:row>
      <xdr:rowOff>104775</xdr:rowOff>
    </xdr:to>
    <xdr:sp macro="" textlink="">
      <xdr:nvSpPr>
        <xdr:cNvPr id="79" name="Line 98">
          <a:extLst>
            <a:ext uri="{FF2B5EF4-FFF2-40B4-BE49-F238E27FC236}">
              <a16:creationId xmlns:a16="http://schemas.microsoft.com/office/drawing/2014/main" id="{00000000-0008-0000-0000-00004F000000}"/>
            </a:ext>
          </a:extLst>
        </xdr:cNvPr>
        <xdr:cNvSpPr>
          <a:spLocks noChangeShapeType="1"/>
        </xdr:cNvSpPr>
      </xdr:nvSpPr>
      <xdr:spPr bwMode="auto">
        <a:xfrm>
          <a:off x="4371975" y="101155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6</xdr:row>
      <xdr:rowOff>104775</xdr:rowOff>
    </xdr:from>
    <xdr:to>
      <xdr:col>5</xdr:col>
      <xdr:colOff>381000</xdr:colOff>
      <xdr:row>6</xdr:row>
      <xdr:rowOff>104775</xdr:rowOff>
    </xdr:to>
    <xdr:sp macro="" textlink="">
      <xdr:nvSpPr>
        <xdr:cNvPr id="80" name="Line 99">
          <a:extLst>
            <a:ext uri="{FF2B5EF4-FFF2-40B4-BE49-F238E27FC236}">
              <a16:creationId xmlns:a16="http://schemas.microsoft.com/office/drawing/2014/main" id="{00000000-0008-0000-0000-000050000000}"/>
            </a:ext>
          </a:extLst>
        </xdr:cNvPr>
        <xdr:cNvSpPr>
          <a:spLocks noChangeShapeType="1"/>
        </xdr:cNvSpPr>
      </xdr:nvSpPr>
      <xdr:spPr bwMode="auto">
        <a:xfrm>
          <a:off x="4371975" y="118681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7</xdr:row>
      <xdr:rowOff>104775</xdr:rowOff>
    </xdr:from>
    <xdr:to>
      <xdr:col>5</xdr:col>
      <xdr:colOff>381000</xdr:colOff>
      <xdr:row>7</xdr:row>
      <xdr:rowOff>104775</xdr:rowOff>
    </xdr:to>
    <xdr:sp macro="" textlink="">
      <xdr:nvSpPr>
        <xdr:cNvPr id="81" name="Line 100">
          <a:extLst>
            <a:ext uri="{FF2B5EF4-FFF2-40B4-BE49-F238E27FC236}">
              <a16:creationId xmlns:a16="http://schemas.microsoft.com/office/drawing/2014/main" id="{00000000-0008-0000-0000-000051000000}"/>
            </a:ext>
          </a:extLst>
        </xdr:cNvPr>
        <xdr:cNvSpPr>
          <a:spLocks noChangeShapeType="1"/>
        </xdr:cNvSpPr>
      </xdr:nvSpPr>
      <xdr:spPr bwMode="auto">
        <a:xfrm>
          <a:off x="4371975" y="136207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8</xdr:row>
      <xdr:rowOff>104775</xdr:rowOff>
    </xdr:from>
    <xdr:to>
      <xdr:col>5</xdr:col>
      <xdr:colOff>381000</xdr:colOff>
      <xdr:row>8</xdr:row>
      <xdr:rowOff>104775</xdr:rowOff>
    </xdr:to>
    <xdr:sp macro="" textlink="">
      <xdr:nvSpPr>
        <xdr:cNvPr id="82" name="Line 101">
          <a:extLst>
            <a:ext uri="{FF2B5EF4-FFF2-40B4-BE49-F238E27FC236}">
              <a16:creationId xmlns:a16="http://schemas.microsoft.com/office/drawing/2014/main" id="{00000000-0008-0000-0000-000052000000}"/>
            </a:ext>
          </a:extLst>
        </xdr:cNvPr>
        <xdr:cNvSpPr>
          <a:spLocks noChangeShapeType="1"/>
        </xdr:cNvSpPr>
      </xdr:nvSpPr>
      <xdr:spPr bwMode="auto">
        <a:xfrm>
          <a:off x="4371975" y="153733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9</xdr:row>
      <xdr:rowOff>104775</xdr:rowOff>
    </xdr:from>
    <xdr:to>
      <xdr:col>5</xdr:col>
      <xdr:colOff>381000</xdr:colOff>
      <xdr:row>9</xdr:row>
      <xdr:rowOff>104775</xdr:rowOff>
    </xdr:to>
    <xdr:sp macro="" textlink="">
      <xdr:nvSpPr>
        <xdr:cNvPr id="83" name="Line 102">
          <a:extLst>
            <a:ext uri="{FF2B5EF4-FFF2-40B4-BE49-F238E27FC236}">
              <a16:creationId xmlns:a16="http://schemas.microsoft.com/office/drawing/2014/main" id="{00000000-0008-0000-0000-000053000000}"/>
            </a:ext>
          </a:extLst>
        </xdr:cNvPr>
        <xdr:cNvSpPr>
          <a:spLocks noChangeShapeType="1"/>
        </xdr:cNvSpPr>
      </xdr:nvSpPr>
      <xdr:spPr bwMode="auto">
        <a:xfrm>
          <a:off x="4371975" y="1735455"/>
          <a:ext cx="161925" cy="0"/>
        </a:xfrm>
        <a:prstGeom prst="line">
          <a:avLst/>
        </a:prstGeom>
        <a:noFill/>
        <a:ln w="9525">
          <a:solidFill>
            <a:srgbClr val="000000"/>
          </a:solidFill>
          <a:round/>
          <a:headEnd/>
          <a:tailEnd type="stealth" w="sm" len="sm"/>
        </a:ln>
      </xdr:spPr>
    </xdr:sp>
    <xdr:clientData/>
  </xdr:twoCellAnchor>
  <xdr:twoCellAnchor>
    <xdr:from>
      <xdr:col>5</xdr:col>
      <xdr:colOff>209550</xdr:colOff>
      <xdr:row>5</xdr:row>
      <xdr:rowOff>104775</xdr:rowOff>
    </xdr:from>
    <xdr:to>
      <xdr:col>5</xdr:col>
      <xdr:colOff>209550</xdr:colOff>
      <xdr:row>12</xdr:row>
      <xdr:rowOff>114300</xdr:rowOff>
    </xdr:to>
    <xdr:sp macro="" textlink="">
      <xdr:nvSpPr>
        <xdr:cNvPr id="84" name="Line 103">
          <a:extLst>
            <a:ext uri="{FF2B5EF4-FFF2-40B4-BE49-F238E27FC236}">
              <a16:creationId xmlns:a16="http://schemas.microsoft.com/office/drawing/2014/main" id="{00000000-0008-0000-0000-000054000000}"/>
            </a:ext>
          </a:extLst>
        </xdr:cNvPr>
        <xdr:cNvSpPr>
          <a:spLocks noChangeShapeType="1"/>
        </xdr:cNvSpPr>
      </xdr:nvSpPr>
      <xdr:spPr bwMode="auto">
        <a:xfrm>
          <a:off x="4362450" y="1011555"/>
          <a:ext cx="0" cy="1259205"/>
        </a:xfrm>
        <a:prstGeom prst="line">
          <a:avLst/>
        </a:prstGeom>
        <a:noFill/>
        <a:ln w="9525">
          <a:solidFill>
            <a:srgbClr val="000000"/>
          </a:solidFill>
          <a:round/>
          <a:headEnd/>
          <a:tailEnd/>
        </a:ln>
      </xdr:spPr>
    </xdr:sp>
    <xdr:clientData/>
  </xdr:twoCellAnchor>
  <xdr:twoCellAnchor>
    <xdr:from>
      <xdr:col>7</xdr:col>
      <xdr:colOff>114300</xdr:colOff>
      <xdr:row>5</xdr:row>
      <xdr:rowOff>104775</xdr:rowOff>
    </xdr:from>
    <xdr:to>
      <xdr:col>7</xdr:col>
      <xdr:colOff>209550</xdr:colOff>
      <xdr:row>5</xdr:row>
      <xdr:rowOff>104775</xdr:rowOff>
    </xdr:to>
    <xdr:sp macro="" textlink="">
      <xdr:nvSpPr>
        <xdr:cNvPr id="85" name="Line 104">
          <a:extLst>
            <a:ext uri="{FF2B5EF4-FFF2-40B4-BE49-F238E27FC236}">
              <a16:creationId xmlns:a16="http://schemas.microsoft.com/office/drawing/2014/main" id="{00000000-0008-0000-0000-000055000000}"/>
            </a:ext>
          </a:extLst>
        </xdr:cNvPr>
        <xdr:cNvSpPr>
          <a:spLocks noChangeShapeType="1"/>
        </xdr:cNvSpPr>
      </xdr:nvSpPr>
      <xdr:spPr bwMode="auto">
        <a:xfrm>
          <a:off x="5737860" y="101155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6</xdr:row>
      <xdr:rowOff>104775</xdr:rowOff>
    </xdr:from>
    <xdr:to>
      <xdr:col>7</xdr:col>
      <xdr:colOff>209550</xdr:colOff>
      <xdr:row>6</xdr:row>
      <xdr:rowOff>104775</xdr:rowOff>
    </xdr:to>
    <xdr:sp macro="" textlink="">
      <xdr:nvSpPr>
        <xdr:cNvPr id="86" name="Line 105">
          <a:extLst>
            <a:ext uri="{FF2B5EF4-FFF2-40B4-BE49-F238E27FC236}">
              <a16:creationId xmlns:a16="http://schemas.microsoft.com/office/drawing/2014/main" id="{00000000-0008-0000-0000-000056000000}"/>
            </a:ext>
          </a:extLst>
        </xdr:cNvPr>
        <xdr:cNvSpPr>
          <a:spLocks noChangeShapeType="1"/>
        </xdr:cNvSpPr>
      </xdr:nvSpPr>
      <xdr:spPr bwMode="auto">
        <a:xfrm>
          <a:off x="5737860" y="118681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7</xdr:row>
      <xdr:rowOff>104775</xdr:rowOff>
    </xdr:from>
    <xdr:to>
      <xdr:col>7</xdr:col>
      <xdr:colOff>209550</xdr:colOff>
      <xdr:row>7</xdr:row>
      <xdr:rowOff>104775</xdr:rowOff>
    </xdr:to>
    <xdr:sp macro="" textlink="">
      <xdr:nvSpPr>
        <xdr:cNvPr id="87" name="Line 106">
          <a:extLst>
            <a:ext uri="{FF2B5EF4-FFF2-40B4-BE49-F238E27FC236}">
              <a16:creationId xmlns:a16="http://schemas.microsoft.com/office/drawing/2014/main" id="{00000000-0008-0000-0000-000057000000}"/>
            </a:ext>
          </a:extLst>
        </xdr:cNvPr>
        <xdr:cNvSpPr>
          <a:spLocks noChangeShapeType="1"/>
        </xdr:cNvSpPr>
      </xdr:nvSpPr>
      <xdr:spPr bwMode="auto">
        <a:xfrm>
          <a:off x="5737860" y="136207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8</xdr:row>
      <xdr:rowOff>104775</xdr:rowOff>
    </xdr:from>
    <xdr:to>
      <xdr:col>7</xdr:col>
      <xdr:colOff>209550</xdr:colOff>
      <xdr:row>8</xdr:row>
      <xdr:rowOff>104775</xdr:rowOff>
    </xdr:to>
    <xdr:sp macro="" textlink="">
      <xdr:nvSpPr>
        <xdr:cNvPr id="88" name="Line 107">
          <a:extLst>
            <a:ext uri="{FF2B5EF4-FFF2-40B4-BE49-F238E27FC236}">
              <a16:creationId xmlns:a16="http://schemas.microsoft.com/office/drawing/2014/main" id="{00000000-0008-0000-0000-000058000000}"/>
            </a:ext>
          </a:extLst>
        </xdr:cNvPr>
        <xdr:cNvSpPr>
          <a:spLocks noChangeShapeType="1"/>
        </xdr:cNvSpPr>
      </xdr:nvSpPr>
      <xdr:spPr bwMode="auto">
        <a:xfrm>
          <a:off x="5737860" y="153733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9</xdr:row>
      <xdr:rowOff>104775</xdr:rowOff>
    </xdr:from>
    <xdr:to>
      <xdr:col>7</xdr:col>
      <xdr:colOff>209550</xdr:colOff>
      <xdr:row>9</xdr:row>
      <xdr:rowOff>104775</xdr:rowOff>
    </xdr:to>
    <xdr:sp macro="" textlink="">
      <xdr:nvSpPr>
        <xdr:cNvPr id="89" name="Line 108">
          <a:extLst>
            <a:ext uri="{FF2B5EF4-FFF2-40B4-BE49-F238E27FC236}">
              <a16:creationId xmlns:a16="http://schemas.microsoft.com/office/drawing/2014/main" id="{00000000-0008-0000-0000-000059000000}"/>
            </a:ext>
          </a:extLst>
        </xdr:cNvPr>
        <xdr:cNvSpPr>
          <a:spLocks noChangeShapeType="1"/>
        </xdr:cNvSpPr>
      </xdr:nvSpPr>
      <xdr:spPr bwMode="auto">
        <a:xfrm>
          <a:off x="5737860" y="173545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10</xdr:row>
      <xdr:rowOff>114300</xdr:rowOff>
    </xdr:from>
    <xdr:to>
      <xdr:col>7</xdr:col>
      <xdr:colOff>209550</xdr:colOff>
      <xdr:row>10</xdr:row>
      <xdr:rowOff>114300</xdr:rowOff>
    </xdr:to>
    <xdr:sp macro="" textlink="">
      <xdr:nvSpPr>
        <xdr:cNvPr id="90" name="Line 109">
          <a:extLst>
            <a:ext uri="{FF2B5EF4-FFF2-40B4-BE49-F238E27FC236}">
              <a16:creationId xmlns:a16="http://schemas.microsoft.com/office/drawing/2014/main" id="{00000000-0008-0000-0000-00005A000000}"/>
            </a:ext>
          </a:extLst>
        </xdr:cNvPr>
        <xdr:cNvSpPr>
          <a:spLocks noChangeShapeType="1"/>
        </xdr:cNvSpPr>
      </xdr:nvSpPr>
      <xdr:spPr bwMode="auto">
        <a:xfrm>
          <a:off x="5737860" y="192024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11</xdr:row>
      <xdr:rowOff>114300</xdr:rowOff>
    </xdr:from>
    <xdr:to>
      <xdr:col>7</xdr:col>
      <xdr:colOff>209550</xdr:colOff>
      <xdr:row>11</xdr:row>
      <xdr:rowOff>114300</xdr:rowOff>
    </xdr:to>
    <xdr:sp macro="" textlink="">
      <xdr:nvSpPr>
        <xdr:cNvPr id="91" name="Line 110">
          <a:extLst>
            <a:ext uri="{FF2B5EF4-FFF2-40B4-BE49-F238E27FC236}">
              <a16:creationId xmlns:a16="http://schemas.microsoft.com/office/drawing/2014/main" id="{00000000-0008-0000-0000-00005B000000}"/>
            </a:ext>
          </a:extLst>
        </xdr:cNvPr>
        <xdr:cNvSpPr>
          <a:spLocks noChangeShapeType="1"/>
        </xdr:cNvSpPr>
      </xdr:nvSpPr>
      <xdr:spPr bwMode="auto">
        <a:xfrm>
          <a:off x="5737860" y="209550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12</xdr:row>
      <xdr:rowOff>114300</xdr:rowOff>
    </xdr:from>
    <xdr:to>
      <xdr:col>7</xdr:col>
      <xdr:colOff>209550</xdr:colOff>
      <xdr:row>12</xdr:row>
      <xdr:rowOff>114300</xdr:rowOff>
    </xdr:to>
    <xdr:sp macro="" textlink="">
      <xdr:nvSpPr>
        <xdr:cNvPr id="92" name="Line 111">
          <a:extLst>
            <a:ext uri="{FF2B5EF4-FFF2-40B4-BE49-F238E27FC236}">
              <a16:creationId xmlns:a16="http://schemas.microsoft.com/office/drawing/2014/main" id="{00000000-0008-0000-0000-00005C000000}"/>
            </a:ext>
          </a:extLst>
        </xdr:cNvPr>
        <xdr:cNvSpPr>
          <a:spLocks noChangeShapeType="1"/>
        </xdr:cNvSpPr>
      </xdr:nvSpPr>
      <xdr:spPr bwMode="auto">
        <a:xfrm>
          <a:off x="5737860" y="2270760"/>
          <a:ext cx="95250" cy="0"/>
        </a:xfrm>
        <a:prstGeom prst="line">
          <a:avLst/>
        </a:prstGeom>
        <a:noFill/>
        <a:ln w="9525">
          <a:solidFill>
            <a:srgbClr val="000000"/>
          </a:solidFill>
          <a:round/>
          <a:headEnd/>
          <a:tailEnd type="stealth" w="sm" len="sm"/>
        </a:ln>
      </xdr:spPr>
    </xdr:sp>
    <xdr:clientData/>
  </xdr:twoCellAnchor>
  <xdr:twoCellAnchor>
    <xdr:from>
      <xdr:col>7</xdr:col>
      <xdr:colOff>209550</xdr:colOff>
      <xdr:row>5</xdr:row>
      <xdr:rowOff>104775</xdr:rowOff>
    </xdr:from>
    <xdr:to>
      <xdr:col>7</xdr:col>
      <xdr:colOff>209550</xdr:colOff>
      <xdr:row>12</xdr:row>
      <xdr:rowOff>114300</xdr:rowOff>
    </xdr:to>
    <xdr:sp macro="" textlink="">
      <xdr:nvSpPr>
        <xdr:cNvPr id="93" name="Line 112">
          <a:extLst>
            <a:ext uri="{FF2B5EF4-FFF2-40B4-BE49-F238E27FC236}">
              <a16:creationId xmlns:a16="http://schemas.microsoft.com/office/drawing/2014/main" id="{00000000-0008-0000-0000-00005D000000}"/>
            </a:ext>
          </a:extLst>
        </xdr:cNvPr>
        <xdr:cNvSpPr>
          <a:spLocks noChangeShapeType="1"/>
        </xdr:cNvSpPr>
      </xdr:nvSpPr>
      <xdr:spPr bwMode="auto">
        <a:xfrm>
          <a:off x="5833110" y="1011555"/>
          <a:ext cx="0" cy="1259205"/>
        </a:xfrm>
        <a:prstGeom prst="line">
          <a:avLst/>
        </a:prstGeom>
        <a:noFill/>
        <a:ln w="9525">
          <a:solidFill>
            <a:srgbClr val="000000"/>
          </a:solidFill>
          <a:round/>
          <a:headEnd/>
          <a:tailEnd/>
        </a:ln>
      </xdr:spPr>
    </xdr:sp>
    <xdr:clientData/>
  </xdr:twoCellAnchor>
  <xdr:twoCellAnchor>
    <xdr:from>
      <xdr:col>4</xdr:col>
      <xdr:colOff>409575</xdr:colOff>
      <xdr:row>9</xdr:row>
      <xdr:rowOff>19050</xdr:rowOff>
    </xdr:from>
    <xdr:to>
      <xdr:col>5</xdr:col>
      <xdr:colOff>171450</xdr:colOff>
      <xdr:row>9</xdr:row>
      <xdr:rowOff>19050</xdr:rowOff>
    </xdr:to>
    <xdr:sp macro="" textlink="">
      <xdr:nvSpPr>
        <xdr:cNvPr id="94" name="Line 113">
          <a:extLst>
            <a:ext uri="{FF2B5EF4-FFF2-40B4-BE49-F238E27FC236}">
              <a16:creationId xmlns:a16="http://schemas.microsoft.com/office/drawing/2014/main" id="{00000000-0008-0000-0000-00005E000000}"/>
            </a:ext>
          </a:extLst>
        </xdr:cNvPr>
        <xdr:cNvSpPr>
          <a:spLocks noChangeShapeType="1"/>
        </xdr:cNvSpPr>
      </xdr:nvSpPr>
      <xdr:spPr bwMode="auto">
        <a:xfrm>
          <a:off x="3937635" y="1649730"/>
          <a:ext cx="386715" cy="0"/>
        </a:xfrm>
        <a:prstGeom prst="line">
          <a:avLst/>
        </a:prstGeom>
        <a:noFill/>
        <a:ln w="9525">
          <a:solidFill>
            <a:srgbClr val="000000"/>
          </a:solidFill>
          <a:round/>
          <a:headEnd/>
          <a:tailEnd type="stealth" w="sm" len="med"/>
        </a:ln>
      </xdr:spPr>
    </xdr:sp>
    <xdr:clientData/>
  </xdr:twoCellAnchor>
  <xdr:twoCellAnchor>
    <xdr:from>
      <xdr:col>4</xdr:col>
      <xdr:colOff>390525</xdr:colOff>
      <xdr:row>8</xdr:row>
      <xdr:rowOff>28575</xdr:rowOff>
    </xdr:from>
    <xdr:to>
      <xdr:col>5</xdr:col>
      <xdr:colOff>123825</xdr:colOff>
      <xdr:row>9</xdr:row>
      <xdr:rowOff>38100</xdr:rowOff>
    </xdr:to>
    <xdr:sp macro="" textlink="">
      <xdr:nvSpPr>
        <xdr:cNvPr id="95" name="Text Box 114">
          <a:extLst>
            <a:ext uri="{FF2B5EF4-FFF2-40B4-BE49-F238E27FC236}">
              <a16:creationId xmlns:a16="http://schemas.microsoft.com/office/drawing/2014/main" id="{00000000-0008-0000-0000-00005F000000}"/>
            </a:ext>
          </a:extLst>
        </xdr:cNvPr>
        <xdr:cNvSpPr txBox="1">
          <a:spLocks noChangeArrowheads="1"/>
        </xdr:cNvSpPr>
      </xdr:nvSpPr>
      <xdr:spPr bwMode="auto">
        <a:xfrm>
          <a:off x="3918585" y="1461135"/>
          <a:ext cx="358140" cy="207645"/>
        </a:xfrm>
        <a:prstGeom prst="rect">
          <a:avLst/>
        </a:prstGeom>
        <a:noFill/>
        <a:ln>
          <a:noFill/>
        </a:ln>
      </xdr:spPr>
      <xdr:txBody>
        <a:bodyPr vertOverflow="clip" wrap="square" lIns="27432" tIns="22860" rIns="0" bIns="0" anchor="t" upright="1"/>
        <a:lstStyle/>
        <a:p>
          <a:pPr algn="l" rtl="0">
            <a:defRPr sz="1000"/>
          </a:pPr>
          <a:r>
            <a:rPr lang="en-US" sz="900" b="0" i="1" u="none" strike="noStrike" baseline="0">
              <a:solidFill>
                <a:srgbClr val="0000FF"/>
              </a:solidFill>
              <a:latin typeface="Arial"/>
              <a:cs typeface="Arial"/>
            </a:rPr>
            <a:t>Wx</a:t>
          </a:r>
          <a:endParaRPr lang="en-US"/>
        </a:p>
      </xdr:txBody>
    </xdr:sp>
    <xdr:clientData/>
  </xdr:twoCellAnchor>
  <xdr:twoCellAnchor>
    <xdr:from>
      <xdr:col>6</xdr:col>
      <xdr:colOff>200025</xdr:colOff>
      <xdr:row>14</xdr:row>
      <xdr:rowOff>76200</xdr:rowOff>
    </xdr:from>
    <xdr:to>
      <xdr:col>6</xdr:col>
      <xdr:colOff>581025</xdr:colOff>
      <xdr:row>15</xdr:row>
      <xdr:rowOff>104775</xdr:rowOff>
    </xdr:to>
    <xdr:sp macro="" textlink="">
      <xdr:nvSpPr>
        <xdr:cNvPr id="96" name="Text Box 115">
          <a:extLst>
            <a:ext uri="{FF2B5EF4-FFF2-40B4-BE49-F238E27FC236}">
              <a16:creationId xmlns:a16="http://schemas.microsoft.com/office/drawing/2014/main" id="{00000000-0008-0000-0000-000060000000}"/>
            </a:ext>
          </a:extLst>
        </xdr:cNvPr>
        <xdr:cNvSpPr txBox="1">
          <a:spLocks noChangeArrowheads="1"/>
        </xdr:cNvSpPr>
      </xdr:nvSpPr>
      <xdr:spPr bwMode="auto">
        <a:xfrm>
          <a:off x="4977765" y="2583180"/>
          <a:ext cx="381000" cy="241935"/>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Plan</a:t>
          </a:r>
          <a:endParaRPr lang="en-US"/>
        </a:p>
      </xdr:txBody>
    </xdr:sp>
    <xdr:clientData/>
  </xdr:twoCellAnchor>
  <xdr:twoCellAnchor>
    <xdr:from>
      <xdr:col>6</xdr:col>
      <xdr:colOff>57150</xdr:colOff>
      <xdr:row>23</xdr:row>
      <xdr:rowOff>9525</xdr:rowOff>
    </xdr:from>
    <xdr:to>
      <xdr:col>6</xdr:col>
      <xdr:colOff>695325</xdr:colOff>
      <xdr:row>24</xdr:row>
      <xdr:rowOff>57150</xdr:rowOff>
    </xdr:to>
    <xdr:sp macro="" textlink="">
      <xdr:nvSpPr>
        <xdr:cNvPr id="97" name="Text Box 116">
          <a:extLst>
            <a:ext uri="{FF2B5EF4-FFF2-40B4-BE49-F238E27FC236}">
              <a16:creationId xmlns:a16="http://schemas.microsoft.com/office/drawing/2014/main" id="{00000000-0008-0000-0000-000061000000}"/>
            </a:ext>
          </a:extLst>
        </xdr:cNvPr>
        <xdr:cNvSpPr txBox="1">
          <a:spLocks noChangeArrowheads="1"/>
        </xdr:cNvSpPr>
      </xdr:nvSpPr>
      <xdr:spPr bwMode="auto">
        <a:xfrm>
          <a:off x="4834890" y="4147185"/>
          <a:ext cx="638175" cy="215265"/>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Elevation</a:t>
          </a:r>
          <a:endParaRPr lang="en-US"/>
        </a:p>
      </xdr:txBody>
    </xdr:sp>
    <xdr:clientData/>
  </xdr:twoCellAnchor>
  <xdr:twoCellAnchor>
    <xdr:from>
      <xdr:col>6</xdr:col>
      <xdr:colOff>285750</xdr:colOff>
      <xdr:row>21</xdr:row>
      <xdr:rowOff>85725</xdr:rowOff>
    </xdr:from>
    <xdr:to>
      <xdr:col>6</xdr:col>
      <xdr:colOff>666750</xdr:colOff>
      <xdr:row>22</xdr:row>
      <xdr:rowOff>123825</xdr:rowOff>
    </xdr:to>
    <xdr:sp macro="" textlink="">
      <xdr:nvSpPr>
        <xdr:cNvPr id="98" name="Text Box 117">
          <a:extLst>
            <a:ext uri="{FF2B5EF4-FFF2-40B4-BE49-F238E27FC236}">
              <a16:creationId xmlns:a16="http://schemas.microsoft.com/office/drawing/2014/main" id="{00000000-0008-0000-0000-000062000000}"/>
            </a:ext>
          </a:extLst>
        </xdr:cNvPr>
        <xdr:cNvSpPr txBox="1">
          <a:spLocks noChangeArrowheads="1"/>
        </xdr:cNvSpPr>
      </xdr:nvSpPr>
      <xdr:spPr bwMode="auto">
        <a:xfrm>
          <a:off x="5063490" y="3888105"/>
          <a:ext cx="381000" cy="205740"/>
        </a:xfrm>
        <a:prstGeom prst="rect">
          <a:avLst/>
        </a:prstGeom>
        <a:noFill/>
        <a:ln>
          <a:noFill/>
        </a:ln>
      </xdr:spPr>
      <xdr:txBody>
        <a:bodyPr vertOverflow="clip" wrap="square" lIns="27432" tIns="22860" rIns="0" bIns="0" anchor="t" upright="1"/>
        <a:lstStyle/>
        <a:p>
          <a:pPr algn="l" rtl="0">
            <a:defRPr sz="1000"/>
          </a:pPr>
          <a:r>
            <a:rPr lang="en-US" altLang="zh-TW"/>
            <a:t>Lx</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381000</xdr:colOff>
      <xdr:row>5</xdr:row>
      <xdr:rowOff>104775</xdr:rowOff>
    </xdr:from>
    <xdr:to>
      <xdr:col>7</xdr:col>
      <xdr:colOff>114300</xdr:colOff>
      <xdr:row>12</xdr:row>
      <xdr:rowOff>114300</xdr:rowOff>
    </xdr:to>
    <xdr:sp macro="" textlink="">
      <xdr:nvSpPr>
        <xdr:cNvPr id="2" name="Rectangle 21">
          <a:extLst>
            <a:ext uri="{FF2B5EF4-FFF2-40B4-BE49-F238E27FC236}">
              <a16:creationId xmlns:a16="http://schemas.microsoft.com/office/drawing/2014/main" id="{00000000-0008-0000-0100-000002000000}"/>
            </a:ext>
          </a:extLst>
        </xdr:cNvPr>
        <xdr:cNvSpPr>
          <a:spLocks noChangeArrowheads="1"/>
        </xdr:cNvSpPr>
      </xdr:nvSpPr>
      <xdr:spPr bwMode="auto">
        <a:xfrm>
          <a:off x="4181475" y="1114425"/>
          <a:ext cx="1162050" cy="1143000"/>
        </a:xfrm>
        <a:prstGeom prst="rect">
          <a:avLst/>
        </a:prstGeom>
        <a:solidFill>
          <a:srgbClr val="FFFFFF"/>
        </a:solidFill>
        <a:ln w="9525">
          <a:solidFill>
            <a:srgbClr val="000000"/>
          </a:solidFill>
          <a:miter lim="800000"/>
          <a:headEnd/>
          <a:tailEnd/>
        </a:ln>
      </xdr:spPr>
    </xdr:sp>
    <xdr:clientData/>
  </xdr:twoCellAnchor>
  <xdr:twoCellAnchor>
    <xdr:from>
      <xdr:col>6</xdr:col>
      <xdr:colOff>352425</xdr:colOff>
      <xdr:row>5</xdr:row>
      <xdr:rowOff>104775</xdr:rowOff>
    </xdr:from>
    <xdr:to>
      <xdr:col>6</xdr:col>
      <xdr:colOff>352425</xdr:colOff>
      <xdr:row>12</xdr:row>
      <xdr:rowOff>114300</xdr:rowOff>
    </xdr:to>
    <xdr:sp macro="" textlink="">
      <xdr:nvSpPr>
        <xdr:cNvPr id="3" name="Line 22">
          <a:extLst>
            <a:ext uri="{FF2B5EF4-FFF2-40B4-BE49-F238E27FC236}">
              <a16:creationId xmlns:a16="http://schemas.microsoft.com/office/drawing/2014/main" id="{00000000-0008-0000-0100-000003000000}"/>
            </a:ext>
          </a:extLst>
        </xdr:cNvPr>
        <xdr:cNvSpPr>
          <a:spLocks noChangeShapeType="1"/>
        </xdr:cNvSpPr>
      </xdr:nvSpPr>
      <xdr:spPr bwMode="auto">
        <a:xfrm>
          <a:off x="4762500" y="1114425"/>
          <a:ext cx="0" cy="1143000"/>
        </a:xfrm>
        <a:prstGeom prst="line">
          <a:avLst/>
        </a:prstGeom>
        <a:noFill/>
        <a:ln w="9525">
          <a:solidFill>
            <a:srgbClr val="000000"/>
          </a:solidFill>
          <a:round/>
          <a:headEnd/>
          <a:tailEnd/>
        </a:ln>
      </xdr:spPr>
    </xdr:sp>
    <xdr:clientData/>
  </xdr:twoCellAnchor>
  <xdr:twoCellAnchor>
    <xdr:from>
      <xdr:col>5</xdr:col>
      <xdr:colOff>381000</xdr:colOff>
      <xdr:row>19</xdr:row>
      <xdr:rowOff>9525</xdr:rowOff>
    </xdr:from>
    <xdr:to>
      <xdr:col>5</xdr:col>
      <xdr:colOff>381000</xdr:colOff>
      <xdr:row>21</xdr:row>
      <xdr:rowOff>95250</xdr:rowOff>
    </xdr:to>
    <xdr:sp macro="" textlink="">
      <xdr:nvSpPr>
        <xdr:cNvPr id="4" name="Line 23">
          <a:extLst>
            <a:ext uri="{FF2B5EF4-FFF2-40B4-BE49-F238E27FC236}">
              <a16:creationId xmlns:a16="http://schemas.microsoft.com/office/drawing/2014/main" id="{00000000-0008-0000-0100-000004000000}"/>
            </a:ext>
          </a:extLst>
        </xdr:cNvPr>
        <xdr:cNvSpPr>
          <a:spLocks noChangeShapeType="1"/>
        </xdr:cNvSpPr>
      </xdr:nvSpPr>
      <xdr:spPr bwMode="auto">
        <a:xfrm flipV="1">
          <a:off x="4181475" y="3286125"/>
          <a:ext cx="0" cy="409575"/>
        </a:xfrm>
        <a:prstGeom prst="line">
          <a:avLst/>
        </a:prstGeom>
        <a:noFill/>
        <a:ln w="9525">
          <a:solidFill>
            <a:srgbClr val="000000"/>
          </a:solidFill>
          <a:round/>
          <a:headEnd/>
          <a:tailEnd/>
        </a:ln>
      </xdr:spPr>
    </xdr:sp>
    <xdr:clientData/>
  </xdr:twoCellAnchor>
  <xdr:twoCellAnchor>
    <xdr:from>
      <xdr:col>7</xdr:col>
      <xdr:colOff>114300</xdr:colOff>
      <xdr:row>19</xdr:row>
      <xdr:rowOff>9525</xdr:rowOff>
    </xdr:from>
    <xdr:to>
      <xdr:col>7</xdr:col>
      <xdr:colOff>114300</xdr:colOff>
      <xdr:row>21</xdr:row>
      <xdr:rowOff>95250</xdr:rowOff>
    </xdr:to>
    <xdr:sp macro="" textlink="">
      <xdr:nvSpPr>
        <xdr:cNvPr id="5" name="Line 24">
          <a:extLst>
            <a:ext uri="{FF2B5EF4-FFF2-40B4-BE49-F238E27FC236}">
              <a16:creationId xmlns:a16="http://schemas.microsoft.com/office/drawing/2014/main" id="{00000000-0008-0000-0100-000005000000}"/>
            </a:ext>
          </a:extLst>
        </xdr:cNvPr>
        <xdr:cNvSpPr>
          <a:spLocks noChangeShapeType="1"/>
        </xdr:cNvSpPr>
      </xdr:nvSpPr>
      <xdr:spPr bwMode="auto">
        <a:xfrm flipV="1">
          <a:off x="5343525" y="3286125"/>
          <a:ext cx="0" cy="409575"/>
        </a:xfrm>
        <a:prstGeom prst="line">
          <a:avLst/>
        </a:prstGeom>
        <a:noFill/>
        <a:ln w="9525">
          <a:solidFill>
            <a:srgbClr val="000000"/>
          </a:solidFill>
          <a:round/>
          <a:headEnd/>
          <a:tailEnd/>
        </a:ln>
      </xdr:spPr>
    </xdr:sp>
    <xdr:clientData/>
  </xdr:twoCellAnchor>
  <xdr:twoCellAnchor>
    <xdr:from>
      <xdr:col>5</xdr:col>
      <xdr:colOff>381000</xdr:colOff>
      <xdr:row>16</xdr:row>
      <xdr:rowOff>152400</xdr:rowOff>
    </xdr:from>
    <xdr:to>
      <xdr:col>6</xdr:col>
      <xdr:colOff>352425</xdr:colOff>
      <xdr:row>19</xdr:row>
      <xdr:rowOff>9525</xdr:rowOff>
    </xdr:to>
    <xdr:sp macro="" textlink="">
      <xdr:nvSpPr>
        <xdr:cNvPr id="6" name="Line 25">
          <a:extLst>
            <a:ext uri="{FF2B5EF4-FFF2-40B4-BE49-F238E27FC236}">
              <a16:creationId xmlns:a16="http://schemas.microsoft.com/office/drawing/2014/main" id="{00000000-0008-0000-0100-000006000000}"/>
            </a:ext>
          </a:extLst>
        </xdr:cNvPr>
        <xdr:cNvSpPr>
          <a:spLocks noChangeShapeType="1"/>
        </xdr:cNvSpPr>
      </xdr:nvSpPr>
      <xdr:spPr bwMode="auto">
        <a:xfrm flipV="1">
          <a:off x="4181475" y="2943225"/>
          <a:ext cx="581025" cy="342900"/>
        </a:xfrm>
        <a:prstGeom prst="line">
          <a:avLst/>
        </a:prstGeom>
        <a:noFill/>
        <a:ln w="9525">
          <a:solidFill>
            <a:srgbClr val="000000"/>
          </a:solidFill>
          <a:round/>
          <a:headEnd/>
          <a:tailEnd/>
        </a:ln>
      </xdr:spPr>
    </xdr:sp>
    <xdr:clientData/>
  </xdr:twoCellAnchor>
  <xdr:twoCellAnchor>
    <xdr:from>
      <xdr:col>6</xdr:col>
      <xdr:colOff>352425</xdr:colOff>
      <xdr:row>16</xdr:row>
      <xdr:rowOff>152400</xdr:rowOff>
    </xdr:from>
    <xdr:to>
      <xdr:col>7</xdr:col>
      <xdr:colOff>114300</xdr:colOff>
      <xdr:row>19</xdr:row>
      <xdr:rowOff>9525</xdr:rowOff>
    </xdr:to>
    <xdr:sp macro="" textlink="">
      <xdr:nvSpPr>
        <xdr:cNvPr id="7" name="Line 26">
          <a:extLst>
            <a:ext uri="{FF2B5EF4-FFF2-40B4-BE49-F238E27FC236}">
              <a16:creationId xmlns:a16="http://schemas.microsoft.com/office/drawing/2014/main" id="{00000000-0008-0000-0100-000007000000}"/>
            </a:ext>
          </a:extLst>
        </xdr:cNvPr>
        <xdr:cNvSpPr>
          <a:spLocks noChangeShapeType="1"/>
        </xdr:cNvSpPr>
      </xdr:nvSpPr>
      <xdr:spPr bwMode="auto">
        <a:xfrm>
          <a:off x="4762500" y="2943225"/>
          <a:ext cx="581025" cy="342900"/>
        </a:xfrm>
        <a:prstGeom prst="line">
          <a:avLst/>
        </a:prstGeom>
        <a:noFill/>
        <a:ln w="9525">
          <a:solidFill>
            <a:srgbClr val="000000"/>
          </a:solidFill>
          <a:round/>
          <a:headEnd/>
          <a:tailEnd/>
        </a:ln>
      </xdr:spPr>
    </xdr:sp>
    <xdr:clientData/>
  </xdr:twoCellAnchor>
  <xdr:twoCellAnchor>
    <xdr:from>
      <xdr:col>5</xdr:col>
      <xdr:colOff>381000</xdr:colOff>
      <xdr:row>21</xdr:row>
      <xdr:rowOff>95250</xdr:rowOff>
    </xdr:from>
    <xdr:to>
      <xdr:col>7</xdr:col>
      <xdr:colOff>114300</xdr:colOff>
      <xdr:row>21</xdr:row>
      <xdr:rowOff>95250</xdr:rowOff>
    </xdr:to>
    <xdr:sp macro="" textlink="">
      <xdr:nvSpPr>
        <xdr:cNvPr id="8" name="Line 27">
          <a:extLst>
            <a:ext uri="{FF2B5EF4-FFF2-40B4-BE49-F238E27FC236}">
              <a16:creationId xmlns:a16="http://schemas.microsoft.com/office/drawing/2014/main" id="{00000000-0008-0000-0100-000008000000}"/>
            </a:ext>
          </a:extLst>
        </xdr:cNvPr>
        <xdr:cNvSpPr>
          <a:spLocks noChangeShapeType="1"/>
        </xdr:cNvSpPr>
      </xdr:nvSpPr>
      <xdr:spPr bwMode="auto">
        <a:xfrm>
          <a:off x="4181475" y="3695700"/>
          <a:ext cx="1162050" cy="0"/>
        </a:xfrm>
        <a:prstGeom prst="line">
          <a:avLst/>
        </a:prstGeom>
        <a:noFill/>
        <a:ln w="9525">
          <a:solidFill>
            <a:srgbClr val="000000"/>
          </a:solidFill>
          <a:round/>
          <a:headEnd/>
          <a:tailEnd/>
        </a:ln>
      </xdr:spPr>
    </xdr:sp>
    <xdr:clientData/>
  </xdr:twoCellAnchor>
  <xdr:twoCellAnchor>
    <xdr:from>
      <xdr:col>5</xdr:col>
      <xdr:colOff>381000</xdr:colOff>
      <xdr:row>14</xdr:row>
      <xdr:rowOff>38100</xdr:rowOff>
    </xdr:from>
    <xdr:to>
      <xdr:col>7</xdr:col>
      <xdr:colOff>114300</xdr:colOff>
      <xdr:row>14</xdr:row>
      <xdr:rowOff>38100</xdr:rowOff>
    </xdr:to>
    <xdr:sp macro="" textlink="">
      <xdr:nvSpPr>
        <xdr:cNvPr id="9" name="Line 28">
          <a:extLst>
            <a:ext uri="{FF2B5EF4-FFF2-40B4-BE49-F238E27FC236}">
              <a16:creationId xmlns:a16="http://schemas.microsoft.com/office/drawing/2014/main" id="{00000000-0008-0000-0100-000009000000}"/>
            </a:ext>
          </a:extLst>
        </xdr:cNvPr>
        <xdr:cNvSpPr>
          <a:spLocks noChangeShapeType="1"/>
        </xdr:cNvSpPr>
      </xdr:nvSpPr>
      <xdr:spPr bwMode="auto">
        <a:xfrm>
          <a:off x="4181475" y="2505075"/>
          <a:ext cx="1162050" cy="0"/>
        </a:xfrm>
        <a:prstGeom prst="line">
          <a:avLst/>
        </a:prstGeom>
        <a:noFill/>
        <a:ln w="9525">
          <a:solidFill>
            <a:srgbClr val="000000"/>
          </a:solidFill>
          <a:round/>
          <a:headEnd type="stealth" w="sm" len="sm"/>
          <a:tailEnd type="stealth" w="sm" len="sm"/>
        </a:ln>
      </xdr:spPr>
    </xdr:sp>
    <xdr:clientData/>
  </xdr:twoCellAnchor>
  <xdr:twoCellAnchor>
    <xdr:from>
      <xdr:col>5</xdr:col>
      <xdr:colOff>381000</xdr:colOff>
      <xdr:row>13</xdr:row>
      <xdr:rowOff>66675</xdr:rowOff>
    </xdr:from>
    <xdr:to>
      <xdr:col>5</xdr:col>
      <xdr:colOff>381000</xdr:colOff>
      <xdr:row>15</xdr:row>
      <xdr:rowOff>9525</xdr:rowOff>
    </xdr:to>
    <xdr:sp macro="" textlink="">
      <xdr:nvSpPr>
        <xdr:cNvPr id="10" name="Line 29">
          <a:extLst>
            <a:ext uri="{FF2B5EF4-FFF2-40B4-BE49-F238E27FC236}">
              <a16:creationId xmlns:a16="http://schemas.microsoft.com/office/drawing/2014/main" id="{00000000-0008-0000-0100-00000A000000}"/>
            </a:ext>
          </a:extLst>
        </xdr:cNvPr>
        <xdr:cNvSpPr>
          <a:spLocks noChangeShapeType="1"/>
        </xdr:cNvSpPr>
      </xdr:nvSpPr>
      <xdr:spPr bwMode="auto">
        <a:xfrm>
          <a:off x="4181475" y="2371725"/>
          <a:ext cx="0" cy="266700"/>
        </a:xfrm>
        <a:prstGeom prst="line">
          <a:avLst/>
        </a:prstGeom>
        <a:noFill/>
        <a:ln w="9525">
          <a:solidFill>
            <a:srgbClr val="000000"/>
          </a:solidFill>
          <a:round/>
          <a:headEnd/>
          <a:tailEnd/>
        </a:ln>
      </xdr:spPr>
    </xdr:sp>
    <xdr:clientData/>
  </xdr:twoCellAnchor>
  <xdr:twoCellAnchor>
    <xdr:from>
      <xdr:col>7</xdr:col>
      <xdr:colOff>114300</xdr:colOff>
      <xdr:row>13</xdr:row>
      <xdr:rowOff>66675</xdr:rowOff>
    </xdr:from>
    <xdr:to>
      <xdr:col>7</xdr:col>
      <xdr:colOff>114300</xdr:colOff>
      <xdr:row>15</xdr:row>
      <xdr:rowOff>9525</xdr:rowOff>
    </xdr:to>
    <xdr:sp macro="" textlink="">
      <xdr:nvSpPr>
        <xdr:cNvPr id="11" name="Line 30">
          <a:extLst>
            <a:ext uri="{FF2B5EF4-FFF2-40B4-BE49-F238E27FC236}">
              <a16:creationId xmlns:a16="http://schemas.microsoft.com/office/drawing/2014/main" id="{00000000-0008-0000-0100-00000B000000}"/>
            </a:ext>
          </a:extLst>
        </xdr:cNvPr>
        <xdr:cNvSpPr>
          <a:spLocks noChangeShapeType="1"/>
        </xdr:cNvSpPr>
      </xdr:nvSpPr>
      <xdr:spPr bwMode="auto">
        <a:xfrm>
          <a:off x="5343525" y="2371725"/>
          <a:ext cx="0" cy="266700"/>
        </a:xfrm>
        <a:prstGeom prst="line">
          <a:avLst/>
        </a:prstGeom>
        <a:noFill/>
        <a:ln w="9525">
          <a:solidFill>
            <a:srgbClr val="000000"/>
          </a:solidFill>
          <a:round/>
          <a:headEnd/>
          <a:tailEnd/>
        </a:ln>
      </xdr:spPr>
    </xdr:sp>
    <xdr:clientData/>
  </xdr:twoCellAnchor>
  <xdr:twoCellAnchor>
    <xdr:from>
      <xdr:col>5</xdr:col>
      <xdr:colOff>381000</xdr:colOff>
      <xdr:row>21</xdr:row>
      <xdr:rowOff>123825</xdr:rowOff>
    </xdr:from>
    <xdr:to>
      <xdr:col>5</xdr:col>
      <xdr:colOff>381000</xdr:colOff>
      <xdr:row>23</xdr:row>
      <xdr:rowOff>66675</xdr:rowOff>
    </xdr:to>
    <xdr:sp macro="" textlink="">
      <xdr:nvSpPr>
        <xdr:cNvPr id="12" name="Line 31">
          <a:extLst>
            <a:ext uri="{FF2B5EF4-FFF2-40B4-BE49-F238E27FC236}">
              <a16:creationId xmlns:a16="http://schemas.microsoft.com/office/drawing/2014/main" id="{00000000-0008-0000-0100-00000C000000}"/>
            </a:ext>
          </a:extLst>
        </xdr:cNvPr>
        <xdr:cNvSpPr>
          <a:spLocks noChangeShapeType="1"/>
        </xdr:cNvSpPr>
      </xdr:nvSpPr>
      <xdr:spPr bwMode="auto">
        <a:xfrm>
          <a:off x="4181475" y="3724275"/>
          <a:ext cx="0" cy="266700"/>
        </a:xfrm>
        <a:prstGeom prst="line">
          <a:avLst/>
        </a:prstGeom>
        <a:noFill/>
        <a:ln w="9525">
          <a:solidFill>
            <a:srgbClr val="000000"/>
          </a:solidFill>
          <a:round/>
          <a:headEnd/>
          <a:tailEnd/>
        </a:ln>
      </xdr:spPr>
    </xdr:sp>
    <xdr:clientData/>
  </xdr:twoCellAnchor>
  <xdr:twoCellAnchor>
    <xdr:from>
      <xdr:col>7</xdr:col>
      <xdr:colOff>114300</xdr:colOff>
      <xdr:row>21</xdr:row>
      <xdr:rowOff>123825</xdr:rowOff>
    </xdr:from>
    <xdr:to>
      <xdr:col>7</xdr:col>
      <xdr:colOff>114300</xdr:colOff>
      <xdr:row>23</xdr:row>
      <xdr:rowOff>66675</xdr:rowOff>
    </xdr:to>
    <xdr:sp macro="" textlink="">
      <xdr:nvSpPr>
        <xdr:cNvPr id="13" name="Line 32">
          <a:extLst>
            <a:ext uri="{FF2B5EF4-FFF2-40B4-BE49-F238E27FC236}">
              <a16:creationId xmlns:a16="http://schemas.microsoft.com/office/drawing/2014/main" id="{00000000-0008-0000-0100-00000D000000}"/>
            </a:ext>
          </a:extLst>
        </xdr:cNvPr>
        <xdr:cNvSpPr>
          <a:spLocks noChangeShapeType="1"/>
        </xdr:cNvSpPr>
      </xdr:nvSpPr>
      <xdr:spPr bwMode="auto">
        <a:xfrm>
          <a:off x="5343525" y="3724275"/>
          <a:ext cx="0" cy="266700"/>
        </a:xfrm>
        <a:prstGeom prst="line">
          <a:avLst/>
        </a:prstGeom>
        <a:noFill/>
        <a:ln w="9525">
          <a:solidFill>
            <a:srgbClr val="000000"/>
          </a:solidFill>
          <a:round/>
          <a:headEnd/>
          <a:tailEnd/>
        </a:ln>
      </xdr:spPr>
    </xdr:sp>
    <xdr:clientData/>
  </xdr:twoCellAnchor>
  <xdr:twoCellAnchor>
    <xdr:from>
      <xdr:col>5</xdr:col>
      <xdr:colOff>381000</xdr:colOff>
      <xdr:row>22</xdr:row>
      <xdr:rowOff>114300</xdr:rowOff>
    </xdr:from>
    <xdr:to>
      <xdr:col>7</xdr:col>
      <xdr:colOff>114300</xdr:colOff>
      <xdr:row>22</xdr:row>
      <xdr:rowOff>114300</xdr:rowOff>
    </xdr:to>
    <xdr:sp macro="" textlink="">
      <xdr:nvSpPr>
        <xdr:cNvPr id="14" name="Line 33">
          <a:extLst>
            <a:ext uri="{FF2B5EF4-FFF2-40B4-BE49-F238E27FC236}">
              <a16:creationId xmlns:a16="http://schemas.microsoft.com/office/drawing/2014/main" id="{00000000-0008-0000-0100-00000E000000}"/>
            </a:ext>
          </a:extLst>
        </xdr:cNvPr>
        <xdr:cNvSpPr>
          <a:spLocks noChangeShapeType="1"/>
        </xdr:cNvSpPr>
      </xdr:nvSpPr>
      <xdr:spPr bwMode="auto">
        <a:xfrm>
          <a:off x="4181475" y="3876675"/>
          <a:ext cx="1162050" cy="0"/>
        </a:xfrm>
        <a:prstGeom prst="line">
          <a:avLst/>
        </a:prstGeom>
        <a:noFill/>
        <a:ln w="9525">
          <a:solidFill>
            <a:srgbClr val="000000"/>
          </a:solidFill>
          <a:round/>
          <a:headEnd type="stealth" w="sm" len="sm"/>
          <a:tailEnd type="stealth" w="sm" len="sm"/>
        </a:ln>
      </xdr:spPr>
    </xdr:sp>
    <xdr:clientData/>
  </xdr:twoCellAnchor>
  <xdr:twoCellAnchor>
    <xdr:from>
      <xdr:col>7</xdr:col>
      <xdr:colOff>247650</xdr:colOff>
      <xdr:row>21</xdr:row>
      <xdr:rowOff>95250</xdr:rowOff>
    </xdr:from>
    <xdr:to>
      <xdr:col>7</xdr:col>
      <xdr:colOff>504825</xdr:colOff>
      <xdr:row>21</xdr:row>
      <xdr:rowOff>95250</xdr:rowOff>
    </xdr:to>
    <xdr:sp macro="" textlink="">
      <xdr:nvSpPr>
        <xdr:cNvPr id="15" name="Line 34">
          <a:extLst>
            <a:ext uri="{FF2B5EF4-FFF2-40B4-BE49-F238E27FC236}">
              <a16:creationId xmlns:a16="http://schemas.microsoft.com/office/drawing/2014/main" id="{00000000-0008-0000-0100-00000F000000}"/>
            </a:ext>
          </a:extLst>
        </xdr:cNvPr>
        <xdr:cNvSpPr>
          <a:spLocks noChangeShapeType="1"/>
        </xdr:cNvSpPr>
      </xdr:nvSpPr>
      <xdr:spPr bwMode="auto">
        <a:xfrm>
          <a:off x="5476875" y="3695700"/>
          <a:ext cx="257175" cy="0"/>
        </a:xfrm>
        <a:prstGeom prst="line">
          <a:avLst/>
        </a:prstGeom>
        <a:noFill/>
        <a:ln w="9525">
          <a:solidFill>
            <a:srgbClr val="000000"/>
          </a:solidFill>
          <a:round/>
          <a:headEnd/>
          <a:tailEnd/>
        </a:ln>
      </xdr:spPr>
    </xdr:sp>
    <xdr:clientData/>
  </xdr:twoCellAnchor>
  <xdr:twoCellAnchor>
    <xdr:from>
      <xdr:col>7</xdr:col>
      <xdr:colOff>257175</xdr:colOff>
      <xdr:row>19</xdr:row>
      <xdr:rowOff>9525</xdr:rowOff>
    </xdr:from>
    <xdr:to>
      <xdr:col>7</xdr:col>
      <xdr:colOff>514350</xdr:colOff>
      <xdr:row>19</xdr:row>
      <xdr:rowOff>9525</xdr:rowOff>
    </xdr:to>
    <xdr:sp macro="" textlink="">
      <xdr:nvSpPr>
        <xdr:cNvPr id="16" name="Line 35">
          <a:extLst>
            <a:ext uri="{FF2B5EF4-FFF2-40B4-BE49-F238E27FC236}">
              <a16:creationId xmlns:a16="http://schemas.microsoft.com/office/drawing/2014/main" id="{00000000-0008-0000-0100-000010000000}"/>
            </a:ext>
          </a:extLst>
        </xdr:cNvPr>
        <xdr:cNvSpPr>
          <a:spLocks noChangeShapeType="1"/>
        </xdr:cNvSpPr>
      </xdr:nvSpPr>
      <xdr:spPr bwMode="auto">
        <a:xfrm>
          <a:off x="5486400" y="3286125"/>
          <a:ext cx="257175" cy="0"/>
        </a:xfrm>
        <a:prstGeom prst="line">
          <a:avLst/>
        </a:prstGeom>
        <a:noFill/>
        <a:ln w="9525">
          <a:solidFill>
            <a:srgbClr val="000000"/>
          </a:solidFill>
          <a:round/>
          <a:headEnd/>
          <a:tailEnd/>
        </a:ln>
      </xdr:spPr>
    </xdr:sp>
    <xdr:clientData/>
  </xdr:twoCellAnchor>
  <xdr:twoCellAnchor>
    <xdr:from>
      <xdr:col>4</xdr:col>
      <xdr:colOff>581025</xdr:colOff>
      <xdr:row>16</xdr:row>
      <xdr:rowOff>142875</xdr:rowOff>
    </xdr:from>
    <xdr:to>
      <xdr:col>6</xdr:col>
      <xdr:colOff>304800</xdr:colOff>
      <xdr:row>16</xdr:row>
      <xdr:rowOff>142875</xdr:rowOff>
    </xdr:to>
    <xdr:sp macro="" textlink="">
      <xdr:nvSpPr>
        <xdr:cNvPr id="17" name="Line 36">
          <a:extLst>
            <a:ext uri="{FF2B5EF4-FFF2-40B4-BE49-F238E27FC236}">
              <a16:creationId xmlns:a16="http://schemas.microsoft.com/office/drawing/2014/main" id="{00000000-0008-0000-0100-000011000000}"/>
            </a:ext>
          </a:extLst>
        </xdr:cNvPr>
        <xdr:cNvSpPr>
          <a:spLocks noChangeShapeType="1"/>
        </xdr:cNvSpPr>
      </xdr:nvSpPr>
      <xdr:spPr bwMode="auto">
        <a:xfrm>
          <a:off x="3771900" y="2933700"/>
          <a:ext cx="942975" cy="0"/>
        </a:xfrm>
        <a:prstGeom prst="line">
          <a:avLst/>
        </a:prstGeom>
        <a:noFill/>
        <a:ln w="9525">
          <a:solidFill>
            <a:srgbClr val="000000"/>
          </a:solidFill>
          <a:round/>
          <a:headEnd/>
          <a:tailEnd/>
        </a:ln>
      </xdr:spPr>
    </xdr:sp>
    <xdr:clientData/>
  </xdr:twoCellAnchor>
  <xdr:twoCellAnchor>
    <xdr:from>
      <xdr:col>4</xdr:col>
      <xdr:colOff>581025</xdr:colOff>
      <xdr:row>21</xdr:row>
      <xdr:rowOff>95250</xdr:rowOff>
    </xdr:from>
    <xdr:to>
      <xdr:col>5</xdr:col>
      <xdr:colOff>180975</xdr:colOff>
      <xdr:row>21</xdr:row>
      <xdr:rowOff>95250</xdr:rowOff>
    </xdr:to>
    <xdr:sp macro="" textlink="">
      <xdr:nvSpPr>
        <xdr:cNvPr id="18" name="Line 37">
          <a:extLst>
            <a:ext uri="{FF2B5EF4-FFF2-40B4-BE49-F238E27FC236}">
              <a16:creationId xmlns:a16="http://schemas.microsoft.com/office/drawing/2014/main" id="{00000000-0008-0000-0100-000012000000}"/>
            </a:ext>
          </a:extLst>
        </xdr:cNvPr>
        <xdr:cNvSpPr>
          <a:spLocks noChangeShapeType="1"/>
        </xdr:cNvSpPr>
      </xdr:nvSpPr>
      <xdr:spPr bwMode="auto">
        <a:xfrm flipH="1">
          <a:off x="3771900" y="3695700"/>
          <a:ext cx="209550" cy="0"/>
        </a:xfrm>
        <a:prstGeom prst="line">
          <a:avLst/>
        </a:prstGeom>
        <a:noFill/>
        <a:ln w="9525">
          <a:solidFill>
            <a:srgbClr val="000000"/>
          </a:solidFill>
          <a:round/>
          <a:headEnd/>
          <a:tailEnd/>
        </a:ln>
      </xdr:spPr>
    </xdr:sp>
    <xdr:clientData/>
  </xdr:twoCellAnchor>
  <xdr:twoCellAnchor>
    <xdr:from>
      <xdr:col>7</xdr:col>
      <xdr:colOff>381000</xdr:colOff>
      <xdr:row>19</xdr:row>
      <xdr:rowOff>9525</xdr:rowOff>
    </xdr:from>
    <xdr:to>
      <xdr:col>7</xdr:col>
      <xdr:colOff>381000</xdr:colOff>
      <xdr:row>21</xdr:row>
      <xdr:rowOff>95250</xdr:rowOff>
    </xdr:to>
    <xdr:sp macro="" textlink="">
      <xdr:nvSpPr>
        <xdr:cNvPr id="19" name="Line 38">
          <a:extLst>
            <a:ext uri="{FF2B5EF4-FFF2-40B4-BE49-F238E27FC236}">
              <a16:creationId xmlns:a16="http://schemas.microsoft.com/office/drawing/2014/main" id="{00000000-0008-0000-0100-000013000000}"/>
            </a:ext>
          </a:extLst>
        </xdr:cNvPr>
        <xdr:cNvSpPr>
          <a:spLocks noChangeShapeType="1"/>
        </xdr:cNvSpPr>
      </xdr:nvSpPr>
      <xdr:spPr bwMode="auto">
        <a:xfrm>
          <a:off x="5610225" y="3286125"/>
          <a:ext cx="0" cy="409575"/>
        </a:xfrm>
        <a:prstGeom prst="line">
          <a:avLst/>
        </a:prstGeom>
        <a:noFill/>
        <a:ln w="9525">
          <a:solidFill>
            <a:srgbClr val="000000"/>
          </a:solidFill>
          <a:round/>
          <a:headEnd type="stealth" w="sm" len="sm"/>
          <a:tailEnd type="stealth" w="sm" len="sm"/>
        </a:ln>
      </xdr:spPr>
    </xdr:sp>
    <xdr:clientData/>
  </xdr:twoCellAnchor>
  <xdr:twoCellAnchor>
    <xdr:from>
      <xdr:col>5</xdr:col>
      <xdr:colOff>76200</xdr:colOff>
      <xdr:row>16</xdr:row>
      <xdr:rowOff>142875</xdr:rowOff>
    </xdr:from>
    <xdr:to>
      <xdr:col>5</xdr:col>
      <xdr:colOff>76200</xdr:colOff>
      <xdr:row>21</xdr:row>
      <xdr:rowOff>95250</xdr:rowOff>
    </xdr:to>
    <xdr:sp macro="" textlink="">
      <xdr:nvSpPr>
        <xdr:cNvPr id="20" name="Line 39">
          <a:extLst>
            <a:ext uri="{FF2B5EF4-FFF2-40B4-BE49-F238E27FC236}">
              <a16:creationId xmlns:a16="http://schemas.microsoft.com/office/drawing/2014/main" id="{00000000-0008-0000-0100-000014000000}"/>
            </a:ext>
          </a:extLst>
        </xdr:cNvPr>
        <xdr:cNvSpPr>
          <a:spLocks noChangeShapeType="1"/>
        </xdr:cNvSpPr>
      </xdr:nvSpPr>
      <xdr:spPr bwMode="auto">
        <a:xfrm>
          <a:off x="3876675" y="2933700"/>
          <a:ext cx="0" cy="762000"/>
        </a:xfrm>
        <a:prstGeom prst="line">
          <a:avLst/>
        </a:prstGeom>
        <a:noFill/>
        <a:ln w="9525">
          <a:solidFill>
            <a:srgbClr val="000000"/>
          </a:solidFill>
          <a:round/>
          <a:headEnd type="stealth" w="sm" len="sm"/>
          <a:tailEnd type="stealth" w="sm" len="sm"/>
        </a:ln>
      </xdr:spPr>
    </xdr:sp>
    <xdr:clientData/>
  </xdr:twoCellAnchor>
  <xdr:twoCellAnchor>
    <xdr:from>
      <xdr:col>7</xdr:col>
      <xdr:colOff>257175</xdr:colOff>
      <xdr:row>12</xdr:row>
      <xdr:rowOff>114300</xdr:rowOff>
    </xdr:from>
    <xdr:to>
      <xdr:col>7</xdr:col>
      <xdr:colOff>514350</xdr:colOff>
      <xdr:row>12</xdr:row>
      <xdr:rowOff>114300</xdr:rowOff>
    </xdr:to>
    <xdr:sp macro="" textlink="">
      <xdr:nvSpPr>
        <xdr:cNvPr id="21" name="Line 40">
          <a:extLst>
            <a:ext uri="{FF2B5EF4-FFF2-40B4-BE49-F238E27FC236}">
              <a16:creationId xmlns:a16="http://schemas.microsoft.com/office/drawing/2014/main" id="{00000000-0008-0000-0100-000015000000}"/>
            </a:ext>
          </a:extLst>
        </xdr:cNvPr>
        <xdr:cNvSpPr>
          <a:spLocks noChangeShapeType="1"/>
        </xdr:cNvSpPr>
      </xdr:nvSpPr>
      <xdr:spPr bwMode="auto">
        <a:xfrm>
          <a:off x="5486400" y="2257425"/>
          <a:ext cx="257175" cy="0"/>
        </a:xfrm>
        <a:prstGeom prst="line">
          <a:avLst/>
        </a:prstGeom>
        <a:noFill/>
        <a:ln w="9525">
          <a:solidFill>
            <a:srgbClr val="000000"/>
          </a:solidFill>
          <a:round/>
          <a:headEnd/>
          <a:tailEnd/>
        </a:ln>
      </xdr:spPr>
    </xdr:sp>
    <xdr:clientData/>
  </xdr:twoCellAnchor>
  <xdr:twoCellAnchor>
    <xdr:from>
      <xdr:col>7</xdr:col>
      <xdr:colOff>257175</xdr:colOff>
      <xdr:row>5</xdr:row>
      <xdr:rowOff>104775</xdr:rowOff>
    </xdr:from>
    <xdr:to>
      <xdr:col>7</xdr:col>
      <xdr:colOff>514350</xdr:colOff>
      <xdr:row>5</xdr:row>
      <xdr:rowOff>104775</xdr:rowOff>
    </xdr:to>
    <xdr:sp macro="" textlink="">
      <xdr:nvSpPr>
        <xdr:cNvPr id="22" name="Line 41">
          <a:extLst>
            <a:ext uri="{FF2B5EF4-FFF2-40B4-BE49-F238E27FC236}">
              <a16:creationId xmlns:a16="http://schemas.microsoft.com/office/drawing/2014/main" id="{00000000-0008-0000-0100-000016000000}"/>
            </a:ext>
          </a:extLst>
        </xdr:cNvPr>
        <xdr:cNvSpPr>
          <a:spLocks noChangeShapeType="1"/>
        </xdr:cNvSpPr>
      </xdr:nvSpPr>
      <xdr:spPr bwMode="auto">
        <a:xfrm>
          <a:off x="5486400" y="1114425"/>
          <a:ext cx="257175" cy="0"/>
        </a:xfrm>
        <a:prstGeom prst="line">
          <a:avLst/>
        </a:prstGeom>
        <a:noFill/>
        <a:ln w="9525">
          <a:solidFill>
            <a:srgbClr val="000000"/>
          </a:solidFill>
          <a:round/>
          <a:headEnd/>
          <a:tailEnd/>
        </a:ln>
      </xdr:spPr>
    </xdr:sp>
    <xdr:clientData/>
  </xdr:twoCellAnchor>
  <xdr:twoCellAnchor>
    <xdr:from>
      <xdr:col>7</xdr:col>
      <xdr:colOff>371475</xdr:colOff>
      <xdr:row>5</xdr:row>
      <xdr:rowOff>104775</xdr:rowOff>
    </xdr:from>
    <xdr:to>
      <xdr:col>7</xdr:col>
      <xdr:colOff>371475</xdr:colOff>
      <xdr:row>12</xdr:row>
      <xdr:rowOff>114300</xdr:rowOff>
    </xdr:to>
    <xdr:sp macro="" textlink="">
      <xdr:nvSpPr>
        <xdr:cNvPr id="23" name="Line 42">
          <a:extLst>
            <a:ext uri="{FF2B5EF4-FFF2-40B4-BE49-F238E27FC236}">
              <a16:creationId xmlns:a16="http://schemas.microsoft.com/office/drawing/2014/main" id="{00000000-0008-0000-0100-000017000000}"/>
            </a:ext>
          </a:extLst>
        </xdr:cNvPr>
        <xdr:cNvSpPr>
          <a:spLocks noChangeShapeType="1"/>
        </xdr:cNvSpPr>
      </xdr:nvSpPr>
      <xdr:spPr bwMode="auto">
        <a:xfrm>
          <a:off x="5600700" y="1114425"/>
          <a:ext cx="0" cy="1143000"/>
        </a:xfrm>
        <a:prstGeom prst="line">
          <a:avLst/>
        </a:prstGeom>
        <a:noFill/>
        <a:ln w="9525">
          <a:solidFill>
            <a:srgbClr val="000000"/>
          </a:solidFill>
          <a:round/>
          <a:headEnd type="stealth" w="sm" len="sm"/>
          <a:tailEnd type="stealth" w="sm" len="sm"/>
        </a:ln>
      </xdr:spPr>
    </xdr:sp>
    <xdr:clientData/>
  </xdr:twoCellAnchor>
  <xdr:twoCellAnchor>
    <xdr:from>
      <xdr:col>5</xdr:col>
      <xdr:colOff>419100</xdr:colOff>
      <xdr:row>19</xdr:row>
      <xdr:rowOff>9525</xdr:rowOff>
    </xdr:from>
    <xdr:to>
      <xdr:col>6</xdr:col>
      <xdr:colOff>219075</xdr:colOff>
      <xdr:row>19</xdr:row>
      <xdr:rowOff>9525</xdr:rowOff>
    </xdr:to>
    <xdr:sp macro="" textlink="">
      <xdr:nvSpPr>
        <xdr:cNvPr id="24" name="Line 43">
          <a:extLst>
            <a:ext uri="{FF2B5EF4-FFF2-40B4-BE49-F238E27FC236}">
              <a16:creationId xmlns:a16="http://schemas.microsoft.com/office/drawing/2014/main" id="{00000000-0008-0000-0100-000018000000}"/>
            </a:ext>
          </a:extLst>
        </xdr:cNvPr>
        <xdr:cNvSpPr>
          <a:spLocks noChangeShapeType="1"/>
        </xdr:cNvSpPr>
      </xdr:nvSpPr>
      <xdr:spPr bwMode="auto">
        <a:xfrm>
          <a:off x="4219575" y="3286125"/>
          <a:ext cx="409575" cy="0"/>
        </a:xfrm>
        <a:prstGeom prst="line">
          <a:avLst/>
        </a:prstGeom>
        <a:noFill/>
        <a:ln w="9525">
          <a:solidFill>
            <a:srgbClr val="000000"/>
          </a:solidFill>
          <a:round/>
          <a:headEnd/>
          <a:tailEnd/>
        </a:ln>
      </xdr:spPr>
    </xdr:sp>
    <xdr:clientData/>
  </xdr:twoCellAnchor>
  <xdr:twoCellAnchor>
    <xdr:from>
      <xdr:col>6</xdr:col>
      <xdr:colOff>28575</xdr:colOff>
      <xdr:row>18</xdr:row>
      <xdr:rowOff>19050</xdr:rowOff>
    </xdr:from>
    <xdr:to>
      <xdr:col>6</xdr:col>
      <xdr:colOff>114300</xdr:colOff>
      <xdr:row>19</xdr:row>
      <xdr:rowOff>123825</xdr:rowOff>
    </xdr:to>
    <xdr:sp macro="" textlink="">
      <xdr:nvSpPr>
        <xdr:cNvPr id="25" name="Arc 44">
          <a:extLst>
            <a:ext uri="{FF2B5EF4-FFF2-40B4-BE49-F238E27FC236}">
              <a16:creationId xmlns:a16="http://schemas.microsoft.com/office/drawing/2014/main" id="{00000000-0008-0000-0100-000019000000}"/>
            </a:ext>
          </a:extLst>
        </xdr:cNvPr>
        <xdr:cNvSpPr>
          <a:spLocks/>
        </xdr:cNvSpPr>
      </xdr:nvSpPr>
      <xdr:spPr bwMode="auto">
        <a:xfrm>
          <a:off x="4438650" y="3133725"/>
          <a:ext cx="85725" cy="266700"/>
        </a:xfrm>
        <a:custGeom>
          <a:avLst/>
          <a:gdLst>
            <a:gd name="T0" fmla="*/ 2147483647 w 19129"/>
            <a:gd name="T1" fmla="*/ 0 h 21502"/>
            <a:gd name="T2" fmla="*/ 2147483647 w 19129"/>
            <a:gd name="T3" fmla="*/ 2147483647 h 21502"/>
            <a:gd name="T4" fmla="*/ 0 w 19129"/>
            <a:gd name="T5" fmla="*/ 2147483647 h 21502"/>
            <a:gd name="T6" fmla="*/ 0 60000 65536"/>
            <a:gd name="T7" fmla="*/ 0 60000 65536"/>
            <a:gd name="T8" fmla="*/ 0 60000 65536"/>
            <a:gd name="T9" fmla="*/ 0 w 19129"/>
            <a:gd name="T10" fmla="*/ 0 h 21502"/>
            <a:gd name="T11" fmla="*/ 19129 w 19129"/>
            <a:gd name="T12" fmla="*/ 21502 h 21502"/>
          </a:gdLst>
          <a:ahLst/>
          <a:cxnLst>
            <a:cxn ang="T6">
              <a:pos x="T0" y="T1"/>
            </a:cxn>
            <a:cxn ang="T7">
              <a:pos x="T2" y="T3"/>
            </a:cxn>
            <a:cxn ang="T8">
              <a:pos x="T4" y="T5"/>
            </a:cxn>
          </a:cxnLst>
          <a:rect l="T9" t="T10" r="T11" b="T12"/>
          <a:pathLst>
            <a:path w="19129" h="21502" fill="none" extrusionOk="0">
              <a:moveTo>
                <a:pt x="2052" y="-1"/>
              </a:moveTo>
              <a:cubicBezTo>
                <a:pt x="9316" y="692"/>
                <a:pt x="15739" y="5007"/>
                <a:pt x="19129" y="11469"/>
              </a:cubicBezTo>
            </a:path>
            <a:path w="19129" h="21502" stroke="0" extrusionOk="0">
              <a:moveTo>
                <a:pt x="2052" y="-1"/>
              </a:moveTo>
              <a:cubicBezTo>
                <a:pt x="9316" y="692"/>
                <a:pt x="15739" y="5007"/>
                <a:pt x="19129" y="11469"/>
              </a:cubicBezTo>
              <a:lnTo>
                <a:pt x="0" y="21502"/>
              </a:lnTo>
              <a:lnTo>
                <a:pt x="2052" y="-1"/>
              </a:lnTo>
              <a:close/>
            </a:path>
          </a:pathLst>
        </a:custGeom>
        <a:noFill/>
        <a:ln w="9525">
          <a:solidFill>
            <a:srgbClr val="000000"/>
          </a:solidFill>
          <a:round/>
          <a:headEnd/>
          <a:tailEnd/>
        </a:ln>
      </xdr:spPr>
    </xdr:sp>
    <xdr:clientData/>
  </xdr:twoCellAnchor>
  <xdr:twoCellAnchor editAs="oneCell">
    <xdr:from>
      <xdr:col>6</xdr:col>
      <xdr:colOff>95250</xdr:colOff>
      <xdr:row>17</xdr:row>
      <xdr:rowOff>133350</xdr:rowOff>
    </xdr:from>
    <xdr:to>
      <xdr:col>6</xdr:col>
      <xdr:colOff>323850</xdr:colOff>
      <xdr:row>18</xdr:row>
      <xdr:rowOff>104775</xdr:rowOff>
    </xdr:to>
    <xdr:sp macro="" textlink="">
      <xdr:nvSpPr>
        <xdr:cNvPr id="26" name="Text Box 45">
          <a:extLst>
            <a:ext uri="{FF2B5EF4-FFF2-40B4-BE49-F238E27FC236}">
              <a16:creationId xmlns:a16="http://schemas.microsoft.com/office/drawing/2014/main" id="{00000000-0008-0000-0100-00001A000000}"/>
            </a:ext>
          </a:extLst>
        </xdr:cNvPr>
        <xdr:cNvSpPr txBox="1">
          <a:spLocks noChangeArrowheads="1"/>
        </xdr:cNvSpPr>
      </xdr:nvSpPr>
      <xdr:spPr bwMode="auto">
        <a:xfrm>
          <a:off x="4505325" y="3086100"/>
          <a:ext cx="228600" cy="180975"/>
        </a:xfrm>
        <a:prstGeom prst="rect">
          <a:avLst/>
        </a:prstGeom>
        <a:noFill/>
        <a:ln>
          <a:noFill/>
        </a:ln>
      </xdr:spPr>
      <xdr:txBody>
        <a:bodyPr vertOverflow="clip" wrap="square" lIns="27432" tIns="22860" rIns="0" bIns="0" anchor="t" upright="1"/>
        <a:lstStyle/>
        <a:p>
          <a:pPr algn="l" rtl="0">
            <a:defRPr sz="1000"/>
          </a:pPr>
          <a:r>
            <a:rPr lang="en-US" sz="1000" b="0" i="0" u="none" strike="noStrike" baseline="0">
              <a:solidFill>
                <a:srgbClr val="0000FF"/>
              </a:solidFill>
              <a:latin typeface="Symbol"/>
            </a:rPr>
            <a:t>q </a:t>
          </a:r>
          <a:r>
            <a:rPr lang="en-US" sz="800" b="0" i="0" u="none" strike="noStrike" baseline="30000">
              <a:solidFill>
                <a:srgbClr val="0000FF"/>
              </a:solidFill>
              <a:latin typeface="Arial"/>
              <a:cs typeface="Arial"/>
            </a:rPr>
            <a:t>o</a:t>
          </a:r>
          <a:endParaRPr lang="en-US"/>
        </a:p>
      </xdr:txBody>
    </xdr:sp>
    <xdr:clientData/>
  </xdr:twoCellAnchor>
  <xdr:twoCellAnchor>
    <xdr:from>
      <xdr:col>6</xdr:col>
      <xdr:colOff>400050</xdr:colOff>
      <xdr:row>17</xdr:row>
      <xdr:rowOff>152400</xdr:rowOff>
    </xdr:from>
    <xdr:to>
      <xdr:col>6</xdr:col>
      <xdr:colOff>771525</xdr:colOff>
      <xdr:row>17</xdr:row>
      <xdr:rowOff>152400</xdr:rowOff>
    </xdr:to>
    <xdr:sp macro="" textlink="">
      <xdr:nvSpPr>
        <xdr:cNvPr id="27" name="Line 46">
          <a:extLst>
            <a:ext uri="{FF2B5EF4-FFF2-40B4-BE49-F238E27FC236}">
              <a16:creationId xmlns:a16="http://schemas.microsoft.com/office/drawing/2014/main" id="{00000000-0008-0000-0100-00001B000000}"/>
            </a:ext>
          </a:extLst>
        </xdr:cNvPr>
        <xdr:cNvSpPr>
          <a:spLocks noChangeShapeType="1"/>
        </xdr:cNvSpPr>
      </xdr:nvSpPr>
      <xdr:spPr bwMode="auto">
        <a:xfrm>
          <a:off x="4810125" y="3105150"/>
          <a:ext cx="371475" cy="0"/>
        </a:xfrm>
        <a:prstGeom prst="line">
          <a:avLst/>
        </a:prstGeom>
        <a:noFill/>
        <a:ln w="9525">
          <a:solidFill>
            <a:srgbClr val="000000"/>
          </a:solidFill>
          <a:round/>
          <a:headEnd/>
          <a:tailEnd/>
        </a:ln>
      </xdr:spPr>
    </xdr:sp>
    <xdr:clientData/>
  </xdr:twoCellAnchor>
  <xdr:twoCellAnchor>
    <xdr:from>
      <xdr:col>6</xdr:col>
      <xdr:colOff>542925</xdr:colOff>
      <xdr:row>17</xdr:row>
      <xdr:rowOff>152400</xdr:rowOff>
    </xdr:from>
    <xdr:to>
      <xdr:col>6</xdr:col>
      <xdr:colOff>542925</xdr:colOff>
      <xdr:row>21</xdr:row>
      <xdr:rowOff>95250</xdr:rowOff>
    </xdr:to>
    <xdr:sp macro="" textlink="">
      <xdr:nvSpPr>
        <xdr:cNvPr id="28" name="Line 47">
          <a:extLst>
            <a:ext uri="{FF2B5EF4-FFF2-40B4-BE49-F238E27FC236}">
              <a16:creationId xmlns:a16="http://schemas.microsoft.com/office/drawing/2014/main" id="{00000000-0008-0000-0100-00001C000000}"/>
            </a:ext>
          </a:extLst>
        </xdr:cNvPr>
        <xdr:cNvSpPr>
          <a:spLocks noChangeShapeType="1"/>
        </xdr:cNvSpPr>
      </xdr:nvSpPr>
      <xdr:spPr bwMode="auto">
        <a:xfrm>
          <a:off x="4953000" y="3105150"/>
          <a:ext cx="0" cy="590550"/>
        </a:xfrm>
        <a:prstGeom prst="line">
          <a:avLst/>
        </a:prstGeom>
        <a:noFill/>
        <a:ln w="9525">
          <a:solidFill>
            <a:srgbClr val="000000"/>
          </a:solidFill>
          <a:round/>
          <a:headEnd type="stealth" w="sm" len="sm"/>
          <a:tailEnd type="stealth" w="sm" len="sm"/>
        </a:ln>
      </xdr:spPr>
    </xdr:sp>
    <xdr:clientData/>
  </xdr:twoCellAnchor>
  <xdr:twoCellAnchor>
    <xdr:from>
      <xdr:col>6</xdr:col>
      <xdr:colOff>257175</xdr:colOff>
      <xdr:row>13</xdr:row>
      <xdr:rowOff>47625</xdr:rowOff>
    </xdr:from>
    <xdr:to>
      <xdr:col>6</xdr:col>
      <xdr:colOff>695325</xdr:colOff>
      <xdr:row>14</xdr:row>
      <xdr:rowOff>47625</xdr:rowOff>
    </xdr:to>
    <xdr:sp macro="" textlink="">
      <xdr:nvSpPr>
        <xdr:cNvPr id="29" name="Text Box 48">
          <a:extLst>
            <a:ext uri="{FF2B5EF4-FFF2-40B4-BE49-F238E27FC236}">
              <a16:creationId xmlns:a16="http://schemas.microsoft.com/office/drawing/2014/main" id="{00000000-0008-0000-0100-00001D000000}"/>
            </a:ext>
          </a:extLst>
        </xdr:cNvPr>
        <xdr:cNvSpPr txBox="1">
          <a:spLocks noChangeArrowheads="1"/>
        </xdr:cNvSpPr>
      </xdr:nvSpPr>
      <xdr:spPr bwMode="auto">
        <a:xfrm>
          <a:off x="4667250" y="2447925"/>
          <a:ext cx="438150" cy="180975"/>
        </a:xfrm>
        <a:prstGeom prst="rect">
          <a:avLst/>
        </a:prstGeom>
        <a:noFill/>
        <a:ln>
          <a:noFill/>
        </a:ln>
      </xdr:spPr>
      <xdr:txBody>
        <a:bodyPr vertOverflow="clip" wrap="square" lIns="27432" tIns="22860" rIns="0" bIns="0" anchor="t" upright="1"/>
        <a:lstStyle/>
        <a:p>
          <a:pPr algn="l" rtl="0">
            <a:defRPr sz="1000"/>
          </a:pPr>
          <a:r>
            <a:rPr lang="en-US" altLang="zh-TW" sz="900" b="0" i="0" u="none" strike="noStrike" baseline="0">
              <a:solidFill>
                <a:srgbClr val="0000FF"/>
              </a:solidFill>
              <a:latin typeface="Arial"/>
              <a:cs typeface="Arial"/>
            </a:rPr>
            <a:t>Lx</a:t>
          </a:r>
          <a:endParaRPr lang="en-US"/>
        </a:p>
      </xdr:txBody>
    </xdr:sp>
    <xdr:clientData/>
  </xdr:twoCellAnchor>
  <xdr:twoCellAnchor>
    <xdr:from>
      <xdr:col>7</xdr:col>
      <xdr:colOff>371475</xdr:colOff>
      <xdr:row>8</xdr:row>
      <xdr:rowOff>114300</xdr:rowOff>
    </xdr:from>
    <xdr:to>
      <xdr:col>7</xdr:col>
      <xdr:colOff>762000</xdr:colOff>
      <xdr:row>9</xdr:row>
      <xdr:rowOff>123825</xdr:rowOff>
    </xdr:to>
    <xdr:sp macro="" textlink="">
      <xdr:nvSpPr>
        <xdr:cNvPr id="30" name="Text Box 49">
          <a:extLst>
            <a:ext uri="{FF2B5EF4-FFF2-40B4-BE49-F238E27FC236}">
              <a16:creationId xmlns:a16="http://schemas.microsoft.com/office/drawing/2014/main" id="{00000000-0008-0000-0100-00001E000000}"/>
            </a:ext>
          </a:extLst>
        </xdr:cNvPr>
        <xdr:cNvSpPr txBox="1">
          <a:spLocks noChangeArrowheads="1"/>
        </xdr:cNvSpPr>
      </xdr:nvSpPr>
      <xdr:spPr bwMode="auto">
        <a:xfrm>
          <a:off x="5600700" y="1762125"/>
          <a:ext cx="390525" cy="19050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Ly</a:t>
          </a:r>
          <a:endParaRPr lang="en-US"/>
        </a:p>
      </xdr:txBody>
    </xdr:sp>
    <xdr:clientData/>
  </xdr:twoCellAnchor>
  <xdr:twoCellAnchor>
    <xdr:from>
      <xdr:col>4</xdr:col>
      <xdr:colOff>533400</xdr:colOff>
      <xdr:row>18</xdr:row>
      <xdr:rowOff>104775</xdr:rowOff>
    </xdr:from>
    <xdr:to>
      <xdr:col>5</xdr:col>
      <xdr:colOff>104775</xdr:colOff>
      <xdr:row>19</xdr:row>
      <xdr:rowOff>95250</xdr:rowOff>
    </xdr:to>
    <xdr:sp macro="" textlink="">
      <xdr:nvSpPr>
        <xdr:cNvPr id="31" name="Text Box 50">
          <a:extLst>
            <a:ext uri="{FF2B5EF4-FFF2-40B4-BE49-F238E27FC236}">
              <a16:creationId xmlns:a16="http://schemas.microsoft.com/office/drawing/2014/main" id="{00000000-0008-0000-0100-00001F000000}"/>
            </a:ext>
          </a:extLst>
        </xdr:cNvPr>
        <xdr:cNvSpPr txBox="1">
          <a:spLocks noChangeArrowheads="1"/>
        </xdr:cNvSpPr>
      </xdr:nvSpPr>
      <xdr:spPr bwMode="auto">
        <a:xfrm>
          <a:off x="3724275" y="3219450"/>
          <a:ext cx="180975" cy="15240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r</a:t>
          </a:r>
          <a:endParaRPr lang="en-US"/>
        </a:p>
      </xdr:txBody>
    </xdr:sp>
    <xdr:clientData/>
  </xdr:twoCellAnchor>
  <xdr:twoCellAnchor>
    <xdr:from>
      <xdr:col>7</xdr:col>
      <xdr:colOff>381000</xdr:colOff>
      <xdr:row>19</xdr:row>
      <xdr:rowOff>133350</xdr:rowOff>
    </xdr:from>
    <xdr:to>
      <xdr:col>7</xdr:col>
      <xdr:colOff>561975</xdr:colOff>
      <xdr:row>20</xdr:row>
      <xdr:rowOff>123825</xdr:rowOff>
    </xdr:to>
    <xdr:sp macro="" textlink="">
      <xdr:nvSpPr>
        <xdr:cNvPr id="32" name="Text Box 51">
          <a:extLst>
            <a:ext uri="{FF2B5EF4-FFF2-40B4-BE49-F238E27FC236}">
              <a16:creationId xmlns:a16="http://schemas.microsoft.com/office/drawing/2014/main" id="{00000000-0008-0000-0100-000020000000}"/>
            </a:ext>
          </a:extLst>
        </xdr:cNvPr>
        <xdr:cNvSpPr txBox="1">
          <a:spLocks noChangeArrowheads="1"/>
        </xdr:cNvSpPr>
      </xdr:nvSpPr>
      <xdr:spPr bwMode="auto">
        <a:xfrm>
          <a:off x="5610225" y="3409950"/>
          <a:ext cx="180975" cy="15240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e</a:t>
          </a:r>
          <a:endParaRPr lang="en-US"/>
        </a:p>
      </xdr:txBody>
    </xdr:sp>
    <xdr:clientData/>
  </xdr:twoCellAnchor>
  <xdr:twoCellAnchor>
    <xdr:from>
      <xdr:col>6</xdr:col>
      <xdr:colOff>542925</xdr:colOff>
      <xdr:row>19</xdr:row>
      <xdr:rowOff>38100</xdr:rowOff>
    </xdr:from>
    <xdr:to>
      <xdr:col>7</xdr:col>
      <xdr:colOff>142875</xdr:colOff>
      <xdr:row>20</xdr:row>
      <xdr:rowOff>47625</xdr:rowOff>
    </xdr:to>
    <xdr:sp macro="" textlink="">
      <xdr:nvSpPr>
        <xdr:cNvPr id="33" name="Text Box 52">
          <a:extLst>
            <a:ext uri="{FF2B5EF4-FFF2-40B4-BE49-F238E27FC236}">
              <a16:creationId xmlns:a16="http://schemas.microsoft.com/office/drawing/2014/main" id="{00000000-0008-0000-0100-000021000000}"/>
            </a:ext>
          </a:extLst>
        </xdr:cNvPr>
        <xdr:cNvSpPr txBox="1">
          <a:spLocks noChangeArrowheads="1"/>
        </xdr:cNvSpPr>
      </xdr:nvSpPr>
      <xdr:spPr bwMode="auto">
        <a:xfrm>
          <a:off x="4953000" y="3314700"/>
          <a:ext cx="419100" cy="17145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endParaRPr lang="en-US"/>
        </a:p>
      </xdr:txBody>
    </xdr:sp>
    <xdr:clientData/>
  </xdr:twoCellAnchor>
  <xdr:twoCellAnchor>
    <xdr:from>
      <xdr:col>6</xdr:col>
      <xdr:colOff>352425</xdr:colOff>
      <xdr:row>16</xdr:row>
      <xdr:rowOff>9525</xdr:rowOff>
    </xdr:from>
    <xdr:to>
      <xdr:col>6</xdr:col>
      <xdr:colOff>447675</xdr:colOff>
      <xdr:row>16</xdr:row>
      <xdr:rowOff>152400</xdr:rowOff>
    </xdr:to>
    <xdr:sp macro="" textlink="">
      <xdr:nvSpPr>
        <xdr:cNvPr id="34" name="Line 53">
          <a:extLst>
            <a:ext uri="{FF2B5EF4-FFF2-40B4-BE49-F238E27FC236}">
              <a16:creationId xmlns:a16="http://schemas.microsoft.com/office/drawing/2014/main" id="{00000000-0008-0000-0100-000022000000}"/>
            </a:ext>
          </a:extLst>
        </xdr:cNvPr>
        <xdr:cNvSpPr>
          <a:spLocks noChangeShapeType="1"/>
        </xdr:cNvSpPr>
      </xdr:nvSpPr>
      <xdr:spPr bwMode="auto">
        <a:xfrm flipV="1">
          <a:off x="4762500" y="2800350"/>
          <a:ext cx="95250" cy="142875"/>
        </a:xfrm>
        <a:prstGeom prst="line">
          <a:avLst/>
        </a:prstGeom>
        <a:noFill/>
        <a:ln w="9525">
          <a:solidFill>
            <a:srgbClr val="000000"/>
          </a:solidFill>
          <a:round/>
          <a:headEnd/>
          <a:tailEnd type="stealth" w="sm" len="sm"/>
        </a:ln>
      </xdr:spPr>
    </xdr:sp>
    <xdr:clientData/>
  </xdr:twoCellAnchor>
  <xdr:twoCellAnchor>
    <xdr:from>
      <xdr:col>6</xdr:col>
      <xdr:colOff>466725</xdr:colOff>
      <xdr:row>16</xdr:row>
      <xdr:rowOff>76200</xdr:rowOff>
    </xdr:from>
    <xdr:to>
      <xdr:col>6</xdr:col>
      <xdr:colOff>561975</xdr:colOff>
      <xdr:row>17</xdr:row>
      <xdr:rowOff>57150</xdr:rowOff>
    </xdr:to>
    <xdr:sp macro="" textlink="">
      <xdr:nvSpPr>
        <xdr:cNvPr id="35" name="Line 54">
          <a:extLst>
            <a:ext uri="{FF2B5EF4-FFF2-40B4-BE49-F238E27FC236}">
              <a16:creationId xmlns:a16="http://schemas.microsoft.com/office/drawing/2014/main" id="{00000000-0008-0000-0100-000023000000}"/>
            </a:ext>
          </a:extLst>
        </xdr:cNvPr>
        <xdr:cNvSpPr>
          <a:spLocks noChangeShapeType="1"/>
        </xdr:cNvSpPr>
      </xdr:nvSpPr>
      <xdr:spPr bwMode="auto">
        <a:xfrm flipV="1">
          <a:off x="4876800" y="2867025"/>
          <a:ext cx="95250" cy="142875"/>
        </a:xfrm>
        <a:prstGeom prst="line">
          <a:avLst/>
        </a:prstGeom>
        <a:noFill/>
        <a:ln w="9525">
          <a:solidFill>
            <a:srgbClr val="000000"/>
          </a:solidFill>
          <a:round/>
          <a:headEnd/>
          <a:tailEnd type="stealth" w="sm" len="sm"/>
        </a:ln>
      </xdr:spPr>
    </xdr:sp>
    <xdr:clientData/>
  </xdr:twoCellAnchor>
  <xdr:twoCellAnchor>
    <xdr:from>
      <xdr:col>6</xdr:col>
      <xdr:colOff>800100</xdr:colOff>
      <xdr:row>17</xdr:row>
      <xdr:rowOff>114300</xdr:rowOff>
    </xdr:from>
    <xdr:to>
      <xdr:col>7</xdr:col>
      <xdr:colOff>76200</xdr:colOff>
      <xdr:row>18</xdr:row>
      <xdr:rowOff>95250</xdr:rowOff>
    </xdr:to>
    <xdr:sp macro="" textlink="">
      <xdr:nvSpPr>
        <xdr:cNvPr id="36" name="Line 55">
          <a:extLst>
            <a:ext uri="{FF2B5EF4-FFF2-40B4-BE49-F238E27FC236}">
              <a16:creationId xmlns:a16="http://schemas.microsoft.com/office/drawing/2014/main" id="{00000000-0008-0000-0100-000024000000}"/>
            </a:ext>
          </a:extLst>
        </xdr:cNvPr>
        <xdr:cNvSpPr>
          <a:spLocks noChangeShapeType="1"/>
        </xdr:cNvSpPr>
      </xdr:nvSpPr>
      <xdr:spPr bwMode="auto">
        <a:xfrm flipV="1">
          <a:off x="5210175" y="3067050"/>
          <a:ext cx="95250" cy="142875"/>
        </a:xfrm>
        <a:prstGeom prst="line">
          <a:avLst/>
        </a:prstGeom>
        <a:noFill/>
        <a:ln w="9525">
          <a:solidFill>
            <a:srgbClr val="000000"/>
          </a:solidFill>
          <a:round/>
          <a:headEnd/>
          <a:tailEnd type="stealth" w="sm" len="sm"/>
        </a:ln>
      </xdr:spPr>
    </xdr:sp>
    <xdr:clientData/>
  </xdr:twoCellAnchor>
  <xdr:twoCellAnchor>
    <xdr:from>
      <xdr:col>7</xdr:col>
      <xdr:colOff>114300</xdr:colOff>
      <xdr:row>18</xdr:row>
      <xdr:rowOff>28575</xdr:rowOff>
    </xdr:from>
    <xdr:to>
      <xdr:col>7</xdr:col>
      <xdr:colOff>209550</xdr:colOff>
      <xdr:row>19</xdr:row>
      <xdr:rowOff>9525</xdr:rowOff>
    </xdr:to>
    <xdr:sp macro="" textlink="">
      <xdr:nvSpPr>
        <xdr:cNvPr id="37" name="Line 56">
          <a:extLst>
            <a:ext uri="{FF2B5EF4-FFF2-40B4-BE49-F238E27FC236}">
              <a16:creationId xmlns:a16="http://schemas.microsoft.com/office/drawing/2014/main" id="{00000000-0008-0000-0100-000025000000}"/>
            </a:ext>
          </a:extLst>
        </xdr:cNvPr>
        <xdr:cNvSpPr>
          <a:spLocks noChangeShapeType="1"/>
        </xdr:cNvSpPr>
      </xdr:nvSpPr>
      <xdr:spPr bwMode="auto">
        <a:xfrm flipV="1">
          <a:off x="5343525" y="3143250"/>
          <a:ext cx="95250" cy="142875"/>
        </a:xfrm>
        <a:prstGeom prst="line">
          <a:avLst/>
        </a:prstGeom>
        <a:noFill/>
        <a:ln w="9525">
          <a:solidFill>
            <a:srgbClr val="000000"/>
          </a:solidFill>
          <a:round/>
          <a:headEnd/>
          <a:tailEnd type="stealth" w="sm" len="sm"/>
        </a:ln>
      </xdr:spPr>
    </xdr:sp>
    <xdr:clientData/>
  </xdr:twoCellAnchor>
  <xdr:twoCellAnchor>
    <xdr:from>
      <xdr:col>6</xdr:col>
      <xdr:colOff>571500</xdr:colOff>
      <xdr:row>16</xdr:row>
      <xdr:rowOff>142875</xdr:rowOff>
    </xdr:from>
    <xdr:to>
      <xdr:col>6</xdr:col>
      <xdr:colOff>666750</xdr:colOff>
      <xdr:row>17</xdr:row>
      <xdr:rowOff>123825</xdr:rowOff>
    </xdr:to>
    <xdr:sp macro="" textlink="">
      <xdr:nvSpPr>
        <xdr:cNvPr id="38" name="Line 57">
          <a:extLst>
            <a:ext uri="{FF2B5EF4-FFF2-40B4-BE49-F238E27FC236}">
              <a16:creationId xmlns:a16="http://schemas.microsoft.com/office/drawing/2014/main" id="{00000000-0008-0000-0100-000026000000}"/>
            </a:ext>
          </a:extLst>
        </xdr:cNvPr>
        <xdr:cNvSpPr>
          <a:spLocks noChangeShapeType="1"/>
        </xdr:cNvSpPr>
      </xdr:nvSpPr>
      <xdr:spPr bwMode="auto">
        <a:xfrm flipV="1">
          <a:off x="4981575" y="2933700"/>
          <a:ext cx="95250" cy="142875"/>
        </a:xfrm>
        <a:prstGeom prst="line">
          <a:avLst/>
        </a:prstGeom>
        <a:noFill/>
        <a:ln w="9525">
          <a:solidFill>
            <a:srgbClr val="000000"/>
          </a:solidFill>
          <a:round/>
          <a:headEnd/>
          <a:tailEnd type="stealth" w="sm" len="sm"/>
        </a:ln>
      </xdr:spPr>
    </xdr:sp>
    <xdr:clientData/>
  </xdr:twoCellAnchor>
  <xdr:twoCellAnchor>
    <xdr:from>
      <xdr:col>5</xdr:col>
      <xdr:colOff>514350</xdr:colOff>
      <xdr:row>17</xdr:row>
      <xdr:rowOff>47625</xdr:rowOff>
    </xdr:from>
    <xdr:to>
      <xdr:col>6</xdr:col>
      <xdr:colOff>0</xdr:colOff>
      <xdr:row>18</xdr:row>
      <xdr:rowOff>28575</xdr:rowOff>
    </xdr:to>
    <xdr:sp macro="" textlink="">
      <xdr:nvSpPr>
        <xdr:cNvPr id="39" name="Line 58">
          <a:extLst>
            <a:ext uri="{FF2B5EF4-FFF2-40B4-BE49-F238E27FC236}">
              <a16:creationId xmlns:a16="http://schemas.microsoft.com/office/drawing/2014/main" id="{00000000-0008-0000-0100-000027000000}"/>
            </a:ext>
          </a:extLst>
        </xdr:cNvPr>
        <xdr:cNvSpPr>
          <a:spLocks noChangeShapeType="1"/>
        </xdr:cNvSpPr>
      </xdr:nvSpPr>
      <xdr:spPr bwMode="auto">
        <a:xfrm flipH="1" flipV="1">
          <a:off x="4314825" y="3000375"/>
          <a:ext cx="95250" cy="142875"/>
        </a:xfrm>
        <a:prstGeom prst="line">
          <a:avLst/>
        </a:prstGeom>
        <a:noFill/>
        <a:ln w="9525">
          <a:solidFill>
            <a:srgbClr val="000000"/>
          </a:solidFill>
          <a:round/>
          <a:headEnd type="stealth"/>
          <a:tailEnd type="none" w="sm" len="sm"/>
        </a:ln>
      </xdr:spPr>
    </xdr:sp>
    <xdr:clientData/>
  </xdr:twoCellAnchor>
  <xdr:twoCellAnchor>
    <xdr:from>
      <xdr:col>5</xdr:col>
      <xdr:colOff>400050</xdr:colOff>
      <xdr:row>17</xdr:row>
      <xdr:rowOff>123825</xdr:rowOff>
    </xdr:from>
    <xdr:to>
      <xdr:col>5</xdr:col>
      <xdr:colOff>495300</xdr:colOff>
      <xdr:row>18</xdr:row>
      <xdr:rowOff>104775</xdr:rowOff>
    </xdr:to>
    <xdr:sp macro="" textlink="">
      <xdr:nvSpPr>
        <xdr:cNvPr id="40" name="Line 59">
          <a:extLst>
            <a:ext uri="{FF2B5EF4-FFF2-40B4-BE49-F238E27FC236}">
              <a16:creationId xmlns:a16="http://schemas.microsoft.com/office/drawing/2014/main" id="{00000000-0008-0000-0100-000028000000}"/>
            </a:ext>
          </a:extLst>
        </xdr:cNvPr>
        <xdr:cNvSpPr>
          <a:spLocks noChangeShapeType="1"/>
        </xdr:cNvSpPr>
      </xdr:nvSpPr>
      <xdr:spPr bwMode="auto">
        <a:xfrm flipH="1" flipV="1">
          <a:off x="4200525" y="3076575"/>
          <a:ext cx="95250" cy="142875"/>
        </a:xfrm>
        <a:prstGeom prst="line">
          <a:avLst/>
        </a:prstGeom>
        <a:noFill/>
        <a:ln w="9525">
          <a:solidFill>
            <a:srgbClr val="000000"/>
          </a:solidFill>
          <a:round/>
          <a:headEnd type="stealth"/>
          <a:tailEnd type="none" w="sm" len="sm"/>
        </a:ln>
      </xdr:spPr>
    </xdr:sp>
    <xdr:clientData/>
  </xdr:twoCellAnchor>
  <xdr:twoCellAnchor>
    <xdr:from>
      <xdr:col>5</xdr:col>
      <xdr:colOff>285750</xdr:colOff>
      <xdr:row>18</xdr:row>
      <xdr:rowOff>28575</xdr:rowOff>
    </xdr:from>
    <xdr:to>
      <xdr:col>5</xdr:col>
      <xdr:colOff>381000</xdr:colOff>
      <xdr:row>19</xdr:row>
      <xdr:rowOff>9525</xdr:rowOff>
    </xdr:to>
    <xdr:sp macro="" textlink="">
      <xdr:nvSpPr>
        <xdr:cNvPr id="41" name="Line 60">
          <a:extLst>
            <a:ext uri="{FF2B5EF4-FFF2-40B4-BE49-F238E27FC236}">
              <a16:creationId xmlns:a16="http://schemas.microsoft.com/office/drawing/2014/main" id="{00000000-0008-0000-0100-000029000000}"/>
            </a:ext>
          </a:extLst>
        </xdr:cNvPr>
        <xdr:cNvSpPr>
          <a:spLocks noChangeShapeType="1"/>
        </xdr:cNvSpPr>
      </xdr:nvSpPr>
      <xdr:spPr bwMode="auto">
        <a:xfrm flipH="1" flipV="1">
          <a:off x="4086225" y="3143250"/>
          <a:ext cx="95250" cy="142875"/>
        </a:xfrm>
        <a:prstGeom prst="line">
          <a:avLst/>
        </a:prstGeom>
        <a:noFill/>
        <a:ln w="9525">
          <a:solidFill>
            <a:srgbClr val="000000"/>
          </a:solidFill>
          <a:round/>
          <a:headEnd type="stealth"/>
          <a:tailEnd type="none" w="sm" len="sm"/>
        </a:ln>
      </xdr:spPr>
    </xdr:sp>
    <xdr:clientData/>
  </xdr:twoCellAnchor>
  <xdr:twoCellAnchor>
    <xdr:from>
      <xdr:col>6</xdr:col>
      <xdr:colOff>257175</xdr:colOff>
      <xdr:row>16</xdr:row>
      <xdr:rowOff>9525</xdr:rowOff>
    </xdr:from>
    <xdr:to>
      <xdr:col>6</xdr:col>
      <xdr:colOff>352425</xdr:colOff>
      <xdr:row>16</xdr:row>
      <xdr:rowOff>152400</xdr:rowOff>
    </xdr:to>
    <xdr:sp macro="" textlink="">
      <xdr:nvSpPr>
        <xdr:cNvPr id="42" name="Line 61">
          <a:extLst>
            <a:ext uri="{FF2B5EF4-FFF2-40B4-BE49-F238E27FC236}">
              <a16:creationId xmlns:a16="http://schemas.microsoft.com/office/drawing/2014/main" id="{00000000-0008-0000-0100-00002A000000}"/>
            </a:ext>
          </a:extLst>
        </xdr:cNvPr>
        <xdr:cNvSpPr>
          <a:spLocks noChangeShapeType="1"/>
        </xdr:cNvSpPr>
      </xdr:nvSpPr>
      <xdr:spPr bwMode="auto">
        <a:xfrm flipH="1" flipV="1">
          <a:off x="4667250" y="2800350"/>
          <a:ext cx="95250" cy="142875"/>
        </a:xfrm>
        <a:prstGeom prst="line">
          <a:avLst/>
        </a:prstGeom>
        <a:noFill/>
        <a:ln w="9525">
          <a:solidFill>
            <a:srgbClr val="000000"/>
          </a:solidFill>
          <a:round/>
          <a:headEnd type="stealth"/>
          <a:tailEnd type="none" w="sm" len="sm"/>
        </a:ln>
      </xdr:spPr>
    </xdr:sp>
    <xdr:clientData/>
  </xdr:twoCellAnchor>
  <xdr:twoCellAnchor>
    <xdr:from>
      <xdr:col>6</xdr:col>
      <xdr:colOff>133350</xdr:colOff>
      <xdr:row>16</xdr:row>
      <xdr:rowOff>76200</xdr:rowOff>
    </xdr:from>
    <xdr:to>
      <xdr:col>6</xdr:col>
      <xdr:colOff>228600</xdr:colOff>
      <xdr:row>17</xdr:row>
      <xdr:rowOff>57150</xdr:rowOff>
    </xdr:to>
    <xdr:sp macro="" textlink="">
      <xdr:nvSpPr>
        <xdr:cNvPr id="43" name="Line 62">
          <a:extLst>
            <a:ext uri="{FF2B5EF4-FFF2-40B4-BE49-F238E27FC236}">
              <a16:creationId xmlns:a16="http://schemas.microsoft.com/office/drawing/2014/main" id="{00000000-0008-0000-0100-00002B000000}"/>
            </a:ext>
          </a:extLst>
        </xdr:cNvPr>
        <xdr:cNvSpPr>
          <a:spLocks noChangeShapeType="1"/>
        </xdr:cNvSpPr>
      </xdr:nvSpPr>
      <xdr:spPr bwMode="auto">
        <a:xfrm flipH="1" flipV="1">
          <a:off x="4543425" y="2867025"/>
          <a:ext cx="95250" cy="142875"/>
        </a:xfrm>
        <a:prstGeom prst="line">
          <a:avLst/>
        </a:prstGeom>
        <a:noFill/>
        <a:ln w="9525">
          <a:solidFill>
            <a:srgbClr val="000000"/>
          </a:solidFill>
          <a:round/>
          <a:headEnd type="stealth"/>
          <a:tailEnd type="none" w="sm" len="sm"/>
        </a:ln>
      </xdr:spPr>
    </xdr:sp>
    <xdr:clientData/>
  </xdr:twoCellAnchor>
  <xdr:twoCellAnchor>
    <xdr:from>
      <xdr:col>6</xdr:col>
      <xdr:colOff>28575</xdr:colOff>
      <xdr:row>16</xdr:row>
      <xdr:rowOff>142875</xdr:rowOff>
    </xdr:from>
    <xdr:to>
      <xdr:col>6</xdr:col>
      <xdr:colOff>123825</xdr:colOff>
      <xdr:row>17</xdr:row>
      <xdr:rowOff>123825</xdr:rowOff>
    </xdr:to>
    <xdr:sp macro="" textlink="">
      <xdr:nvSpPr>
        <xdr:cNvPr id="44" name="Line 63">
          <a:extLst>
            <a:ext uri="{FF2B5EF4-FFF2-40B4-BE49-F238E27FC236}">
              <a16:creationId xmlns:a16="http://schemas.microsoft.com/office/drawing/2014/main" id="{00000000-0008-0000-0100-00002C000000}"/>
            </a:ext>
          </a:extLst>
        </xdr:cNvPr>
        <xdr:cNvSpPr>
          <a:spLocks noChangeShapeType="1"/>
        </xdr:cNvSpPr>
      </xdr:nvSpPr>
      <xdr:spPr bwMode="auto">
        <a:xfrm flipH="1" flipV="1">
          <a:off x="4438650" y="2933700"/>
          <a:ext cx="95250" cy="142875"/>
        </a:xfrm>
        <a:prstGeom prst="line">
          <a:avLst/>
        </a:prstGeom>
        <a:noFill/>
        <a:ln w="9525">
          <a:solidFill>
            <a:srgbClr val="000000"/>
          </a:solidFill>
          <a:round/>
          <a:headEnd type="stealth"/>
          <a:tailEnd type="none" w="sm" len="sm"/>
        </a:ln>
      </xdr:spPr>
    </xdr:sp>
    <xdr:clientData/>
  </xdr:twoCellAnchor>
  <xdr:twoCellAnchor>
    <xdr:from>
      <xdr:col>5</xdr:col>
      <xdr:colOff>219075</xdr:colOff>
      <xdr:row>20</xdr:row>
      <xdr:rowOff>123825</xdr:rowOff>
    </xdr:from>
    <xdr:to>
      <xdr:col>5</xdr:col>
      <xdr:colOff>381000</xdr:colOff>
      <xdr:row>20</xdr:row>
      <xdr:rowOff>123825</xdr:rowOff>
    </xdr:to>
    <xdr:sp macro="" textlink="">
      <xdr:nvSpPr>
        <xdr:cNvPr id="45" name="Line 64">
          <a:extLst>
            <a:ext uri="{FF2B5EF4-FFF2-40B4-BE49-F238E27FC236}">
              <a16:creationId xmlns:a16="http://schemas.microsoft.com/office/drawing/2014/main" id="{00000000-0008-0000-0100-00002D000000}"/>
            </a:ext>
          </a:extLst>
        </xdr:cNvPr>
        <xdr:cNvSpPr>
          <a:spLocks noChangeShapeType="1"/>
        </xdr:cNvSpPr>
      </xdr:nvSpPr>
      <xdr:spPr bwMode="auto">
        <a:xfrm>
          <a:off x="4019550" y="356235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21</xdr:row>
      <xdr:rowOff>95250</xdr:rowOff>
    </xdr:from>
    <xdr:to>
      <xdr:col>5</xdr:col>
      <xdr:colOff>381000</xdr:colOff>
      <xdr:row>21</xdr:row>
      <xdr:rowOff>95250</xdr:rowOff>
    </xdr:to>
    <xdr:sp macro="" textlink="">
      <xdr:nvSpPr>
        <xdr:cNvPr id="46" name="Line 65">
          <a:extLst>
            <a:ext uri="{FF2B5EF4-FFF2-40B4-BE49-F238E27FC236}">
              <a16:creationId xmlns:a16="http://schemas.microsoft.com/office/drawing/2014/main" id="{00000000-0008-0000-0100-00002E000000}"/>
            </a:ext>
          </a:extLst>
        </xdr:cNvPr>
        <xdr:cNvSpPr>
          <a:spLocks noChangeShapeType="1"/>
        </xdr:cNvSpPr>
      </xdr:nvSpPr>
      <xdr:spPr bwMode="auto">
        <a:xfrm>
          <a:off x="4019550" y="369570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19</xdr:row>
      <xdr:rowOff>142875</xdr:rowOff>
    </xdr:from>
    <xdr:to>
      <xdr:col>5</xdr:col>
      <xdr:colOff>381000</xdr:colOff>
      <xdr:row>19</xdr:row>
      <xdr:rowOff>142875</xdr:rowOff>
    </xdr:to>
    <xdr:sp macro="" textlink="">
      <xdr:nvSpPr>
        <xdr:cNvPr id="47" name="Line 66">
          <a:extLst>
            <a:ext uri="{FF2B5EF4-FFF2-40B4-BE49-F238E27FC236}">
              <a16:creationId xmlns:a16="http://schemas.microsoft.com/office/drawing/2014/main" id="{00000000-0008-0000-0100-00002F000000}"/>
            </a:ext>
          </a:extLst>
        </xdr:cNvPr>
        <xdr:cNvSpPr>
          <a:spLocks noChangeShapeType="1"/>
        </xdr:cNvSpPr>
      </xdr:nvSpPr>
      <xdr:spPr bwMode="auto">
        <a:xfrm>
          <a:off x="4019550" y="341947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19</xdr:row>
      <xdr:rowOff>9525</xdr:rowOff>
    </xdr:from>
    <xdr:to>
      <xdr:col>5</xdr:col>
      <xdr:colOff>381000</xdr:colOff>
      <xdr:row>19</xdr:row>
      <xdr:rowOff>9525</xdr:rowOff>
    </xdr:to>
    <xdr:sp macro="" textlink="">
      <xdr:nvSpPr>
        <xdr:cNvPr id="48" name="Line 67">
          <a:extLst>
            <a:ext uri="{FF2B5EF4-FFF2-40B4-BE49-F238E27FC236}">
              <a16:creationId xmlns:a16="http://schemas.microsoft.com/office/drawing/2014/main" id="{00000000-0008-0000-0100-000030000000}"/>
            </a:ext>
          </a:extLst>
        </xdr:cNvPr>
        <xdr:cNvSpPr>
          <a:spLocks noChangeShapeType="1"/>
        </xdr:cNvSpPr>
      </xdr:nvSpPr>
      <xdr:spPr bwMode="auto">
        <a:xfrm>
          <a:off x="4019550" y="3286125"/>
          <a:ext cx="161925" cy="0"/>
        </a:xfrm>
        <a:prstGeom prst="line">
          <a:avLst/>
        </a:prstGeom>
        <a:noFill/>
        <a:ln w="9525">
          <a:solidFill>
            <a:srgbClr val="000000"/>
          </a:solidFill>
          <a:round/>
          <a:headEnd/>
          <a:tailEnd type="stealth" w="sm" len="sm"/>
        </a:ln>
      </xdr:spPr>
    </xdr:sp>
    <xdr:clientData/>
  </xdr:twoCellAnchor>
  <xdr:twoCellAnchor>
    <xdr:from>
      <xdr:col>7</xdr:col>
      <xdr:colOff>114300</xdr:colOff>
      <xdr:row>21</xdr:row>
      <xdr:rowOff>95250</xdr:rowOff>
    </xdr:from>
    <xdr:to>
      <xdr:col>7</xdr:col>
      <xdr:colOff>209550</xdr:colOff>
      <xdr:row>21</xdr:row>
      <xdr:rowOff>95250</xdr:rowOff>
    </xdr:to>
    <xdr:sp macro="" textlink="">
      <xdr:nvSpPr>
        <xdr:cNvPr id="49" name="Line 68">
          <a:extLst>
            <a:ext uri="{FF2B5EF4-FFF2-40B4-BE49-F238E27FC236}">
              <a16:creationId xmlns:a16="http://schemas.microsoft.com/office/drawing/2014/main" id="{00000000-0008-0000-0100-000031000000}"/>
            </a:ext>
          </a:extLst>
        </xdr:cNvPr>
        <xdr:cNvSpPr>
          <a:spLocks noChangeShapeType="1"/>
        </xdr:cNvSpPr>
      </xdr:nvSpPr>
      <xdr:spPr bwMode="auto">
        <a:xfrm>
          <a:off x="5343525" y="369570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20</xdr:row>
      <xdr:rowOff>123825</xdr:rowOff>
    </xdr:from>
    <xdr:to>
      <xdr:col>7</xdr:col>
      <xdr:colOff>209550</xdr:colOff>
      <xdr:row>20</xdr:row>
      <xdr:rowOff>123825</xdr:rowOff>
    </xdr:to>
    <xdr:sp macro="" textlink="">
      <xdr:nvSpPr>
        <xdr:cNvPr id="50" name="Line 69">
          <a:extLst>
            <a:ext uri="{FF2B5EF4-FFF2-40B4-BE49-F238E27FC236}">
              <a16:creationId xmlns:a16="http://schemas.microsoft.com/office/drawing/2014/main" id="{00000000-0008-0000-0100-000032000000}"/>
            </a:ext>
          </a:extLst>
        </xdr:cNvPr>
        <xdr:cNvSpPr>
          <a:spLocks noChangeShapeType="1"/>
        </xdr:cNvSpPr>
      </xdr:nvSpPr>
      <xdr:spPr bwMode="auto">
        <a:xfrm>
          <a:off x="5343525" y="356235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19</xdr:row>
      <xdr:rowOff>142875</xdr:rowOff>
    </xdr:from>
    <xdr:to>
      <xdr:col>7</xdr:col>
      <xdr:colOff>209550</xdr:colOff>
      <xdr:row>19</xdr:row>
      <xdr:rowOff>142875</xdr:rowOff>
    </xdr:to>
    <xdr:sp macro="" textlink="">
      <xdr:nvSpPr>
        <xdr:cNvPr id="51" name="Line 70">
          <a:extLst>
            <a:ext uri="{FF2B5EF4-FFF2-40B4-BE49-F238E27FC236}">
              <a16:creationId xmlns:a16="http://schemas.microsoft.com/office/drawing/2014/main" id="{00000000-0008-0000-0100-000033000000}"/>
            </a:ext>
          </a:extLst>
        </xdr:cNvPr>
        <xdr:cNvSpPr>
          <a:spLocks noChangeShapeType="1"/>
        </xdr:cNvSpPr>
      </xdr:nvSpPr>
      <xdr:spPr bwMode="auto">
        <a:xfrm>
          <a:off x="5343525" y="3419475"/>
          <a:ext cx="95250" cy="0"/>
        </a:xfrm>
        <a:prstGeom prst="line">
          <a:avLst/>
        </a:prstGeom>
        <a:noFill/>
        <a:ln w="9525">
          <a:solidFill>
            <a:srgbClr val="000000"/>
          </a:solidFill>
          <a:round/>
          <a:headEnd/>
          <a:tailEnd type="stealth" w="med" len="sm"/>
        </a:ln>
      </xdr:spPr>
    </xdr:sp>
    <xdr:clientData/>
  </xdr:twoCellAnchor>
  <xdr:twoCellAnchor>
    <xdr:from>
      <xdr:col>7</xdr:col>
      <xdr:colOff>123825</xdr:colOff>
      <xdr:row>19</xdr:row>
      <xdr:rowOff>9525</xdr:rowOff>
    </xdr:from>
    <xdr:to>
      <xdr:col>7</xdr:col>
      <xdr:colOff>219075</xdr:colOff>
      <xdr:row>19</xdr:row>
      <xdr:rowOff>9525</xdr:rowOff>
    </xdr:to>
    <xdr:sp macro="" textlink="">
      <xdr:nvSpPr>
        <xdr:cNvPr id="52" name="Line 71">
          <a:extLst>
            <a:ext uri="{FF2B5EF4-FFF2-40B4-BE49-F238E27FC236}">
              <a16:creationId xmlns:a16="http://schemas.microsoft.com/office/drawing/2014/main" id="{00000000-0008-0000-0100-000034000000}"/>
            </a:ext>
          </a:extLst>
        </xdr:cNvPr>
        <xdr:cNvSpPr>
          <a:spLocks noChangeShapeType="1"/>
        </xdr:cNvSpPr>
      </xdr:nvSpPr>
      <xdr:spPr bwMode="auto">
        <a:xfrm>
          <a:off x="5353050" y="3286125"/>
          <a:ext cx="95250" cy="0"/>
        </a:xfrm>
        <a:prstGeom prst="line">
          <a:avLst/>
        </a:prstGeom>
        <a:noFill/>
        <a:ln w="9525">
          <a:solidFill>
            <a:srgbClr val="000000"/>
          </a:solidFill>
          <a:round/>
          <a:headEnd/>
          <a:tailEnd type="stealth" w="sm" len="sm"/>
        </a:ln>
      </xdr:spPr>
    </xdr:sp>
    <xdr:clientData/>
  </xdr:twoCellAnchor>
  <xdr:twoCellAnchor>
    <xdr:from>
      <xdr:col>6</xdr:col>
      <xdr:colOff>676275</xdr:colOff>
      <xdr:row>17</xdr:row>
      <xdr:rowOff>38100</xdr:rowOff>
    </xdr:from>
    <xdr:to>
      <xdr:col>6</xdr:col>
      <xdr:colOff>771525</xdr:colOff>
      <xdr:row>18</xdr:row>
      <xdr:rowOff>19050</xdr:rowOff>
    </xdr:to>
    <xdr:sp macro="" textlink="">
      <xdr:nvSpPr>
        <xdr:cNvPr id="53" name="Line 72">
          <a:extLst>
            <a:ext uri="{FF2B5EF4-FFF2-40B4-BE49-F238E27FC236}">
              <a16:creationId xmlns:a16="http://schemas.microsoft.com/office/drawing/2014/main" id="{00000000-0008-0000-0100-000035000000}"/>
            </a:ext>
          </a:extLst>
        </xdr:cNvPr>
        <xdr:cNvSpPr>
          <a:spLocks noChangeShapeType="1"/>
        </xdr:cNvSpPr>
      </xdr:nvSpPr>
      <xdr:spPr bwMode="auto">
        <a:xfrm flipV="1">
          <a:off x="5086350" y="2990850"/>
          <a:ext cx="95250" cy="142875"/>
        </a:xfrm>
        <a:prstGeom prst="line">
          <a:avLst/>
        </a:prstGeom>
        <a:noFill/>
        <a:ln w="9525">
          <a:solidFill>
            <a:srgbClr val="000000"/>
          </a:solidFill>
          <a:round/>
          <a:headEnd/>
          <a:tailEnd type="stealth" w="sm" len="sm"/>
        </a:ln>
      </xdr:spPr>
    </xdr:sp>
    <xdr:clientData/>
  </xdr:twoCellAnchor>
  <xdr:twoCellAnchor>
    <xdr:from>
      <xdr:col>5</xdr:col>
      <xdr:colOff>219075</xdr:colOff>
      <xdr:row>19</xdr:row>
      <xdr:rowOff>9525</xdr:rowOff>
    </xdr:from>
    <xdr:to>
      <xdr:col>5</xdr:col>
      <xdr:colOff>219075</xdr:colOff>
      <xdr:row>21</xdr:row>
      <xdr:rowOff>95250</xdr:rowOff>
    </xdr:to>
    <xdr:sp macro="" textlink="">
      <xdr:nvSpPr>
        <xdr:cNvPr id="54" name="Line 73">
          <a:extLst>
            <a:ext uri="{FF2B5EF4-FFF2-40B4-BE49-F238E27FC236}">
              <a16:creationId xmlns:a16="http://schemas.microsoft.com/office/drawing/2014/main" id="{00000000-0008-0000-0100-000036000000}"/>
            </a:ext>
          </a:extLst>
        </xdr:cNvPr>
        <xdr:cNvSpPr>
          <a:spLocks noChangeShapeType="1"/>
        </xdr:cNvSpPr>
      </xdr:nvSpPr>
      <xdr:spPr bwMode="auto">
        <a:xfrm>
          <a:off x="4019550" y="3286125"/>
          <a:ext cx="0" cy="409575"/>
        </a:xfrm>
        <a:prstGeom prst="line">
          <a:avLst/>
        </a:prstGeom>
        <a:noFill/>
        <a:ln w="9525">
          <a:solidFill>
            <a:srgbClr val="000000"/>
          </a:solidFill>
          <a:round/>
          <a:headEnd/>
          <a:tailEnd/>
        </a:ln>
      </xdr:spPr>
    </xdr:sp>
    <xdr:clientData/>
  </xdr:twoCellAnchor>
  <xdr:twoCellAnchor>
    <xdr:from>
      <xdr:col>7</xdr:col>
      <xdr:colOff>209550</xdr:colOff>
      <xdr:row>19</xdr:row>
      <xdr:rowOff>9525</xdr:rowOff>
    </xdr:from>
    <xdr:to>
      <xdr:col>7</xdr:col>
      <xdr:colOff>209550</xdr:colOff>
      <xdr:row>21</xdr:row>
      <xdr:rowOff>95250</xdr:rowOff>
    </xdr:to>
    <xdr:sp macro="" textlink="">
      <xdr:nvSpPr>
        <xdr:cNvPr id="55" name="Line 74">
          <a:extLst>
            <a:ext uri="{FF2B5EF4-FFF2-40B4-BE49-F238E27FC236}">
              <a16:creationId xmlns:a16="http://schemas.microsoft.com/office/drawing/2014/main" id="{00000000-0008-0000-0100-000037000000}"/>
            </a:ext>
          </a:extLst>
        </xdr:cNvPr>
        <xdr:cNvSpPr>
          <a:spLocks noChangeShapeType="1"/>
        </xdr:cNvSpPr>
      </xdr:nvSpPr>
      <xdr:spPr bwMode="auto">
        <a:xfrm>
          <a:off x="5438775" y="3286125"/>
          <a:ext cx="0" cy="409575"/>
        </a:xfrm>
        <a:prstGeom prst="line">
          <a:avLst/>
        </a:prstGeom>
        <a:noFill/>
        <a:ln w="9525">
          <a:solidFill>
            <a:srgbClr val="000000"/>
          </a:solidFill>
          <a:round/>
          <a:headEnd/>
          <a:tailEnd/>
        </a:ln>
      </xdr:spPr>
    </xdr:sp>
    <xdr:clientData/>
  </xdr:twoCellAnchor>
  <xdr:twoCellAnchor>
    <xdr:from>
      <xdr:col>5</xdr:col>
      <xdr:colOff>285750</xdr:colOff>
      <xdr:row>16</xdr:row>
      <xdr:rowOff>9525</xdr:rowOff>
    </xdr:from>
    <xdr:to>
      <xdr:col>6</xdr:col>
      <xdr:colOff>257175</xdr:colOff>
      <xdr:row>18</xdr:row>
      <xdr:rowOff>28575</xdr:rowOff>
    </xdr:to>
    <xdr:sp macro="" textlink="">
      <xdr:nvSpPr>
        <xdr:cNvPr id="56" name="Line 75">
          <a:extLst>
            <a:ext uri="{FF2B5EF4-FFF2-40B4-BE49-F238E27FC236}">
              <a16:creationId xmlns:a16="http://schemas.microsoft.com/office/drawing/2014/main" id="{00000000-0008-0000-0100-000038000000}"/>
            </a:ext>
          </a:extLst>
        </xdr:cNvPr>
        <xdr:cNvSpPr>
          <a:spLocks noChangeShapeType="1"/>
        </xdr:cNvSpPr>
      </xdr:nvSpPr>
      <xdr:spPr bwMode="auto">
        <a:xfrm flipV="1">
          <a:off x="4086225" y="2800350"/>
          <a:ext cx="581025" cy="342900"/>
        </a:xfrm>
        <a:prstGeom prst="line">
          <a:avLst/>
        </a:prstGeom>
        <a:noFill/>
        <a:ln w="9525">
          <a:solidFill>
            <a:srgbClr val="000000"/>
          </a:solidFill>
          <a:round/>
          <a:headEnd/>
          <a:tailEnd/>
        </a:ln>
      </xdr:spPr>
    </xdr:sp>
    <xdr:clientData/>
  </xdr:twoCellAnchor>
  <xdr:twoCellAnchor>
    <xdr:from>
      <xdr:col>6</xdr:col>
      <xdr:colOff>447675</xdr:colOff>
      <xdr:row>16</xdr:row>
      <xdr:rowOff>9525</xdr:rowOff>
    </xdr:from>
    <xdr:to>
      <xdr:col>7</xdr:col>
      <xdr:colOff>209550</xdr:colOff>
      <xdr:row>18</xdr:row>
      <xdr:rowOff>28575</xdr:rowOff>
    </xdr:to>
    <xdr:sp macro="" textlink="">
      <xdr:nvSpPr>
        <xdr:cNvPr id="57" name="Line 76">
          <a:extLst>
            <a:ext uri="{FF2B5EF4-FFF2-40B4-BE49-F238E27FC236}">
              <a16:creationId xmlns:a16="http://schemas.microsoft.com/office/drawing/2014/main" id="{00000000-0008-0000-0100-000039000000}"/>
            </a:ext>
          </a:extLst>
        </xdr:cNvPr>
        <xdr:cNvSpPr>
          <a:spLocks noChangeShapeType="1"/>
        </xdr:cNvSpPr>
      </xdr:nvSpPr>
      <xdr:spPr bwMode="auto">
        <a:xfrm>
          <a:off x="4857750" y="2800350"/>
          <a:ext cx="581025" cy="342900"/>
        </a:xfrm>
        <a:prstGeom prst="line">
          <a:avLst/>
        </a:prstGeom>
        <a:noFill/>
        <a:ln w="9525">
          <a:solidFill>
            <a:srgbClr val="000000"/>
          </a:solidFill>
          <a:round/>
          <a:headEnd/>
          <a:tailEnd/>
        </a:ln>
      </xdr:spPr>
    </xdr:sp>
    <xdr:clientData/>
  </xdr:twoCellAnchor>
  <xdr:twoCellAnchor>
    <xdr:from>
      <xdr:col>5</xdr:col>
      <xdr:colOff>381000</xdr:colOff>
      <xdr:row>5</xdr:row>
      <xdr:rowOff>9525</xdr:rowOff>
    </xdr:from>
    <xdr:to>
      <xdr:col>5</xdr:col>
      <xdr:colOff>381000</xdr:colOff>
      <xdr:row>5</xdr:row>
      <xdr:rowOff>104775</xdr:rowOff>
    </xdr:to>
    <xdr:sp macro="" textlink="">
      <xdr:nvSpPr>
        <xdr:cNvPr id="58" name="Line 77">
          <a:extLst>
            <a:ext uri="{FF2B5EF4-FFF2-40B4-BE49-F238E27FC236}">
              <a16:creationId xmlns:a16="http://schemas.microsoft.com/office/drawing/2014/main" id="{00000000-0008-0000-0100-00003A000000}"/>
            </a:ext>
          </a:extLst>
        </xdr:cNvPr>
        <xdr:cNvSpPr>
          <a:spLocks noChangeShapeType="1"/>
        </xdr:cNvSpPr>
      </xdr:nvSpPr>
      <xdr:spPr bwMode="auto">
        <a:xfrm flipV="1">
          <a:off x="4181475" y="1019175"/>
          <a:ext cx="0" cy="95250"/>
        </a:xfrm>
        <a:prstGeom prst="line">
          <a:avLst/>
        </a:prstGeom>
        <a:noFill/>
        <a:ln w="9525">
          <a:solidFill>
            <a:srgbClr val="000000"/>
          </a:solidFill>
          <a:round/>
          <a:headEnd/>
          <a:tailEnd type="stealth" w="sm" len="sm"/>
        </a:ln>
      </xdr:spPr>
    </xdr:sp>
    <xdr:clientData/>
  </xdr:twoCellAnchor>
  <xdr:twoCellAnchor>
    <xdr:from>
      <xdr:col>6</xdr:col>
      <xdr:colOff>104775</xdr:colOff>
      <xdr:row>5</xdr:row>
      <xdr:rowOff>9525</xdr:rowOff>
    </xdr:from>
    <xdr:to>
      <xdr:col>6</xdr:col>
      <xdr:colOff>104775</xdr:colOff>
      <xdr:row>5</xdr:row>
      <xdr:rowOff>104775</xdr:rowOff>
    </xdr:to>
    <xdr:sp macro="" textlink="">
      <xdr:nvSpPr>
        <xdr:cNvPr id="59" name="Line 78">
          <a:extLst>
            <a:ext uri="{FF2B5EF4-FFF2-40B4-BE49-F238E27FC236}">
              <a16:creationId xmlns:a16="http://schemas.microsoft.com/office/drawing/2014/main" id="{00000000-0008-0000-0100-00003B000000}"/>
            </a:ext>
          </a:extLst>
        </xdr:cNvPr>
        <xdr:cNvSpPr>
          <a:spLocks noChangeShapeType="1"/>
        </xdr:cNvSpPr>
      </xdr:nvSpPr>
      <xdr:spPr bwMode="auto">
        <a:xfrm flipV="1">
          <a:off x="4514850" y="1019175"/>
          <a:ext cx="0" cy="95250"/>
        </a:xfrm>
        <a:prstGeom prst="line">
          <a:avLst/>
        </a:prstGeom>
        <a:noFill/>
        <a:ln w="9525">
          <a:solidFill>
            <a:srgbClr val="000000"/>
          </a:solidFill>
          <a:round/>
          <a:headEnd/>
          <a:tailEnd type="stealth" w="sm" len="sm"/>
        </a:ln>
      </xdr:spPr>
    </xdr:sp>
    <xdr:clientData/>
  </xdr:twoCellAnchor>
  <xdr:twoCellAnchor>
    <xdr:from>
      <xdr:col>6</xdr:col>
      <xdr:colOff>276225</xdr:colOff>
      <xdr:row>5</xdr:row>
      <xdr:rowOff>9525</xdr:rowOff>
    </xdr:from>
    <xdr:to>
      <xdr:col>6</xdr:col>
      <xdr:colOff>276225</xdr:colOff>
      <xdr:row>5</xdr:row>
      <xdr:rowOff>104775</xdr:rowOff>
    </xdr:to>
    <xdr:sp macro="" textlink="">
      <xdr:nvSpPr>
        <xdr:cNvPr id="60" name="Line 79">
          <a:extLst>
            <a:ext uri="{FF2B5EF4-FFF2-40B4-BE49-F238E27FC236}">
              <a16:creationId xmlns:a16="http://schemas.microsoft.com/office/drawing/2014/main" id="{00000000-0008-0000-0100-00003C000000}"/>
            </a:ext>
          </a:extLst>
        </xdr:cNvPr>
        <xdr:cNvSpPr>
          <a:spLocks noChangeShapeType="1"/>
        </xdr:cNvSpPr>
      </xdr:nvSpPr>
      <xdr:spPr bwMode="auto">
        <a:xfrm flipV="1">
          <a:off x="4686300" y="1019175"/>
          <a:ext cx="0" cy="95250"/>
        </a:xfrm>
        <a:prstGeom prst="line">
          <a:avLst/>
        </a:prstGeom>
        <a:noFill/>
        <a:ln w="9525">
          <a:solidFill>
            <a:srgbClr val="000000"/>
          </a:solidFill>
          <a:round/>
          <a:headEnd/>
          <a:tailEnd type="stealth" w="sm" len="sm"/>
        </a:ln>
      </xdr:spPr>
    </xdr:sp>
    <xdr:clientData/>
  </xdr:twoCellAnchor>
  <xdr:twoCellAnchor>
    <xdr:from>
      <xdr:col>5</xdr:col>
      <xdr:colOff>542925</xdr:colOff>
      <xdr:row>5</xdr:row>
      <xdr:rowOff>9525</xdr:rowOff>
    </xdr:from>
    <xdr:to>
      <xdr:col>5</xdr:col>
      <xdr:colOff>542925</xdr:colOff>
      <xdr:row>5</xdr:row>
      <xdr:rowOff>104775</xdr:rowOff>
    </xdr:to>
    <xdr:sp macro="" textlink="">
      <xdr:nvSpPr>
        <xdr:cNvPr id="61" name="Line 80">
          <a:extLst>
            <a:ext uri="{FF2B5EF4-FFF2-40B4-BE49-F238E27FC236}">
              <a16:creationId xmlns:a16="http://schemas.microsoft.com/office/drawing/2014/main" id="{00000000-0008-0000-0100-00003D000000}"/>
            </a:ext>
          </a:extLst>
        </xdr:cNvPr>
        <xdr:cNvSpPr>
          <a:spLocks noChangeShapeType="1"/>
        </xdr:cNvSpPr>
      </xdr:nvSpPr>
      <xdr:spPr bwMode="auto">
        <a:xfrm flipV="1">
          <a:off x="4343400" y="1019175"/>
          <a:ext cx="0" cy="95250"/>
        </a:xfrm>
        <a:prstGeom prst="line">
          <a:avLst/>
        </a:prstGeom>
        <a:noFill/>
        <a:ln w="9525">
          <a:solidFill>
            <a:srgbClr val="000000"/>
          </a:solidFill>
          <a:round/>
          <a:headEnd/>
          <a:tailEnd type="stealth" w="sm" len="sm"/>
        </a:ln>
      </xdr:spPr>
    </xdr:sp>
    <xdr:clientData/>
  </xdr:twoCellAnchor>
  <xdr:twoCellAnchor>
    <xdr:from>
      <xdr:col>6</xdr:col>
      <xdr:colOff>428625</xdr:colOff>
      <xdr:row>5</xdr:row>
      <xdr:rowOff>9525</xdr:rowOff>
    </xdr:from>
    <xdr:to>
      <xdr:col>6</xdr:col>
      <xdr:colOff>428625</xdr:colOff>
      <xdr:row>5</xdr:row>
      <xdr:rowOff>104775</xdr:rowOff>
    </xdr:to>
    <xdr:sp macro="" textlink="">
      <xdr:nvSpPr>
        <xdr:cNvPr id="62" name="Line 81">
          <a:extLst>
            <a:ext uri="{FF2B5EF4-FFF2-40B4-BE49-F238E27FC236}">
              <a16:creationId xmlns:a16="http://schemas.microsoft.com/office/drawing/2014/main" id="{00000000-0008-0000-0100-00003E000000}"/>
            </a:ext>
          </a:extLst>
        </xdr:cNvPr>
        <xdr:cNvSpPr>
          <a:spLocks noChangeShapeType="1"/>
        </xdr:cNvSpPr>
      </xdr:nvSpPr>
      <xdr:spPr bwMode="auto">
        <a:xfrm flipV="1">
          <a:off x="4838700" y="1019175"/>
          <a:ext cx="0" cy="95250"/>
        </a:xfrm>
        <a:prstGeom prst="line">
          <a:avLst/>
        </a:prstGeom>
        <a:noFill/>
        <a:ln w="9525">
          <a:solidFill>
            <a:srgbClr val="000000"/>
          </a:solidFill>
          <a:round/>
          <a:headEnd/>
          <a:tailEnd type="stealth" w="sm" len="sm"/>
        </a:ln>
      </xdr:spPr>
    </xdr:sp>
    <xdr:clientData/>
  </xdr:twoCellAnchor>
  <xdr:twoCellAnchor>
    <xdr:from>
      <xdr:col>6</xdr:col>
      <xdr:colOff>600075</xdr:colOff>
      <xdr:row>5</xdr:row>
      <xdr:rowOff>9525</xdr:rowOff>
    </xdr:from>
    <xdr:to>
      <xdr:col>6</xdr:col>
      <xdr:colOff>600075</xdr:colOff>
      <xdr:row>5</xdr:row>
      <xdr:rowOff>104775</xdr:rowOff>
    </xdr:to>
    <xdr:sp macro="" textlink="">
      <xdr:nvSpPr>
        <xdr:cNvPr id="63" name="Line 82">
          <a:extLst>
            <a:ext uri="{FF2B5EF4-FFF2-40B4-BE49-F238E27FC236}">
              <a16:creationId xmlns:a16="http://schemas.microsoft.com/office/drawing/2014/main" id="{00000000-0008-0000-0100-00003F000000}"/>
            </a:ext>
          </a:extLst>
        </xdr:cNvPr>
        <xdr:cNvSpPr>
          <a:spLocks noChangeShapeType="1"/>
        </xdr:cNvSpPr>
      </xdr:nvSpPr>
      <xdr:spPr bwMode="auto">
        <a:xfrm flipV="1">
          <a:off x="5010150" y="1019175"/>
          <a:ext cx="0" cy="95250"/>
        </a:xfrm>
        <a:prstGeom prst="line">
          <a:avLst/>
        </a:prstGeom>
        <a:noFill/>
        <a:ln w="9525">
          <a:solidFill>
            <a:srgbClr val="000000"/>
          </a:solidFill>
          <a:round/>
          <a:headEnd/>
          <a:tailEnd type="stealth" w="sm" len="sm"/>
        </a:ln>
      </xdr:spPr>
    </xdr:sp>
    <xdr:clientData/>
  </xdr:twoCellAnchor>
  <xdr:twoCellAnchor>
    <xdr:from>
      <xdr:col>6</xdr:col>
      <xdr:colOff>771525</xdr:colOff>
      <xdr:row>5</xdr:row>
      <xdr:rowOff>9525</xdr:rowOff>
    </xdr:from>
    <xdr:to>
      <xdr:col>6</xdr:col>
      <xdr:colOff>771525</xdr:colOff>
      <xdr:row>5</xdr:row>
      <xdr:rowOff>104775</xdr:rowOff>
    </xdr:to>
    <xdr:sp macro="" textlink="">
      <xdr:nvSpPr>
        <xdr:cNvPr id="64" name="Line 83">
          <a:extLst>
            <a:ext uri="{FF2B5EF4-FFF2-40B4-BE49-F238E27FC236}">
              <a16:creationId xmlns:a16="http://schemas.microsoft.com/office/drawing/2014/main" id="{00000000-0008-0000-0100-000040000000}"/>
            </a:ext>
          </a:extLst>
        </xdr:cNvPr>
        <xdr:cNvSpPr>
          <a:spLocks noChangeShapeType="1"/>
        </xdr:cNvSpPr>
      </xdr:nvSpPr>
      <xdr:spPr bwMode="auto">
        <a:xfrm flipV="1">
          <a:off x="5181600" y="1019175"/>
          <a:ext cx="0" cy="95250"/>
        </a:xfrm>
        <a:prstGeom prst="line">
          <a:avLst/>
        </a:prstGeom>
        <a:noFill/>
        <a:ln w="9525">
          <a:solidFill>
            <a:srgbClr val="000000"/>
          </a:solidFill>
          <a:round/>
          <a:headEnd/>
          <a:tailEnd type="stealth" w="sm" len="sm"/>
        </a:ln>
      </xdr:spPr>
    </xdr:sp>
    <xdr:clientData/>
  </xdr:twoCellAnchor>
  <xdr:twoCellAnchor>
    <xdr:from>
      <xdr:col>7</xdr:col>
      <xdr:colOff>114300</xdr:colOff>
      <xdr:row>5</xdr:row>
      <xdr:rowOff>9525</xdr:rowOff>
    </xdr:from>
    <xdr:to>
      <xdr:col>7</xdr:col>
      <xdr:colOff>114300</xdr:colOff>
      <xdr:row>5</xdr:row>
      <xdr:rowOff>104775</xdr:rowOff>
    </xdr:to>
    <xdr:sp macro="" textlink="">
      <xdr:nvSpPr>
        <xdr:cNvPr id="65" name="Line 84">
          <a:extLst>
            <a:ext uri="{FF2B5EF4-FFF2-40B4-BE49-F238E27FC236}">
              <a16:creationId xmlns:a16="http://schemas.microsoft.com/office/drawing/2014/main" id="{00000000-0008-0000-0100-000041000000}"/>
            </a:ext>
          </a:extLst>
        </xdr:cNvPr>
        <xdr:cNvSpPr>
          <a:spLocks noChangeShapeType="1"/>
        </xdr:cNvSpPr>
      </xdr:nvSpPr>
      <xdr:spPr bwMode="auto">
        <a:xfrm flipV="1">
          <a:off x="5343525" y="1019175"/>
          <a:ext cx="0" cy="95250"/>
        </a:xfrm>
        <a:prstGeom prst="line">
          <a:avLst/>
        </a:prstGeom>
        <a:noFill/>
        <a:ln w="9525">
          <a:solidFill>
            <a:srgbClr val="000000"/>
          </a:solidFill>
          <a:round/>
          <a:headEnd/>
          <a:tailEnd type="stealth" w="sm" len="sm"/>
        </a:ln>
      </xdr:spPr>
    </xdr:sp>
    <xdr:clientData/>
  </xdr:twoCellAnchor>
  <xdr:twoCellAnchor>
    <xdr:from>
      <xdr:col>5</xdr:col>
      <xdr:colOff>381000</xdr:colOff>
      <xdr:row>5</xdr:row>
      <xdr:rowOff>9525</xdr:rowOff>
    </xdr:from>
    <xdr:to>
      <xdr:col>7</xdr:col>
      <xdr:colOff>114300</xdr:colOff>
      <xdr:row>5</xdr:row>
      <xdr:rowOff>9525</xdr:rowOff>
    </xdr:to>
    <xdr:sp macro="" textlink="">
      <xdr:nvSpPr>
        <xdr:cNvPr id="66" name="Line 85">
          <a:extLst>
            <a:ext uri="{FF2B5EF4-FFF2-40B4-BE49-F238E27FC236}">
              <a16:creationId xmlns:a16="http://schemas.microsoft.com/office/drawing/2014/main" id="{00000000-0008-0000-0100-000042000000}"/>
            </a:ext>
          </a:extLst>
        </xdr:cNvPr>
        <xdr:cNvSpPr>
          <a:spLocks noChangeShapeType="1"/>
        </xdr:cNvSpPr>
      </xdr:nvSpPr>
      <xdr:spPr bwMode="auto">
        <a:xfrm>
          <a:off x="4181475" y="1019175"/>
          <a:ext cx="1162050" cy="0"/>
        </a:xfrm>
        <a:prstGeom prst="line">
          <a:avLst/>
        </a:prstGeom>
        <a:noFill/>
        <a:ln w="9525">
          <a:solidFill>
            <a:srgbClr val="000000"/>
          </a:solidFill>
          <a:round/>
          <a:headEnd/>
          <a:tailEnd/>
        </a:ln>
      </xdr:spPr>
    </xdr:sp>
    <xdr:clientData/>
  </xdr:twoCellAnchor>
  <xdr:twoCellAnchor>
    <xdr:from>
      <xdr:col>5</xdr:col>
      <xdr:colOff>542925</xdr:colOff>
      <xdr:row>12</xdr:row>
      <xdr:rowOff>114300</xdr:rowOff>
    </xdr:from>
    <xdr:to>
      <xdr:col>5</xdr:col>
      <xdr:colOff>542925</xdr:colOff>
      <xdr:row>13</xdr:row>
      <xdr:rowOff>47625</xdr:rowOff>
    </xdr:to>
    <xdr:sp macro="" textlink="">
      <xdr:nvSpPr>
        <xdr:cNvPr id="67" name="Line 86">
          <a:extLst>
            <a:ext uri="{FF2B5EF4-FFF2-40B4-BE49-F238E27FC236}">
              <a16:creationId xmlns:a16="http://schemas.microsoft.com/office/drawing/2014/main" id="{00000000-0008-0000-0100-000043000000}"/>
            </a:ext>
          </a:extLst>
        </xdr:cNvPr>
        <xdr:cNvSpPr>
          <a:spLocks noChangeShapeType="1"/>
        </xdr:cNvSpPr>
      </xdr:nvSpPr>
      <xdr:spPr bwMode="auto">
        <a:xfrm flipV="1">
          <a:off x="4343400" y="2257425"/>
          <a:ext cx="0" cy="95250"/>
        </a:xfrm>
        <a:prstGeom prst="line">
          <a:avLst/>
        </a:prstGeom>
        <a:noFill/>
        <a:ln w="9525">
          <a:solidFill>
            <a:srgbClr val="000000"/>
          </a:solidFill>
          <a:round/>
          <a:headEnd type="stealth" w="sm" len="sm"/>
          <a:tailEnd type="none" w="sm" len="sm"/>
        </a:ln>
      </xdr:spPr>
    </xdr:sp>
    <xdr:clientData/>
  </xdr:twoCellAnchor>
  <xdr:twoCellAnchor>
    <xdr:from>
      <xdr:col>6</xdr:col>
      <xdr:colOff>276225</xdr:colOff>
      <xdr:row>12</xdr:row>
      <xdr:rowOff>114300</xdr:rowOff>
    </xdr:from>
    <xdr:to>
      <xdr:col>6</xdr:col>
      <xdr:colOff>276225</xdr:colOff>
      <xdr:row>13</xdr:row>
      <xdr:rowOff>47625</xdr:rowOff>
    </xdr:to>
    <xdr:sp macro="" textlink="">
      <xdr:nvSpPr>
        <xdr:cNvPr id="68" name="Line 87">
          <a:extLst>
            <a:ext uri="{FF2B5EF4-FFF2-40B4-BE49-F238E27FC236}">
              <a16:creationId xmlns:a16="http://schemas.microsoft.com/office/drawing/2014/main" id="{00000000-0008-0000-0100-000044000000}"/>
            </a:ext>
          </a:extLst>
        </xdr:cNvPr>
        <xdr:cNvSpPr>
          <a:spLocks noChangeShapeType="1"/>
        </xdr:cNvSpPr>
      </xdr:nvSpPr>
      <xdr:spPr bwMode="auto">
        <a:xfrm flipV="1">
          <a:off x="4686300" y="2257425"/>
          <a:ext cx="0" cy="95250"/>
        </a:xfrm>
        <a:prstGeom prst="line">
          <a:avLst/>
        </a:prstGeom>
        <a:noFill/>
        <a:ln w="9525">
          <a:solidFill>
            <a:srgbClr val="000000"/>
          </a:solidFill>
          <a:round/>
          <a:headEnd type="stealth" w="sm" len="sm"/>
          <a:tailEnd type="none" w="sm" len="sm"/>
        </a:ln>
      </xdr:spPr>
    </xdr:sp>
    <xdr:clientData/>
  </xdr:twoCellAnchor>
  <xdr:twoCellAnchor>
    <xdr:from>
      <xdr:col>6</xdr:col>
      <xdr:colOff>428625</xdr:colOff>
      <xdr:row>12</xdr:row>
      <xdr:rowOff>114300</xdr:rowOff>
    </xdr:from>
    <xdr:to>
      <xdr:col>6</xdr:col>
      <xdr:colOff>428625</xdr:colOff>
      <xdr:row>13</xdr:row>
      <xdr:rowOff>47625</xdr:rowOff>
    </xdr:to>
    <xdr:sp macro="" textlink="">
      <xdr:nvSpPr>
        <xdr:cNvPr id="69" name="Line 88">
          <a:extLst>
            <a:ext uri="{FF2B5EF4-FFF2-40B4-BE49-F238E27FC236}">
              <a16:creationId xmlns:a16="http://schemas.microsoft.com/office/drawing/2014/main" id="{00000000-0008-0000-0100-000045000000}"/>
            </a:ext>
          </a:extLst>
        </xdr:cNvPr>
        <xdr:cNvSpPr>
          <a:spLocks noChangeShapeType="1"/>
        </xdr:cNvSpPr>
      </xdr:nvSpPr>
      <xdr:spPr bwMode="auto">
        <a:xfrm flipV="1">
          <a:off x="4838700" y="2257425"/>
          <a:ext cx="0" cy="95250"/>
        </a:xfrm>
        <a:prstGeom prst="line">
          <a:avLst/>
        </a:prstGeom>
        <a:noFill/>
        <a:ln w="9525">
          <a:solidFill>
            <a:srgbClr val="000000"/>
          </a:solidFill>
          <a:round/>
          <a:headEnd type="stealth" w="sm" len="sm"/>
          <a:tailEnd type="none" w="sm" len="sm"/>
        </a:ln>
      </xdr:spPr>
    </xdr:sp>
    <xdr:clientData/>
  </xdr:twoCellAnchor>
  <xdr:twoCellAnchor>
    <xdr:from>
      <xdr:col>6</xdr:col>
      <xdr:colOff>104775</xdr:colOff>
      <xdr:row>12</xdr:row>
      <xdr:rowOff>114300</xdr:rowOff>
    </xdr:from>
    <xdr:to>
      <xdr:col>6</xdr:col>
      <xdr:colOff>104775</xdr:colOff>
      <xdr:row>13</xdr:row>
      <xdr:rowOff>47625</xdr:rowOff>
    </xdr:to>
    <xdr:sp macro="" textlink="">
      <xdr:nvSpPr>
        <xdr:cNvPr id="70" name="Line 89">
          <a:extLst>
            <a:ext uri="{FF2B5EF4-FFF2-40B4-BE49-F238E27FC236}">
              <a16:creationId xmlns:a16="http://schemas.microsoft.com/office/drawing/2014/main" id="{00000000-0008-0000-0100-000046000000}"/>
            </a:ext>
          </a:extLst>
        </xdr:cNvPr>
        <xdr:cNvSpPr>
          <a:spLocks noChangeShapeType="1"/>
        </xdr:cNvSpPr>
      </xdr:nvSpPr>
      <xdr:spPr bwMode="auto">
        <a:xfrm flipV="1">
          <a:off x="4514850" y="2257425"/>
          <a:ext cx="0" cy="95250"/>
        </a:xfrm>
        <a:prstGeom prst="line">
          <a:avLst/>
        </a:prstGeom>
        <a:noFill/>
        <a:ln w="9525">
          <a:solidFill>
            <a:srgbClr val="000000"/>
          </a:solidFill>
          <a:round/>
          <a:headEnd type="stealth" w="sm" len="sm"/>
          <a:tailEnd type="none" w="sm" len="sm"/>
        </a:ln>
      </xdr:spPr>
    </xdr:sp>
    <xdr:clientData/>
  </xdr:twoCellAnchor>
  <xdr:twoCellAnchor>
    <xdr:from>
      <xdr:col>6</xdr:col>
      <xdr:colOff>600075</xdr:colOff>
      <xdr:row>12</xdr:row>
      <xdr:rowOff>114300</xdr:rowOff>
    </xdr:from>
    <xdr:to>
      <xdr:col>6</xdr:col>
      <xdr:colOff>600075</xdr:colOff>
      <xdr:row>13</xdr:row>
      <xdr:rowOff>47625</xdr:rowOff>
    </xdr:to>
    <xdr:sp macro="" textlink="">
      <xdr:nvSpPr>
        <xdr:cNvPr id="71" name="Line 90">
          <a:extLst>
            <a:ext uri="{FF2B5EF4-FFF2-40B4-BE49-F238E27FC236}">
              <a16:creationId xmlns:a16="http://schemas.microsoft.com/office/drawing/2014/main" id="{00000000-0008-0000-0100-000047000000}"/>
            </a:ext>
          </a:extLst>
        </xdr:cNvPr>
        <xdr:cNvSpPr>
          <a:spLocks noChangeShapeType="1"/>
        </xdr:cNvSpPr>
      </xdr:nvSpPr>
      <xdr:spPr bwMode="auto">
        <a:xfrm flipV="1">
          <a:off x="5010150" y="2257425"/>
          <a:ext cx="0" cy="95250"/>
        </a:xfrm>
        <a:prstGeom prst="line">
          <a:avLst/>
        </a:prstGeom>
        <a:noFill/>
        <a:ln w="9525">
          <a:solidFill>
            <a:srgbClr val="000000"/>
          </a:solidFill>
          <a:round/>
          <a:headEnd type="stealth" w="sm" len="sm"/>
          <a:tailEnd type="none" w="sm" len="sm"/>
        </a:ln>
      </xdr:spPr>
    </xdr:sp>
    <xdr:clientData/>
  </xdr:twoCellAnchor>
  <xdr:twoCellAnchor>
    <xdr:from>
      <xdr:col>6</xdr:col>
      <xdr:colOff>771525</xdr:colOff>
      <xdr:row>12</xdr:row>
      <xdr:rowOff>114300</xdr:rowOff>
    </xdr:from>
    <xdr:to>
      <xdr:col>6</xdr:col>
      <xdr:colOff>771525</xdr:colOff>
      <xdr:row>13</xdr:row>
      <xdr:rowOff>47625</xdr:rowOff>
    </xdr:to>
    <xdr:sp macro="" textlink="">
      <xdr:nvSpPr>
        <xdr:cNvPr id="72" name="Line 91">
          <a:extLst>
            <a:ext uri="{FF2B5EF4-FFF2-40B4-BE49-F238E27FC236}">
              <a16:creationId xmlns:a16="http://schemas.microsoft.com/office/drawing/2014/main" id="{00000000-0008-0000-0100-000048000000}"/>
            </a:ext>
          </a:extLst>
        </xdr:cNvPr>
        <xdr:cNvSpPr>
          <a:spLocks noChangeShapeType="1"/>
        </xdr:cNvSpPr>
      </xdr:nvSpPr>
      <xdr:spPr bwMode="auto">
        <a:xfrm flipV="1">
          <a:off x="5181600" y="2257425"/>
          <a:ext cx="0" cy="95250"/>
        </a:xfrm>
        <a:prstGeom prst="line">
          <a:avLst/>
        </a:prstGeom>
        <a:noFill/>
        <a:ln w="9525">
          <a:solidFill>
            <a:srgbClr val="000000"/>
          </a:solidFill>
          <a:round/>
          <a:headEnd type="stealth" w="sm" len="sm"/>
          <a:tailEnd type="none" w="sm" len="sm"/>
        </a:ln>
      </xdr:spPr>
    </xdr:sp>
    <xdr:clientData/>
  </xdr:twoCellAnchor>
  <xdr:twoCellAnchor>
    <xdr:from>
      <xdr:col>7</xdr:col>
      <xdr:colOff>114300</xdr:colOff>
      <xdr:row>12</xdr:row>
      <xdr:rowOff>114300</xdr:rowOff>
    </xdr:from>
    <xdr:to>
      <xdr:col>7</xdr:col>
      <xdr:colOff>114300</xdr:colOff>
      <xdr:row>13</xdr:row>
      <xdr:rowOff>47625</xdr:rowOff>
    </xdr:to>
    <xdr:sp macro="" textlink="">
      <xdr:nvSpPr>
        <xdr:cNvPr id="73" name="Line 92">
          <a:extLst>
            <a:ext uri="{FF2B5EF4-FFF2-40B4-BE49-F238E27FC236}">
              <a16:creationId xmlns:a16="http://schemas.microsoft.com/office/drawing/2014/main" id="{00000000-0008-0000-0100-000049000000}"/>
            </a:ext>
          </a:extLst>
        </xdr:cNvPr>
        <xdr:cNvSpPr>
          <a:spLocks noChangeShapeType="1"/>
        </xdr:cNvSpPr>
      </xdr:nvSpPr>
      <xdr:spPr bwMode="auto">
        <a:xfrm flipV="1">
          <a:off x="5343525" y="2257425"/>
          <a:ext cx="0" cy="95250"/>
        </a:xfrm>
        <a:prstGeom prst="line">
          <a:avLst/>
        </a:prstGeom>
        <a:noFill/>
        <a:ln w="9525">
          <a:solidFill>
            <a:srgbClr val="000000"/>
          </a:solidFill>
          <a:round/>
          <a:headEnd type="stealth" w="sm" len="sm"/>
          <a:tailEnd type="none" w="sm" len="sm"/>
        </a:ln>
      </xdr:spPr>
    </xdr:sp>
    <xdr:clientData/>
  </xdr:twoCellAnchor>
  <xdr:twoCellAnchor>
    <xdr:from>
      <xdr:col>5</xdr:col>
      <xdr:colOff>381000</xdr:colOff>
      <xdr:row>12</xdr:row>
      <xdr:rowOff>114300</xdr:rowOff>
    </xdr:from>
    <xdr:to>
      <xdr:col>5</xdr:col>
      <xdr:colOff>381000</xdr:colOff>
      <xdr:row>13</xdr:row>
      <xdr:rowOff>47625</xdr:rowOff>
    </xdr:to>
    <xdr:sp macro="" textlink="">
      <xdr:nvSpPr>
        <xdr:cNvPr id="74" name="Line 93">
          <a:extLst>
            <a:ext uri="{FF2B5EF4-FFF2-40B4-BE49-F238E27FC236}">
              <a16:creationId xmlns:a16="http://schemas.microsoft.com/office/drawing/2014/main" id="{00000000-0008-0000-0100-00004A000000}"/>
            </a:ext>
          </a:extLst>
        </xdr:cNvPr>
        <xdr:cNvSpPr>
          <a:spLocks noChangeShapeType="1"/>
        </xdr:cNvSpPr>
      </xdr:nvSpPr>
      <xdr:spPr bwMode="auto">
        <a:xfrm flipV="1">
          <a:off x="4181475" y="2257425"/>
          <a:ext cx="0" cy="95250"/>
        </a:xfrm>
        <a:prstGeom prst="line">
          <a:avLst/>
        </a:prstGeom>
        <a:noFill/>
        <a:ln w="9525">
          <a:solidFill>
            <a:srgbClr val="000000"/>
          </a:solidFill>
          <a:round/>
          <a:headEnd type="stealth" w="sm" len="sm"/>
          <a:tailEnd type="none" w="sm" len="sm"/>
        </a:ln>
      </xdr:spPr>
    </xdr:sp>
    <xdr:clientData/>
  </xdr:twoCellAnchor>
  <xdr:twoCellAnchor>
    <xdr:from>
      <xdr:col>5</xdr:col>
      <xdr:colOff>381000</xdr:colOff>
      <xdr:row>13</xdr:row>
      <xdr:rowOff>47625</xdr:rowOff>
    </xdr:from>
    <xdr:to>
      <xdr:col>7</xdr:col>
      <xdr:colOff>114300</xdr:colOff>
      <xdr:row>13</xdr:row>
      <xdr:rowOff>47625</xdr:rowOff>
    </xdr:to>
    <xdr:sp macro="" textlink="">
      <xdr:nvSpPr>
        <xdr:cNvPr id="75" name="Line 94">
          <a:extLst>
            <a:ext uri="{FF2B5EF4-FFF2-40B4-BE49-F238E27FC236}">
              <a16:creationId xmlns:a16="http://schemas.microsoft.com/office/drawing/2014/main" id="{00000000-0008-0000-0100-00004B000000}"/>
            </a:ext>
          </a:extLst>
        </xdr:cNvPr>
        <xdr:cNvSpPr>
          <a:spLocks noChangeShapeType="1"/>
        </xdr:cNvSpPr>
      </xdr:nvSpPr>
      <xdr:spPr bwMode="auto">
        <a:xfrm>
          <a:off x="4181475" y="2352675"/>
          <a:ext cx="1162050" cy="0"/>
        </a:xfrm>
        <a:prstGeom prst="line">
          <a:avLst/>
        </a:prstGeom>
        <a:noFill/>
        <a:ln w="9525">
          <a:solidFill>
            <a:srgbClr val="000000"/>
          </a:solidFill>
          <a:round/>
          <a:headEnd/>
          <a:tailEnd/>
        </a:ln>
      </xdr:spPr>
    </xdr:sp>
    <xdr:clientData/>
  </xdr:twoCellAnchor>
  <xdr:twoCellAnchor>
    <xdr:from>
      <xdr:col>5</xdr:col>
      <xdr:colOff>219075</xdr:colOff>
      <xdr:row>12</xdr:row>
      <xdr:rowOff>114300</xdr:rowOff>
    </xdr:from>
    <xdr:to>
      <xdr:col>5</xdr:col>
      <xdr:colOff>381000</xdr:colOff>
      <xdr:row>12</xdr:row>
      <xdr:rowOff>114300</xdr:rowOff>
    </xdr:to>
    <xdr:sp macro="" textlink="">
      <xdr:nvSpPr>
        <xdr:cNvPr id="76" name="Line 95">
          <a:extLst>
            <a:ext uri="{FF2B5EF4-FFF2-40B4-BE49-F238E27FC236}">
              <a16:creationId xmlns:a16="http://schemas.microsoft.com/office/drawing/2014/main" id="{00000000-0008-0000-0100-00004C000000}"/>
            </a:ext>
          </a:extLst>
        </xdr:cNvPr>
        <xdr:cNvSpPr>
          <a:spLocks noChangeShapeType="1"/>
        </xdr:cNvSpPr>
      </xdr:nvSpPr>
      <xdr:spPr bwMode="auto">
        <a:xfrm>
          <a:off x="4019550" y="225742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11</xdr:row>
      <xdr:rowOff>114300</xdr:rowOff>
    </xdr:from>
    <xdr:to>
      <xdr:col>5</xdr:col>
      <xdr:colOff>381000</xdr:colOff>
      <xdr:row>11</xdr:row>
      <xdr:rowOff>114300</xdr:rowOff>
    </xdr:to>
    <xdr:sp macro="" textlink="">
      <xdr:nvSpPr>
        <xdr:cNvPr id="77" name="Line 96">
          <a:extLst>
            <a:ext uri="{FF2B5EF4-FFF2-40B4-BE49-F238E27FC236}">
              <a16:creationId xmlns:a16="http://schemas.microsoft.com/office/drawing/2014/main" id="{00000000-0008-0000-0100-00004D000000}"/>
            </a:ext>
          </a:extLst>
        </xdr:cNvPr>
        <xdr:cNvSpPr>
          <a:spLocks noChangeShapeType="1"/>
        </xdr:cNvSpPr>
      </xdr:nvSpPr>
      <xdr:spPr bwMode="auto">
        <a:xfrm>
          <a:off x="4019550" y="209550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10</xdr:row>
      <xdr:rowOff>114300</xdr:rowOff>
    </xdr:from>
    <xdr:to>
      <xdr:col>5</xdr:col>
      <xdr:colOff>381000</xdr:colOff>
      <xdr:row>10</xdr:row>
      <xdr:rowOff>114300</xdr:rowOff>
    </xdr:to>
    <xdr:sp macro="" textlink="">
      <xdr:nvSpPr>
        <xdr:cNvPr id="78" name="Line 97">
          <a:extLst>
            <a:ext uri="{FF2B5EF4-FFF2-40B4-BE49-F238E27FC236}">
              <a16:creationId xmlns:a16="http://schemas.microsoft.com/office/drawing/2014/main" id="{00000000-0008-0000-0100-00004E000000}"/>
            </a:ext>
          </a:extLst>
        </xdr:cNvPr>
        <xdr:cNvSpPr>
          <a:spLocks noChangeShapeType="1"/>
        </xdr:cNvSpPr>
      </xdr:nvSpPr>
      <xdr:spPr bwMode="auto">
        <a:xfrm>
          <a:off x="4019550" y="193357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5</xdr:row>
      <xdr:rowOff>104775</xdr:rowOff>
    </xdr:from>
    <xdr:to>
      <xdr:col>5</xdr:col>
      <xdr:colOff>381000</xdr:colOff>
      <xdr:row>5</xdr:row>
      <xdr:rowOff>104775</xdr:rowOff>
    </xdr:to>
    <xdr:sp macro="" textlink="">
      <xdr:nvSpPr>
        <xdr:cNvPr id="79" name="Line 98">
          <a:extLst>
            <a:ext uri="{FF2B5EF4-FFF2-40B4-BE49-F238E27FC236}">
              <a16:creationId xmlns:a16="http://schemas.microsoft.com/office/drawing/2014/main" id="{00000000-0008-0000-0100-00004F000000}"/>
            </a:ext>
          </a:extLst>
        </xdr:cNvPr>
        <xdr:cNvSpPr>
          <a:spLocks noChangeShapeType="1"/>
        </xdr:cNvSpPr>
      </xdr:nvSpPr>
      <xdr:spPr bwMode="auto">
        <a:xfrm>
          <a:off x="4019550" y="111442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6</xdr:row>
      <xdr:rowOff>104775</xdr:rowOff>
    </xdr:from>
    <xdr:to>
      <xdr:col>5</xdr:col>
      <xdr:colOff>381000</xdr:colOff>
      <xdr:row>6</xdr:row>
      <xdr:rowOff>104775</xdr:rowOff>
    </xdr:to>
    <xdr:sp macro="" textlink="">
      <xdr:nvSpPr>
        <xdr:cNvPr id="80" name="Line 99">
          <a:extLst>
            <a:ext uri="{FF2B5EF4-FFF2-40B4-BE49-F238E27FC236}">
              <a16:creationId xmlns:a16="http://schemas.microsoft.com/office/drawing/2014/main" id="{00000000-0008-0000-0100-000050000000}"/>
            </a:ext>
          </a:extLst>
        </xdr:cNvPr>
        <xdr:cNvSpPr>
          <a:spLocks noChangeShapeType="1"/>
        </xdr:cNvSpPr>
      </xdr:nvSpPr>
      <xdr:spPr bwMode="auto">
        <a:xfrm>
          <a:off x="4019550" y="127635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7</xdr:row>
      <xdr:rowOff>104775</xdr:rowOff>
    </xdr:from>
    <xdr:to>
      <xdr:col>5</xdr:col>
      <xdr:colOff>381000</xdr:colOff>
      <xdr:row>7</xdr:row>
      <xdr:rowOff>104775</xdr:rowOff>
    </xdr:to>
    <xdr:sp macro="" textlink="">
      <xdr:nvSpPr>
        <xdr:cNvPr id="81" name="Line 100">
          <a:extLst>
            <a:ext uri="{FF2B5EF4-FFF2-40B4-BE49-F238E27FC236}">
              <a16:creationId xmlns:a16="http://schemas.microsoft.com/office/drawing/2014/main" id="{00000000-0008-0000-0100-000051000000}"/>
            </a:ext>
          </a:extLst>
        </xdr:cNvPr>
        <xdr:cNvSpPr>
          <a:spLocks noChangeShapeType="1"/>
        </xdr:cNvSpPr>
      </xdr:nvSpPr>
      <xdr:spPr bwMode="auto">
        <a:xfrm>
          <a:off x="4019550" y="143827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8</xdr:row>
      <xdr:rowOff>104775</xdr:rowOff>
    </xdr:from>
    <xdr:to>
      <xdr:col>5</xdr:col>
      <xdr:colOff>381000</xdr:colOff>
      <xdr:row>8</xdr:row>
      <xdr:rowOff>104775</xdr:rowOff>
    </xdr:to>
    <xdr:sp macro="" textlink="">
      <xdr:nvSpPr>
        <xdr:cNvPr id="82" name="Line 101">
          <a:extLst>
            <a:ext uri="{FF2B5EF4-FFF2-40B4-BE49-F238E27FC236}">
              <a16:creationId xmlns:a16="http://schemas.microsoft.com/office/drawing/2014/main" id="{00000000-0008-0000-0100-000052000000}"/>
            </a:ext>
          </a:extLst>
        </xdr:cNvPr>
        <xdr:cNvSpPr>
          <a:spLocks noChangeShapeType="1"/>
        </xdr:cNvSpPr>
      </xdr:nvSpPr>
      <xdr:spPr bwMode="auto">
        <a:xfrm>
          <a:off x="4019550" y="160020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9</xdr:row>
      <xdr:rowOff>104775</xdr:rowOff>
    </xdr:from>
    <xdr:to>
      <xdr:col>5</xdr:col>
      <xdr:colOff>381000</xdr:colOff>
      <xdr:row>9</xdr:row>
      <xdr:rowOff>104775</xdr:rowOff>
    </xdr:to>
    <xdr:sp macro="" textlink="">
      <xdr:nvSpPr>
        <xdr:cNvPr id="83" name="Line 102">
          <a:extLst>
            <a:ext uri="{FF2B5EF4-FFF2-40B4-BE49-F238E27FC236}">
              <a16:creationId xmlns:a16="http://schemas.microsoft.com/office/drawing/2014/main" id="{00000000-0008-0000-0100-000053000000}"/>
            </a:ext>
          </a:extLst>
        </xdr:cNvPr>
        <xdr:cNvSpPr>
          <a:spLocks noChangeShapeType="1"/>
        </xdr:cNvSpPr>
      </xdr:nvSpPr>
      <xdr:spPr bwMode="auto">
        <a:xfrm>
          <a:off x="4019550" y="1762125"/>
          <a:ext cx="161925" cy="0"/>
        </a:xfrm>
        <a:prstGeom prst="line">
          <a:avLst/>
        </a:prstGeom>
        <a:noFill/>
        <a:ln w="9525">
          <a:solidFill>
            <a:srgbClr val="000000"/>
          </a:solidFill>
          <a:round/>
          <a:headEnd/>
          <a:tailEnd type="stealth" w="sm" len="sm"/>
        </a:ln>
      </xdr:spPr>
    </xdr:sp>
    <xdr:clientData/>
  </xdr:twoCellAnchor>
  <xdr:twoCellAnchor>
    <xdr:from>
      <xdr:col>5</xdr:col>
      <xdr:colOff>209550</xdr:colOff>
      <xdr:row>5</xdr:row>
      <xdr:rowOff>104775</xdr:rowOff>
    </xdr:from>
    <xdr:to>
      <xdr:col>5</xdr:col>
      <xdr:colOff>209550</xdr:colOff>
      <xdr:row>12</xdr:row>
      <xdr:rowOff>114300</xdr:rowOff>
    </xdr:to>
    <xdr:sp macro="" textlink="">
      <xdr:nvSpPr>
        <xdr:cNvPr id="84" name="Line 103">
          <a:extLst>
            <a:ext uri="{FF2B5EF4-FFF2-40B4-BE49-F238E27FC236}">
              <a16:creationId xmlns:a16="http://schemas.microsoft.com/office/drawing/2014/main" id="{00000000-0008-0000-0100-000054000000}"/>
            </a:ext>
          </a:extLst>
        </xdr:cNvPr>
        <xdr:cNvSpPr>
          <a:spLocks noChangeShapeType="1"/>
        </xdr:cNvSpPr>
      </xdr:nvSpPr>
      <xdr:spPr bwMode="auto">
        <a:xfrm>
          <a:off x="4010025" y="1114425"/>
          <a:ext cx="0" cy="1143000"/>
        </a:xfrm>
        <a:prstGeom prst="line">
          <a:avLst/>
        </a:prstGeom>
        <a:noFill/>
        <a:ln w="9525">
          <a:solidFill>
            <a:srgbClr val="000000"/>
          </a:solidFill>
          <a:round/>
          <a:headEnd/>
          <a:tailEnd/>
        </a:ln>
      </xdr:spPr>
    </xdr:sp>
    <xdr:clientData/>
  </xdr:twoCellAnchor>
  <xdr:twoCellAnchor>
    <xdr:from>
      <xdr:col>7</xdr:col>
      <xdr:colOff>114300</xdr:colOff>
      <xdr:row>5</xdr:row>
      <xdr:rowOff>104775</xdr:rowOff>
    </xdr:from>
    <xdr:to>
      <xdr:col>7</xdr:col>
      <xdr:colOff>209550</xdr:colOff>
      <xdr:row>5</xdr:row>
      <xdr:rowOff>104775</xdr:rowOff>
    </xdr:to>
    <xdr:sp macro="" textlink="">
      <xdr:nvSpPr>
        <xdr:cNvPr id="85" name="Line 104">
          <a:extLst>
            <a:ext uri="{FF2B5EF4-FFF2-40B4-BE49-F238E27FC236}">
              <a16:creationId xmlns:a16="http://schemas.microsoft.com/office/drawing/2014/main" id="{00000000-0008-0000-0100-000055000000}"/>
            </a:ext>
          </a:extLst>
        </xdr:cNvPr>
        <xdr:cNvSpPr>
          <a:spLocks noChangeShapeType="1"/>
        </xdr:cNvSpPr>
      </xdr:nvSpPr>
      <xdr:spPr bwMode="auto">
        <a:xfrm>
          <a:off x="5343525" y="111442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6</xdr:row>
      <xdr:rowOff>104775</xdr:rowOff>
    </xdr:from>
    <xdr:to>
      <xdr:col>7</xdr:col>
      <xdr:colOff>209550</xdr:colOff>
      <xdr:row>6</xdr:row>
      <xdr:rowOff>104775</xdr:rowOff>
    </xdr:to>
    <xdr:sp macro="" textlink="">
      <xdr:nvSpPr>
        <xdr:cNvPr id="86" name="Line 105">
          <a:extLst>
            <a:ext uri="{FF2B5EF4-FFF2-40B4-BE49-F238E27FC236}">
              <a16:creationId xmlns:a16="http://schemas.microsoft.com/office/drawing/2014/main" id="{00000000-0008-0000-0100-000056000000}"/>
            </a:ext>
          </a:extLst>
        </xdr:cNvPr>
        <xdr:cNvSpPr>
          <a:spLocks noChangeShapeType="1"/>
        </xdr:cNvSpPr>
      </xdr:nvSpPr>
      <xdr:spPr bwMode="auto">
        <a:xfrm>
          <a:off x="5343525" y="127635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7</xdr:row>
      <xdr:rowOff>104775</xdr:rowOff>
    </xdr:from>
    <xdr:to>
      <xdr:col>7</xdr:col>
      <xdr:colOff>209550</xdr:colOff>
      <xdr:row>7</xdr:row>
      <xdr:rowOff>104775</xdr:rowOff>
    </xdr:to>
    <xdr:sp macro="" textlink="">
      <xdr:nvSpPr>
        <xdr:cNvPr id="87" name="Line 106">
          <a:extLst>
            <a:ext uri="{FF2B5EF4-FFF2-40B4-BE49-F238E27FC236}">
              <a16:creationId xmlns:a16="http://schemas.microsoft.com/office/drawing/2014/main" id="{00000000-0008-0000-0100-000057000000}"/>
            </a:ext>
          </a:extLst>
        </xdr:cNvPr>
        <xdr:cNvSpPr>
          <a:spLocks noChangeShapeType="1"/>
        </xdr:cNvSpPr>
      </xdr:nvSpPr>
      <xdr:spPr bwMode="auto">
        <a:xfrm>
          <a:off x="5343525" y="143827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8</xdr:row>
      <xdr:rowOff>104775</xdr:rowOff>
    </xdr:from>
    <xdr:to>
      <xdr:col>7</xdr:col>
      <xdr:colOff>209550</xdr:colOff>
      <xdr:row>8</xdr:row>
      <xdr:rowOff>104775</xdr:rowOff>
    </xdr:to>
    <xdr:sp macro="" textlink="">
      <xdr:nvSpPr>
        <xdr:cNvPr id="88" name="Line 107">
          <a:extLst>
            <a:ext uri="{FF2B5EF4-FFF2-40B4-BE49-F238E27FC236}">
              <a16:creationId xmlns:a16="http://schemas.microsoft.com/office/drawing/2014/main" id="{00000000-0008-0000-0100-000058000000}"/>
            </a:ext>
          </a:extLst>
        </xdr:cNvPr>
        <xdr:cNvSpPr>
          <a:spLocks noChangeShapeType="1"/>
        </xdr:cNvSpPr>
      </xdr:nvSpPr>
      <xdr:spPr bwMode="auto">
        <a:xfrm>
          <a:off x="5343525" y="160020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9</xdr:row>
      <xdr:rowOff>104775</xdr:rowOff>
    </xdr:from>
    <xdr:to>
      <xdr:col>7</xdr:col>
      <xdr:colOff>209550</xdr:colOff>
      <xdr:row>9</xdr:row>
      <xdr:rowOff>104775</xdr:rowOff>
    </xdr:to>
    <xdr:sp macro="" textlink="">
      <xdr:nvSpPr>
        <xdr:cNvPr id="89" name="Line 108">
          <a:extLst>
            <a:ext uri="{FF2B5EF4-FFF2-40B4-BE49-F238E27FC236}">
              <a16:creationId xmlns:a16="http://schemas.microsoft.com/office/drawing/2014/main" id="{00000000-0008-0000-0100-000059000000}"/>
            </a:ext>
          </a:extLst>
        </xdr:cNvPr>
        <xdr:cNvSpPr>
          <a:spLocks noChangeShapeType="1"/>
        </xdr:cNvSpPr>
      </xdr:nvSpPr>
      <xdr:spPr bwMode="auto">
        <a:xfrm>
          <a:off x="5343525" y="176212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10</xdr:row>
      <xdr:rowOff>114300</xdr:rowOff>
    </xdr:from>
    <xdr:to>
      <xdr:col>7</xdr:col>
      <xdr:colOff>209550</xdr:colOff>
      <xdr:row>10</xdr:row>
      <xdr:rowOff>114300</xdr:rowOff>
    </xdr:to>
    <xdr:sp macro="" textlink="">
      <xdr:nvSpPr>
        <xdr:cNvPr id="90" name="Line 109">
          <a:extLst>
            <a:ext uri="{FF2B5EF4-FFF2-40B4-BE49-F238E27FC236}">
              <a16:creationId xmlns:a16="http://schemas.microsoft.com/office/drawing/2014/main" id="{00000000-0008-0000-0100-00005A000000}"/>
            </a:ext>
          </a:extLst>
        </xdr:cNvPr>
        <xdr:cNvSpPr>
          <a:spLocks noChangeShapeType="1"/>
        </xdr:cNvSpPr>
      </xdr:nvSpPr>
      <xdr:spPr bwMode="auto">
        <a:xfrm>
          <a:off x="5343525" y="193357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11</xdr:row>
      <xdr:rowOff>114300</xdr:rowOff>
    </xdr:from>
    <xdr:to>
      <xdr:col>7</xdr:col>
      <xdr:colOff>209550</xdr:colOff>
      <xdr:row>11</xdr:row>
      <xdr:rowOff>114300</xdr:rowOff>
    </xdr:to>
    <xdr:sp macro="" textlink="">
      <xdr:nvSpPr>
        <xdr:cNvPr id="91" name="Line 110">
          <a:extLst>
            <a:ext uri="{FF2B5EF4-FFF2-40B4-BE49-F238E27FC236}">
              <a16:creationId xmlns:a16="http://schemas.microsoft.com/office/drawing/2014/main" id="{00000000-0008-0000-0100-00005B000000}"/>
            </a:ext>
          </a:extLst>
        </xdr:cNvPr>
        <xdr:cNvSpPr>
          <a:spLocks noChangeShapeType="1"/>
        </xdr:cNvSpPr>
      </xdr:nvSpPr>
      <xdr:spPr bwMode="auto">
        <a:xfrm>
          <a:off x="5343525" y="209550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12</xdr:row>
      <xdr:rowOff>114300</xdr:rowOff>
    </xdr:from>
    <xdr:to>
      <xdr:col>7</xdr:col>
      <xdr:colOff>209550</xdr:colOff>
      <xdr:row>12</xdr:row>
      <xdr:rowOff>114300</xdr:rowOff>
    </xdr:to>
    <xdr:sp macro="" textlink="">
      <xdr:nvSpPr>
        <xdr:cNvPr id="92" name="Line 111">
          <a:extLst>
            <a:ext uri="{FF2B5EF4-FFF2-40B4-BE49-F238E27FC236}">
              <a16:creationId xmlns:a16="http://schemas.microsoft.com/office/drawing/2014/main" id="{00000000-0008-0000-0100-00005C000000}"/>
            </a:ext>
          </a:extLst>
        </xdr:cNvPr>
        <xdr:cNvSpPr>
          <a:spLocks noChangeShapeType="1"/>
        </xdr:cNvSpPr>
      </xdr:nvSpPr>
      <xdr:spPr bwMode="auto">
        <a:xfrm>
          <a:off x="5343525" y="2257425"/>
          <a:ext cx="95250" cy="0"/>
        </a:xfrm>
        <a:prstGeom prst="line">
          <a:avLst/>
        </a:prstGeom>
        <a:noFill/>
        <a:ln w="9525">
          <a:solidFill>
            <a:srgbClr val="000000"/>
          </a:solidFill>
          <a:round/>
          <a:headEnd/>
          <a:tailEnd type="stealth" w="sm" len="sm"/>
        </a:ln>
      </xdr:spPr>
    </xdr:sp>
    <xdr:clientData/>
  </xdr:twoCellAnchor>
  <xdr:twoCellAnchor>
    <xdr:from>
      <xdr:col>7</xdr:col>
      <xdr:colOff>209550</xdr:colOff>
      <xdr:row>5</xdr:row>
      <xdr:rowOff>104775</xdr:rowOff>
    </xdr:from>
    <xdr:to>
      <xdr:col>7</xdr:col>
      <xdr:colOff>209550</xdr:colOff>
      <xdr:row>12</xdr:row>
      <xdr:rowOff>114300</xdr:rowOff>
    </xdr:to>
    <xdr:sp macro="" textlink="">
      <xdr:nvSpPr>
        <xdr:cNvPr id="93" name="Line 112">
          <a:extLst>
            <a:ext uri="{FF2B5EF4-FFF2-40B4-BE49-F238E27FC236}">
              <a16:creationId xmlns:a16="http://schemas.microsoft.com/office/drawing/2014/main" id="{00000000-0008-0000-0100-00005D000000}"/>
            </a:ext>
          </a:extLst>
        </xdr:cNvPr>
        <xdr:cNvSpPr>
          <a:spLocks noChangeShapeType="1"/>
        </xdr:cNvSpPr>
      </xdr:nvSpPr>
      <xdr:spPr bwMode="auto">
        <a:xfrm>
          <a:off x="5438775" y="1114425"/>
          <a:ext cx="0" cy="1143000"/>
        </a:xfrm>
        <a:prstGeom prst="line">
          <a:avLst/>
        </a:prstGeom>
        <a:noFill/>
        <a:ln w="9525">
          <a:solidFill>
            <a:srgbClr val="000000"/>
          </a:solidFill>
          <a:round/>
          <a:headEnd/>
          <a:tailEnd/>
        </a:ln>
      </xdr:spPr>
    </xdr:sp>
    <xdr:clientData/>
  </xdr:twoCellAnchor>
  <xdr:twoCellAnchor>
    <xdr:from>
      <xdr:col>4</xdr:col>
      <xdr:colOff>409575</xdr:colOff>
      <xdr:row>9</xdr:row>
      <xdr:rowOff>19050</xdr:rowOff>
    </xdr:from>
    <xdr:to>
      <xdr:col>5</xdr:col>
      <xdr:colOff>171450</xdr:colOff>
      <xdr:row>9</xdr:row>
      <xdr:rowOff>19050</xdr:rowOff>
    </xdr:to>
    <xdr:sp macro="" textlink="">
      <xdr:nvSpPr>
        <xdr:cNvPr id="94" name="Line 113">
          <a:extLst>
            <a:ext uri="{FF2B5EF4-FFF2-40B4-BE49-F238E27FC236}">
              <a16:creationId xmlns:a16="http://schemas.microsoft.com/office/drawing/2014/main" id="{00000000-0008-0000-0100-00005E000000}"/>
            </a:ext>
          </a:extLst>
        </xdr:cNvPr>
        <xdr:cNvSpPr>
          <a:spLocks noChangeShapeType="1"/>
        </xdr:cNvSpPr>
      </xdr:nvSpPr>
      <xdr:spPr bwMode="auto">
        <a:xfrm>
          <a:off x="3600450" y="1676400"/>
          <a:ext cx="371475" cy="0"/>
        </a:xfrm>
        <a:prstGeom prst="line">
          <a:avLst/>
        </a:prstGeom>
        <a:noFill/>
        <a:ln w="9525">
          <a:solidFill>
            <a:srgbClr val="000000"/>
          </a:solidFill>
          <a:round/>
          <a:headEnd/>
          <a:tailEnd type="stealth" w="sm" len="med"/>
        </a:ln>
      </xdr:spPr>
    </xdr:sp>
    <xdr:clientData/>
  </xdr:twoCellAnchor>
  <xdr:twoCellAnchor>
    <xdr:from>
      <xdr:col>4</xdr:col>
      <xdr:colOff>390525</xdr:colOff>
      <xdr:row>8</xdr:row>
      <xdr:rowOff>28575</xdr:rowOff>
    </xdr:from>
    <xdr:to>
      <xdr:col>5</xdr:col>
      <xdr:colOff>123825</xdr:colOff>
      <xdr:row>9</xdr:row>
      <xdr:rowOff>38100</xdr:rowOff>
    </xdr:to>
    <xdr:sp macro="" textlink="">
      <xdr:nvSpPr>
        <xdr:cNvPr id="95" name="Text Box 114">
          <a:extLst>
            <a:ext uri="{FF2B5EF4-FFF2-40B4-BE49-F238E27FC236}">
              <a16:creationId xmlns:a16="http://schemas.microsoft.com/office/drawing/2014/main" id="{00000000-0008-0000-0100-00005F000000}"/>
            </a:ext>
          </a:extLst>
        </xdr:cNvPr>
        <xdr:cNvSpPr txBox="1">
          <a:spLocks noChangeArrowheads="1"/>
        </xdr:cNvSpPr>
      </xdr:nvSpPr>
      <xdr:spPr bwMode="auto">
        <a:xfrm>
          <a:off x="3581400" y="1524000"/>
          <a:ext cx="342900" cy="171450"/>
        </a:xfrm>
        <a:prstGeom prst="rect">
          <a:avLst/>
        </a:prstGeom>
        <a:noFill/>
        <a:ln>
          <a:noFill/>
        </a:ln>
      </xdr:spPr>
      <xdr:txBody>
        <a:bodyPr vertOverflow="clip" wrap="square" lIns="27432" tIns="22860" rIns="0" bIns="0" anchor="t" upright="1"/>
        <a:lstStyle/>
        <a:p>
          <a:pPr algn="l" rtl="0">
            <a:defRPr sz="1000"/>
          </a:pPr>
          <a:r>
            <a:rPr lang="en-US" sz="900" b="0" i="1" u="none" strike="noStrike" baseline="0">
              <a:solidFill>
                <a:srgbClr val="0000FF"/>
              </a:solidFill>
              <a:latin typeface="Arial"/>
              <a:cs typeface="Arial"/>
            </a:rPr>
            <a:t>Wx</a:t>
          </a:r>
          <a:endParaRPr lang="en-US"/>
        </a:p>
      </xdr:txBody>
    </xdr:sp>
    <xdr:clientData/>
  </xdr:twoCellAnchor>
  <xdr:twoCellAnchor>
    <xdr:from>
      <xdr:col>6</xdr:col>
      <xdr:colOff>200025</xdr:colOff>
      <xdr:row>14</xdr:row>
      <xdr:rowOff>76200</xdr:rowOff>
    </xdr:from>
    <xdr:to>
      <xdr:col>6</xdr:col>
      <xdr:colOff>581025</xdr:colOff>
      <xdr:row>15</xdr:row>
      <xdr:rowOff>104775</xdr:rowOff>
    </xdr:to>
    <xdr:sp macro="" textlink="">
      <xdr:nvSpPr>
        <xdr:cNvPr id="96" name="Text Box 115">
          <a:extLst>
            <a:ext uri="{FF2B5EF4-FFF2-40B4-BE49-F238E27FC236}">
              <a16:creationId xmlns:a16="http://schemas.microsoft.com/office/drawing/2014/main" id="{00000000-0008-0000-0100-000060000000}"/>
            </a:ext>
          </a:extLst>
        </xdr:cNvPr>
        <xdr:cNvSpPr txBox="1">
          <a:spLocks noChangeArrowheads="1"/>
        </xdr:cNvSpPr>
      </xdr:nvSpPr>
      <xdr:spPr bwMode="auto">
        <a:xfrm>
          <a:off x="4610100" y="2543175"/>
          <a:ext cx="381000" cy="190500"/>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Plan</a:t>
          </a:r>
          <a:endParaRPr lang="en-US"/>
        </a:p>
      </xdr:txBody>
    </xdr:sp>
    <xdr:clientData/>
  </xdr:twoCellAnchor>
  <xdr:twoCellAnchor>
    <xdr:from>
      <xdr:col>6</xdr:col>
      <xdr:colOff>57150</xdr:colOff>
      <xdr:row>23</xdr:row>
      <xdr:rowOff>9525</xdr:rowOff>
    </xdr:from>
    <xdr:to>
      <xdr:col>6</xdr:col>
      <xdr:colOff>695325</xdr:colOff>
      <xdr:row>24</xdr:row>
      <xdr:rowOff>57150</xdr:rowOff>
    </xdr:to>
    <xdr:sp macro="" textlink="">
      <xdr:nvSpPr>
        <xdr:cNvPr id="97" name="Text Box 116">
          <a:extLst>
            <a:ext uri="{FF2B5EF4-FFF2-40B4-BE49-F238E27FC236}">
              <a16:creationId xmlns:a16="http://schemas.microsoft.com/office/drawing/2014/main" id="{00000000-0008-0000-0100-000061000000}"/>
            </a:ext>
          </a:extLst>
        </xdr:cNvPr>
        <xdr:cNvSpPr txBox="1">
          <a:spLocks noChangeArrowheads="1"/>
        </xdr:cNvSpPr>
      </xdr:nvSpPr>
      <xdr:spPr bwMode="auto">
        <a:xfrm>
          <a:off x="4467225" y="3933825"/>
          <a:ext cx="638175" cy="209550"/>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Elevation</a:t>
          </a:r>
          <a:endParaRPr lang="en-US"/>
        </a:p>
      </xdr:txBody>
    </xdr:sp>
    <xdr:clientData/>
  </xdr:twoCellAnchor>
  <xdr:twoCellAnchor>
    <xdr:from>
      <xdr:col>6</xdr:col>
      <xdr:colOff>285750</xdr:colOff>
      <xdr:row>21</xdr:row>
      <xdr:rowOff>85725</xdr:rowOff>
    </xdr:from>
    <xdr:to>
      <xdr:col>6</xdr:col>
      <xdr:colOff>666750</xdr:colOff>
      <xdr:row>22</xdr:row>
      <xdr:rowOff>123825</xdr:rowOff>
    </xdr:to>
    <xdr:sp macro="" textlink="">
      <xdr:nvSpPr>
        <xdr:cNvPr id="98" name="Text Box 117">
          <a:extLst>
            <a:ext uri="{FF2B5EF4-FFF2-40B4-BE49-F238E27FC236}">
              <a16:creationId xmlns:a16="http://schemas.microsoft.com/office/drawing/2014/main" id="{00000000-0008-0000-0100-000062000000}"/>
            </a:ext>
          </a:extLst>
        </xdr:cNvPr>
        <xdr:cNvSpPr txBox="1">
          <a:spLocks noChangeArrowheads="1"/>
        </xdr:cNvSpPr>
      </xdr:nvSpPr>
      <xdr:spPr bwMode="auto">
        <a:xfrm>
          <a:off x="4695825" y="3990975"/>
          <a:ext cx="381000" cy="200025"/>
        </a:xfrm>
        <a:prstGeom prst="rect">
          <a:avLst/>
        </a:prstGeom>
        <a:noFill/>
        <a:ln>
          <a:noFill/>
        </a:ln>
      </xdr:spPr>
      <xdr:txBody>
        <a:bodyPr vertOverflow="clip" wrap="square" lIns="27432" tIns="22860" rIns="0" bIns="0" anchor="t" upright="1"/>
        <a:lstStyle/>
        <a:p>
          <a:pPr algn="l" rtl="0">
            <a:defRPr sz="1000"/>
          </a:pPr>
          <a:r>
            <a:rPr lang="en-US" altLang="zh-TW"/>
            <a:t>Lx</a:t>
          </a: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381000</xdr:colOff>
      <xdr:row>5</xdr:row>
      <xdr:rowOff>104775</xdr:rowOff>
    </xdr:from>
    <xdr:to>
      <xdr:col>7</xdr:col>
      <xdr:colOff>114300</xdr:colOff>
      <xdr:row>12</xdr:row>
      <xdr:rowOff>114300</xdr:rowOff>
    </xdr:to>
    <xdr:sp macro="" textlink="">
      <xdr:nvSpPr>
        <xdr:cNvPr id="2" name="Rectangle 21">
          <a:extLst>
            <a:ext uri="{FF2B5EF4-FFF2-40B4-BE49-F238E27FC236}">
              <a16:creationId xmlns:a16="http://schemas.microsoft.com/office/drawing/2014/main" id="{00000000-0008-0000-0200-000002000000}"/>
            </a:ext>
          </a:extLst>
        </xdr:cNvPr>
        <xdr:cNvSpPr>
          <a:spLocks noChangeArrowheads="1"/>
        </xdr:cNvSpPr>
      </xdr:nvSpPr>
      <xdr:spPr bwMode="auto">
        <a:xfrm>
          <a:off x="4181475" y="1038225"/>
          <a:ext cx="1162050" cy="1295400"/>
        </a:xfrm>
        <a:prstGeom prst="rect">
          <a:avLst/>
        </a:prstGeom>
        <a:solidFill>
          <a:srgbClr val="FFFFFF"/>
        </a:solidFill>
        <a:ln w="9525">
          <a:solidFill>
            <a:srgbClr val="000000"/>
          </a:solidFill>
          <a:miter lim="800000"/>
          <a:headEnd/>
          <a:tailEnd/>
        </a:ln>
      </xdr:spPr>
    </xdr:sp>
    <xdr:clientData/>
  </xdr:twoCellAnchor>
  <xdr:twoCellAnchor>
    <xdr:from>
      <xdr:col>6</xdr:col>
      <xdr:colOff>352425</xdr:colOff>
      <xdr:row>5</xdr:row>
      <xdr:rowOff>104775</xdr:rowOff>
    </xdr:from>
    <xdr:to>
      <xdr:col>6</xdr:col>
      <xdr:colOff>352425</xdr:colOff>
      <xdr:row>12</xdr:row>
      <xdr:rowOff>114300</xdr:rowOff>
    </xdr:to>
    <xdr:sp macro="" textlink="">
      <xdr:nvSpPr>
        <xdr:cNvPr id="3" name="Line 22">
          <a:extLst>
            <a:ext uri="{FF2B5EF4-FFF2-40B4-BE49-F238E27FC236}">
              <a16:creationId xmlns:a16="http://schemas.microsoft.com/office/drawing/2014/main" id="{00000000-0008-0000-0200-000003000000}"/>
            </a:ext>
          </a:extLst>
        </xdr:cNvPr>
        <xdr:cNvSpPr>
          <a:spLocks noChangeShapeType="1"/>
        </xdr:cNvSpPr>
      </xdr:nvSpPr>
      <xdr:spPr bwMode="auto">
        <a:xfrm>
          <a:off x="4762500" y="1038225"/>
          <a:ext cx="0" cy="1295400"/>
        </a:xfrm>
        <a:prstGeom prst="line">
          <a:avLst/>
        </a:prstGeom>
        <a:noFill/>
        <a:ln w="9525">
          <a:solidFill>
            <a:srgbClr val="000000"/>
          </a:solidFill>
          <a:round/>
          <a:headEnd/>
          <a:tailEnd/>
        </a:ln>
      </xdr:spPr>
    </xdr:sp>
    <xdr:clientData/>
  </xdr:twoCellAnchor>
  <xdr:twoCellAnchor>
    <xdr:from>
      <xdr:col>5</xdr:col>
      <xdr:colOff>381000</xdr:colOff>
      <xdr:row>19</xdr:row>
      <xdr:rowOff>9525</xdr:rowOff>
    </xdr:from>
    <xdr:to>
      <xdr:col>5</xdr:col>
      <xdr:colOff>381000</xdr:colOff>
      <xdr:row>21</xdr:row>
      <xdr:rowOff>95250</xdr:rowOff>
    </xdr:to>
    <xdr:sp macro="" textlink="">
      <xdr:nvSpPr>
        <xdr:cNvPr id="4" name="Line 23">
          <a:extLst>
            <a:ext uri="{FF2B5EF4-FFF2-40B4-BE49-F238E27FC236}">
              <a16:creationId xmlns:a16="http://schemas.microsoft.com/office/drawing/2014/main" id="{00000000-0008-0000-0200-000004000000}"/>
            </a:ext>
          </a:extLst>
        </xdr:cNvPr>
        <xdr:cNvSpPr>
          <a:spLocks noChangeShapeType="1"/>
        </xdr:cNvSpPr>
      </xdr:nvSpPr>
      <xdr:spPr bwMode="auto">
        <a:xfrm flipV="1">
          <a:off x="4181475" y="3533775"/>
          <a:ext cx="0" cy="428625"/>
        </a:xfrm>
        <a:prstGeom prst="line">
          <a:avLst/>
        </a:prstGeom>
        <a:noFill/>
        <a:ln w="9525">
          <a:solidFill>
            <a:srgbClr val="000000"/>
          </a:solidFill>
          <a:round/>
          <a:headEnd/>
          <a:tailEnd/>
        </a:ln>
      </xdr:spPr>
    </xdr:sp>
    <xdr:clientData/>
  </xdr:twoCellAnchor>
  <xdr:twoCellAnchor>
    <xdr:from>
      <xdr:col>7</xdr:col>
      <xdr:colOff>114300</xdr:colOff>
      <xdr:row>19</xdr:row>
      <xdr:rowOff>9525</xdr:rowOff>
    </xdr:from>
    <xdr:to>
      <xdr:col>7</xdr:col>
      <xdr:colOff>114300</xdr:colOff>
      <xdr:row>21</xdr:row>
      <xdr:rowOff>95250</xdr:rowOff>
    </xdr:to>
    <xdr:sp macro="" textlink="">
      <xdr:nvSpPr>
        <xdr:cNvPr id="5" name="Line 24">
          <a:extLst>
            <a:ext uri="{FF2B5EF4-FFF2-40B4-BE49-F238E27FC236}">
              <a16:creationId xmlns:a16="http://schemas.microsoft.com/office/drawing/2014/main" id="{00000000-0008-0000-0200-000005000000}"/>
            </a:ext>
          </a:extLst>
        </xdr:cNvPr>
        <xdr:cNvSpPr>
          <a:spLocks noChangeShapeType="1"/>
        </xdr:cNvSpPr>
      </xdr:nvSpPr>
      <xdr:spPr bwMode="auto">
        <a:xfrm flipV="1">
          <a:off x="5343525" y="3533775"/>
          <a:ext cx="0" cy="428625"/>
        </a:xfrm>
        <a:prstGeom prst="line">
          <a:avLst/>
        </a:prstGeom>
        <a:noFill/>
        <a:ln w="9525">
          <a:solidFill>
            <a:srgbClr val="000000"/>
          </a:solidFill>
          <a:round/>
          <a:headEnd/>
          <a:tailEnd/>
        </a:ln>
      </xdr:spPr>
    </xdr:sp>
    <xdr:clientData/>
  </xdr:twoCellAnchor>
  <xdr:twoCellAnchor>
    <xdr:from>
      <xdr:col>5</xdr:col>
      <xdr:colOff>381000</xdr:colOff>
      <xdr:row>16</xdr:row>
      <xdr:rowOff>152400</xdr:rowOff>
    </xdr:from>
    <xdr:to>
      <xdr:col>6</xdr:col>
      <xdr:colOff>352425</xdr:colOff>
      <xdr:row>19</xdr:row>
      <xdr:rowOff>9525</xdr:rowOff>
    </xdr:to>
    <xdr:sp macro="" textlink="">
      <xdr:nvSpPr>
        <xdr:cNvPr id="6" name="Line 25">
          <a:extLst>
            <a:ext uri="{FF2B5EF4-FFF2-40B4-BE49-F238E27FC236}">
              <a16:creationId xmlns:a16="http://schemas.microsoft.com/office/drawing/2014/main" id="{00000000-0008-0000-0200-000006000000}"/>
            </a:ext>
          </a:extLst>
        </xdr:cNvPr>
        <xdr:cNvSpPr>
          <a:spLocks noChangeShapeType="1"/>
        </xdr:cNvSpPr>
      </xdr:nvSpPr>
      <xdr:spPr bwMode="auto">
        <a:xfrm flipV="1">
          <a:off x="4181475" y="3133725"/>
          <a:ext cx="581025" cy="400050"/>
        </a:xfrm>
        <a:prstGeom prst="line">
          <a:avLst/>
        </a:prstGeom>
        <a:noFill/>
        <a:ln w="9525">
          <a:solidFill>
            <a:srgbClr val="000000"/>
          </a:solidFill>
          <a:round/>
          <a:headEnd/>
          <a:tailEnd/>
        </a:ln>
      </xdr:spPr>
    </xdr:sp>
    <xdr:clientData/>
  </xdr:twoCellAnchor>
  <xdr:twoCellAnchor>
    <xdr:from>
      <xdr:col>6</xdr:col>
      <xdr:colOff>352425</xdr:colOff>
      <xdr:row>16</xdr:row>
      <xdr:rowOff>152400</xdr:rowOff>
    </xdr:from>
    <xdr:to>
      <xdr:col>7</xdr:col>
      <xdr:colOff>114300</xdr:colOff>
      <xdr:row>19</xdr:row>
      <xdr:rowOff>9525</xdr:rowOff>
    </xdr:to>
    <xdr:sp macro="" textlink="">
      <xdr:nvSpPr>
        <xdr:cNvPr id="7" name="Line 26">
          <a:extLst>
            <a:ext uri="{FF2B5EF4-FFF2-40B4-BE49-F238E27FC236}">
              <a16:creationId xmlns:a16="http://schemas.microsoft.com/office/drawing/2014/main" id="{00000000-0008-0000-0200-000007000000}"/>
            </a:ext>
          </a:extLst>
        </xdr:cNvPr>
        <xdr:cNvSpPr>
          <a:spLocks noChangeShapeType="1"/>
        </xdr:cNvSpPr>
      </xdr:nvSpPr>
      <xdr:spPr bwMode="auto">
        <a:xfrm>
          <a:off x="4762500" y="3133725"/>
          <a:ext cx="581025" cy="400050"/>
        </a:xfrm>
        <a:prstGeom prst="line">
          <a:avLst/>
        </a:prstGeom>
        <a:noFill/>
        <a:ln w="9525">
          <a:solidFill>
            <a:srgbClr val="000000"/>
          </a:solidFill>
          <a:round/>
          <a:headEnd/>
          <a:tailEnd/>
        </a:ln>
      </xdr:spPr>
    </xdr:sp>
    <xdr:clientData/>
  </xdr:twoCellAnchor>
  <xdr:twoCellAnchor>
    <xdr:from>
      <xdr:col>5</xdr:col>
      <xdr:colOff>381000</xdr:colOff>
      <xdr:row>21</xdr:row>
      <xdr:rowOff>95250</xdr:rowOff>
    </xdr:from>
    <xdr:to>
      <xdr:col>7</xdr:col>
      <xdr:colOff>114300</xdr:colOff>
      <xdr:row>21</xdr:row>
      <xdr:rowOff>95250</xdr:rowOff>
    </xdr:to>
    <xdr:sp macro="" textlink="">
      <xdr:nvSpPr>
        <xdr:cNvPr id="8" name="Line 27">
          <a:extLst>
            <a:ext uri="{FF2B5EF4-FFF2-40B4-BE49-F238E27FC236}">
              <a16:creationId xmlns:a16="http://schemas.microsoft.com/office/drawing/2014/main" id="{00000000-0008-0000-0200-000008000000}"/>
            </a:ext>
          </a:extLst>
        </xdr:cNvPr>
        <xdr:cNvSpPr>
          <a:spLocks noChangeShapeType="1"/>
        </xdr:cNvSpPr>
      </xdr:nvSpPr>
      <xdr:spPr bwMode="auto">
        <a:xfrm>
          <a:off x="4181475" y="3962400"/>
          <a:ext cx="1162050" cy="0"/>
        </a:xfrm>
        <a:prstGeom prst="line">
          <a:avLst/>
        </a:prstGeom>
        <a:noFill/>
        <a:ln w="9525">
          <a:solidFill>
            <a:srgbClr val="000000"/>
          </a:solidFill>
          <a:round/>
          <a:headEnd/>
          <a:tailEnd/>
        </a:ln>
      </xdr:spPr>
    </xdr:sp>
    <xdr:clientData/>
  </xdr:twoCellAnchor>
  <xdr:twoCellAnchor>
    <xdr:from>
      <xdr:col>5</xdr:col>
      <xdr:colOff>381000</xdr:colOff>
      <xdr:row>14</xdr:row>
      <xdr:rowOff>38100</xdr:rowOff>
    </xdr:from>
    <xdr:to>
      <xdr:col>7</xdr:col>
      <xdr:colOff>114300</xdr:colOff>
      <xdr:row>14</xdr:row>
      <xdr:rowOff>38100</xdr:rowOff>
    </xdr:to>
    <xdr:sp macro="" textlink="">
      <xdr:nvSpPr>
        <xdr:cNvPr id="9" name="Line 28">
          <a:extLst>
            <a:ext uri="{FF2B5EF4-FFF2-40B4-BE49-F238E27FC236}">
              <a16:creationId xmlns:a16="http://schemas.microsoft.com/office/drawing/2014/main" id="{00000000-0008-0000-0200-000009000000}"/>
            </a:ext>
          </a:extLst>
        </xdr:cNvPr>
        <xdr:cNvSpPr>
          <a:spLocks noChangeShapeType="1"/>
        </xdr:cNvSpPr>
      </xdr:nvSpPr>
      <xdr:spPr bwMode="auto">
        <a:xfrm>
          <a:off x="4181475" y="2619375"/>
          <a:ext cx="1162050" cy="0"/>
        </a:xfrm>
        <a:prstGeom prst="line">
          <a:avLst/>
        </a:prstGeom>
        <a:noFill/>
        <a:ln w="9525">
          <a:solidFill>
            <a:srgbClr val="000000"/>
          </a:solidFill>
          <a:round/>
          <a:headEnd type="stealth" w="sm" len="sm"/>
          <a:tailEnd type="stealth" w="sm" len="sm"/>
        </a:ln>
      </xdr:spPr>
    </xdr:sp>
    <xdr:clientData/>
  </xdr:twoCellAnchor>
  <xdr:twoCellAnchor>
    <xdr:from>
      <xdr:col>5</xdr:col>
      <xdr:colOff>381000</xdr:colOff>
      <xdr:row>13</xdr:row>
      <xdr:rowOff>66675</xdr:rowOff>
    </xdr:from>
    <xdr:to>
      <xdr:col>5</xdr:col>
      <xdr:colOff>381000</xdr:colOff>
      <xdr:row>15</xdr:row>
      <xdr:rowOff>9525</xdr:rowOff>
    </xdr:to>
    <xdr:sp macro="" textlink="">
      <xdr:nvSpPr>
        <xdr:cNvPr id="10" name="Line 29">
          <a:extLst>
            <a:ext uri="{FF2B5EF4-FFF2-40B4-BE49-F238E27FC236}">
              <a16:creationId xmlns:a16="http://schemas.microsoft.com/office/drawing/2014/main" id="{00000000-0008-0000-0200-00000A000000}"/>
            </a:ext>
          </a:extLst>
        </xdr:cNvPr>
        <xdr:cNvSpPr>
          <a:spLocks noChangeShapeType="1"/>
        </xdr:cNvSpPr>
      </xdr:nvSpPr>
      <xdr:spPr bwMode="auto">
        <a:xfrm>
          <a:off x="4181475" y="2466975"/>
          <a:ext cx="0" cy="323850"/>
        </a:xfrm>
        <a:prstGeom prst="line">
          <a:avLst/>
        </a:prstGeom>
        <a:noFill/>
        <a:ln w="9525">
          <a:solidFill>
            <a:srgbClr val="000000"/>
          </a:solidFill>
          <a:round/>
          <a:headEnd/>
          <a:tailEnd/>
        </a:ln>
      </xdr:spPr>
    </xdr:sp>
    <xdr:clientData/>
  </xdr:twoCellAnchor>
  <xdr:twoCellAnchor>
    <xdr:from>
      <xdr:col>7</xdr:col>
      <xdr:colOff>114300</xdr:colOff>
      <xdr:row>13</xdr:row>
      <xdr:rowOff>66675</xdr:rowOff>
    </xdr:from>
    <xdr:to>
      <xdr:col>7</xdr:col>
      <xdr:colOff>114300</xdr:colOff>
      <xdr:row>15</xdr:row>
      <xdr:rowOff>9525</xdr:rowOff>
    </xdr:to>
    <xdr:sp macro="" textlink="">
      <xdr:nvSpPr>
        <xdr:cNvPr id="11" name="Line 30">
          <a:extLst>
            <a:ext uri="{FF2B5EF4-FFF2-40B4-BE49-F238E27FC236}">
              <a16:creationId xmlns:a16="http://schemas.microsoft.com/office/drawing/2014/main" id="{00000000-0008-0000-0200-00000B000000}"/>
            </a:ext>
          </a:extLst>
        </xdr:cNvPr>
        <xdr:cNvSpPr>
          <a:spLocks noChangeShapeType="1"/>
        </xdr:cNvSpPr>
      </xdr:nvSpPr>
      <xdr:spPr bwMode="auto">
        <a:xfrm>
          <a:off x="5343525" y="2466975"/>
          <a:ext cx="0" cy="323850"/>
        </a:xfrm>
        <a:prstGeom prst="line">
          <a:avLst/>
        </a:prstGeom>
        <a:noFill/>
        <a:ln w="9525">
          <a:solidFill>
            <a:srgbClr val="000000"/>
          </a:solidFill>
          <a:round/>
          <a:headEnd/>
          <a:tailEnd/>
        </a:ln>
      </xdr:spPr>
    </xdr:sp>
    <xdr:clientData/>
  </xdr:twoCellAnchor>
  <xdr:twoCellAnchor>
    <xdr:from>
      <xdr:col>5</xdr:col>
      <xdr:colOff>381000</xdr:colOff>
      <xdr:row>21</xdr:row>
      <xdr:rowOff>123825</xdr:rowOff>
    </xdr:from>
    <xdr:to>
      <xdr:col>5</xdr:col>
      <xdr:colOff>381000</xdr:colOff>
      <xdr:row>23</xdr:row>
      <xdr:rowOff>66675</xdr:rowOff>
    </xdr:to>
    <xdr:sp macro="" textlink="">
      <xdr:nvSpPr>
        <xdr:cNvPr id="12" name="Line 31">
          <a:extLst>
            <a:ext uri="{FF2B5EF4-FFF2-40B4-BE49-F238E27FC236}">
              <a16:creationId xmlns:a16="http://schemas.microsoft.com/office/drawing/2014/main" id="{00000000-0008-0000-0200-00000C000000}"/>
            </a:ext>
          </a:extLst>
        </xdr:cNvPr>
        <xdr:cNvSpPr>
          <a:spLocks noChangeShapeType="1"/>
        </xdr:cNvSpPr>
      </xdr:nvSpPr>
      <xdr:spPr bwMode="auto">
        <a:xfrm>
          <a:off x="4181475" y="3990975"/>
          <a:ext cx="0" cy="266700"/>
        </a:xfrm>
        <a:prstGeom prst="line">
          <a:avLst/>
        </a:prstGeom>
        <a:noFill/>
        <a:ln w="9525">
          <a:solidFill>
            <a:srgbClr val="000000"/>
          </a:solidFill>
          <a:round/>
          <a:headEnd/>
          <a:tailEnd/>
        </a:ln>
      </xdr:spPr>
    </xdr:sp>
    <xdr:clientData/>
  </xdr:twoCellAnchor>
  <xdr:twoCellAnchor>
    <xdr:from>
      <xdr:col>7</xdr:col>
      <xdr:colOff>114300</xdr:colOff>
      <xdr:row>21</xdr:row>
      <xdr:rowOff>123825</xdr:rowOff>
    </xdr:from>
    <xdr:to>
      <xdr:col>7</xdr:col>
      <xdr:colOff>114300</xdr:colOff>
      <xdr:row>23</xdr:row>
      <xdr:rowOff>66675</xdr:rowOff>
    </xdr:to>
    <xdr:sp macro="" textlink="">
      <xdr:nvSpPr>
        <xdr:cNvPr id="13" name="Line 32">
          <a:extLst>
            <a:ext uri="{FF2B5EF4-FFF2-40B4-BE49-F238E27FC236}">
              <a16:creationId xmlns:a16="http://schemas.microsoft.com/office/drawing/2014/main" id="{00000000-0008-0000-0200-00000D000000}"/>
            </a:ext>
          </a:extLst>
        </xdr:cNvPr>
        <xdr:cNvSpPr>
          <a:spLocks noChangeShapeType="1"/>
        </xdr:cNvSpPr>
      </xdr:nvSpPr>
      <xdr:spPr bwMode="auto">
        <a:xfrm>
          <a:off x="5343525" y="3990975"/>
          <a:ext cx="0" cy="266700"/>
        </a:xfrm>
        <a:prstGeom prst="line">
          <a:avLst/>
        </a:prstGeom>
        <a:noFill/>
        <a:ln w="9525">
          <a:solidFill>
            <a:srgbClr val="000000"/>
          </a:solidFill>
          <a:round/>
          <a:headEnd/>
          <a:tailEnd/>
        </a:ln>
      </xdr:spPr>
    </xdr:sp>
    <xdr:clientData/>
  </xdr:twoCellAnchor>
  <xdr:twoCellAnchor>
    <xdr:from>
      <xdr:col>5</xdr:col>
      <xdr:colOff>381000</xdr:colOff>
      <xdr:row>22</xdr:row>
      <xdr:rowOff>114300</xdr:rowOff>
    </xdr:from>
    <xdr:to>
      <xdr:col>7</xdr:col>
      <xdr:colOff>114300</xdr:colOff>
      <xdr:row>22</xdr:row>
      <xdr:rowOff>114300</xdr:rowOff>
    </xdr:to>
    <xdr:sp macro="" textlink="">
      <xdr:nvSpPr>
        <xdr:cNvPr id="14" name="Line 33">
          <a:extLst>
            <a:ext uri="{FF2B5EF4-FFF2-40B4-BE49-F238E27FC236}">
              <a16:creationId xmlns:a16="http://schemas.microsoft.com/office/drawing/2014/main" id="{00000000-0008-0000-0200-00000E000000}"/>
            </a:ext>
          </a:extLst>
        </xdr:cNvPr>
        <xdr:cNvSpPr>
          <a:spLocks noChangeShapeType="1"/>
        </xdr:cNvSpPr>
      </xdr:nvSpPr>
      <xdr:spPr bwMode="auto">
        <a:xfrm>
          <a:off x="4181475" y="4143375"/>
          <a:ext cx="1162050" cy="0"/>
        </a:xfrm>
        <a:prstGeom prst="line">
          <a:avLst/>
        </a:prstGeom>
        <a:noFill/>
        <a:ln w="9525">
          <a:solidFill>
            <a:srgbClr val="000000"/>
          </a:solidFill>
          <a:round/>
          <a:headEnd type="stealth" w="sm" len="sm"/>
          <a:tailEnd type="stealth" w="sm" len="sm"/>
        </a:ln>
      </xdr:spPr>
    </xdr:sp>
    <xdr:clientData/>
  </xdr:twoCellAnchor>
  <xdr:twoCellAnchor>
    <xdr:from>
      <xdr:col>7</xdr:col>
      <xdr:colOff>247650</xdr:colOff>
      <xdr:row>21</xdr:row>
      <xdr:rowOff>95250</xdr:rowOff>
    </xdr:from>
    <xdr:to>
      <xdr:col>7</xdr:col>
      <xdr:colOff>504825</xdr:colOff>
      <xdr:row>21</xdr:row>
      <xdr:rowOff>95250</xdr:rowOff>
    </xdr:to>
    <xdr:sp macro="" textlink="">
      <xdr:nvSpPr>
        <xdr:cNvPr id="15" name="Line 34">
          <a:extLst>
            <a:ext uri="{FF2B5EF4-FFF2-40B4-BE49-F238E27FC236}">
              <a16:creationId xmlns:a16="http://schemas.microsoft.com/office/drawing/2014/main" id="{00000000-0008-0000-0200-00000F000000}"/>
            </a:ext>
          </a:extLst>
        </xdr:cNvPr>
        <xdr:cNvSpPr>
          <a:spLocks noChangeShapeType="1"/>
        </xdr:cNvSpPr>
      </xdr:nvSpPr>
      <xdr:spPr bwMode="auto">
        <a:xfrm>
          <a:off x="5476875" y="3962400"/>
          <a:ext cx="257175" cy="0"/>
        </a:xfrm>
        <a:prstGeom prst="line">
          <a:avLst/>
        </a:prstGeom>
        <a:noFill/>
        <a:ln w="9525">
          <a:solidFill>
            <a:srgbClr val="000000"/>
          </a:solidFill>
          <a:round/>
          <a:headEnd/>
          <a:tailEnd/>
        </a:ln>
      </xdr:spPr>
    </xdr:sp>
    <xdr:clientData/>
  </xdr:twoCellAnchor>
  <xdr:twoCellAnchor>
    <xdr:from>
      <xdr:col>7</xdr:col>
      <xdr:colOff>257175</xdr:colOff>
      <xdr:row>19</xdr:row>
      <xdr:rowOff>9525</xdr:rowOff>
    </xdr:from>
    <xdr:to>
      <xdr:col>7</xdr:col>
      <xdr:colOff>514350</xdr:colOff>
      <xdr:row>19</xdr:row>
      <xdr:rowOff>9525</xdr:rowOff>
    </xdr:to>
    <xdr:sp macro="" textlink="">
      <xdr:nvSpPr>
        <xdr:cNvPr id="16" name="Line 35">
          <a:extLst>
            <a:ext uri="{FF2B5EF4-FFF2-40B4-BE49-F238E27FC236}">
              <a16:creationId xmlns:a16="http://schemas.microsoft.com/office/drawing/2014/main" id="{00000000-0008-0000-0200-000010000000}"/>
            </a:ext>
          </a:extLst>
        </xdr:cNvPr>
        <xdr:cNvSpPr>
          <a:spLocks noChangeShapeType="1"/>
        </xdr:cNvSpPr>
      </xdr:nvSpPr>
      <xdr:spPr bwMode="auto">
        <a:xfrm>
          <a:off x="5486400" y="3533775"/>
          <a:ext cx="257175" cy="0"/>
        </a:xfrm>
        <a:prstGeom prst="line">
          <a:avLst/>
        </a:prstGeom>
        <a:noFill/>
        <a:ln w="9525">
          <a:solidFill>
            <a:srgbClr val="000000"/>
          </a:solidFill>
          <a:round/>
          <a:headEnd/>
          <a:tailEnd/>
        </a:ln>
      </xdr:spPr>
    </xdr:sp>
    <xdr:clientData/>
  </xdr:twoCellAnchor>
  <xdr:twoCellAnchor>
    <xdr:from>
      <xdr:col>4</xdr:col>
      <xdr:colOff>581025</xdr:colOff>
      <xdr:row>16</xdr:row>
      <xdr:rowOff>142875</xdr:rowOff>
    </xdr:from>
    <xdr:to>
      <xdr:col>6</xdr:col>
      <xdr:colOff>304800</xdr:colOff>
      <xdr:row>16</xdr:row>
      <xdr:rowOff>142875</xdr:rowOff>
    </xdr:to>
    <xdr:sp macro="" textlink="">
      <xdr:nvSpPr>
        <xdr:cNvPr id="17" name="Line 36">
          <a:extLst>
            <a:ext uri="{FF2B5EF4-FFF2-40B4-BE49-F238E27FC236}">
              <a16:creationId xmlns:a16="http://schemas.microsoft.com/office/drawing/2014/main" id="{00000000-0008-0000-0200-000011000000}"/>
            </a:ext>
          </a:extLst>
        </xdr:cNvPr>
        <xdr:cNvSpPr>
          <a:spLocks noChangeShapeType="1"/>
        </xdr:cNvSpPr>
      </xdr:nvSpPr>
      <xdr:spPr bwMode="auto">
        <a:xfrm>
          <a:off x="3771900" y="3124200"/>
          <a:ext cx="942975" cy="0"/>
        </a:xfrm>
        <a:prstGeom prst="line">
          <a:avLst/>
        </a:prstGeom>
        <a:noFill/>
        <a:ln w="9525">
          <a:solidFill>
            <a:srgbClr val="000000"/>
          </a:solidFill>
          <a:round/>
          <a:headEnd/>
          <a:tailEnd/>
        </a:ln>
      </xdr:spPr>
    </xdr:sp>
    <xdr:clientData/>
  </xdr:twoCellAnchor>
  <xdr:twoCellAnchor>
    <xdr:from>
      <xdr:col>4</xdr:col>
      <xdr:colOff>581025</xdr:colOff>
      <xdr:row>21</xdr:row>
      <xdr:rowOff>95250</xdr:rowOff>
    </xdr:from>
    <xdr:to>
      <xdr:col>5</xdr:col>
      <xdr:colOff>180975</xdr:colOff>
      <xdr:row>21</xdr:row>
      <xdr:rowOff>95250</xdr:rowOff>
    </xdr:to>
    <xdr:sp macro="" textlink="">
      <xdr:nvSpPr>
        <xdr:cNvPr id="18" name="Line 37">
          <a:extLst>
            <a:ext uri="{FF2B5EF4-FFF2-40B4-BE49-F238E27FC236}">
              <a16:creationId xmlns:a16="http://schemas.microsoft.com/office/drawing/2014/main" id="{00000000-0008-0000-0200-000012000000}"/>
            </a:ext>
          </a:extLst>
        </xdr:cNvPr>
        <xdr:cNvSpPr>
          <a:spLocks noChangeShapeType="1"/>
        </xdr:cNvSpPr>
      </xdr:nvSpPr>
      <xdr:spPr bwMode="auto">
        <a:xfrm flipH="1">
          <a:off x="3771900" y="3962400"/>
          <a:ext cx="209550" cy="0"/>
        </a:xfrm>
        <a:prstGeom prst="line">
          <a:avLst/>
        </a:prstGeom>
        <a:noFill/>
        <a:ln w="9525">
          <a:solidFill>
            <a:srgbClr val="000000"/>
          </a:solidFill>
          <a:round/>
          <a:headEnd/>
          <a:tailEnd/>
        </a:ln>
      </xdr:spPr>
    </xdr:sp>
    <xdr:clientData/>
  </xdr:twoCellAnchor>
  <xdr:twoCellAnchor>
    <xdr:from>
      <xdr:col>7</xdr:col>
      <xdr:colOff>381000</xdr:colOff>
      <xdr:row>19</xdr:row>
      <xdr:rowOff>9525</xdr:rowOff>
    </xdr:from>
    <xdr:to>
      <xdr:col>7</xdr:col>
      <xdr:colOff>381000</xdr:colOff>
      <xdr:row>21</xdr:row>
      <xdr:rowOff>95250</xdr:rowOff>
    </xdr:to>
    <xdr:sp macro="" textlink="">
      <xdr:nvSpPr>
        <xdr:cNvPr id="19" name="Line 38">
          <a:extLst>
            <a:ext uri="{FF2B5EF4-FFF2-40B4-BE49-F238E27FC236}">
              <a16:creationId xmlns:a16="http://schemas.microsoft.com/office/drawing/2014/main" id="{00000000-0008-0000-0200-000013000000}"/>
            </a:ext>
          </a:extLst>
        </xdr:cNvPr>
        <xdr:cNvSpPr>
          <a:spLocks noChangeShapeType="1"/>
        </xdr:cNvSpPr>
      </xdr:nvSpPr>
      <xdr:spPr bwMode="auto">
        <a:xfrm>
          <a:off x="5610225" y="3533775"/>
          <a:ext cx="0" cy="428625"/>
        </a:xfrm>
        <a:prstGeom prst="line">
          <a:avLst/>
        </a:prstGeom>
        <a:noFill/>
        <a:ln w="9525">
          <a:solidFill>
            <a:srgbClr val="000000"/>
          </a:solidFill>
          <a:round/>
          <a:headEnd type="stealth" w="sm" len="sm"/>
          <a:tailEnd type="stealth" w="sm" len="sm"/>
        </a:ln>
      </xdr:spPr>
    </xdr:sp>
    <xdr:clientData/>
  </xdr:twoCellAnchor>
  <xdr:twoCellAnchor>
    <xdr:from>
      <xdr:col>5</xdr:col>
      <xdr:colOff>76200</xdr:colOff>
      <xdr:row>16</xdr:row>
      <xdr:rowOff>142875</xdr:rowOff>
    </xdr:from>
    <xdr:to>
      <xdr:col>5</xdr:col>
      <xdr:colOff>76200</xdr:colOff>
      <xdr:row>21</xdr:row>
      <xdr:rowOff>95250</xdr:rowOff>
    </xdr:to>
    <xdr:sp macro="" textlink="">
      <xdr:nvSpPr>
        <xdr:cNvPr id="20" name="Line 39">
          <a:extLst>
            <a:ext uri="{FF2B5EF4-FFF2-40B4-BE49-F238E27FC236}">
              <a16:creationId xmlns:a16="http://schemas.microsoft.com/office/drawing/2014/main" id="{00000000-0008-0000-0200-000014000000}"/>
            </a:ext>
          </a:extLst>
        </xdr:cNvPr>
        <xdr:cNvSpPr>
          <a:spLocks noChangeShapeType="1"/>
        </xdr:cNvSpPr>
      </xdr:nvSpPr>
      <xdr:spPr bwMode="auto">
        <a:xfrm>
          <a:off x="3876675" y="3124200"/>
          <a:ext cx="0" cy="838200"/>
        </a:xfrm>
        <a:prstGeom prst="line">
          <a:avLst/>
        </a:prstGeom>
        <a:noFill/>
        <a:ln w="9525">
          <a:solidFill>
            <a:srgbClr val="000000"/>
          </a:solidFill>
          <a:round/>
          <a:headEnd type="stealth" w="sm" len="sm"/>
          <a:tailEnd type="stealth" w="sm" len="sm"/>
        </a:ln>
      </xdr:spPr>
    </xdr:sp>
    <xdr:clientData/>
  </xdr:twoCellAnchor>
  <xdr:twoCellAnchor>
    <xdr:from>
      <xdr:col>7</xdr:col>
      <xdr:colOff>257175</xdr:colOff>
      <xdr:row>12</xdr:row>
      <xdr:rowOff>114300</xdr:rowOff>
    </xdr:from>
    <xdr:to>
      <xdr:col>7</xdr:col>
      <xdr:colOff>514350</xdr:colOff>
      <xdr:row>12</xdr:row>
      <xdr:rowOff>114300</xdr:rowOff>
    </xdr:to>
    <xdr:sp macro="" textlink="">
      <xdr:nvSpPr>
        <xdr:cNvPr id="21" name="Line 40">
          <a:extLst>
            <a:ext uri="{FF2B5EF4-FFF2-40B4-BE49-F238E27FC236}">
              <a16:creationId xmlns:a16="http://schemas.microsoft.com/office/drawing/2014/main" id="{00000000-0008-0000-0200-000015000000}"/>
            </a:ext>
          </a:extLst>
        </xdr:cNvPr>
        <xdr:cNvSpPr>
          <a:spLocks noChangeShapeType="1"/>
        </xdr:cNvSpPr>
      </xdr:nvSpPr>
      <xdr:spPr bwMode="auto">
        <a:xfrm>
          <a:off x="5486400" y="2333625"/>
          <a:ext cx="257175" cy="0"/>
        </a:xfrm>
        <a:prstGeom prst="line">
          <a:avLst/>
        </a:prstGeom>
        <a:noFill/>
        <a:ln w="9525">
          <a:solidFill>
            <a:srgbClr val="000000"/>
          </a:solidFill>
          <a:round/>
          <a:headEnd/>
          <a:tailEnd/>
        </a:ln>
      </xdr:spPr>
    </xdr:sp>
    <xdr:clientData/>
  </xdr:twoCellAnchor>
  <xdr:twoCellAnchor>
    <xdr:from>
      <xdr:col>7</xdr:col>
      <xdr:colOff>257175</xdr:colOff>
      <xdr:row>5</xdr:row>
      <xdr:rowOff>104775</xdr:rowOff>
    </xdr:from>
    <xdr:to>
      <xdr:col>7</xdr:col>
      <xdr:colOff>514350</xdr:colOff>
      <xdr:row>5</xdr:row>
      <xdr:rowOff>104775</xdr:rowOff>
    </xdr:to>
    <xdr:sp macro="" textlink="">
      <xdr:nvSpPr>
        <xdr:cNvPr id="22" name="Line 41">
          <a:extLst>
            <a:ext uri="{FF2B5EF4-FFF2-40B4-BE49-F238E27FC236}">
              <a16:creationId xmlns:a16="http://schemas.microsoft.com/office/drawing/2014/main" id="{00000000-0008-0000-0200-000016000000}"/>
            </a:ext>
          </a:extLst>
        </xdr:cNvPr>
        <xdr:cNvSpPr>
          <a:spLocks noChangeShapeType="1"/>
        </xdr:cNvSpPr>
      </xdr:nvSpPr>
      <xdr:spPr bwMode="auto">
        <a:xfrm>
          <a:off x="5486400" y="1038225"/>
          <a:ext cx="257175" cy="0"/>
        </a:xfrm>
        <a:prstGeom prst="line">
          <a:avLst/>
        </a:prstGeom>
        <a:noFill/>
        <a:ln w="9525">
          <a:solidFill>
            <a:srgbClr val="000000"/>
          </a:solidFill>
          <a:round/>
          <a:headEnd/>
          <a:tailEnd/>
        </a:ln>
      </xdr:spPr>
    </xdr:sp>
    <xdr:clientData/>
  </xdr:twoCellAnchor>
  <xdr:twoCellAnchor>
    <xdr:from>
      <xdr:col>7</xdr:col>
      <xdr:colOff>371475</xdr:colOff>
      <xdr:row>5</xdr:row>
      <xdr:rowOff>104775</xdr:rowOff>
    </xdr:from>
    <xdr:to>
      <xdr:col>7</xdr:col>
      <xdr:colOff>371475</xdr:colOff>
      <xdr:row>12</xdr:row>
      <xdr:rowOff>114300</xdr:rowOff>
    </xdr:to>
    <xdr:sp macro="" textlink="">
      <xdr:nvSpPr>
        <xdr:cNvPr id="23" name="Line 42">
          <a:extLst>
            <a:ext uri="{FF2B5EF4-FFF2-40B4-BE49-F238E27FC236}">
              <a16:creationId xmlns:a16="http://schemas.microsoft.com/office/drawing/2014/main" id="{00000000-0008-0000-0200-000017000000}"/>
            </a:ext>
          </a:extLst>
        </xdr:cNvPr>
        <xdr:cNvSpPr>
          <a:spLocks noChangeShapeType="1"/>
        </xdr:cNvSpPr>
      </xdr:nvSpPr>
      <xdr:spPr bwMode="auto">
        <a:xfrm>
          <a:off x="5600700" y="1038225"/>
          <a:ext cx="0" cy="1295400"/>
        </a:xfrm>
        <a:prstGeom prst="line">
          <a:avLst/>
        </a:prstGeom>
        <a:noFill/>
        <a:ln w="9525">
          <a:solidFill>
            <a:srgbClr val="000000"/>
          </a:solidFill>
          <a:round/>
          <a:headEnd type="stealth" w="sm" len="sm"/>
          <a:tailEnd type="stealth" w="sm" len="sm"/>
        </a:ln>
      </xdr:spPr>
    </xdr:sp>
    <xdr:clientData/>
  </xdr:twoCellAnchor>
  <xdr:twoCellAnchor>
    <xdr:from>
      <xdr:col>5</xdr:col>
      <xdr:colOff>419100</xdr:colOff>
      <xdr:row>19</xdr:row>
      <xdr:rowOff>9525</xdr:rowOff>
    </xdr:from>
    <xdr:to>
      <xdr:col>6</xdr:col>
      <xdr:colOff>219075</xdr:colOff>
      <xdr:row>19</xdr:row>
      <xdr:rowOff>9525</xdr:rowOff>
    </xdr:to>
    <xdr:sp macro="" textlink="">
      <xdr:nvSpPr>
        <xdr:cNvPr id="24" name="Line 43">
          <a:extLst>
            <a:ext uri="{FF2B5EF4-FFF2-40B4-BE49-F238E27FC236}">
              <a16:creationId xmlns:a16="http://schemas.microsoft.com/office/drawing/2014/main" id="{00000000-0008-0000-0200-000018000000}"/>
            </a:ext>
          </a:extLst>
        </xdr:cNvPr>
        <xdr:cNvSpPr>
          <a:spLocks noChangeShapeType="1"/>
        </xdr:cNvSpPr>
      </xdr:nvSpPr>
      <xdr:spPr bwMode="auto">
        <a:xfrm>
          <a:off x="4219575" y="3533775"/>
          <a:ext cx="409575" cy="0"/>
        </a:xfrm>
        <a:prstGeom prst="line">
          <a:avLst/>
        </a:prstGeom>
        <a:noFill/>
        <a:ln w="9525">
          <a:solidFill>
            <a:srgbClr val="000000"/>
          </a:solidFill>
          <a:round/>
          <a:headEnd/>
          <a:tailEnd/>
        </a:ln>
      </xdr:spPr>
    </xdr:sp>
    <xdr:clientData/>
  </xdr:twoCellAnchor>
  <xdr:twoCellAnchor>
    <xdr:from>
      <xdr:col>6</xdr:col>
      <xdr:colOff>28575</xdr:colOff>
      <xdr:row>18</xdr:row>
      <xdr:rowOff>19050</xdr:rowOff>
    </xdr:from>
    <xdr:to>
      <xdr:col>6</xdr:col>
      <xdr:colOff>114300</xdr:colOff>
      <xdr:row>19</xdr:row>
      <xdr:rowOff>123825</xdr:rowOff>
    </xdr:to>
    <xdr:sp macro="" textlink="">
      <xdr:nvSpPr>
        <xdr:cNvPr id="25" name="Arc 44">
          <a:extLst>
            <a:ext uri="{FF2B5EF4-FFF2-40B4-BE49-F238E27FC236}">
              <a16:creationId xmlns:a16="http://schemas.microsoft.com/office/drawing/2014/main" id="{00000000-0008-0000-0200-000019000000}"/>
            </a:ext>
          </a:extLst>
        </xdr:cNvPr>
        <xdr:cNvSpPr>
          <a:spLocks/>
        </xdr:cNvSpPr>
      </xdr:nvSpPr>
      <xdr:spPr bwMode="auto">
        <a:xfrm>
          <a:off x="4438650" y="3362325"/>
          <a:ext cx="85725" cy="285750"/>
        </a:xfrm>
        <a:custGeom>
          <a:avLst/>
          <a:gdLst>
            <a:gd name="T0" fmla="*/ 2147483647 w 19129"/>
            <a:gd name="T1" fmla="*/ 0 h 21502"/>
            <a:gd name="T2" fmla="*/ 2147483647 w 19129"/>
            <a:gd name="T3" fmla="*/ 2147483647 h 21502"/>
            <a:gd name="T4" fmla="*/ 0 w 19129"/>
            <a:gd name="T5" fmla="*/ 2147483647 h 21502"/>
            <a:gd name="T6" fmla="*/ 0 60000 65536"/>
            <a:gd name="T7" fmla="*/ 0 60000 65536"/>
            <a:gd name="T8" fmla="*/ 0 60000 65536"/>
            <a:gd name="T9" fmla="*/ 0 w 19129"/>
            <a:gd name="T10" fmla="*/ 0 h 21502"/>
            <a:gd name="T11" fmla="*/ 19129 w 19129"/>
            <a:gd name="T12" fmla="*/ 21502 h 21502"/>
          </a:gdLst>
          <a:ahLst/>
          <a:cxnLst>
            <a:cxn ang="T6">
              <a:pos x="T0" y="T1"/>
            </a:cxn>
            <a:cxn ang="T7">
              <a:pos x="T2" y="T3"/>
            </a:cxn>
            <a:cxn ang="T8">
              <a:pos x="T4" y="T5"/>
            </a:cxn>
          </a:cxnLst>
          <a:rect l="T9" t="T10" r="T11" b="T12"/>
          <a:pathLst>
            <a:path w="19129" h="21502" fill="none" extrusionOk="0">
              <a:moveTo>
                <a:pt x="2052" y="-1"/>
              </a:moveTo>
              <a:cubicBezTo>
                <a:pt x="9316" y="692"/>
                <a:pt x="15739" y="5007"/>
                <a:pt x="19129" y="11469"/>
              </a:cubicBezTo>
            </a:path>
            <a:path w="19129" h="21502" stroke="0" extrusionOk="0">
              <a:moveTo>
                <a:pt x="2052" y="-1"/>
              </a:moveTo>
              <a:cubicBezTo>
                <a:pt x="9316" y="692"/>
                <a:pt x="15739" y="5007"/>
                <a:pt x="19129" y="11469"/>
              </a:cubicBezTo>
              <a:lnTo>
                <a:pt x="0" y="21502"/>
              </a:lnTo>
              <a:lnTo>
                <a:pt x="2052" y="-1"/>
              </a:lnTo>
              <a:close/>
            </a:path>
          </a:pathLst>
        </a:custGeom>
        <a:noFill/>
        <a:ln w="9525">
          <a:solidFill>
            <a:srgbClr val="000000"/>
          </a:solidFill>
          <a:round/>
          <a:headEnd/>
          <a:tailEnd/>
        </a:ln>
      </xdr:spPr>
    </xdr:sp>
    <xdr:clientData/>
  </xdr:twoCellAnchor>
  <xdr:twoCellAnchor editAs="oneCell">
    <xdr:from>
      <xdr:col>6</xdr:col>
      <xdr:colOff>95250</xdr:colOff>
      <xdr:row>17</xdr:row>
      <xdr:rowOff>133350</xdr:rowOff>
    </xdr:from>
    <xdr:to>
      <xdr:col>6</xdr:col>
      <xdr:colOff>323850</xdr:colOff>
      <xdr:row>18</xdr:row>
      <xdr:rowOff>104775</xdr:rowOff>
    </xdr:to>
    <xdr:sp macro="" textlink="">
      <xdr:nvSpPr>
        <xdr:cNvPr id="26" name="Text Box 45">
          <a:extLst>
            <a:ext uri="{FF2B5EF4-FFF2-40B4-BE49-F238E27FC236}">
              <a16:creationId xmlns:a16="http://schemas.microsoft.com/office/drawing/2014/main" id="{00000000-0008-0000-0200-00001A000000}"/>
            </a:ext>
          </a:extLst>
        </xdr:cNvPr>
        <xdr:cNvSpPr txBox="1">
          <a:spLocks noChangeArrowheads="1"/>
        </xdr:cNvSpPr>
      </xdr:nvSpPr>
      <xdr:spPr bwMode="auto">
        <a:xfrm>
          <a:off x="4505325" y="3295650"/>
          <a:ext cx="228600" cy="152400"/>
        </a:xfrm>
        <a:prstGeom prst="rect">
          <a:avLst/>
        </a:prstGeom>
        <a:noFill/>
        <a:ln>
          <a:noFill/>
        </a:ln>
      </xdr:spPr>
      <xdr:txBody>
        <a:bodyPr vertOverflow="clip" wrap="square" lIns="27432" tIns="22860" rIns="0" bIns="0" anchor="t" upright="1"/>
        <a:lstStyle/>
        <a:p>
          <a:pPr algn="l" rtl="0">
            <a:defRPr sz="1000"/>
          </a:pPr>
          <a:r>
            <a:rPr lang="en-US" sz="1000" b="0" i="0" u="none" strike="noStrike" baseline="0">
              <a:solidFill>
                <a:srgbClr val="0000FF"/>
              </a:solidFill>
              <a:latin typeface="Symbol"/>
            </a:rPr>
            <a:t>q </a:t>
          </a:r>
          <a:r>
            <a:rPr lang="en-US" sz="800" b="0" i="0" u="none" strike="noStrike" baseline="30000">
              <a:solidFill>
                <a:srgbClr val="0000FF"/>
              </a:solidFill>
              <a:latin typeface="Arial"/>
              <a:cs typeface="Arial"/>
            </a:rPr>
            <a:t>o</a:t>
          </a:r>
          <a:endParaRPr lang="en-US"/>
        </a:p>
      </xdr:txBody>
    </xdr:sp>
    <xdr:clientData/>
  </xdr:twoCellAnchor>
  <xdr:twoCellAnchor>
    <xdr:from>
      <xdr:col>6</xdr:col>
      <xdr:colOff>400050</xdr:colOff>
      <xdr:row>17</xdr:row>
      <xdr:rowOff>152400</xdr:rowOff>
    </xdr:from>
    <xdr:to>
      <xdr:col>6</xdr:col>
      <xdr:colOff>771525</xdr:colOff>
      <xdr:row>17</xdr:row>
      <xdr:rowOff>152400</xdr:rowOff>
    </xdr:to>
    <xdr:sp macro="" textlink="">
      <xdr:nvSpPr>
        <xdr:cNvPr id="27" name="Line 46">
          <a:extLst>
            <a:ext uri="{FF2B5EF4-FFF2-40B4-BE49-F238E27FC236}">
              <a16:creationId xmlns:a16="http://schemas.microsoft.com/office/drawing/2014/main" id="{00000000-0008-0000-0200-00001B000000}"/>
            </a:ext>
          </a:extLst>
        </xdr:cNvPr>
        <xdr:cNvSpPr>
          <a:spLocks noChangeShapeType="1"/>
        </xdr:cNvSpPr>
      </xdr:nvSpPr>
      <xdr:spPr bwMode="auto">
        <a:xfrm>
          <a:off x="4810125" y="3314700"/>
          <a:ext cx="371475" cy="0"/>
        </a:xfrm>
        <a:prstGeom prst="line">
          <a:avLst/>
        </a:prstGeom>
        <a:noFill/>
        <a:ln w="9525">
          <a:solidFill>
            <a:srgbClr val="000000"/>
          </a:solidFill>
          <a:round/>
          <a:headEnd/>
          <a:tailEnd/>
        </a:ln>
      </xdr:spPr>
    </xdr:sp>
    <xdr:clientData/>
  </xdr:twoCellAnchor>
  <xdr:twoCellAnchor>
    <xdr:from>
      <xdr:col>6</xdr:col>
      <xdr:colOff>542925</xdr:colOff>
      <xdr:row>17</xdr:row>
      <xdr:rowOff>152400</xdr:rowOff>
    </xdr:from>
    <xdr:to>
      <xdr:col>6</xdr:col>
      <xdr:colOff>542925</xdr:colOff>
      <xdr:row>21</xdr:row>
      <xdr:rowOff>95250</xdr:rowOff>
    </xdr:to>
    <xdr:sp macro="" textlink="">
      <xdr:nvSpPr>
        <xdr:cNvPr id="28" name="Line 47">
          <a:extLst>
            <a:ext uri="{FF2B5EF4-FFF2-40B4-BE49-F238E27FC236}">
              <a16:creationId xmlns:a16="http://schemas.microsoft.com/office/drawing/2014/main" id="{00000000-0008-0000-0200-00001C000000}"/>
            </a:ext>
          </a:extLst>
        </xdr:cNvPr>
        <xdr:cNvSpPr>
          <a:spLocks noChangeShapeType="1"/>
        </xdr:cNvSpPr>
      </xdr:nvSpPr>
      <xdr:spPr bwMode="auto">
        <a:xfrm>
          <a:off x="4953000" y="3314700"/>
          <a:ext cx="0" cy="647700"/>
        </a:xfrm>
        <a:prstGeom prst="line">
          <a:avLst/>
        </a:prstGeom>
        <a:noFill/>
        <a:ln w="9525">
          <a:solidFill>
            <a:srgbClr val="000000"/>
          </a:solidFill>
          <a:round/>
          <a:headEnd type="stealth" w="sm" len="sm"/>
          <a:tailEnd type="stealth" w="sm" len="sm"/>
        </a:ln>
      </xdr:spPr>
    </xdr:sp>
    <xdr:clientData/>
  </xdr:twoCellAnchor>
  <xdr:twoCellAnchor>
    <xdr:from>
      <xdr:col>6</xdr:col>
      <xdr:colOff>257175</xdr:colOff>
      <xdr:row>13</xdr:row>
      <xdr:rowOff>47625</xdr:rowOff>
    </xdr:from>
    <xdr:to>
      <xdr:col>6</xdr:col>
      <xdr:colOff>695325</xdr:colOff>
      <xdr:row>14</xdr:row>
      <xdr:rowOff>47625</xdr:rowOff>
    </xdr:to>
    <xdr:sp macro="" textlink="">
      <xdr:nvSpPr>
        <xdr:cNvPr id="29" name="Text Box 48">
          <a:extLst>
            <a:ext uri="{FF2B5EF4-FFF2-40B4-BE49-F238E27FC236}">
              <a16:creationId xmlns:a16="http://schemas.microsoft.com/office/drawing/2014/main" id="{00000000-0008-0000-0200-00001D000000}"/>
            </a:ext>
          </a:extLst>
        </xdr:cNvPr>
        <xdr:cNvSpPr txBox="1">
          <a:spLocks noChangeArrowheads="1"/>
        </xdr:cNvSpPr>
      </xdr:nvSpPr>
      <xdr:spPr bwMode="auto">
        <a:xfrm>
          <a:off x="4667250" y="2447925"/>
          <a:ext cx="438150" cy="180975"/>
        </a:xfrm>
        <a:prstGeom prst="rect">
          <a:avLst/>
        </a:prstGeom>
        <a:noFill/>
        <a:ln>
          <a:noFill/>
        </a:ln>
      </xdr:spPr>
      <xdr:txBody>
        <a:bodyPr vertOverflow="clip" wrap="square" lIns="27432" tIns="22860" rIns="0" bIns="0" anchor="t" upright="1"/>
        <a:lstStyle/>
        <a:p>
          <a:pPr algn="l" rtl="0">
            <a:defRPr sz="1000"/>
          </a:pPr>
          <a:r>
            <a:rPr lang="en-US" altLang="zh-TW" sz="900" b="0" i="0" u="none" strike="noStrike" baseline="0">
              <a:solidFill>
                <a:srgbClr val="0000FF"/>
              </a:solidFill>
              <a:latin typeface="Arial"/>
              <a:cs typeface="Arial"/>
            </a:rPr>
            <a:t>Lx</a:t>
          </a:r>
          <a:endParaRPr lang="en-US"/>
        </a:p>
      </xdr:txBody>
    </xdr:sp>
    <xdr:clientData/>
  </xdr:twoCellAnchor>
  <xdr:twoCellAnchor>
    <xdr:from>
      <xdr:col>7</xdr:col>
      <xdr:colOff>371475</xdr:colOff>
      <xdr:row>8</xdr:row>
      <xdr:rowOff>114300</xdr:rowOff>
    </xdr:from>
    <xdr:to>
      <xdr:col>7</xdr:col>
      <xdr:colOff>762000</xdr:colOff>
      <xdr:row>9</xdr:row>
      <xdr:rowOff>123825</xdr:rowOff>
    </xdr:to>
    <xdr:sp macro="" textlink="">
      <xdr:nvSpPr>
        <xdr:cNvPr id="30" name="Text Box 49">
          <a:extLst>
            <a:ext uri="{FF2B5EF4-FFF2-40B4-BE49-F238E27FC236}">
              <a16:creationId xmlns:a16="http://schemas.microsoft.com/office/drawing/2014/main" id="{00000000-0008-0000-0200-00001E000000}"/>
            </a:ext>
          </a:extLst>
        </xdr:cNvPr>
        <xdr:cNvSpPr txBox="1">
          <a:spLocks noChangeArrowheads="1"/>
        </xdr:cNvSpPr>
      </xdr:nvSpPr>
      <xdr:spPr bwMode="auto">
        <a:xfrm>
          <a:off x="5600700" y="1590675"/>
          <a:ext cx="390525" cy="20955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Ly</a:t>
          </a:r>
          <a:endParaRPr lang="en-US"/>
        </a:p>
      </xdr:txBody>
    </xdr:sp>
    <xdr:clientData/>
  </xdr:twoCellAnchor>
  <xdr:twoCellAnchor>
    <xdr:from>
      <xdr:col>4</xdr:col>
      <xdr:colOff>533400</xdr:colOff>
      <xdr:row>18</xdr:row>
      <xdr:rowOff>104775</xdr:rowOff>
    </xdr:from>
    <xdr:to>
      <xdr:col>5</xdr:col>
      <xdr:colOff>104775</xdr:colOff>
      <xdr:row>19</xdr:row>
      <xdr:rowOff>95250</xdr:rowOff>
    </xdr:to>
    <xdr:sp macro="" textlink="">
      <xdr:nvSpPr>
        <xdr:cNvPr id="31" name="Text Box 50">
          <a:extLst>
            <a:ext uri="{FF2B5EF4-FFF2-40B4-BE49-F238E27FC236}">
              <a16:creationId xmlns:a16="http://schemas.microsoft.com/office/drawing/2014/main" id="{00000000-0008-0000-0200-00001F000000}"/>
            </a:ext>
          </a:extLst>
        </xdr:cNvPr>
        <xdr:cNvSpPr txBox="1">
          <a:spLocks noChangeArrowheads="1"/>
        </xdr:cNvSpPr>
      </xdr:nvSpPr>
      <xdr:spPr bwMode="auto">
        <a:xfrm>
          <a:off x="3724275" y="3448050"/>
          <a:ext cx="180975" cy="17145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r</a:t>
          </a:r>
          <a:endParaRPr lang="en-US"/>
        </a:p>
      </xdr:txBody>
    </xdr:sp>
    <xdr:clientData/>
  </xdr:twoCellAnchor>
  <xdr:twoCellAnchor>
    <xdr:from>
      <xdr:col>7</xdr:col>
      <xdr:colOff>381000</xdr:colOff>
      <xdr:row>19</xdr:row>
      <xdr:rowOff>133350</xdr:rowOff>
    </xdr:from>
    <xdr:to>
      <xdr:col>7</xdr:col>
      <xdr:colOff>561975</xdr:colOff>
      <xdr:row>20</xdr:row>
      <xdr:rowOff>123825</xdr:rowOff>
    </xdr:to>
    <xdr:sp macro="" textlink="">
      <xdr:nvSpPr>
        <xdr:cNvPr id="32" name="Text Box 51">
          <a:extLst>
            <a:ext uri="{FF2B5EF4-FFF2-40B4-BE49-F238E27FC236}">
              <a16:creationId xmlns:a16="http://schemas.microsoft.com/office/drawing/2014/main" id="{00000000-0008-0000-0200-000020000000}"/>
            </a:ext>
          </a:extLst>
        </xdr:cNvPr>
        <xdr:cNvSpPr txBox="1">
          <a:spLocks noChangeArrowheads="1"/>
        </xdr:cNvSpPr>
      </xdr:nvSpPr>
      <xdr:spPr bwMode="auto">
        <a:xfrm>
          <a:off x="5610225" y="3657600"/>
          <a:ext cx="180975" cy="17145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e</a:t>
          </a:r>
          <a:endParaRPr lang="en-US"/>
        </a:p>
      </xdr:txBody>
    </xdr:sp>
    <xdr:clientData/>
  </xdr:twoCellAnchor>
  <xdr:twoCellAnchor>
    <xdr:from>
      <xdr:col>6</xdr:col>
      <xdr:colOff>542925</xdr:colOff>
      <xdr:row>19</xdr:row>
      <xdr:rowOff>38100</xdr:rowOff>
    </xdr:from>
    <xdr:to>
      <xdr:col>7</xdr:col>
      <xdr:colOff>142875</xdr:colOff>
      <xdr:row>20</xdr:row>
      <xdr:rowOff>47625</xdr:rowOff>
    </xdr:to>
    <xdr:sp macro="" textlink="">
      <xdr:nvSpPr>
        <xdr:cNvPr id="33" name="Text Box 52">
          <a:extLst>
            <a:ext uri="{FF2B5EF4-FFF2-40B4-BE49-F238E27FC236}">
              <a16:creationId xmlns:a16="http://schemas.microsoft.com/office/drawing/2014/main" id="{00000000-0008-0000-0200-000021000000}"/>
            </a:ext>
          </a:extLst>
        </xdr:cNvPr>
        <xdr:cNvSpPr txBox="1">
          <a:spLocks noChangeArrowheads="1"/>
        </xdr:cNvSpPr>
      </xdr:nvSpPr>
      <xdr:spPr bwMode="auto">
        <a:xfrm>
          <a:off x="4953000" y="3562350"/>
          <a:ext cx="419100" cy="19050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endParaRPr lang="en-US"/>
        </a:p>
      </xdr:txBody>
    </xdr:sp>
    <xdr:clientData/>
  </xdr:twoCellAnchor>
  <xdr:twoCellAnchor>
    <xdr:from>
      <xdr:col>6</xdr:col>
      <xdr:colOff>352425</xdr:colOff>
      <xdr:row>16</xdr:row>
      <xdr:rowOff>9525</xdr:rowOff>
    </xdr:from>
    <xdr:to>
      <xdr:col>6</xdr:col>
      <xdr:colOff>447675</xdr:colOff>
      <xdr:row>16</xdr:row>
      <xdr:rowOff>152400</xdr:rowOff>
    </xdr:to>
    <xdr:sp macro="" textlink="">
      <xdr:nvSpPr>
        <xdr:cNvPr id="34" name="Line 53">
          <a:extLst>
            <a:ext uri="{FF2B5EF4-FFF2-40B4-BE49-F238E27FC236}">
              <a16:creationId xmlns:a16="http://schemas.microsoft.com/office/drawing/2014/main" id="{00000000-0008-0000-0200-000022000000}"/>
            </a:ext>
          </a:extLst>
        </xdr:cNvPr>
        <xdr:cNvSpPr>
          <a:spLocks noChangeShapeType="1"/>
        </xdr:cNvSpPr>
      </xdr:nvSpPr>
      <xdr:spPr bwMode="auto">
        <a:xfrm flipV="1">
          <a:off x="4762500" y="2990850"/>
          <a:ext cx="95250" cy="142875"/>
        </a:xfrm>
        <a:prstGeom prst="line">
          <a:avLst/>
        </a:prstGeom>
        <a:noFill/>
        <a:ln w="9525">
          <a:solidFill>
            <a:srgbClr val="000000"/>
          </a:solidFill>
          <a:round/>
          <a:headEnd/>
          <a:tailEnd type="stealth" w="sm" len="sm"/>
        </a:ln>
      </xdr:spPr>
    </xdr:sp>
    <xdr:clientData/>
  </xdr:twoCellAnchor>
  <xdr:twoCellAnchor>
    <xdr:from>
      <xdr:col>6</xdr:col>
      <xdr:colOff>466725</xdr:colOff>
      <xdr:row>16</xdr:row>
      <xdr:rowOff>76200</xdr:rowOff>
    </xdr:from>
    <xdr:to>
      <xdr:col>6</xdr:col>
      <xdr:colOff>561975</xdr:colOff>
      <xdr:row>17</xdr:row>
      <xdr:rowOff>57150</xdr:rowOff>
    </xdr:to>
    <xdr:sp macro="" textlink="">
      <xdr:nvSpPr>
        <xdr:cNvPr id="35" name="Line 54">
          <a:extLst>
            <a:ext uri="{FF2B5EF4-FFF2-40B4-BE49-F238E27FC236}">
              <a16:creationId xmlns:a16="http://schemas.microsoft.com/office/drawing/2014/main" id="{00000000-0008-0000-0200-000023000000}"/>
            </a:ext>
          </a:extLst>
        </xdr:cNvPr>
        <xdr:cNvSpPr>
          <a:spLocks noChangeShapeType="1"/>
        </xdr:cNvSpPr>
      </xdr:nvSpPr>
      <xdr:spPr bwMode="auto">
        <a:xfrm flipV="1">
          <a:off x="4876800" y="3057525"/>
          <a:ext cx="95250" cy="161925"/>
        </a:xfrm>
        <a:prstGeom prst="line">
          <a:avLst/>
        </a:prstGeom>
        <a:noFill/>
        <a:ln w="9525">
          <a:solidFill>
            <a:srgbClr val="000000"/>
          </a:solidFill>
          <a:round/>
          <a:headEnd/>
          <a:tailEnd type="stealth" w="sm" len="sm"/>
        </a:ln>
      </xdr:spPr>
    </xdr:sp>
    <xdr:clientData/>
  </xdr:twoCellAnchor>
  <xdr:twoCellAnchor>
    <xdr:from>
      <xdr:col>6</xdr:col>
      <xdr:colOff>800100</xdr:colOff>
      <xdr:row>17</xdr:row>
      <xdr:rowOff>114300</xdr:rowOff>
    </xdr:from>
    <xdr:to>
      <xdr:col>7</xdr:col>
      <xdr:colOff>76200</xdr:colOff>
      <xdr:row>18</xdr:row>
      <xdr:rowOff>95250</xdr:rowOff>
    </xdr:to>
    <xdr:sp macro="" textlink="">
      <xdr:nvSpPr>
        <xdr:cNvPr id="36" name="Line 55">
          <a:extLst>
            <a:ext uri="{FF2B5EF4-FFF2-40B4-BE49-F238E27FC236}">
              <a16:creationId xmlns:a16="http://schemas.microsoft.com/office/drawing/2014/main" id="{00000000-0008-0000-0200-000024000000}"/>
            </a:ext>
          </a:extLst>
        </xdr:cNvPr>
        <xdr:cNvSpPr>
          <a:spLocks noChangeShapeType="1"/>
        </xdr:cNvSpPr>
      </xdr:nvSpPr>
      <xdr:spPr bwMode="auto">
        <a:xfrm flipV="1">
          <a:off x="5210175" y="3276600"/>
          <a:ext cx="95250" cy="161925"/>
        </a:xfrm>
        <a:prstGeom prst="line">
          <a:avLst/>
        </a:prstGeom>
        <a:noFill/>
        <a:ln w="9525">
          <a:solidFill>
            <a:srgbClr val="000000"/>
          </a:solidFill>
          <a:round/>
          <a:headEnd/>
          <a:tailEnd type="stealth" w="sm" len="sm"/>
        </a:ln>
      </xdr:spPr>
    </xdr:sp>
    <xdr:clientData/>
  </xdr:twoCellAnchor>
  <xdr:twoCellAnchor>
    <xdr:from>
      <xdr:col>7</xdr:col>
      <xdr:colOff>114300</xdr:colOff>
      <xdr:row>18</xdr:row>
      <xdr:rowOff>28575</xdr:rowOff>
    </xdr:from>
    <xdr:to>
      <xdr:col>7</xdr:col>
      <xdr:colOff>209550</xdr:colOff>
      <xdr:row>19</xdr:row>
      <xdr:rowOff>9525</xdr:rowOff>
    </xdr:to>
    <xdr:sp macro="" textlink="">
      <xdr:nvSpPr>
        <xdr:cNvPr id="37" name="Line 56">
          <a:extLst>
            <a:ext uri="{FF2B5EF4-FFF2-40B4-BE49-F238E27FC236}">
              <a16:creationId xmlns:a16="http://schemas.microsoft.com/office/drawing/2014/main" id="{00000000-0008-0000-0200-000025000000}"/>
            </a:ext>
          </a:extLst>
        </xdr:cNvPr>
        <xdr:cNvSpPr>
          <a:spLocks noChangeShapeType="1"/>
        </xdr:cNvSpPr>
      </xdr:nvSpPr>
      <xdr:spPr bwMode="auto">
        <a:xfrm flipV="1">
          <a:off x="5343525" y="3371850"/>
          <a:ext cx="95250" cy="161925"/>
        </a:xfrm>
        <a:prstGeom prst="line">
          <a:avLst/>
        </a:prstGeom>
        <a:noFill/>
        <a:ln w="9525">
          <a:solidFill>
            <a:srgbClr val="000000"/>
          </a:solidFill>
          <a:round/>
          <a:headEnd/>
          <a:tailEnd type="stealth" w="sm" len="sm"/>
        </a:ln>
      </xdr:spPr>
    </xdr:sp>
    <xdr:clientData/>
  </xdr:twoCellAnchor>
  <xdr:twoCellAnchor>
    <xdr:from>
      <xdr:col>6</xdr:col>
      <xdr:colOff>571500</xdr:colOff>
      <xdr:row>16</xdr:row>
      <xdr:rowOff>142875</xdr:rowOff>
    </xdr:from>
    <xdr:to>
      <xdr:col>6</xdr:col>
      <xdr:colOff>666750</xdr:colOff>
      <xdr:row>17</xdr:row>
      <xdr:rowOff>123825</xdr:rowOff>
    </xdr:to>
    <xdr:sp macro="" textlink="">
      <xdr:nvSpPr>
        <xdr:cNvPr id="38" name="Line 57">
          <a:extLst>
            <a:ext uri="{FF2B5EF4-FFF2-40B4-BE49-F238E27FC236}">
              <a16:creationId xmlns:a16="http://schemas.microsoft.com/office/drawing/2014/main" id="{00000000-0008-0000-0200-000026000000}"/>
            </a:ext>
          </a:extLst>
        </xdr:cNvPr>
        <xdr:cNvSpPr>
          <a:spLocks noChangeShapeType="1"/>
        </xdr:cNvSpPr>
      </xdr:nvSpPr>
      <xdr:spPr bwMode="auto">
        <a:xfrm flipV="1">
          <a:off x="4981575" y="3124200"/>
          <a:ext cx="95250" cy="161925"/>
        </a:xfrm>
        <a:prstGeom prst="line">
          <a:avLst/>
        </a:prstGeom>
        <a:noFill/>
        <a:ln w="9525">
          <a:solidFill>
            <a:srgbClr val="000000"/>
          </a:solidFill>
          <a:round/>
          <a:headEnd/>
          <a:tailEnd type="stealth" w="sm" len="sm"/>
        </a:ln>
      </xdr:spPr>
    </xdr:sp>
    <xdr:clientData/>
  </xdr:twoCellAnchor>
  <xdr:twoCellAnchor>
    <xdr:from>
      <xdr:col>5</xdr:col>
      <xdr:colOff>514350</xdr:colOff>
      <xdr:row>17</xdr:row>
      <xdr:rowOff>47625</xdr:rowOff>
    </xdr:from>
    <xdr:to>
      <xdr:col>6</xdr:col>
      <xdr:colOff>0</xdr:colOff>
      <xdr:row>18</xdr:row>
      <xdr:rowOff>28575</xdr:rowOff>
    </xdr:to>
    <xdr:sp macro="" textlink="">
      <xdr:nvSpPr>
        <xdr:cNvPr id="39" name="Line 58">
          <a:extLst>
            <a:ext uri="{FF2B5EF4-FFF2-40B4-BE49-F238E27FC236}">
              <a16:creationId xmlns:a16="http://schemas.microsoft.com/office/drawing/2014/main" id="{00000000-0008-0000-0200-000027000000}"/>
            </a:ext>
          </a:extLst>
        </xdr:cNvPr>
        <xdr:cNvSpPr>
          <a:spLocks noChangeShapeType="1"/>
        </xdr:cNvSpPr>
      </xdr:nvSpPr>
      <xdr:spPr bwMode="auto">
        <a:xfrm flipH="1" flipV="1">
          <a:off x="4314825" y="3209925"/>
          <a:ext cx="95250" cy="161925"/>
        </a:xfrm>
        <a:prstGeom prst="line">
          <a:avLst/>
        </a:prstGeom>
        <a:noFill/>
        <a:ln w="9525">
          <a:solidFill>
            <a:srgbClr val="000000"/>
          </a:solidFill>
          <a:round/>
          <a:headEnd type="stealth"/>
          <a:tailEnd type="none" w="sm" len="sm"/>
        </a:ln>
      </xdr:spPr>
    </xdr:sp>
    <xdr:clientData/>
  </xdr:twoCellAnchor>
  <xdr:twoCellAnchor>
    <xdr:from>
      <xdr:col>5</xdr:col>
      <xdr:colOff>400050</xdr:colOff>
      <xdr:row>17</xdr:row>
      <xdr:rowOff>123825</xdr:rowOff>
    </xdr:from>
    <xdr:to>
      <xdr:col>5</xdr:col>
      <xdr:colOff>495300</xdr:colOff>
      <xdr:row>18</xdr:row>
      <xdr:rowOff>104775</xdr:rowOff>
    </xdr:to>
    <xdr:sp macro="" textlink="">
      <xdr:nvSpPr>
        <xdr:cNvPr id="40" name="Line 59">
          <a:extLst>
            <a:ext uri="{FF2B5EF4-FFF2-40B4-BE49-F238E27FC236}">
              <a16:creationId xmlns:a16="http://schemas.microsoft.com/office/drawing/2014/main" id="{00000000-0008-0000-0200-000028000000}"/>
            </a:ext>
          </a:extLst>
        </xdr:cNvPr>
        <xdr:cNvSpPr>
          <a:spLocks noChangeShapeType="1"/>
        </xdr:cNvSpPr>
      </xdr:nvSpPr>
      <xdr:spPr bwMode="auto">
        <a:xfrm flipH="1" flipV="1">
          <a:off x="4200525" y="3286125"/>
          <a:ext cx="95250" cy="161925"/>
        </a:xfrm>
        <a:prstGeom prst="line">
          <a:avLst/>
        </a:prstGeom>
        <a:noFill/>
        <a:ln w="9525">
          <a:solidFill>
            <a:srgbClr val="000000"/>
          </a:solidFill>
          <a:round/>
          <a:headEnd type="stealth"/>
          <a:tailEnd type="none" w="sm" len="sm"/>
        </a:ln>
      </xdr:spPr>
    </xdr:sp>
    <xdr:clientData/>
  </xdr:twoCellAnchor>
  <xdr:twoCellAnchor>
    <xdr:from>
      <xdr:col>5</xdr:col>
      <xdr:colOff>285750</xdr:colOff>
      <xdr:row>18</xdr:row>
      <xdr:rowOff>28575</xdr:rowOff>
    </xdr:from>
    <xdr:to>
      <xdr:col>5</xdr:col>
      <xdr:colOff>381000</xdr:colOff>
      <xdr:row>19</xdr:row>
      <xdr:rowOff>9525</xdr:rowOff>
    </xdr:to>
    <xdr:sp macro="" textlink="">
      <xdr:nvSpPr>
        <xdr:cNvPr id="41" name="Line 60">
          <a:extLst>
            <a:ext uri="{FF2B5EF4-FFF2-40B4-BE49-F238E27FC236}">
              <a16:creationId xmlns:a16="http://schemas.microsoft.com/office/drawing/2014/main" id="{00000000-0008-0000-0200-000029000000}"/>
            </a:ext>
          </a:extLst>
        </xdr:cNvPr>
        <xdr:cNvSpPr>
          <a:spLocks noChangeShapeType="1"/>
        </xdr:cNvSpPr>
      </xdr:nvSpPr>
      <xdr:spPr bwMode="auto">
        <a:xfrm flipH="1" flipV="1">
          <a:off x="4086225" y="3371850"/>
          <a:ext cx="95250" cy="161925"/>
        </a:xfrm>
        <a:prstGeom prst="line">
          <a:avLst/>
        </a:prstGeom>
        <a:noFill/>
        <a:ln w="9525">
          <a:solidFill>
            <a:srgbClr val="000000"/>
          </a:solidFill>
          <a:round/>
          <a:headEnd type="stealth"/>
          <a:tailEnd type="none" w="sm" len="sm"/>
        </a:ln>
      </xdr:spPr>
    </xdr:sp>
    <xdr:clientData/>
  </xdr:twoCellAnchor>
  <xdr:twoCellAnchor>
    <xdr:from>
      <xdr:col>6</xdr:col>
      <xdr:colOff>257175</xdr:colOff>
      <xdr:row>16</xdr:row>
      <xdr:rowOff>9525</xdr:rowOff>
    </xdr:from>
    <xdr:to>
      <xdr:col>6</xdr:col>
      <xdr:colOff>352425</xdr:colOff>
      <xdr:row>16</xdr:row>
      <xdr:rowOff>152400</xdr:rowOff>
    </xdr:to>
    <xdr:sp macro="" textlink="">
      <xdr:nvSpPr>
        <xdr:cNvPr id="42" name="Line 61">
          <a:extLst>
            <a:ext uri="{FF2B5EF4-FFF2-40B4-BE49-F238E27FC236}">
              <a16:creationId xmlns:a16="http://schemas.microsoft.com/office/drawing/2014/main" id="{00000000-0008-0000-0200-00002A000000}"/>
            </a:ext>
          </a:extLst>
        </xdr:cNvPr>
        <xdr:cNvSpPr>
          <a:spLocks noChangeShapeType="1"/>
        </xdr:cNvSpPr>
      </xdr:nvSpPr>
      <xdr:spPr bwMode="auto">
        <a:xfrm flipH="1" flipV="1">
          <a:off x="4667250" y="2990850"/>
          <a:ext cx="95250" cy="142875"/>
        </a:xfrm>
        <a:prstGeom prst="line">
          <a:avLst/>
        </a:prstGeom>
        <a:noFill/>
        <a:ln w="9525">
          <a:solidFill>
            <a:srgbClr val="000000"/>
          </a:solidFill>
          <a:round/>
          <a:headEnd type="stealth"/>
          <a:tailEnd type="none" w="sm" len="sm"/>
        </a:ln>
      </xdr:spPr>
    </xdr:sp>
    <xdr:clientData/>
  </xdr:twoCellAnchor>
  <xdr:twoCellAnchor>
    <xdr:from>
      <xdr:col>6</xdr:col>
      <xdr:colOff>133350</xdr:colOff>
      <xdr:row>16</xdr:row>
      <xdr:rowOff>76200</xdr:rowOff>
    </xdr:from>
    <xdr:to>
      <xdr:col>6</xdr:col>
      <xdr:colOff>228600</xdr:colOff>
      <xdr:row>17</xdr:row>
      <xdr:rowOff>57150</xdr:rowOff>
    </xdr:to>
    <xdr:sp macro="" textlink="">
      <xdr:nvSpPr>
        <xdr:cNvPr id="43" name="Line 62">
          <a:extLst>
            <a:ext uri="{FF2B5EF4-FFF2-40B4-BE49-F238E27FC236}">
              <a16:creationId xmlns:a16="http://schemas.microsoft.com/office/drawing/2014/main" id="{00000000-0008-0000-0200-00002B000000}"/>
            </a:ext>
          </a:extLst>
        </xdr:cNvPr>
        <xdr:cNvSpPr>
          <a:spLocks noChangeShapeType="1"/>
        </xdr:cNvSpPr>
      </xdr:nvSpPr>
      <xdr:spPr bwMode="auto">
        <a:xfrm flipH="1" flipV="1">
          <a:off x="4543425" y="3057525"/>
          <a:ext cx="95250" cy="161925"/>
        </a:xfrm>
        <a:prstGeom prst="line">
          <a:avLst/>
        </a:prstGeom>
        <a:noFill/>
        <a:ln w="9525">
          <a:solidFill>
            <a:srgbClr val="000000"/>
          </a:solidFill>
          <a:round/>
          <a:headEnd type="stealth"/>
          <a:tailEnd type="none" w="sm" len="sm"/>
        </a:ln>
      </xdr:spPr>
    </xdr:sp>
    <xdr:clientData/>
  </xdr:twoCellAnchor>
  <xdr:twoCellAnchor>
    <xdr:from>
      <xdr:col>6</xdr:col>
      <xdr:colOff>28575</xdr:colOff>
      <xdr:row>16</xdr:row>
      <xdr:rowOff>142875</xdr:rowOff>
    </xdr:from>
    <xdr:to>
      <xdr:col>6</xdr:col>
      <xdr:colOff>123825</xdr:colOff>
      <xdr:row>17</xdr:row>
      <xdr:rowOff>123825</xdr:rowOff>
    </xdr:to>
    <xdr:sp macro="" textlink="">
      <xdr:nvSpPr>
        <xdr:cNvPr id="44" name="Line 63">
          <a:extLst>
            <a:ext uri="{FF2B5EF4-FFF2-40B4-BE49-F238E27FC236}">
              <a16:creationId xmlns:a16="http://schemas.microsoft.com/office/drawing/2014/main" id="{00000000-0008-0000-0200-00002C000000}"/>
            </a:ext>
          </a:extLst>
        </xdr:cNvPr>
        <xdr:cNvSpPr>
          <a:spLocks noChangeShapeType="1"/>
        </xdr:cNvSpPr>
      </xdr:nvSpPr>
      <xdr:spPr bwMode="auto">
        <a:xfrm flipH="1" flipV="1">
          <a:off x="4438650" y="3124200"/>
          <a:ext cx="95250" cy="161925"/>
        </a:xfrm>
        <a:prstGeom prst="line">
          <a:avLst/>
        </a:prstGeom>
        <a:noFill/>
        <a:ln w="9525">
          <a:solidFill>
            <a:srgbClr val="000000"/>
          </a:solidFill>
          <a:round/>
          <a:headEnd type="stealth"/>
          <a:tailEnd type="none" w="sm" len="sm"/>
        </a:ln>
      </xdr:spPr>
    </xdr:sp>
    <xdr:clientData/>
  </xdr:twoCellAnchor>
  <xdr:twoCellAnchor>
    <xdr:from>
      <xdr:col>5</xdr:col>
      <xdr:colOff>219075</xdr:colOff>
      <xdr:row>21</xdr:row>
      <xdr:rowOff>95250</xdr:rowOff>
    </xdr:from>
    <xdr:to>
      <xdr:col>5</xdr:col>
      <xdr:colOff>381000</xdr:colOff>
      <xdr:row>21</xdr:row>
      <xdr:rowOff>95250</xdr:rowOff>
    </xdr:to>
    <xdr:sp macro="" textlink="">
      <xdr:nvSpPr>
        <xdr:cNvPr id="46" name="Line 65">
          <a:extLst>
            <a:ext uri="{FF2B5EF4-FFF2-40B4-BE49-F238E27FC236}">
              <a16:creationId xmlns:a16="http://schemas.microsoft.com/office/drawing/2014/main" id="{00000000-0008-0000-0200-00002E000000}"/>
            </a:ext>
          </a:extLst>
        </xdr:cNvPr>
        <xdr:cNvSpPr>
          <a:spLocks noChangeShapeType="1"/>
        </xdr:cNvSpPr>
      </xdr:nvSpPr>
      <xdr:spPr bwMode="auto">
        <a:xfrm>
          <a:off x="4019550" y="3962400"/>
          <a:ext cx="161925" cy="0"/>
        </a:xfrm>
        <a:prstGeom prst="line">
          <a:avLst/>
        </a:prstGeom>
        <a:noFill/>
        <a:ln w="9525">
          <a:solidFill>
            <a:srgbClr val="000000"/>
          </a:solidFill>
          <a:round/>
          <a:headEnd/>
          <a:tailEnd type="stealth" w="sm" len="sm"/>
        </a:ln>
      </xdr:spPr>
    </xdr:sp>
    <xdr:clientData/>
  </xdr:twoCellAnchor>
  <xdr:twoCellAnchor>
    <xdr:from>
      <xdr:col>7</xdr:col>
      <xdr:colOff>114300</xdr:colOff>
      <xdr:row>21</xdr:row>
      <xdr:rowOff>95250</xdr:rowOff>
    </xdr:from>
    <xdr:to>
      <xdr:col>7</xdr:col>
      <xdr:colOff>209550</xdr:colOff>
      <xdr:row>21</xdr:row>
      <xdr:rowOff>95250</xdr:rowOff>
    </xdr:to>
    <xdr:sp macro="" textlink="">
      <xdr:nvSpPr>
        <xdr:cNvPr id="49" name="Line 68">
          <a:extLst>
            <a:ext uri="{FF2B5EF4-FFF2-40B4-BE49-F238E27FC236}">
              <a16:creationId xmlns:a16="http://schemas.microsoft.com/office/drawing/2014/main" id="{00000000-0008-0000-0200-000031000000}"/>
            </a:ext>
          </a:extLst>
        </xdr:cNvPr>
        <xdr:cNvSpPr>
          <a:spLocks noChangeShapeType="1"/>
        </xdr:cNvSpPr>
      </xdr:nvSpPr>
      <xdr:spPr bwMode="auto">
        <a:xfrm>
          <a:off x="5343525" y="3962400"/>
          <a:ext cx="95250" cy="0"/>
        </a:xfrm>
        <a:prstGeom prst="line">
          <a:avLst/>
        </a:prstGeom>
        <a:noFill/>
        <a:ln w="9525">
          <a:solidFill>
            <a:srgbClr val="000000"/>
          </a:solidFill>
          <a:round/>
          <a:headEnd/>
          <a:tailEnd type="stealth" w="sm" len="sm"/>
        </a:ln>
      </xdr:spPr>
    </xdr:sp>
    <xdr:clientData/>
  </xdr:twoCellAnchor>
  <xdr:twoCellAnchor>
    <xdr:from>
      <xdr:col>6</xdr:col>
      <xdr:colOff>676275</xdr:colOff>
      <xdr:row>17</xdr:row>
      <xdr:rowOff>38100</xdr:rowOff>
    </xdr:from>
    <xdr:to>
      <xdr:col>6</xdr:col>
      <xdr:colOff>771525</xdr:colOff>
      <xdr:row>18</xdr:row>
      <xdr:rowOff>19050</xdr:rowOff>
    </xdr:to>
    <xdr:sp macro="" textlink="">
      <xdr:nvSpPr>
        <xdr:cNvPr id="53" name="Line 72">
          <a:extLst>
            <a:ext uri="{FF2B5EF4-FFF2-40B4-BE49-F238E27FC236}">
              <a16:creationId xmlns:a16="http://schemas.microsoft.com/office/drawing/2014/main" id="{00000000-0008-0000-0200-000035000000}"/>
            </a:ext>
          </a:extLst>
        </xdr:cNvPr>
        <xdr:cNvSpPr>
          <a:spLocks noChangeShapeType="1"/>
        </xdr:cNvSpPr>
      </xdr:nvSpPr>
      <xdr:spPr bwMode="auto">
        <a:xfrm flipV="1">
          <a:off x="5086350" y="3200400"/>
          <a:ext cx="95250" cy="161925"/>
        </a:xfrm>
        <a:prstGeom prst="line">
          <a:avLst/>
        </a:prstGeom>
        <a:noFill/>
        <a:ln w="9525">
          <a:solidFill>
            <a:srgbClr val="000000"/>
          </a:solidFill>
          <a:round/>
          <a:headEnd/>
          <a:tailEnd type="stealth" w="sm" len="sm"/>
        </a:ln>
      </xdr:spPr>
    </xdr:sp>
    <xdr:clientData/>
  </xdr:twoCellAnchor>
  <xdr:twoCellAnchor>
    <xdr:from>
      <xdr:col>5</xdr:col>
      <xdr:colOff>285750</xdr:colOff>
      <xdr:row>16</xdr:row>
      <xdr:rowOff>9525</xdr:rowOff>
    </xdr:from>
    <xdr:to>
      <xdr:col>6</xdr:col>
      <xdr:colOff>257175</xdr:colOff>
      <xdr:row>18</xdr:row>
      <xdr:rowOff>28575</xdr:rowOff>
    </xdr:to>
    <xdr:sp macro="" textlink="">
      <xdr:nvSpPr>
        <xdr:cNvPr id="56" name="Line 75">
          <a:extLst>
            <a:ext uri="{FF2B5EF4-FFF2-40B4-BE49-F238E27FC236}">
              <a16:creationId xmlns:a16="http://schemas.microsoft.com/office/drawing/2014/main" id="{00000000-0008-0000-0200-000038000000}"/>
            </a:ext>
          </a:extLst>
        </xdr:cNvPr>
        <xdr:cNvSpPr>
          <a:spLocks noChangeShapeType="1"/>
        </xdr:cNvSpPr>
      </xdr:nvSpPr>
      <xdr:spPr bwMode="auto">
        <a:xfrm flipV="1">
          <a:off x="4086225" y="2990850"/>
          <a:ext cx="581025" cy="381000"/>
        </a:xfrm>
        <a:prstGeom prst="line">
          <a:avLst/>
        </a:prstGeom>
        <a:noFill/>
        <a:ln w="9525">
          <a:solidFill>
            <a:srgbClr val="000000"/>
          </a:solidFill>
          <a:round/>
          <a:headEnd/>
          <a:tailEnd/>
        </a:ln>
      </xdr:spPr>
    </xdr:sp>
    <xdr:clientData/>
  </xdr:twoCellAnchor>
  <xdr:twoCellAnchor>
    <xdr:from>
      <xdr:col>6</xdr:col>
      <xdr:colOff>447675</xdr:colOff>
      <xdr:row>16</xdr:row>
      <xdr:rowOff>9525</xdr:rowOff>
    </xdr:from>
    <xdr:to>
      <xdr:col>7</xdr:col>
      <xdr:colOff>209550</xdr:colOff>
      <xdr:row>18</xdr:row>
      <xdr:rowOff>28575</xdr:rowOff>
    </xdr:to>
    <xdr:sp macro="" textlink="">
      <xdr:nvSpPr>
        <xdr:cNvPr id="57" name="Line 76">
          <a:extLst>
            <a:ext uri="{FF2B5EF4-FFF2-40B4-BE49-F238E27FC236}">
              <a16:creationId xmlns:a16="http://schemas.microsoft.com/office/drawing/2014/main" id="{00000000-0008-0000-0200-000039000000}"/>
            </a:ext>
          </a:extLst>
        </xdr:cNvPr>
        <xdr:cNvSpPr>
          <a:spLocks noChangeShapeType="1"/>
        </xdr:cNvSpPr>
      </xdr:nvSpPr>
      <xdr:spPr bwMode="auto">
        <a:xfrm>
          <a:off x="4857750" y="2990850"/>
          <a:ext cx="581025" cy="381000"/>
        </a:xfrm>
        <a:prstGeom prst="line">
          <a:avLst/>
        </a:prstGeom>
        <a:noFill/>
        <a:ln w="9525">
          <a:solidFill>
            <a:srgbClr val="000000"/>
          </a:solidFill>
          <a:round/>
          <a:headEnd/>
          <a:tailEnd/>
        </a:ln>
      </xdr:spPr>
    </xdr:sp>
    <xdr:clientData/>
  </xdr:twoCellAnchor>
  <xdr:twoCellAnchor>
    <xdr:from>
      <xdr:col>5</xdr:col>
      <xdr:colOff>381000</xdr:colOff>
      <xdr:row>5</xdr:row>
      <xdr:rowOff>9525</xdr:rowOff>
    </xdr:from>
    <xdr:to>
      <xdr:col>5</xdr:col>
      <xdr:colOff>381000</xdr:colOff>
      <xdr:row>5</xdr:row>
      <xdr:rowOff>104775</xdr:rowOff>
    </xdr:to>
    <xdr:sp macro="" textlink="">
      <xdr:nvSpPr>
        <xdr:cNvPr id="58" name="Line 77">
          <a:extLst>
            <a:ext uri="{FF2B5EF4-FFF2-40B4-BE49-F238E27FC236}">
              <a16:creationId xmlns:a16="http://schemas.microsoft.com/office/drawing/2014/main" id="{00000000-0008-0000-0200-00003A000000}"/>
            </a:ext>
          </a:extLst>
        </xdr:cNvPr>
        <xdr:cNvSpPr>
          <a:spLocks noChangeShapeType="1"/>
        </xdr:cNvSpPr>
      </xdr:nvSpPr>
      <xdr:spPr bwMode="auto">
        <a:xfrm flipV="1">
          <a:off x="4181475" y="942975"/>
          <a:ext cx="0" cy="95250"/>
        </a:xfrm>
        <a:prstGeom prst="line">
          <a:avLst/>
        </a:prstGeom>
        <a:noFill/>
        <a:ln w="9525">
          <a:solidFill>
            <a:srgbClr val="000000"/>
          </a:solidFill>
          <a:round/>
          <a:headEnd/>
          <a:tailEnd type="stealth" w="sm" len="sm"/>
        </a:ln>
      </xdr:spPr>
    </xdr:sp>
    <xdr:clientData/>
  </xdr:twoCellAnchor>
  <xdr:twoCellAnchor>
    <xdr:from>
      <xdr:col>6</xdr:col>
      <xdr:colOff>104775</xdr:colOff>
      <xdr:row>5</xdr:row>
      <xdr:rowOff>9525</xdr:rowOff>
    </xdr:from>
    <xdr:to>
      <xdr:col>6</xdr:col>
      <xdr:colOff>104775</xdr:colOff>
      <xdr:row>5</xdr:row>
      <xdr:rowOff>104775</xdr:rowOff>
    </xdr:to>
    <xdr:sp macro="" textlink="">
      <xdr:nvSpPr>
        <xdr:cNvPr id="59" name="Line 78">
          <a:extLst>
            <a:ext uri="{FF2B5EF4-FFF2-40B4-BE49-F238E27FC236}">
              <a16:creationId xmlns:a16="http://schemas.microsoft.com/office/drawing/2014/main" id="{00000000-0008-0000-0200-00003B000000}"/>
            </a:ext>
          </a:extLst>
        </xdr:cNvPr>
        <xdr:cNvSpPr>
          <a:spLocks noChangeShapeType="1"/>
        </xdr:cNvSpPr>
      </xdr:nvSpPr>
      <xdr:spPr bwMode="auto">
        <a:xfrm flipV="1">
          <a:off x="4514850" y="942975"/>
          <a:ext cx="0" cy="95250"/>
        </a:xfrm>
        <a:prstGeom prst="line">
          <a:avLst/>
        </a:prstGeom>
        <a:noFill/>
        <a:ln w="9525">
          <a:solidFill>
            <a:srgbClr val="000000"/>
          </a:solidFill>
          <a:round/>
          <a:headEnd/>
          <a:tailEnd type="stealth" w="sm" len="sm"/>
        </a:ln>
      </xdr:spPr>
    </xdr:sp>
    <xdr:clientData/>
  </xdr:twoCellAnchor>
  <xdr:twoCellAnchor>
    <xdr:from>
      <xdr:col>6</xdr:col>
      <xdr:colOff>276225</xdr:colOff>
      <xdr:row>5</xdr:row>
      <xdr:rowOff>9525</xdr:rowOff>
    </xdr:from>
    <xdr:to>
      <xdr:col>6</xdr:col>
      <xdr:colOff>276225</xdr:colOff>
      <xdr:row>5</xdr:row>
      <xdr:rowOff>104775</xdr:rowOff>
    </xdr:to>
    <xdr:sp macro="" textlink="">
      <xdr:nvSpPr>
        <xdr:cNvPr id="60" name="Line 79">
          <a:extLst>
            <a:ext uri="{FF2B5EF4-FFF2-40B4-BE49-F238E27FC236}">
              <a16:creationId xmlns:a16="http://schemas.microsoft.com/office/drawing/2014/main" id="{00000000-0008-0000-0200-00003C000000}"/>
            </a:ext>
          </a:extLst>
        </xdr:cNvPr>
        <xdr:cNvSpPr>
          <a:spLocks noChangeShapeType="1"/>
        </xdr:cNvSpPr>
      </xdr:nvSpPr>
      <xdr:spPr bwMode="auto">
        <a:xfrm flipV="1">
          <a:off x="4686300" y="942975"/>
          <a:ext cx="0" cy="95250"/>
        </a:xfrm>
        <a:prstGeom prst="line">
          <a:avLst/>
        </a:prstGeom>
        <a:noFill/>
        <a:ln w="9525">
          <a:solidFill>
            <a:srgbClr val="000000"/>
          </a:solidFill>
          <a:round/>
          <a:headEnd/>
          <a:tailEnd type="stealth" w="sm" len="sm"/>
        </a:ln>
      </xdr:spPr>
    </xdr:sp>
    <xdr:clientData/>
  </xdr:twoCellAnchor>
  <xdr:twoCellAnchor>
    <xdr:from>
      <xdr:col>5</xdr:col>
      <xdr:colOff>542925</xdr:colOff>
      <xdr:row>5</xdr:row>
      <xdr:rowOff>9525</xdr:rowOff>
    </xdr:from>
    <xdr:to>
      <xdr:col>5</xdr:col>
      <xdr:colOff>542925</xdr:colOff>
      <xdr:row>5</xdr:row>
      <xdr:rowOff>104775</xdr:rowOff>
    </xdr:to>
    <xdr:sp macro="" textlink="">
      <xdr:nvSpPr>
        <xdr:cNvPr id="61" name="Line 80">
          <a:extLst>
            <a:ext uri="{FF2B5EF4-FFF2-40B4-BE49-F238E27FC236}">
              <a16:creationId xmlns:a16="http://schemas.microsoft.com/office/drawing/2014/main" id="{00000000-0008-0000-0200-00003D000000}"/>
            </a:ext>
          </a:extLst>
        </xdr:cNvPr>
        <xdr:cNvSpPr>
          <a:spLocks noChangeShapeType="1"/>
        </xdr:cNvSpPr>
      </xdr:nvSpPr>
      <xdr:spPr bwMode="auto">
        <a:xfrm flipV="1">
          <a:off x="4343400" y="942975"/>
          <a:ext cx="0" cy="95250"/>
        </a:xfrm>
        <a:prstGeom prst="line">
          <a:avLst/>
        </a:prstGeom>
        <a:noFill/>
        <a:ln w="9525">
          <a:solidFill>
            <a:srgbClr val="000000"/>
          </a:solidFill>
          <a:round/>
          <a:headEnd/>
          <a:tailEnd type="stealth" w="sm" len="sm"/>
        </a:ln>
      </xdr:spPr>
    </xdr:sp>
    <xdr:clientData/>
  </xdr:twoCellAnchor>
  <xdr:twoCellAnchor>
    <xdr:from>
      <xdr:col>6</xdr:col>
      <xdr:colOff>428625</xdr:colOff>
      <xdr:row>5</xdr:row>
      <xdr:rowOff>9525</xdr:rowOff>
    </xdr:from>
    <xdr:to>
      <xdr:col>6</xdr:col>
      <xdr:colOff>428625</xdr:colOff>
      <xdr:row>5</xdr:row>
      <xdr:rowOff>104775</xdr:rowOff>
    </xdr:to>
    <xdr:sp macro="" textlink="">
      <xdr:nvSpPr>
        <xdr:cNvPr id="62" name="Line 81">
          <a:extLst>
            <a:ext uri="{FF2B5EF4-FFF2-40B4-BE49-F238E27FC236}">
              <a16:creationId xmlns:a16="http://schemas.microsoft.com/office/drawing/2014/main" id="{00000000-0008-0000-0200-00003E000000}"/>
            </a:ext>
          </a:extLst>
        </xdr:cNvPr>
        <xdr:cNvSpPr>
          <a:spLocks noChangeShapeType="1"/>
        </xdr:cNvSpPr>
      </xdr:nvSpPr>
      <xdr:spPr bwMode="auto">
        <a:xfrm flipV="1">
          <a:off x="4838700" y="942975"/>
          <a:ext cx="0" cy="95250"/>
        </a:xfrm>
        <a:prstGeom prst="line">
          <a:avLst/>
        </a:prstGeom>
        <a:noFill/>
        <a:ln w="9525">
          <a:solidFill>
            <a:srgbClr val="000000"/>
          </a:solidFill>
          <a:round/>
          <a:headEnd/>
          <a:tailEnd type="stealth" w="sm" len="sm"/>
        </a:ln>
      </xdr:spPr>
    </xdr:sp>
    <xdr:clientData/>
  </xdr:twoCellAnchor>
  <xdr:twoCellAnchor>
    <xdr:from>
      <xdr:col>6</xdr:col>
      <xdr:colOff>600075</xdr:colOff>
      <xdr:row>5</xdr:row>
      <xdr:rowOff>9525</xdr:rowOff>
    </xdr:from>
    <xdr:to>
      <xdr:col>6</xdr:col>
      <xdr:colOff>600075</xdr:colOff>
      <xdr:row>5</xdr:row>
      <xdr:rowOff>104775</xdr:rowOff>
    </xdr:to>
    <xdr:sp macro="" textlink="">
      <xdr:nvSpPr>
        <xdr:cNvPr id="63" name="Line 82">
          <a:extLst>
            <a:ext uri="{FF2B5EF4-FFF2-40B4-BE49-F238E27FC236}">
              <a16:creationId xmlns:a16="http://schemas.microsoft.com/office/drawing/2014/main" id="{00000000-0008-0000-0200-00003F000000}"/>
            </a:ext>
          </a:extLst>
        </xdr:cNvPr>
        <xdr:cNvSpPr>
          <a:spLocks noChangeShapeType="1"/>
        </xdr:cNvSpPr>
      </xdr:nvSpPr>
      <xdr:spPr bwMode="auto">
        <a:xfrm flipV="1">
          <a:off x="5010150" y="942975"/>
          <a:ext cx="0" cy="95250"/>
        </a:xfrm>
        <a:prstGeom prst="line">
          <a:avLst/>
        </a:prstGeom>
        <a:noFill/>
        <a:ln w="9525">
          <a:solidFill>
            <a:srgbClr val="000000"/>
          </a:solidFill>
          <a:round/>
          <a:headEnd/>
          <a:tailEnd type="stealth" w="sm" len="sm"/>
        </a:ln>
      </xdr:spPr>
    </xdr:sp>
    <xdr:clientData/>
  </xdr:twoCellAnchor>
  <xdr:twoCellAnchor>
    <xdr:from>
      <xdr:col>6</xdr:col>
      <xdr:colOff>771525</xdr:colOff>
      <xdr:row>5</xdr:row>
      <xdr:rowOff>9525</xdr:rowOff>
    </xdr:from>
    <xdr:to>
      <xdr:col>6</xdr:col>
      <xdr:colOff>771525</xdr:colOff>
      <xdr:row>5</xdr:row>
      <xdr:rowOff>104775</xdr:rowOff>
    </xdr:to>
    <xdr:sp macro="" textlink="">
      <xdr:nvSpPr>
        <xdr:cNvPr id="64" name="Line 83">
          <a:extLst>
            <a:ext uri="{FF2B5EF4-FFF2-40B4-BE49-F238E27FC236}">
              <a16:creationId xmlns:a16="http://schemas.microsoft.com/office/drawing/2014/main" id="{00000000-0008-0000-0200-000040000000}"/>
            </a:ext>
          </a:extLst>
        </xdr:cNvPr>
        <xdr:cNvSpPr>
          <a:spLocks noChangeShapeType="1"/>
        </xdr:cNvSpPr>
      </xdr:nvSpPr>
      <xdr:spPr bwMode="auto">
        <a:xfrm flipV="1">
          <a:off x="5181600" y="942975"/>
          <a:ext cx="0" cy="95250"/>
        </a:xfrm>
        <a:prstGeom prst="line">
          <a:avLst/>
        </a:prstGeom>
        <a:noFill/>
        <a:ln w="9525">
          <a:solidFill>
            <a:srgbClr val="000000"/>
          </a:solidFill>
          <a:round/>
          <a:headEnd/>
          <a:tailEnd type="stealth" w="sm" len="sm"/>
        </a:ln>
      </xdr:spPr>
    </xdr:sp>
    <xdr:clientData/>
  </xdr:twoCellAnchor>
  <xdr:twoCellAnchor>
    <xdr:from>
      <xdr:col>7</xdr:col>
      <xdr:colOff>114300</xdr:colOff>
      <xdr:row>5</xdr:row>
      <xdr:rowOff>9525</xdr:rowOff>
    </xdr:from>
    <xdr:to>
      <xdr:col>7</xdr:col>
      <xdr:colOff>114300</xdr:colOff>
      <xdr:row>5</xdr:row>
      <xdr:rowOff>104775</xdr:rowOff>
    </xdr:to>
    <xdr:sp macro="" textlink="">
      <xdr:nvSpPr>
        <xdr:cNvPr id="65" name="Line 84">
          <a:extLst>
            <a:ext uri="{FF2B5EF4-FFF2-40B4-BE49-F238E27FC236}">
              <a16:creationId xmlns:a16="http://schemas.microsoft.com/office/drawing/2014/main" id="{00000000-0008-0000-0200-000041000000}"/>
            </a:ext>
          </a:extLst>
        </xdr:cNvPr>
        <xdr:cNvSpPr>
          <a:spLocks noChangeShapeType="1"/>
        </xdr:cNvSpPr>
      </xdr:nvSpPr>
      <xdr:spPr bwMode="auto">
        <a:xfrm flipV="1">
          <a:off x="5343525" y="942975"/>
          <a:ext cx="0" cy="95250"/>
        </a:xfrm>
        <a:prstGeom prst="line">
          <a:avLst/>
        </a:prstGeom>
        <a:noFill/>
        <a:ln w="9525">
          <a:solidFill>
            <a:srgbClr val="000000"/>
          </a:solidFill>
          <a:round/>
          <a:headEnd/>
          <a:tailEnd type="stealth" w="sm" len="sm"/>
        </a:ln>
      </xdr:spPr>
    </xdr:sp>
    <xdr:clientData/>
  </xdr:twoCellAnchor>
  <xdr:twoCellAnchor>
    <xdr:from>
      <xdr:col>5</xdr:col>
      <xdr:colOff>381000</xdr:colOff>
      <xdr:row>5</xdr:row>
      <xdr:rowOff>9525</xdr:rowOff>
    </xdr:from>
    <xdr:to>
      <xdr:col>7</xdr:col>
      <xdr:colOff>114300</xdr:colOff>
      <xdr:row>5</xdr:row>
      <xdr:rowOff>9525</xdr:rowOff>
    </xdr:to>
    <xdr:sp macro="" textlink="">
      <xdr:nvSpPr>
        <xdr:cNvPr id="66" name="Line 85">
          <a:extLst>
            <a:ext uri="{FF2B5EF4-FFF2-40B4-BE49-F238E27FC236}">
              <a16:creationId xmlns:a16="http://schemas.microsoft.com/office/drawing/2014/main" id="{00000000-0008-0000-0200-000042000000}"/>
            </a:ext>
          </a:extLst>
        </xdr:cNvPr>
        <xdr:cNvSpPr>
          <a:spLocks noChangeShapeType="1"/>
        </xdr:cNvSpPr>
      </xdr:nvSpPr>
      <xdr:spPr bwMode="auto">
        <a:xfrm>
          <a:off x="4181475" y="942975"/>
          <a:ext cx="1162050" cy="0"/>
        </a:xfrm>
        <a:prstGeom prst="line">
          <a:avLst/>
        </a:prstGeom>
        <a:noFill/>
        <a:ln w="9525">
          <a:solidFill>
            <a:srgbClr val="000000"/>
          </a:solidFill>
          <a:round/>
          <a:headEnd/>
          <a:tailEnd/>
        </a:ln>
      </xdr:spPr>
    </xdr:sp>
    <xdr:clientData/>
  </xdr:twoCellAnchor>
  <xdr:twoCellAnchor>
    <xdr:from>
      <xdr:col>5</xdr:col>
      <xdr:colOff>542925</xdr:colOff>
      <xdr:row>12</xdr:row>
      <xdr:rowOff>114300</xdr:rowOff>
    </xdr:from>
    <xdr:to>
      <xdr:col>5</xdr:col>
      <xdr:colOff>542925</xdr:colOff>
      <xdr:row>13</xdr:row>
      <xdr:rowOff>47625</xdr:rowOff>
    </xdr:to>
    <xdr:sp macro="" textlink="">
      <xdr:nvSpPr>
        <xdr:cNvPr id="67" name="Line 86">
          <a:extLst>
            <a:ext uri="{FF2B5EF4-FFF2-40B4-BE49-F238E27FC236}">
              <a16:creationId xmlns:a16="http://schemas.microsoft.com/office/drawing/2014/main" id="{00000000-0008-0000-0200-000043000000}"/>
            </a:ext>
          </a:extLst>
        </xdr:cNvPr>
        <xdr:cNvSpPr>
          <a:spLocks noChangeShapeType="1"/>
        </xdr:cNvSpPr>
      </xdr:nvSpPr>
      <xdr:spPr bwMode="auto">
        <a:xfrm flipV="1">
          <a:off x="4343400" y="2333625"/>
          <a:ext cx="0" cy="114300"/>
        </a:xfrm>
        <a:prstGeom prst="line">
          <a:avLst/>
        </a:prstGeom>
        <a:noFill/>
        <a:ln w="9525">
          <a:solidFill>
            <a:srgbClr val="000000"/>
          </a:solidFill>
          <a:round/>
          <a:headEnd type="stealth" w="sm" len="sm"/>
          <a:tailEnd type="none" w="sm" len="sm"/>
        </a:ln>
      </xdr:spPr>
    </xdr:sp>
    <xdr:clientData/>
  </xdr:twoCellAnchor>
  <xdr:twoCellAnchor>
    <xdr:from>
      <xdr:col>6</xdr:col>
      <xdr:colOff>276225</xdr:colOff>
      <xdr:row>12</xdr:row>
      <xdr:rowOff>114300</xdr:rowOff>
    </xdr:from>
    <xdr:to>
      <xdr:col>6</xdr:col>
      <xdr:colOff>276225</xdr:colOff>
      <xdr:row>13</xdr:row>
      <xdr:rowOff>47625</xdr:rowOff>
    </xdr:to>
    <xdr:sp macro="" textlink="">
      <xdr:nvSpPr>
        <xdr:cNvPr id="68" name="Line 87">
          <a:extLst>
            <a:ext uri="{FF2B5EF4-FFF2-40B4-BE49-F238E27FC236}">
              <a16:creationId xmlns:a16="http://schemas.microsoft.com/office/drawing/2014/main" id="{00000000-0008-0000-0200-000044000000}"/>
            </a:ext>
          </a:extLst>
        </xdr:cNvPr>
        <xdr:cNvSpPr>
          <a:spLocks noChangeShapeType="1"/>
        </xdr:cNvSpPr>
      </xdr:nvSpPr>
      <xdr:spPr bwMode="auto">
        <a:xfrm flipV="1">
          <a:off x="4686300" y="2333625"/>
          <a:ext cx="0" cy="114300"/>
        </a:xfrm>
        <a:prstGeom prst="line">
          <a:avLst/>
        </a:prstGeom>
        <a:noFill/>
        <a:ln w="9525">
          <a:solidFill>
            <a:srgbClr val="000000"/>
          </a:solidFill>
          <a:round/>
          <a:headEnd type="stealth" w="sm" len="sm"/>
          <a:tailEnd type="none" w="sm" len="sm"/>
        </a:ln>
      </xdr:spPr>
    </xdr:sp>
    <xdr:clientData/>
  </xdr:twoCellAnchor>
  <xdr:twoCellAnchor>
    <xdr:from>
      <xdr:col>6</xdr:col>
      <xdr:colOff>428625</xdr:colOff>
      <xdr:row>12</xdr:row>
      <xdr:rowOff>114300</xdr:rowOff>
    </xdr:from>
    <xdr:to>
      <xdr:col>6</xdr:col>
      <xdr:colOff>428625</xdr:colOff>
      <xdr:row>13</xdr:row>
      <xdr:rowOff>47625</xdr:rowOff>
    </xdr:to>
    <xdr:sp macro="" textlink="">
      <xdr:nvSpPr>
        <xdr:cNvPr id="69" name="Line 88">
          <a:extLst>
            <a:ext uri="{FF2B5EF4-FFF2-40B4-BE49-F238E27FC236}">
              <a16:creationId xmlns:a16="http://schemas.microsoft.com/office/drawing/2014/main" id="{00000000-0008-0000-0200-000045000000}"/>
            </a:ext>
          </a:extLst>
        </xdr:cNvPr>
        <xdr:cNvSpPr>
          <a:spLocks noChangeShapeType="1"/>
        </xdr:cNvSpPr>
      </xdr:nvSpPr>
      <xdr:spPr bwMode="auto">
        <a:xfrm flipV="1">
          <a:off x="4838700" y="2333625"/>
          <a:ext cx="0" cy="114300"/>
        </a:xfrm>
        <a:prstGeom prst="line">
          <a:avLst/>
        </a:prstGeom>
        <a:noFill/>
        <a:ln w="9525">
          <a:solidFill>
            <a:srgbClr val="000000"/>
          </a:solidFill>
          <a:round/>
          <a:headEnd type="stealth" w="sm" len="sm"/>
          <a:tailEnd type="none" w="sm" len="sm"/>
        </a:ln>
      </xdr:spPr>
    </xdr:sp>
    <xdr:clientData/>
  </xdr:twoCellAnchor>
  <xdr:twoCellAnchor>
    <xdr:from>
      <xdr:col>6</xdr:col>
      <xdr:colOff>104775</xdr:colOff>
      <xdr:row>12</xdr:row>
      <xdr:rowOff>114300</xdr:rowOff>
    </xdr:from>
    <xdr:to>
      <xdr:col>6</xdr:col>
      <xdr:colOff>104775</xdr:colOff>
      <xdr:row>13</xdr:row>
      <xdr:rowOff>47625</xdr:rowOff>
    </xdr:to>
    <xdr:sp macro="" textlink="">
      <xdr:nvSpPr>
        <xdr:cNvPr id="70" name="Line 89">
          <a:extLst>
            <a:ext uri="{FF2B5EF4-FFF2-40B4-BE49-F238E27FC236}">
              <a16:creationId xmlns:a16="http://schemas.microsoft.com/office/drawing/2014/main" id="{00000000-0008-0000-0200-000046000000}"/>
            </a:ext>
          </a:extLst>
        </xdr:cNvPr>
        <xdr:cNvSpPr>
          <a:spLocks noChangeShapeType="1"/>
        </xdr:cNvSpPr>
      </xdr:nvSpPr>
      <xdr:spPr bwMode="auto">
        <a:xfrm flipV="1">
          <a:off x="4514850" y="2333625"/>
          <a:ext cx="0" cy="114300"/>
        </a:xfrm>
        <a:prstGeom prst="line">
          <a:avLst/>
        </a:prstGeom>
        <a:noFill/>
        <a:ln w="9525">
          <a:solidFill>
            <a:srgbClr val="000000"/>
          </a:solidFill>
          <a:round/>
          <a:headEnd type="stealth" w="sm" len="sm"/>
          <a:tailEnd type="none" w="sm" len="sm"/>
        </a:ln>
      </xdr:spPr>
    </xdr:sp>
    <xdr:clientData/>
  </xdr:twoCellAnchor>
  <xdr:twoCellAnchor>
    <xdr:from>
      <xdr:col>6</xdr:col>
      <xdr:colOff>600075</xdr:colOff>
      <xdr:row>12</xdr:row>
      <xdr:rowOff>114300</xdr:rowOff>
    </xdr:from>
    <xdr:to>
      <xdr:col>6</xdr:col>
      <xdr:colOff>600075</xdr:colOff>
      <xdr:row>13</xdr:row>
      <xdr:rowOff>47625</xdr:rowOff>
    </xdr:to>
    <xdr:sp macro="" textlink="">
      <xdr:nvSpPr>
        <xdr:cNvPr id="71" name="Line 90">
          <a:extLst>
            <a:ext uri="{FF2B5EF4-FFF2-40B4-BE49-F238E27FC236}">
              <a16:creationId xmlns:a16="http://schemas.microsoft.com/office/drawing/2014/main" id="{00000000-0008-0000-0200-000047000000}"/>
            </a:ext>
          </a:extLst>
        </xdr:cNvPr>
        <xdr:cNvSpPr>
          <a:spLocks noChangeShapeType="1"/>
        </xdr:cNvSpPr>
      </xdr:nvSpPr>
      <xdr:spPr bwMode="auto">
        <a:xfrm flipV="1">
          <a:off x="5010150" y="2333625"/>
          <a:ext cx="0" cy="114300"/>
        </a:xfrm>
        <a:prstGeom prst="line">
          <a:avLst/>
        </a:prstGeom>
        <a:noFill/>
        <a:ln w="9525">
          <a:solidFill>
            <a:srgbClr val="000000"/>
          </a:solidFill>
          <a:round/>
          <a:headEnd type="stealth" w="sm" len="sm"/>
          <a:tailEnd type="none" w="sm" len="sm"/>
        </a:ln>
      </xdr:spPr>
    </xdr:sp>
    <xdr:clientData/>
  </xdr:twoCellAnchor>
  <xdr:twoCellAnchor>
    <xdr:from>
      <xdr:col>6</xdr:col>
      <xdr:colOff>771525</xdr:colOff>
      <xdr:row>12</xdr:row>
      <xdr:rowOff>114300</xdr:rowOff>
    </xdr:from>
    <xdr:to>
      <xdr:col>6</xdr:col>
      <xdr:colOff>771525</xdr:colOff>
      <xdr:row>13</xdr:row>
      <xdr:rowOff>47625</xdr:rowOff>
    </xdr:to>
    <xdr:sp macro="" textlink="">
      <xdr:nvSpPr>
        <xdr:cNvPr id="72" name="Line 91">
          <a:extLst>
            <a:ext uri="{FF2B5EF4-FFF2-40B4-BE49-F238E27FC236}">
              <a16:creationId xmlns:a16="http://schemas.microsoft.com/office/drawing/2014/main" id="{00000000-0008-0000-0200-000048000000}"/>
            </a:ext>
          </a:extLst>
        </xdr:cNvPr>
        <xdr:cNvSpPr>
          <a:spLocks noChangeShapeType="1"/>
        </xdr:cNvSpPr>
      </xdr:nvSpPr>
      <xdr:spPr bwMode="auto">
        <a:xfrm flipV="1">
          <a:off x="5181600" y="2333625"/>
          <a:ext cx="0" cy="114300"/>
        </a:xfrm>
        <a:prstGeom prst="line">
          <a:avLst/>
        </a:prstGeom>
        <a:noFill/>
        <a:ln w="9525">
          <a:solidFill>
            <a:srgbClr val="000000"/>
          </a:solidFill>
          <a:round/>
          <a:headEnd type="stealth" w="sm" len="sm"/>
          <a:tailEnd type="none" w="sm" len="sm"/>
        </a:ln>
      </xdr:spPr>
    </xdr:sp>
    <xdr:clientData/>
  </xdr:twoCellAnchor>
  <xdr:twoCellAnchor>
    <xdr:from>
      <xdr:col>7</xdr:col>
      <xdr:colOff>114300</xdr:colOff>
      <xdr:row>12</xdr:row>
      <xdr:rowOff>114300</xdr:rowOff>
    </xdr:from>
    <xdr:to>
      <xdr:col>7</xdr:col>
      <xdr:colOff>114300</xdr:colOff>
      <xdr:row>13</xdr:row>
      <xdr:rowOff>47625</xdr:rowOff>
    </xdr:to>
    <xdr:sp macro="" textlink="">
      <xdr:nvSpPr>
        <xdr:cNvPr id="73" name="Line 92">
          <a:extLst>
            <a:ext uri="{FF2B5EF4-FFF2-40B4-BE49-F238E27FC236}">
              <a16:creationId xmlns:a16="http://schemas.microsoft.com/office/drawing/2014/main" id="{00000000-0008-0000-0200-000049000000}"/>
            </a:ext>
          </a:extLst>
        </xdr:cNvPr>
        <xdr:cNvSpPr>
          <a:spLocks noChangeShapeType="1"/>
        </xdr:cNvSpPr>
      </xdr:nvSpPr>
      <xdr:spPr bwMode="auto">
        <a:xfrm flipV="1">
          <a:off x="5343525" y="2333625"/>
          <a:ext cx="0" cy="114300"/>
        </a:xfrm>
        <a:prstGeom prst="line">
          <a:avLst/>
        </a:prstGeom>
        <a:noFill/>
        <a:ln w="9525">
          <a:solidFill>
            <a:srgbClr val="000000"/>
          </a:solidFill>
          <a:round/>
          <a:headEnd type="stealth" w="sm" len="sm"/>
          <a:tailEnd type="none" w="sm" len="sm"/>
        </a:ln>
      </xdr:spPr>
    </xdr:sp>
    <xdr:clientData/>
  </xdr:twoCellAnchor>
  <xdr:twoCellAnchor>
    <xdr:from>
      <xdr:col>5</xdr:col>
      <xdr:colOff>381000</xdr:colOff>
      <xdr:row>12</xdr:row>
      <xdr:rowOff>114300</xdr:rowOff>
    </xdr:from>
    <xdr:to>
      <xdr:col>5</xdr:col>
      <xdr:colOff>381000</xdr:colOff>
      <xdr:row>13</xdr:row>
      <xdr:rowOff>47625</xdr:rowOff>
    </xdr:to>
    <xdr:sp macro="" textlink="">
      <xdr:nvSpPr>
        <xdr:cNvPr id="74" name="Line 93">
          <a:extLst>
            <a:ext uri="{FF2B5EF4-FFF2-40B4-BE49-F238E27FC236}">
              <a16:creationId xmlns:a16="http://schemas.microsoft.com/office/drawing/2014/main" id="{00000000-0008-0000-0200-00004A000000}"/>
            </a:ext>
          </a:extLst>
        </xdr:cNvPr>
        <xdr:cNvSpPr>
          <a:spLocks noChangeShapeType="1"/>
        </xdr:cNvSpPr>
      </xdr:nvSpPr>
      <xdr:spPr bwMode="auto">
        <a:xfrm flipV="1">
          <a:off x="4181475" y="2333625"/>
          <a:ext cx="0" cy="114300"/>
        </a:xfrm>
        <a:prstGeom prst="line">
          <a:avLst/>
        </a:prstGeom>
        <a:noFill/>
        <a:ln w="9525">
          <a:solidFill>
            <a:srgbClr val="000000"/>
          </a:solidFill>
          <a:round/>
          <a:headEnd type="stealth" w="sm" len="sm"/>
          <a:tailEnd type="none" w="sm" len="sm"/>
        </a:ln>
      </xdr:spPr>
    </xdr:sp>
    <xdr:clientData/>
  </xdr:twoCellAnchor>
  <xdr:twoCellAnchor>
    <xdr:from>
      <xdr:col>5</xdr:col>
      <xdr:colOff>381000</xdr:colOff>
      <xdr:row>13</xdr:row>
      <xdr:rowOff>47625</xdr:rowOff>
    </xdr:from>
    <xdr:to>
      <xdr:col>7</xdr:col>
      <xdr:colOff>114300</xdr:colOff>
      <xdr:row>13</xdr:row>
      <xdr:rowOff>47625</xdr:rowOff>
    </xdr:to>
    <xdr:sp macro="" textlink="">
      <xdr:nvSpPr>
        <xdr:cNvPr id="75" name="Line 94">
          <a:extLst>
            <a:ext uri="{FF2B5EF4-FFF2-40B4-BE49-F238E27FC236}">
              <a16:creationId xmlns:a16="http://schemas.microsoft.com/office/drawing/2014/main" id="{00000000-0008-0000-0200-00004B000000}"/>
            </a:ext>
          </a:extLst>
        </xdr:cNvPr>
        <xdr:cNvSpPr>
          <a:spLocks noChangeShapeType="1"/>
        </xdr:cNvSpPr>
      </xdr:nvSpPr>
      <xdr:spPr bwMode="auto">
        <a:xfrm>
          <a:off x="4181475" y="2447925"/>
          <a:ext cx="1162050" cy="0"/>
        </a:xfrm>
        <a:prstGeom prst="line">
          <a:avLst/>
        </a:prstGeom>
        <a:noFill/>
        <a:ln w="9525">
          <a:solidFill>
            <a:srgbClr val="000000"/>
          </a:solidFill>
          <a:round/>
          <a:headEnd/>
          <a:tailEnd/>
        </a:ln>
      </xdr:spPr>
    </xdr:sp>
    <xdr:clientData/>
  </xdr:twoCellAnchor>
  <xdr:twoCellAnchor>
    <xdr:from>
      <xdr:col>5</xdr:col>
      <xdr:colOff>219075</xdr:colOff>
      <xdr:row>12</xdr:row>
      <xdr:rowOff>114300</xdr:rowOff>
    </xdr:from>
    <xdr:to>
      <xdr:col>5</xdr:col>
      <xdr:colOff>381000</xdr:colOff>
      <xdr:row>12</xdr:row>
      <xdr:rowOff>114300</xdr:rowOff>
    </xdr:to>
    <xdr:sp macro="" textlink="">
      <xdr:nvSpPr>
        <xdr:cNvPr id="76" name="Line 95">
          <a:extLst>
            <a:ext uri="{FF2B5EF4-FFF2-40B4-BE49-F238E27FC236}">
              <a16:creationId xmlns:a16="http://schemas.microsoft.com/office/drawing/2014/main" id="{00000000-0008-0000-0200-00004C000000}"/>
            </a:ext>
          </a:extLst>
        </xdr:cNvPr>
        <xdr:cNvSpPr>
          <a:spLocks noChangeShapeType="1"/>
        </xdr:cNvSpPr>
      </xdr:nvSpPr>
      <xdr:spPr bwMode="auto">
        <a:xfrm>
          <a:off x="4019550" y="233362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11</xdr:row>
      <xdr:rowOff>114300</xdr:rowOff>
    </xdr:from>
    <xdr:to>
      <xdr:col>5</xdr:col>
      <xdr:colOff>381000</xdr:colOff>
      <xdr:row>11</xdr:row>
      <xdr:rowOff>114300</xdr:rowOff>
    </xdr:to>
    <xdr:sp macro="" textlink="">
      <xdr:nvSpPr>
        <xdr:cNvPr id="77" name="Line 96">
          <a:extLst>
            <a:ext uri="{FF2B5EF4-FFF2-40B4-BE49-F238E27FC236}">
              <a16:creationId xmlns:a16="http://schemas.microsoft.com/office/drawing/2014/main" id="{00000000-0008-0000-0200-00004D000000}"/>
            </a:ext>
          </a:extLst>
        </xdr:cNvPr>
        <xdr:cNvSpPr>
          <a:spLocks noChangeShapeType="1"/>
        </xdr:cNvSpPr>
      </xdr:nvSpPr>
      <xdr:spPr bwMode="auto">
        <a:xfrm>
          <a:off x="4019550" y="215265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10</xdr:row>
      <xdr:rowOff>114300</xdr:rowOff>
    </xdr:from>
    <xdr:to>
      <xdr:col>5</xdr:col>
      <xdr:colOff>381000</xdr:colOff>
      <xdr:row>10</xdr:row>
      <xdr:rowOff>114300</xdr:rowOff>
    </xdr:to>
    <xdr:sp macro="" textlink="">
      <xdr:nvSpPr>
        <xdr:cNvPr id="78" name="Line 97">
          <a:extLst>
            <a:ext uri="{FF2B5EF4-FFF2-40B4-BE49-F238E27FC236}">
              <a16:creationId xmlns:a16="http://schemas.microsoft.com/office/drawing/2014/main" id="{00000000-0008-0000-0200-00004E000000}"/>
            </a:ext>
          </a:extLst>
        </xdr:cNvPr>
        <xdr:cNvSpPr>
          <a:spLocks noChangeShapeType="1"/>
        </xdr:cNvSpPr>
      </xdr:nvSpPr>
      <xdr:spPr bwMode="auto">
        <a:xfrm>
          <a:off x="4019550" y="197167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5</xdr:row>
      <xdr:rowOff>104775</xdr:rowOff>
    </xdr:from>
    <xdr:to>
      <xdr:col>5</xdr:col>
      <xdr:colOff>381000</xdr:colOff>
      <xdr:row>5</xdr:row>
      <xdr:rowOff>104775</xdr:rowOff>
    </xdr:to>
    <xdr:sp macro="" textlink="">
      <xdr:nvSpPr>
        <xdr:cNvPr id="79" name="Line 98">
          <a:extLst>
            <a:ext uri="{FF2B5EF4-FFF2-40B4-BE49-F238E27FC236}">
              <a16:creationId xmlns:a16="http://schemas.microsoft.com/office/drawing/2014/main" id="{00000000-0008-0000-0200-00004F000000}"/>
            </a:ext>
          </a:extLst>
        </xdr:cNvPr>
        <xdr:cNvSpPr>
          <a:spLocks noChangeShapeType="1"/>
        </xdr:cNvSpPr>
      </xdr:nvSpPr>
      <xdr:spPr bwMode="auto">
        <a:xfrm>
          <a:off x="4019550" y="103822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6</xdr:row>
      <xdr:rowOff>104775</xdr:rowOff>
    </xdr:from>
    <xdr:to>
      <xdr:col>5</xdr:col>
      <xdr:colOff>381000</xdr:colOff>
      <xdr:row>6</xdr:row>
      <xdr:rowOff>104775</xdr:rowOff>
    </xdr:to>
    <xdr:sp macro="" textlink="">
      <xdr:nvSpPr>
        <xdr:cNvPr id="80" name="Line 99">
          <a:extLst>
            <a:ext uri="{FF2B5EF4-FFF2-40B4-BE49-F238E27FC236}">
              <a16:creationId xmlns:a16="http://schemas.microsoft.com/office/drawing/2014/main" id="{00000000-0008-0000-0200-000050000000}"/>
            </a:ext>
          </a:extLst>
        </xdr:cNvPr>
        <xdr:cNvSpPr>
          <a:spLocks noChangeShapeType="1"/>
        </xdr:cNvSpPr>
      </xdr:nvSpPr>
      <xdr:spPr bwMode="auto">
        <a:xfrm>
          <a:off x="4019550" y="121920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7</xdr:row>
      <xdr:rowOff>104775</xdr:rowOff>
    </xdr:from>
    <xdr:to>
      <xdr:col>5</xdr:col>
      <xdr:colOff>381000</xdr:colOff>
      <xdr:row>7</xdr:row>
      <xdr:rowOff>104775</xdr:rowOff>
    </xdr:to>
    <xdr:sp macro="" textlink="">
      <xdr:nvSpPr>
        <xdr:cNvPr id="81" name="Line 100">
          <a:extLst>
            <a:ext uri="{FF2B5EF4-FFF2-40B4-BE49-F238E27FC236}">
              <a16:creationId xmlns:a16="http://schemas.microsoft.com/office/drawing/2014/main" id="{00000000-0008-0000-0200-000051000000}"/>
            </a:ext>
          </a:extLst>
        </xdr:cNvPr>
        <xdr:cNvSpPr>
          <a:spLocks noChangeShapeType="1"/>
        </xdr:cNvSpPr>
      </xdr:nvSpPr>
      <xdr:spPr bwMode="auto">
        <a:xfrm>
          <a:off x="4019550" y="1400175"/>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8</xdr:row>
      <xdr:rowOff>104775</xdr:rowOff>
    </xdr:from>
    <xdr:to>
      <xdr:col>5</xdr:col>
      <xdr:colOff>381000</xdr:colOff>
      <xdr:row>8</xdr:row>
      <xdr:rowOff>104775</xdr:rowOff>
    </xdr:to>
    <xdr:sp macro="" textlink="">
      <xdr:nvSpPr>
        <xdr:cNvPr id="82" name="Line 101">
          <a:extLst>
            <a:ext uri="{FF2B5EF4-FFF2-40B4-BE49-F238E27FC236}">
              <a16:creationId xmlns:a16="http://schemas.microsoft.com/office/drawing/2014/main" id="{00000000-0008-0000-0200-000052000000}"/>
            </a:ext>
          </a:extLst>
        </xdr:cNvPr>
        <xdr:cNvSpPr>
          <a:spLocks noChangeShapeType="1"/>
        </xdr:cNvSpPr>
      </xdr:nvSpPr>
      <xdr:spPr bwMode="auto">
        <a:xfrm>
          <a:off x="4019550" y="1581150"/>
          <a:ext cx="161925" cy="0"/>
        </a:xfrm>
        <a:prstGeom prst="line">
          <a:avLst/>
        </a:prstGeom>
        <a:noFill/>
        <a:ln w="9525">
          <a:solidFill>
            <a:srgbClr val="000000"/>
          </a:solidFill>
          <a:round/>
          <a:headEnd/>
          <a:tailEnd type="stealth" w="sm" len="sm"/>
        </a:ln>
      </xdr:spPr>
    </xdr:sp>
    <xdr:clientData/>
  </xdr:twoCellAnchor>
  <xdr:twoCellAnchor>
    <xdr:from>
      <xdr:col>5</xdr:col>
      <xdr:colOff>219075</xdr:colOff>
      <xdr:row>9</xdr:row>
      <xdr:rowOff>104775</xdr:rowOff>
    </xdr:from>
    <xdr:to>
      <xdr:col>5</xdr:col>
      <xdr:colOff>381000</xdr:colOff>
      <xdr:row>9</xdr:row>
      <xdr:rowOff>104775</xdr:rowOff>
    </xdr:to>
    <xdr:sp macro="" textlink="">
      <xdr:nvSpPr>
        <xdr:cNvPr id="83" name="Line 102">
          <a:extLst>
            <a:ext uri="{FF2B5EF4-FFF2-40B4-BE49-F238E27FC236}">
              <a16:creationId xmlns:a16="http://schemas.microsoft.com/office/drawing/2014/main" id="{00000000-0008-0000-0200-000053000000}"/>
            </a:ext>
          </a:extLst>
        </xdr:cNvPr>
        <xdr:cNvSpPr>
          <a:spLocks noChangeShapeType="1"/>
        </xdr:cNvSpPr>
      </xdr:nvSpPr>
      <xdr:spPr bwMode="auto">
        <a:xfrm>
          <a:off x="4019550" y="1781175"/>
          <a:ext cx="161925" cy="0"/>
        </a:xfrm>
        <a:prstGeom prst="line">
          <a:avLst/>
        </a:prstGeom>
        <a:noFill/>
        <a:ln w="9525">
          <a:solidFill>
            <a:srgbClr val="000000"/>
          </a:solidFill>
          <a:round/>
          <a:headEnd/>
          <a:tailEnd type="stealth" w="sm" len="sm"/>
        </a:ln>
      </xdr:spPr>
    </xdr:sp>
    <xdr:clientData/>
  </xdr:twoCellAnchor>
  <xdr:twoCellAnchor>
    <xdr:from>
      <xdr:col>5</xdr:col>
      <xdr:colOff>209550</xdr:colOff>
      <xdr:row>5</xdr:row>
      <xdr:rowOff>104775</xdr:rowOff>
    </xdr:from>
    <xdr:to>
      <xdr:col>5</xdr:col>
      <xdr:colOff>209550</xdr:colOff>
      <xdr:row>12</xdr:row>
      <xdr:rowOff>114300</xdr:rowOff>
    </xdr:to>
    <xdr:sp macro="" textlink="">
      <xdr:nvSpPr>
        <xdr:cNvPr id="84" name="Line 103">
          <a:extLst>
            <a:ext uri="{FF2B5EF4-FFF2-40B4-BE49-F238E27FC236}">
              <a16:creationId xmlns:a16="http://schemas.microsoft.com/office/drawing/2014/main" id="{00000000-0008-0000-0200-000054000000}"/>
            </a:ext>
          </a:extLst>
        </xdr:cNvPr>
        <xdr:cNvSpPr>
          <a:spLocks noChangeShapeType="1"/>
        </xdr:cNvSpPr>
      </xdr:nvSpPr>
      <xdr:spPr bwMode="auto">
        <a:xfrm>
          <a:off x="4010025" y="1038225"/>
          <a:ext cx="0" cy="1295400"/>
        </a:xfrm>
        <a:prstGeom prst="line">
          <a:avLst/>
        </a:prstGeom>
        <a:noFill/>
        <a:ln w="9525">
          <a:solidFill>
            <a:srgbClr val="000000"/>
          </a:solidFill>
          <a:round/>
          <a:headEnd/>
          <a:tailEnd/>
        </a:ln>
      </xdr:spPr>
    </xdr:sp>
    <xdr:clientData/>
  </xdr:twoCellAnchor>
  <xdr:twoCellAnchor>
    <xdr:from>
      <xdr:col>7</xdr:col>
      <xdr:colOff>114300</xdr:colOff>
      <xdr:row>5</xdr:row>
      <xdr:rowOff>104775</xdr:rowOff>
    </xdr:from>
    <xdr:to>
      <xdr:col>7</xdr:col>
      <xdr:colOff>209550</xdr:colOff>
      <xdr:row>5</xdr:row>
      <xdr:rowOff>104775</xdr:rowOff>
    </xdr:to>
    <xdr:sp macro="" textlink="">
      <xdr:nvSpPr>
        <xdr:cNvPr id="85" name="Line 104">
          <a:extLst>
            <a:ext uri="{FF2B5EF4-FFF2-40B4-BE49-F238E27FC236}">
              <a16:creationId xmlns:a16="http://schemas.microsoft.com/office/drawing/2014/main" id="{00000000-0008-0000-0200-000055000000}"/>
            </a:ext>
          </a:extLst>
        </xdr:cNvPr>
        <xdr:cNvSpPr>
          <a:spLocks noChangeShapeType="1"/>
        </xdr:cNvSpPr>
      </xdr:nvSpPr>
      <xdr:spPr bwMode="auto">
        <a:xfrm>
          <a:off x="5343525" y="103822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6</xdr:row>
      <xdr:rowOff>104775</xdr:rowOff>
    </xdr:from>
    <xdr:to>
      <xdr:col>7</xdr:col>
      <xdr:colOff>209550</xdr:colOff>
      <xdr:row>6</xdr:row>
      <xdr:rowOff>104775</xdr:rowOff>
    </xdr:to>
    <xdr:sp macro="" textlink="">
      <xdr:nvSpPr>
        <xdr:cNvPr id="86" name="Line 105">
          <a:extLst>
            <a:ext uri="{FF2B5EF4-FFF2-40B4-BE49-F238E27FC236}">
              <a16:creationId xmlns:a16="http://schemas.microsoft.com/office/drawing/2014/main" id="{00000000-0008-0000-0200-000056000000}"/>
            </a:ext>
          </a:extLst>
        </xdr:cNvPr>
        <xdr:cNvSpPr>
          <a:spLocks noChangeShapeType="1"/>
        </xdr:cNvSpPr>
      </xdr:nvSpPr>
      <xdr:spPr bwMode="auto">
        <a:xfrm>
          <a:off x="5343525" y="121920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7</xdr:row>
      <xdr:rowOff>104775</xdr:rowOff>
    </xdr:from>
    <xdr:to>
      <xdr:col>7</xdr:col>
      <xdr:colOff>209550</xdr:colOff>
      <xdr:row>7</xdr:row>
      <xdr:rowOff>104775</xdr:rowOff>
    </xdr:to>
    <xdr:sp macro="" textlink="">
      <xdr:nvSpPr>
        <xdr:cNvPr id="87" name="Line 106">
          <a:extLst>
            <a:ext uri="{FF2B5EF4-FFF2-40B4-BE49-F238E27FC236}">
              <a16:creationId xmlns:a16="http://schemas.microsoft.com/office/drawing/2014/main" id="{00000000-0008-0000-0200-000057000000}"/>
            </a:ext>
          </a:extLst>
        </xdr:cNvPr>
        <xdr:cNvSpPr>
          <a:spLocks noChangeShapeType="1"/>
        </xdr:cNvSpPr>
      </xdr:nvSpPr>
      <xdr:spPr bwMode="auto">
        <a:xfrm>
          <a:off x="5343525" y="140017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8</xdr:row>
      <xdr:rowOff>104775</xdr:rowOff>
    </xdr:from>
    <xdr:to>
      <xdr:col>7</xdr:col>
      <xdr:colOff>209550</xdr:colOff>
      <xdr:row>8</xdr:row>
      <xdr:rowOff>104775</xdr:rowOff>
    </xdr:to>
    <xdr:sp macro="" textlink="">
      <xdr:nvSpPr>
        <xdr:cNvPr id="88" name="Line 107">
          <a:extLst>
            <a:ext uri="{FF2B5EF4-FFF2-40B4-BE49-F238E27FC236}">
              <a16:creationId xmlns:a16="http://schemas.microsoft.com/office/drawing/2014/main" id="{00000000-0008-0000-0200-000058000000}"/>
            </a:ext>
          </a:extLst>
        </xdr:cNvPr>
        <xdr:cNvSpPr>
          <a:spLocks noChangeShapeType="1"/>
        </xdr:cNvSpPr>
      </xdr:nvSpPr>
      <xdr:spPr bwMode="auto">
        <a:xfrm>
          <a:off x="5343525" y="158115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9</xdr:row>
      <xdr:rowOff>104775</xdr:rowOff>
    </xdr:from>
    <xdr:to>
      <xdr:col>7</xdr:col>
      <xdr:colOff>209550</xdr:colOff>
      <xdr:row>9</xdr:row>
      <xdr:rowOff>104775</xdr:rowOff>
    </xdr:to>
    <xdr:sp macro="" textlink="">
      <xdr:nvSpPr>
        <xdr:cNvPr id="89" name="Line 108">
          <a:extLst>
            <a:ext uri="{FF2B5EF4-FFF2-40B4-BE49-F238E27FC236}">
              <a16:creationId xmlns:a16="http://schemas.microsoft.com/office/drawing/2014/main" id="{00000000-0008-0000-0200-000059000000}"/>
            </a:ext>
          </a:extLst>
        </xdr:cNvPr>
        <xdr:cNvSpPr>
          <a:spLocks noChangeShapeType="1"/>
        </xdr:cNvSpPr>
      </xdr:nvSpPr>
      <xdr:spPr bwMode="auto">
        <a:xfrm>
          <a:off x="5343525" y="178117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10</xdr:row>
      <xdr:rowOff>114300</xdr:rowOff>
    </xdr:from>
    <xdr:to>
      <xdr:col>7</xdr:col>
      <xdr:colOff>209550</xdr:colOff>
      <xdr:row>10</xdr:row>
      <xdr:rowOff>114300</xdr:rowOff>
    </xdr:to>
    <xdr:sp macro="" textlink="">
      <xdr:nvSpPr>
        <xdr:cNvPr id="90" name="Line 109">
          <a:extLst>
            <a:ext uri="{FF2B5EF4-FFF2-40B4-BE49-F238E27FC236}">
              <a16:creationId xmlns:a16="http://schemas.microsoft.com/office/drawing/2014/main" id="{00000000-0008-0000-0200-00005A000000}"/>
            </a:ext>
          </a:extLst>
        </xdr:cNvPr>
        <xdr:cNvSpPr>
          <a:spLocks noChangeShapeType="1"/>
        </xdr:cNvSpPr>
      </xdr:nvSpPr>
      <xdr:spPr bwMode="auto">
        <a:xfrm>
          <a:off x="5343525" y="1971675"/>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11</xdr:row>
      <xdr:rowOff>114300</xdr:rowOff>
    </xdr:from>
    <xdr:to>
      <xdr:col>7</xdr:col>
      <xdr:colOff>209550</xdr:colOff>
      <xdr:row>11</xdr:row>
      <xdr:rowOff>114300</xdr:rowOff>
    </xdr:to>
    <xdr:sp macro="" textlink="">
      <xdr:nvSpPr>
        <xdr:cNvPr id="91" name="Line 110">
          <a:extLst>
            <a:ext uri="{FF2B5EF4-FFF2-40B4-BE49-F238E27FC236}">
              <a16:creationId xmlns:a16="http://schemas.microsoft.com/office/drawing/2014/main" id="{00000000-0008-0000-0200-00005B000000}"/>
            </a:ext>
          </a:extLst>
        </xdr:cNvPr>
        <xdr:cNvSpPr>
          <a:spLocks noChangeShapeType="1"/>
        </xdr:cNvSpPr>
      </xdr:nvSpPr>
      <xdr:spPr bwMode="auto">
        <a:xfrm>
          <a:off x="5343525" y="2152650"/>
          <a:ext cx="95250" cy="0"/>
        </a:xfrm>
        <a:prstGeom prst="line">
          <a:avLst/>
        </a:prstGeom>
        <a:noFill/>
        <a:ln w="9525">
          <a:solidFill>
            <a:srgbClr val="000000"/>
          </a:solidFill>
          <a:round/>
          <a:headEnd/>
          <a:tailEnd type="stealth" w="sm" len="sm"/>
        </a:ln>
      </xdr:spPr>
    </xdr:sp>
    <xdr:clientData/>
  </xdr:twoCellAnchor>
  <xdr:twoCellAnchor>
    <xdr:from>
      <xdr:col>7</xdr:col>
      <xdr:colOff>114300</xdr:colOff>
      <xdr:row>12</xdr:row>
      <xdr:rowOff>114300</xdr:rowOff>
    </xdr:from>
    <xdr:to>
      <xdr:col>7</xdr:col>
      <xdr:colOff>209550</xdr:colOff>
      <xdr:row>12</xdr:row>
      <xdr:rowOff>114300</xdr:rowOff>
    </xdr:to>
    <xdr:sp macro="" textlink="">
      <xdr:nvSpPr>
        <xdr:cNvPr id="92" name="Line 111">
          <a:extLst>
            <a:ext uri="{FF2B5EF4-FFF2-40B4-BE49-F238E27FC236}">
              <a16:creationId xmlns:a16="http://schemas.microsoft.com/office/drawing/2014/main" id="{00000000-0008-0000-0200-00005C000000}"/>
            </a:ext>
          </a:extLst>
        </xdr:cNvPr>
        <xdr:cNvSpPr>
          <a:spLocks noChangeShapeType="1"/>
        </xdr:cNvSpPr>
      </xdr:nvSpPr>
      <xdr:spPr bwMode="auto">
        <a:xfrm>
          <a:off x="5343525" y="2333625"/>
          <a:ext cx="95250" cy="0"/>
        </a:xfrm>
        <a:prstGeom prst="line">
          <a:avLst/>
        </a:prstGeom>
        <a:noFill/>
        <a:ln w="9525">
          <a:solidFill>
            <a:srgbClr val="000000"/>
          </a:solidFill>
          <a:round/>
          <a:headEnd/>
          <a:tailEnd type="stealth" w="sm" len="sm"/>
        </a:ln>
      </xdr:spPr>
    </xdr:sp>
    <xdr:clientData/>
  </xdr:twoCellAnchor>
  <xdr:twoCellAnchor>
    <xdr:from>
      <xdr:col>7</xdr:col>
      <xdr:colOff>209550</xdr:colOff>
      <xdr:row>5</xdr:row>
      <xdr:rowOff>104775</xdr:rowOff>
    </xdr:from>
    <xdr:to>
      <xdr:col>7</xdr:col>
      <xdr:colOff>209550</xdr:colOff>
      <xdr:row>12</xdr:row>
      <xdr:rowOff>114300</xdr:rowOff>
    </xdr:to>
    <xdr:sp macro="" textlink="">
      <xdr:nvSpPr>
        <xdr:cNvPr id="93" name="Line 112">
          <a:extLst>
            <a:ext uri="{FF2B5EF4-FFF2-40B4-BE49-F238E27FC236}">
              <a16:creationId xmlns:a16="http://schemas.microsoft.com/office/drawing/2014/main" id="{00000000-0008-0000-0200-00005D000000}"/>
            </a:ext>
          </a:extLst>
        </xdr:cNvPr>
        <xdr:cNvSpPr>
          <a:spLocks noChangeShapeType="1"/>
        </xdr:cNvSpPr>
      </xdr:nvSpPr>
      <xdr:spPr bwMode="auto">
        <a:xfrm>
          <a:off x="5438775" y="1038225"/>
          <a:ext cx="0" cy="1295400"/>
        </a:xfrm>
        <a:prstGeom prst="line">
          <a:avLst/>
        </a:prstGeom>
        <a:noFill/>
        <a:ln w="9525">
          <a:solidFill>
            <a:srgbClr val="000000"/>
          </a:solidFill>
          <a:round/>
          <a:headEnd/>
          <a:tailEnd/>
        </a:ln>
      </xdr:spPr>
    </xdr:sp>
    <xdr:clientData/>
  </xdr:twoCellAnchor>
  <xdr:twoCellAnchor>
    <xdr:from>
      <xdr:col>4</xdr:col>
      <xdr:colOff>409575</xdr:colOff>
      <xdr:row>9</xdr:row>
      <xdr:rowOff>19050</xdr:rowOff>
    </xdr:from>
    <xdr:to>
      <xdr:col>5</xdr:col>
      <xdr:colOff>171450</xdr:colOff>
      <xdr:row>9</xdr:row>
      <xdr:rowOff>19050</xdr:rowOff>
    </xdr:to>
    <xdr:sp macro="" textlink="">
      <xdr:nvSpPr>
        <xdr:cNvPr id="94" name="Line 113">
          <a:extLst>
            <a:ext uri="{FF2B5EF4-FFF2-40B4-BE49-F238E27FC236}">
              <a16:creationId xmlns:a16="http://schemas.microsoft.com/office/drawing/2014/main" id="{00000000-0008-0000-0200-00005E000000}"/>
            </a:ext>
          </a:extLst>
        </xdr:cNvPr>
        <xdr:cNvSpPr>
          <a:spLocks noChangeShapeType="1"/>
        </xdr:cNvSpPr>
      </xdr:nvSpPr>
      <xdr:spPr bwMode="auto">
        <a:xfrm>
          <a:off x="3600450" y="1695450"/>
          <a:ext cx="371475" cy="0"/>
        </a:xfrm>
        <a:prstGeom prst="line">
          <a:avLst/>
        </a:prstGeom>
        <a:noFill/>
        <a:ln w="9525">
          <a:solidFill>
            <a:srgbClr val="000000"/>
          </a:solidFill>
          <a:round/>
          <a:headEnd/>
          <a:tailEnd type="stealth" w="sm" len="med"/>
        </a:ln>
      </xdr:spPr>
    </xdr:sp>
    <xdr:clientData/>
  </xdr:twoCellAnchor>
  <xdr:twoCellAnchor>
    <xdr:from>
      <xdr:col>4</xdr:col>
      <xdr:colOff>390525</xdr:colOff>
      <xdr:row>8</xdr:row>
      <xdr:rowOff>28575</xdr:rowOff>
    </xdr:from>
    <xdr:to>
      <xdr:col>5</xdr:col>
      <xdr:colOff>123825</xdr:colOff>
      <xdr:row>9</xdr:row>
      <xdr:rowOff>38100</xdr:rowOff>
    </xdr:to>
    <xdr:sp macro="" textlink="">
      <xdr:nvSpPr>
        <xdr:cNvPr id="95" name="Text Box 114">
          <a:extLst>
            <a:ext uri="{FF2B5EF4-FFF2-40B4-BE49-F238E27FC236}">
              <a16:creationId xmlns:a16="http://schemas.microsoft.com/office/drawing/2014/main" id="{00000000-0008-0000-0200-00005F000000}"/>
            </a:ext>
          </a:extLst>
        </xdr:cNvPr>
        <xdr:cNvSpPr txBox="1">
          <a:spLocks noChangeArrowheads="1"/>
        </xdr:cNvSpPr>
      </xdr:nvSpPr>
      <xdr:spPr bwMode="auto">
        <a:xfrm>
          <a:off x="3581400" y="1504950"/>
          <a:ext cx="342900" cy="209550"/>
        </a:xfrm>
        <a:prstGeom prst="rect">
          <a:avLst/>
        </a:prstGeom>
        <a:noFill/>
        <a:ln>
          <a:noFill/>
        </a:ln>
      </xdr:spPr>
      <xdr:txBody>
        <a:bodyPr vertOverflow="clip" wrap="square" lIns="27432" tIns="22860" rIns="0" bIns="0" anchor="t" upright="1"/>
        <a:lstStyle/>
        <a:p>
          <a:pPr algn="l" rtl="0">
            <a:defRPr sz="1000"/>
          </a:pPr>
          <a:r>
            <a:rPr lang="en-US" sz="900" b="0" i="1" u="none" strike="noStrike" baseline="0">
              <a:solidFill>
                <a:srgbClr val="0000FF"/>
              </a:solidFill>
              <a:latin typeface="Arial"/>
              <a:cs typeface="Arial"/>
            </a:rPr>
            <a:t>Wx</a:t>
          </a:r>
          <a:endParaRPr lang="en-US"/>
        </a:p>
      </xdr:txBody>
    </xdr:sp>
    <xdr:clientData/>
  </xdr:twoCellAnchor>
  <xdr:twoCellAnchor>
    <xdr:from>
      <xdr:col>6</xdr:col>
      <xdr:colOff>200025</xdr:colOff>
      <xdr:row>14</xdr:row>
      <xdr:rowOff>76200</xdr:rowOff>
    </xdr:from>
    <xdr:to>
      <xdr:col>6</xdr:col>
      <xdr:colOff>581025</xdr:colOff>
      <xdr:row>15</xdr:row>
      <xdr:rowOff>104775</xdr:rowOff>
    </xdr:to>
    <xdr:sp macro="" textlink="">
      <xdr:nvSpPr>
        <xdr:cNvPr id="96" name="Text Box 115">
          <a:extLst>
            <a:ext uri="{FF2B5EF4-FFF2-40B4-BE49-F238E27FC236}">
              <a16:creationId xmlns:a16="http://schemas.microsoft.com/office/drawing/2014/main" id="{00000000-0008-0000-0200-000060000000}"/>
            </a:ext>
          </a:extLst>
        </xdr:cNvPr>
        <xdr:cNvSpPr txBox="1">
          <a:spLocks noChangeArrowheads="1"/>
        </xdr:cNvSpPr>
      </xdr:nvSpPr>
      <xdr:spPr bwMode="auto">
        <a:xfrm>
          <a:off x="4610100" y="2657475"/>
          <a:ext cx="381000" cy="228600"/>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Plan</a:t>
          </a:r>
          <a:endParaRPr lang="en-US"/>
        </a:p>
      </xdr:txBody>
    </xdr:sp>
    <xdr:clientData/>
  </xdr:twoCellAnchor>
  <xdr:twoCellAnchor>
    <xdr:from>
      <xdr:col>6</xdr:col>
      <xdr:colOff>57150</xdr:colOff>
      <xdr:row>23</xdr:row>
      <xdr:rowOff>9525</xdr:rowOff>
    </xdr:from>
    <xdr:to>
      <xdr:col>6</xdr:col>
      <xdr:colOff>695325</xdr:colOff>
      <xdr:row>24</xdr:row>
      <xdr:rowOff>57150</xdr:rowOff>
    </xdr:to>
    <xdr:sp macro="" textlink="">
      <xdr:nvSpPr>
        <xdr:cNvPr id="97" name="Text Box 116">
          <a:extLst>
            <a:ext uri="{FF2B5EF4-FFF2-40B4-BE49-F238E27FC236}">
              <a16:creationId xmlns:a16="http://schemas.microsoft.com/office/drawing/2014/main" id="{00000000-0008-0000-0200-000061000000}"/>
            </a:ext>
          </a:extLst>
        </xdr:cNvPr>
        <xdr:cNvSpPr txBox="1">
          <a:spLocks noChangeArrowheads="1"/>
        </xdr:cNvSpPr>
      </xdr:nvSpPr>
      <xdr:spPr bwMode="auto">
        <a:xfrm>
          <a:off x="4467225" y="4200525"/>
          <a:ext cx="638175" cy="209550"/>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Elevation</a:t>
          </a:r>
          <a:endParaRPr lang="en-US"/>
        </a:p>
      </xdr:txBody>
    </xdr:sp>
    <xdr:clientData/>
  </xdr:twoCellAnchor>
  <xdr:twoCellAnchor>
    <xdr:from>
      <xdr:col>6</xdr:col>
      <xdr:colOff>285750</xdr:colOff>
      <xdr:row>21</xdr:row>
      <xdr:rowOff>85725</xdr:rowOff>
    </xdr:from>
    <xdr:to>
      <xdr:col>6</xdr:col>
      <xdr:colOff>666750</xdr:colOff>
      <xdr:row>22</xdr:row>
      <xdr:rowOff>123825</xdr:rowOff>
    </xdr:to>
    <xdr:sp macro="" textlink="">
      <xdr:nvSpPr>
        <xdr:cNvPr id="98" name="Text Box 117">
          <a:extLst>
            <a:ext uri="{FF2B5EF4-FFF2-40B4-BE49-F238E27FC236}">
              <a16:creationId xmlns:a16="http://schemas.microsoft.com/office/drawing/2014/main" id="{00000000-0008-0000-0200-000062000000}"/>
            </a:ext>
          </a:extLst>
        </xdr:cNvPr>
        <xdr:cNvSpPr txBox="1">
          <a:spLocks noChangeArrowheads="1"/>
        </xdr:cNvSpPr>
      </xdr:nvSpPr>
      <xdr:spPr bwMode="auto">
        <a:xfrm>
          <a:off x="4695825" y="3952875"/>
          <a:ext cx="381000" cy="200025"/>
        </a:xfrm>
        <a:prstGeom prst="rect">
          <a:avLst/>
        </a:prstGeom>
        <a:noFill/>
        <a:ln>
          <a:noFill/>
        </a:ln>
      </xdr:spPr>
      <xdr:txBody>
        <a:bodyPr vertOverflow="clip" wrap="square" lIns="27432" tIns="22860" rIns="0" bIns="0" anchor="t" upright="1"/>
        <a:lstStyle/>
        <a:p>
          <a:pPr algn="l" rtl="0">
            <a:defRPr sz="1000"/>
          </a:pPr>
          <a:r>
            <a:rPr lang="en-US" altLang="zh-TW"/>
            <a:t>Lx</a:t>
          </a:r>
          <a:endParaRPr lang="en-US"/>
        </a:p>
      </xdr:txBody>
    </xdr:sp>
    <xdr:clientData/>
  </xdr:twoCellAnchor>
  <xdr:twoCellAnchor editAs="oneCell">
    <xdr:from>
      <xdr:col>8</xdr:col>
      <xdr:colOff>647700</xdr:colOff>
      <xdr:row>2</xdr:row>
      <xdr:rowOff>152401</xdr:rowOff>
    </xdr:from>
    <xdr:to>
      <xdr:col>24</xdr:col>
      <xdr:colOff>121501</xdr:colOff>
      <xdr:row>41</xdr:row>
      <xdr:rowOff>28577</xdr:rowOff>
    </xdr:to>
    <xdr:pic>
      <xdr:nvPicPr>
        <xdr:cNvPr id="99" name="Picture 1">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34175" y="542926"/>
          <a:ext cx="4722076" cy="670560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47625</xdr:colOff>
      <xdr:row>1</xdr:row>
      <xdr:rowOff>57150</xdr:rowOff>
    </xdr:from>
    <xdr:to>
      <xdr:col>13</xdr:col>
      <xdr:colOff>389157</xdr:colOff>
      <xdr:row>20</xdr:row>
      <xdr:rowOff>120651</xdr:rowOff>
    </xdr:to>
    <xdr:pic>
      <xdr:nvPicPr>
        <xdr:cNvPr id="2" name="Picture 1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95950" y="304800"/>
          <a:ext cx="2779932" cy="40449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476250</xdr:colOff>
      <xdr:row>9</xdr:row>
      <xdr:rowOff>19050</xdr:rowOff>
    </xdr:from>
    <xdr:to>
      <xdr:col>13</xdr:col>
      <xdr:colOff>131719</xdr:colOff>
      <xdr:row>20</xdr:row>
      <xdr:rowOff>3175</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43450" y="1476375"/>
          <a:ext cx="3313069" cy="17653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514350</xdr:colOff>
      <xdr:row>6</xdr:row>
      <xdr:rowOff>104775</xdr:rowOff>
    </xdr:from>
    <xdr:to>
      <xdr:col>7</xdr:col>
      <xdr:colOff>323850</xdr:colOff>
      <xdr:row>13</xdr:row>
      <xdr:rowOff>114300</xdr:rowOff>
    </xdr:to>
    <xdr:sp macro="" textlink="">
      <xdr:nvSpPr>
        <xdr:cNvPr id="258566" name="Rectangle 21">
          <a:extLst>
            <a:ext uri="{FF2B5EF4-FFF2-40B4-BE49-F238E27FC236}">
              <a16:creationId xmlns:a16="http://schemas.microsoft.com/office/drawing/2014/main" id="{00000000-0008-0000-0600-000006F20300}"/>
            </a:ext>
          </a:extLst>
        </xdr:cNvPr>
        <xdr:cNvSpPr>
          <a:spLocks noChangeArrowheads="1"/>
        </xdr:cNvSpPr>
      </xdr:nvSpPr>
      <xdr:spPr bwMode="auto">
        <a:xfrm>
          <a:off x="4410075" y="1114425"/>
          <a:ext cx="1162050" cy="1143000"/>
        </a:xfrm>
        <a:prstGeom prst="rect">
          <a:avLst/>
        </a:prstGeom>
        <a:solidFill>
          <a:srgbClr val="FFFFFF"/>
        </a:solidFill>
        <a:ln w="9525">
          <a:solidFill>
            <a:srgbClr val="000000"/>
          </a:solidFill>
          <a:miter lim="800000"/>
          <a:headEnd/>
          <a:tailEnd/>
        </a:ln>
      </xdr:spPr>
    </xdr:sp>
    <xdr:clientData/>
  </xdr:twoCellAnchor>
  <xdr:twoCellAnchor>
    <xdr:from>
      <xdr:col>6</xdr:col>
      <xdr:colOff>419100</xdr:colOff>
      <xdr:row>6</xdr:row>
      <xdr:rowOff>104775</xdr:rowOff>
    </xdr:from>
    <xdr:to>
      <xdr:col>6</xdr:col>
      <xdr:colOff>419100</xdr:colOff>
      <xdr:row>13</xdr:row>
      <xdr:rowOff>114300</xdr:rowOff>
    </xdr:to>
    <xdr:sp macro="" textlink="">
      <xdr:nvSpPr>
        <xdr:cNvPr id="258567" name="Line 22">
          <a:extLst>
            <a:ext uri="{FF2B5EF4-FFF2-40B4-BE49-F238E27FC236}">
              <a16:creationId xmlns:a16="http://schemas.microsoft.com/office/drawing/2014/main" id="{00000000-0008-0000-0600-000007F20300}"/>
            </a:ext>
          </a:extLst>
        </xdr:cNvPr>
        <xdr:cNvSpPr>
          <a:spLocks noChangeShapeType="1"/>
        </xdr:cNvSpPr>
      </xdr:nvSpPr>
      <xdr:spPr bwMode="auto">
        <a:xfrm>
          <a:off x="4991100" y="1114425"/>
          <a:ext cx="0" cy="1143000"/>
        </a:xfrm>
        <a:prstGeom prst="line">
          <a:avLst/>
        </a:prstGeom>
        <a:noFill/>
        <a:ln w="9525">
          <a:solidFill>
            <a:srgbClr val="000000"/>
          </a:solidFill>
          <a:round/>
          <a:headEnd/>
          <a:tailEnd/>
        </a:ln>
      </xdr:spPr>
    </xdr:sp>
    <xdr:clientData/>
  </xdr:twoCellAnchor>
  <xdr:twoCellAnchor>
    <xdr:from>
      <xdr:col>5</xdr:col>
      <xdr:colOff>514350</xdr:colOff>
      <xdr:row>20</xdr:row>
      <xdr:rowOff>9525</xdr:rowOff>
    </xdr:from>
    <xdr:to>
      <xdr:col>5</xdr:col>
      <xdr:colOff>514350</xdr:colOff>
      <xdr:row>22</xdr:row>
      <xdr:rowOff>95250</xdr:rowOff>
    </xdr:to>
    <xdr:sp macro="" textlink="">
      <xdr:nvSpPr>
        <xdr:cNvPr id="258568" name="Line 23">
          <a:extLst>
            <a:ext uri="{FF2B5EF4-FFF2-40B4-BE49-F238E27FC236}">
              <a16:creationId xmlns:a16="http://schemas.microsoft.com/office/drawing/2014/main" id="{00000000-0008-0000-0600-000008F20300}"/>
            </a:ext>
          </a:extLst>
        </xdr:cNvPr>
        <xdr:cNvSpPr>
          <a:spLocks noChangeShapeType="1"/>
        </xdr:cNvSpPr>
      </xdr:nvSpPr>
      <xdr:spPr bwMode="auto">
        <a:xfrm flipV="1">
          <a:off x="4410075" y="3286125"/>
          <a:ext cx="0" cy="409575"/>
        </a:xfrm>
        <a:prstGeom prst="line">
          <a:avLst/>
        </a:prstGeom>
        <a:noFill/>
        <a:ln w="9525">
          <a:solidFill>
            <a:srgbClr val="000000"/>
          </a:solidFill>
          <a:round/>
          <a:headEnd/>
          <a:tailEnd/>
        </a:ln>
      </xdr:spPr>
    </xdr:sp>
    <xdr:clientData/>
  </xdr:twoCellAnchor>
  <xdr:twoCellAnchor>
    <xdr:from>
      <xdr:col>7</xdr:col>
      <xdr:colOff>323850</xdr:colOff>
      <xdr:row>20</xdr:row>
      <xdr:rowOff>9525</xdr:rowOff>
    </xdr:from>
    <xdr:to>
      <xdr:col>7</xdr:col>
      <xdr:colOff>323850</xdr:colOff>
      <xdr:row>22</xdr:row>
      <xdr:rowOff>95250</xdr:rowOff>
    </xdr:to>
    <xdr:sp macro="" textlink="">
      <xdr:nvSpPr>
        <xdr:cNvPr id="258569" name="Line 24">
          <a:extLst>
            <a:ext uri="{FF2B5EF4-FFF2-40B4-BE49-F238E27FC236}">
              <a16:creationId xmlns:a16="http://schemas.microsoft.com/office/drawing/2014/main" id="{00000000-0008-0000-0600-000009F20300}"/>
            </a:ext>
          </a:extLst>
        </xdr:cNvPr>
        <xdr:cNvSpPr>
          <a:spLocks noChangeShapeType="1"/>
        </xdr:cNvSpPr>
      </xdr:nvSpPr>
      <xdr:spPr bwMode="auto">
        <a:xfrm flipV="1">
          <a:off x="5572125" y="3286125"/>
          <a:ext cx="0" cy="409575"/>
        </a:xfrm>
        <a:prstGeom prst="line">
          <a:avLst/>
        </a:prstGeom>
        <a:noFill/>
        <a:ln w="9525">
          <a:solidFill>
            <a:srgbClr val="000000"/>
          </a:solidFill>
          <a:round/>
          <a:headEnd/>
          <a:tailEnd/>
        </a:ln>
      </xdr:spPr>
    </xdr:sp>
    <xdr:clientData/>
  </xdr:twoCellAnchor>
  <xdr:twoCellAnchor>
    <xdr:from>
      <xdr:col>5</xdr:col>
      <xdr:colOff>514350</xdr:colOff>
      <xdr:row>17</xdr:row>
      <xdr:rowOff>152400</xdr:rowOff>
    </xdr:from>
    <xdr:to>
      <xdr:col>6</xdr:col>
      <xdr:colOff>419100</xdr:colOff>
      <xdr:row>20</xdr:row>
      <xdr:rowOff>9525</xdr:rowOff>
    </xdr:to>
    <xdr:sp macro="" textlink="">
      <xdr:nvSpPr>
        <xdr:cNvPr id="258570" name="Line 25">
          <a:extLst>
            <a:ext uri="{FF2B5EF4-FFF2-40B4-BE49-F238E27FC236}">
              <a16:creationId xmlns:a16="http://schemas.microsoft.com/office/drawing/2014/main" id="{00000000-0008-0000-0600-00000AF20300}"/>
            </a:ext>
          </a:extLst>
        </xdr:cNvPr>
        <xdr:cNvSpPr>
          <a:spLocks noChangeShapeType="1"/>
        </xdr:cNvSpPr>
      </xdr:nvSpPr>
      <xdr:spPr bwMode="auto">
        <a:xfrm flipV="1">
          <a:off x="4410075" y="2943225"/>
          <a:ext cx="581025" cy="342900"/>
        </a:xfrm>
        <a:prstGeom prst="line">
          <a:avLst/>
        </a:prstGeom>
        <a:noFill/>
        <a:ln w="9525">
          <a:solidFill>
            <a:srgbClr val="000000"/>
          </a:solidFill>
          <a:round/>
          <a:headEnd/>
          <a:tailEnd/>
        </a:ln>
      </xdr:spPr>
    </xdr:sp>
    <xdr:clientData/>
  </xdr:twoCellAnchor>
  <xdr:twoCellAnchor>
    <xdr:from>
      <xdr:col>6</xdr:col>
      <xdr:colOff>419100</xdr:colOff>
      <xdr:row>17</xdr:row>
      <xdr:rowOff>152400</xdr:rowOff>
    </xdr:from>
    <xdr:to>
      <xdr:col>7</xdr:col>
      <xdr:colOff>323850</xdr:colOff>
      <xdr:row>20</xdr:row>
      <xdr:rowOff>9525</xdr:rowOff>
    </xdr:to>
    <xdr:sp macro="" textlink="">
      <xdr:nvSpPr>
        <xdr:cNvPr id="258571" name="Line 26">
          <a:extLst>
            <a:ext uri="{FF2B5EF4-FFF2-40B4-BE49-F238E27FC236}">
              <a16:creationId xmlns:a16="http://schemas.microsoft.com/office/drawing/2014/main" id="{00000000-0008-0000-0600-00000BF20300}"/>
            </a:ext>
          </a:extLst>
        </xdr:cNvPr>
        <xdr:cNvSpPr>
          <a:spLocks noChangeShapeType="1"/>
        </xdr:cNvSpPr>
      </xdr:nvSpPr>
      <xdr:spPr bwMode="auto">
        <a:xfrm>
          <a:off x="4991100" y="2943225"/>
          <a:ext cx="581025" cy="342900"/>
        </a:xfrm>
        <a:prstGeom prst="line">
          <a:avLst/>
        </a:prstGeom>
        <a:noFill/>
        <a:ln w="9525">
          <a:solidFill>
            <a:srgbClr val="000000"/>
          </a:solidFill>
          <a:round/>
          <a:headEnd/>
          <a:tailEnd/>
        </a:ln>
      </xdr:spPr>
    </xdr:sp>
    <xdr:clientData/>
  </xdr:twoCellAnchor>
  <xdr:twoCellAnchor>
    <xdr:from>
      <xdr:col>5</xdr:col>
      <xdr:colOff>514350</xdr:colOff>
      <xdr:row>22</xdr:row>
      <xdr:rowOff>95250</xdr:rowOff>
    </xdr:from>
    <xdr:to>
      <xdr:col>7</xdr:col>
      <xdr:colOff>323850</xdr:colOff>
      <xdr:row>22</xdr:row>
      <xdr:rowOff>95250</xdr:rowOff>
    </xdr:to>
    <xdr:sp macro="" textlink="">
      <xdr:nvSpPr>
        <xdr:cNvPr id="258572" name="Line 27">
          <a:extLst>
            <a:ext uri="{FF2B5EF4-FFF2-40B4-BE49-F238E27FC236}">
              <a16:creationId xmlns:a16="http://schemas.microsoft.com/office/drawing/2014/main" id="{00000000-0008-0000-0600-00000CF20300}"/>
            </a:ext>
          </a:extLst>
        </xdr:cNvPr>
        <xdr:cNvSpPr>
          <a:spLocks noChangeShapeType="1"/>
        </xdr:cNvSpPr>
      </xdr:nvSpPr>
      <xdr:spPr bwMode="auto">
        <a:xfrm>
          <a:off x="4410075" y="3695700"/>
          <a:ext cx="1162050" cy="0"/>
        </a:xfrm>
        <a:prstGeom prst="line">
          <a:avLst/>
        </a:prstGeom>
        <a:noFill/>
        <a:ln w="9525">
          <a:solidFill>
            <a:srgbClr val="000000"/>
          </a:solidFill>
          <a:round/>
          <a:headEnd/>
          <a:tailEnd/>
        </a:ln>
      </xdr:spPr>
    </xdr:sp>
    <xdr:clientData/>
  </xdr:twoCellAnchor>
  <xdr:twoCellAnchor>
    <xdr:from>
      <xdr:col>5</xdr:col>
      <xdr:colOff>514350</xdr:colOff>
      <xdr:row>15</xdr:row>
      <xdr:rowOff>38100</xdr:rowOff>
    </xdr:from>
    <xdr:to>
      <xdr:col>7</xdr:col>
      <xdr:colOff>323850</xdr:colOff>
      <xdr:row>15</xdr:row>
      <xdr:rowOff>38100</xdr:rowOff>
    </xdr:to>
    <xdr:sp macro="" textlink="">
      <xdr:nvSpPr>
        <xdr:cNvPr id="258573" name="Line 28">
          <a:extLst>
            <a:ext uri="{FF2B5EF4-FFF2-40B4-BE49-F238E27FC236}">
              <a16:creationId xmlns:a16="http://schemas.microsoft.com/office/drawing/2014/main" id="{00000000-0008-0000-0600-00000DF20300}"/>
            </a:ext>
          </a:extLst>
        </xdr:cNvPr>
        <xdr:cNvSpPr>
          <a:spLocks noChangeShapeType="1"/>
        </xdr:cNvSpPr>
      </xdr:nvSpPr>
      <xdr:spPr bwMode="auto">
        <a:xfrm>
          <a:off x="4410075" y="2505075"/>
          <a:ext cx="1162050" cy="0"/>
        </a:xfrm>
        <a:prstGeom prst="line">
          <a:avLst/>
        </a:prstGeom>
        <a:noFill/>
        <a:ln w="9525">
          <a:solidFill>
            <a:srgbClr val="000000"/>
          </a:solidFill>
          <a:round/>
          <a:headEnd type="stealth" w="sm" len="sm"/>
          <a:tailEnd type="stealth" w="sm" len="sm"/>
        </a:ln>
      </xdr:spPr>
    </xdr:sp>
    <xdr:clientData/>
  </xdr:twoCellAnchor>
  <xdr:twoCellAnchor>
    <xdr:from>
      <xdr:col>5</xdr:col>
      <xdr:colOff>514350</xdr:colOff>
      <xdr:row>13</xdr:row>
      <xdr:rowOff>152400</xdr:rowOff>
    </xdr:from>
    <xdr:to>
      <xdr:col>5</xdr:col>
      <xdr:colOff>514350</xdr:colOff>
      <xdr:row>15</xdr:row>
      <xdr:rowOff>95250</xdr:rowOff>
    </xdr:to>
    <xdr:sp macro="" textlink="">
      <xdr:nvSpPr>
        <xdr:cNvPr id="258574" name="Line 29">
          <a:extLst>
            <a:ext uri="{FF2B5EF4-FFF2-40B4-BE49-F238E27FC236}">
              <a16:creationId xmlns:a16="http://schemas.microsoft.com/office/drawing/2014/main" id="{00000000-0008-0000-0600-00000EF20300}"/>
            </a:ext>
          </a:extLst>
        </xdr:cNvPr>
        <xdr:cNvSpPr>
          <a:spLocks noChangeShapeType="1"/>
        </xdr:cNvSpPr>
      </xdr:nvSpPr>
      <xdr:spPr bwMode="auto">
        <a:xfrm>
          <a:off x="4410075" y="2295525"/>
          <a:ext cx="0" cy="266700"/>
        </a:xfrm>
        <a:prstGeom prst="line">
          <a:avLst/>
        </a:prstGeom>
        <a:noFill/>
        <a:ln w="9525">
          <a:solidFill>
            <a:srgbClr val="000000"/>
          </a:solidFill>
          <a:round/>
          <a:headEnd/>
          <a:tailEnd/>
        </a:ln>
      </xdr:spPr>
    </xdr:sp>
    <xdr:clientData/>
  </xdr:twoCellAnchor>
  <xdr:twoCellAnchor>
    <xdr:from>
      <xdr:col>7</xdr:col>
      <xdr:colOff>323850</xdr:colOff>
      <xdr:row>13</xdr:row>
      <xdr:rowOff>152400</xdr:rowOff>
    </xdr:from>
    <xdr:to>
      <xdr:col>7</xdr:col>
      <xdr:colOff>323850</xdr:colOff>
      <xdr:row>15</xdr:row>
      <xdr:rowOff>95250</xdr:rowOff>
    </xdr:to>
    <xdr:sp macro="" textlink="">
      <xdr:nvSpPr>
        <xdr:cNvPr id="258575" name="Line 30">
          <a:extLst>
            <a:ext uri="{FF2B5EF4-FFF2-40B4-BE49-F238E27FC236}">
              <a16:creationId xmlns:a16="http://schemas.microsoft.com/office/drawing/2014/main" id="{00000000-0008-0000-0600-00000FF20300}"/>
            </a:ext>
          </a:extLst>
        </xdr:cNvPr>
        <xdr:cNvSpPr>
          <a:spLocks noChangeShapeType="1"/>
        </xdr:cNvSpPr>
      </xdr:nvSpPr>
      <xdr:spPr bwMode="auto">
        <a:xfrm>
          <a:off x="5572125" y="2295525"/>
          <a:ext cx="0" cy="266700"/>
        </a:xfrm>
        <a:prstGeom prst="line">
          <a:avLst/>
        </a:prstGeom>
        <a:noFill/>
        <a:ln w="9525">
          <a:solidFill>
            <a:srgbClr val="000000"/>
          </a:solidFill>
          <a:round/>
          <a:headEnd/>
          <a:tailEnd/>
        </a:ln>
      </xdr:spPr>
    </xdr:sp>
    <xdr:clientData/>
  </xdr:twoCellAnchor>
  <xdr:twoCellAnchor>
    <xdr:from>
      <xdr:col>5</xdr:col>
      <xdr:colOff>514350</xdr:colOff>
      <xdr:row>22</xdr:row>
      <xdr:rowOff>123825</xdr:rowOff>
    </xdr:from>
    <xdr:to>
      <xdr:col>5</xdr:col>
      <xdr:colOff>514350</xdr:colOff>
      <xdr:row>24</xdr:row>
      <xdr:rowOff>66675</xdr:rowOff>
    </xdr:to>
    <xdr:sp macro="" textlink="">
      <xdr:nvSpPr>
        <xdr:cNvPr id="258576" name="Line 31">
          <a:extLst>
            <a:ext uri="{FF2B5EF4-FFF2-40B4-BE49-F238E27FC236}">
              <a16:creationId xmlns:a16="http://schemas.microsoft.com/office/drawing/2014/main" id="{00000000-0008-0000-0600-000010F20300}"/>
            </a:ext>
          </a:extLst>
        </xdr:cNvPr>
        <xdr:cNvSpPr>
          <a:spLocks noChangeShapeType="1"/>
        </xdr:cNvSpPr>
      </xdr:nvSpPr>
      <xdr:spPr bwMode="auto">
        <a:xfrm>
          <a:off x="4410075" y="3724275"/>
          <a:ext cx="0" cy="266700"/>
        </a:xfrm>
        <a:prstGeom prst="line">
          <a:avLst/>
        </a:prstGeom>
        <a:noFill/>
        <a:ln w="9525">
          <a:solidFill>
            <a:srgbClr val="000000"/>
          </a:solidFill>
          <a:round/>
          <a:headEnd/>
          <a:tailEnd/>
        </a:ln>
      </xdr:spPr>
    </xdr:sp>
    <xdr:clientData/>
  </xdr:twoCellAnchor>
  <xdr:twoCellAnchor>
    <xdr:from>
      <xdr:col>7</xdr:col>
      <xdr:colOff>323850</xdr:colOff>
      <xdr:row>22</xdr:row>
      <xdr:rowOff>123825</xdr:rowOff>
    </xdr:from>
    <xdr:to>
      <xdr:col>7</xdr:col>
      <xdr:colOff>323850</xdr:colOff>
      <xdr:row>24</xdr:row>
      <xdr:rowOff>66675</xdr:rowOff>
    </xdr:to>
    <xdr:sp macro="" textlink="">
      <xdr:nvSpPr>
        <xdr:cNvPr id="258577" name="Line 32">
          <a:extLst>
            <a:ext uri="{FF2B5EF4-FFF2-40B4-BE49-F238E27FC236}">
              <a16:creationId xmlns:a16="http://schemas.microsoft.com/office/drawing/2014/main" id="{00000000-0008-0000-0600-000011F20300}"/>
            </a:ext>
          </a:extLst>
        </xdr:cNvPr>
        <xdr:cNvSpPr>
          <a:spLocks noChangeShapeType="1"/>
        </xdr:cNvSpPr>
      </xdr:nvSpPr>
      <xdr:spPr bwMode="auto">
        <a:xfrm>
          <a:off x="5572125" y="3724275"/>
          <a:ext cx="0" cy="266700"/>
        </a:xfrm>
        <a:prstGeom prst="line">
          <a:avLst/>
        </a:prstGeom>
        <a:noFill/>
        <a:ln w="9525">
          <a:solidFill>
            <a:srgbClr val="000000"/>
          </a:solidFill>
          <a:round/>
          <a:headEnd/>
          <a:tailEnd/>
        </a:ln>
      </xdr:spPr>
    </xdr:sp>
    <xdr:clientData/>
  </xdr:twoCellAnchor>
  <xdr:twoCellAnchor>
    <xdr:from>
      <xdr:col>5</xdr:col>
      <xdr:colOff>514350</xdr:colOff>
      <xdr:row>23</xdr:row>
      <xdr:rowOff>114300</xdr:rowOff>
    </xdr:from>
    <xdr:to>
      <xdr:col>7</xdr:col>
      <xdr:colOff>323850</xdr:colOff>
      <xdr:row>23</xdr:row>
      <xdr:rowOff>114300</xdr:rowOff>
    </xdr:to>
    <xdr:sp macro="" textlink="">
      <xdr:nvSpPr>
        <xdr:cNvPr id="258578" name="Line 33">
          <a:extLst>
            <a:ext uri="{FF2B5EF4-FFF2-40B4-BE49-F238E27FC236}">
              <a16:creationId xmlns:a16="http://schemas.microsoft.com/office/drawing/2014/main" id="{00000000-0008-0000-0600-000012F20300}"/>
            </a:ext>
          </a:extLst>
        </xdr:cNvPr>
        <xdr:cNvSpPr>
          <a:spLocks noChangeShapeType="1"/>
        </xdr:cNvSpPr>
      </xdr:nvSpPr>
      <xdr:spPr bwMode="auto">
        <a:xfrm>
          <a:off x="4410075" y="3876675"/>
          <a:ext cx="1162050" cy="0"/>
        </a:xfrm>
        <a:prstGeom prst="line">
          <a:avLst/>
        </a:prstGeom>
        <a:noFill/>
        <a:ln w="9525">
          <a:solidFill>
            <a:srgbClr val="000000"/>
          </a:solidFill>
          <a:round/>
          <a:headEnd type="stealth" w="sm" len="sm"/>
          <a:tailEnd type="stealth" w="sm" len="sm"/>
        </a:ln>
      </xdr:spPr>
    </xdr:sp>
    <xdr:clientData/>
  </xdr:twoCellAnchor>
  <xdr:twoCellAnchor>
    <xdr:from>
      <xdr:col>7</xdr:col>
      <xdr:colOff>352425</xdr:colOff>
      <xdr:row>22</xdr:row>
      <xdr:rowOff>95250</xdr:rowOff>
    </xdr:from>
    <xdr:to>
      <xdr:col>7</xdr:col>
      <xdr:colOff>609600</xdr:colOff>
      <xdr:row>22</xdr:row>
      <xdr:rowOff>95250</xdr:rowOff>
    </xdr:to>
    <xdr:sp macro="" textlink="">
      <xdr:nvSpPr>
        <xdr:cNvPr id="258579" name="Line 34">
          <a:extLst>
            <a:ext uri="{FF2B5EF4-FFF2-40B4-BE49-F238E27FC236}">
              <a16:creationId xmlns:a16="http://schemas.microsoft.com/office/drawing/2014/main" id="{00000000-0008-0000-0600-000013F20300}"/>
            </a:ext>
          </a:extLst>
        </xdr:cNvPr>
        <xdr:cNvSpPr>
          <a:spLocks noChangeShapeType="1"/>
        </xdr:cNvSpPr>
      </xdr:nvSpPr>
      <xdr:spPr bwMode="auto">
        <a:xfrm>
          <a:off x="5600700" y="3695700"/>
          <a:ext cx="257175" cy="0"/>
        </a:xfrm>
        <a:prstGeom prst="line">
          <a:avLst/>
        </a:prstGeom>
        <a:noFill/>
        <a:ln w="9525">
          <a:solidFill>
            <a:srgbClr val="000000"/>
          </a:solidFill>
          <a:round/>
          <a:headEnd/>
          <a:tailEnd/>
        </a:ln>
      </xdr:spPr>
    </xdr:sp>
    <xdr:clientData/>
  </xdr:twoCellAnchor>
  <xdr:twoCellAnchor>
    <xdr:from>
      <xdr:col>7</xdr:col>
      <xdr:colOff>361950</xdr:colOff>
      <xdr:row>20</xdr:row>
      <xdr:rowOff>9525</xdr:rowOff>
    </xdr:from>
    <xdr:to>
      <xdr:col>7</xdr:col>
      <xdr:colOff>619125</xdr:colOff>
      <xdr:row>20</xdr:row>
      <xdr:rowOff>9525</xdr:rowOff>
    </xdr:to>
    <xdr:sp macro="" textlink="">
      <xdr:nvSpPr>
        <xdr:cNvPr id="258580" name="Line 35">
          <a:extLst>
            <a:ext uri="{FF2B5EF4-FFF2-40B4-BE49-F238E27FC236}">
              <a16:creationId xmlns:a16="http://schemas.microsoft.com/office/drawing/2014/main" id="{00000000-0008-0000-0600-000014F20300}"/>
            </a:ext>
          </a:extLst>
        </xdr:cNvPr>
        <xdr:cNvSpPr>
          <a:spLocks noChangeShapeType="1"/>
        </xdr:cNvSpPr>
      </xdr:nvSpPr>
      <xdr:spPr bwMode="auto">
        <a:xfrm>
          <a:off x="5610225" y="3286125"/>
          <a:ext cx="257175" cy="0"/>
        </a:xfrm>
        <a:prstGeom prst="line">
          <a:avLst/>
        </a:prstGeom>
        <a:noFill/>
        <a:ln w="9525">
          <a:solidFill>
            <a:srgbClr val="000000"/>
          </a:solidFill>
          <a:round/>
          <a:headEnd/>
          <a:tailEnd/>
        </a:ln>
      </xdr:spPr>
    </xdr:sp>
    <xdr:clientData/>
  </xdr:twoCellAnchor>
  <xdr:twoCellAnchor>
    <xdr:from>
      <xdr:col>5</xdr:col>
      <xdr:colOff>152400</xdr:colOff>
      <xdr:row>17</xdr:row>
      <xdr:rowOff>142875</xdr:rowOff>
    </xdr:from>
    <xdr:to>
      <xdr:col>6</xdr:col>
      <xdr:colOff>361950</xdr:colOff>
      <xdr:row>17</xdr:row>
      <xdr:rowOff>142875</xdr:rowOff>
    </xdr:to>
    <xdr:sp macro="" textlink="">
      <xdr:nvSpPr>
        <xdr:cNvPr id="258581" name="Line 36">
          <a:extLst>
            <a:ext uri="{FF2B5EF4-FFF2-40B4-BE49-F238E27FC236}">
              <a16:creationId xmlns:a16="http://schemas.microsoft.com/office/drawing/2014/main" id="{00000000-0008-0000-0600-000015F20300}"/>
            </a:ext>
          </a:extLst>
        </xdr:cNvPr>
        <xdr:cNvSpPr>
          <a:spLocks noChangeShapeType="1"/>
        </xdr:cNvSpPr>
      </xdr:nvSpPr>
      <xdr:spPr bwMode="auto">
        <a:xfrm>
          <a:off x="4048125" y="2933700"/>
          <a:ext cx="885825" cy="0"/>
        </a:xfrm>
        <a:prstGeom prst="line">
          <a:avLst/>
        </a:prstGeom>
        <a:noFill/>
        <a:ln w="9525">
          <a:solidFill>
            <a:srgbClr val="000000"/>
          </a:solidFill>
          <a:round/>
          <a:headEnd/>
          <a:tailEnd/>
        </a:ln>
      </xdr:spPr>
    </xdr:sp>
    <xdr:clientData/>
  </xdr:twoCellAnchor>
  <xdr:twoCellAnchor>
    <xdr:from>
      <xdr:col>5</xdr:col>
      <xdr:colOff>133350</xdr:colOff>
      <xdr:row>22</xdr:row>
      <xdr:rowOff>95250</xdr:rowOff>
    </xdr:from>
    <xdr:to>
      <xdr:col>5</xdr:col>
      <xdr:colOff>476250</xdr:colOff>
      <xdr:row>22</xdr:row>
      <xdr:rowOff>95250</xdr:rowOff>
    </xdr:to>
    <xdr:sp macro="" textlink="">
      <xdr:nvSpPr>
        <xdr:cNvPr id="258582" name="Line 37">
          <a:extLst>
            <a:ext uri="{FF2B5EF4-FFF2-40B4-BE49-F238E27FC236}">
              <a16:creationId xmlns:a16="http://schemas.microsoft.com/office/drawing/2014/main" id="{00000000-0008-0000-0600-000016F20300}"/>
            </a:ext>
          </a:extLst>
        </xdr:cNvPr>
        <xdr:cNvSpPr>
          <a:spLocks noChangeShapeType="1"/>
        </xdr:cNvSpPr>
      </xdr:nvSpPr>
      <xdr:spPr bwMode="auto">
        <a:xfrm flipH="1">
          <a:off x="4029075" y="3695700"/>
          <a:ext cx="342900" cy="0"/>
        </a:xfrm>
        <a:prstGeom prst="line">
          <a:avLst/>
        </a:prstGeom>
        <a:noFill/>
        <a:ln w="9525">
          <a:solidFill>
            <a:srgbClr val="000000"/>
          </a:solidFill>
          <a:round/>
          <a:headEnd/>
          <a:tailEnd/>
        </a:ln>
      </xdr:spPr>
    </xdr:sp>
    <xdr:clientData/>
  </xdr:twoCellAnchor>
  <xdr:twoCellAnchor>
    <xdr:from>
      <xdr:col>7</xdr:col>
      <xdr:colOff>476250</xdr:colOff>
      <xdr:row>20</xdr:row>
      <xdr:rowOff>9525</xdr:rowOff>
    </xdr:from>
    <xdr:to>
      <xdr:col>7</xdr:col>
      <xdr:colOff>476250</xdr:colOff>
      <xdr:row>22</xdr:row>
      <xdr:rowOff>95250</xdr:rowOff>
    </xdr:to>
    <xdr:sp macro="" textlink="">
      <xdr:nvSpPr>
        <xdr:cNvPr id="258583" name="Line 38">
          <a:extLst>
            <a:ext uri="{FF2B5EF4-FFF2-40B4-BE49-F238E27FC236}">
              <a16:creationId xmlns:a16="http://schemas.microsoft.com/office/drawing/2014/main" id="{00000000-0008-0000-0600-000017F20300}"/>
            </a:ext>
          </a:extLst>
        </xdr:cNvPr>
        <xdr:cNvSpPr>
          <a:spLocks noChangeShapeType="1"/>
        </xdr:cNvSpPr>
      </xdr:nvSpPr>
      <xdr:spPr bwMode="auto">
        <a:xfrm>
          <a:off x="5724525" y="3286125"/>
          <a:ext cx="0" cy="409575"/>
        </a:xfrm>
        <a:prstGeom prst="line">
          <a:avLst/>
        </a:prstGeom>
        <a:noFill/>
        <a:ln w="9525">
          <a:solidFill>
            <a:srgbClr val="000000"/>
          </a:solidFill>
          <a:round/>
          <a:headEnd type="stealth" w="sm" len="sm"/>
          <a:tailEnd type="stealth" w="sm" len="sm"/>
        </a:ln>
      </xdr:spPr>
    </xdr:sp>
    <xdr:clientData/>
  </xdr:twoCellAnchor>
  <xdr:twoCellAnchor>
    <xdr:from>
      <xdr:col>5</xdr:col>
      <xdr:colOff>295275</xdr:colOff>
      <xdr:row>17</xdr:row>
      <xdr:rowOff>142875</xdr:rowOff>
    </xdr:from>
    <xdr:to>
      <xdr:col>5</xdr:col>
      <xdr:colOff>295275</xdr:colOff>
      <xdr:row>22</xdr:row>
      <xdr:rowOff>95250</xdr:rowOff>
    </xdr:to>
    <xdr:sp macro="" textlink="">
      <xdr:nvSpPr>
        <xdr:cNvPr id="258584" name="Line 39">
          <a:extLst>
            <a:ext uri="{FF2B5EF4-FFF2-40B4-BE49-F238E27FC236}">
              <a16:creationId xmlns:a16="http://schemas.microsoft.com/office/drawing/2014/main" id="{00000000-0008-0000-0600-000018F20300}"/>
            </a:ext>
          </a:extLst>
        </xdr:cNvPr>
        <xdr:cNvSpPr>
          <a:spLocks noChangeShapeType="1"/>
        </xdr:cNvSpPr>
      </xdr:nvSpPr>
      <xdr:spPr bwMode="auto">
        <a:xfrm>
          <a:off x="4191000" y="2933700"/>
          <a:ext cx="0" cy="762000"/>
        </a:xfrm>
        <a:prstGeom prst="line">
          <a:avLst/>
        </a:prstGeom>
        <a:noFill/>
        <a:ln w="9525">
          <a:solidFill>
            <a:srgbClr val="000000"/>
          </a:solidFill>
          <a:round/>
          <a:headEnd type="stealth" w="sm" len="sm"/>
          <a:tailEnd type="stealth" w="sm" len="sm"/>
        </a:ln>
      </xdr:spPr>
    </xdr:sp>
    <xdr:clientData/>
  </xdr:twoCellAnchor>
  <xdr:twoCellAnchor>
    <xdr:from>
      <xdr:col>7</xdr:col>
      <xdr:colOff>361950</xdr:colOff>
      <xdr:row>13</xdr:row>
      <xdr:rowOff>114300</xdr:rowOff>
    </xdr:from>
    <xdr:to>
      <xdr:col>7</xdr:col>
      <xdr:colOff>619125</xdr:colOff>
      <xdr:row>13</xdr:row>
      <xdr:rowOff>114300</xdr:rowOff>
    </xdr:to>
    <xdr:sp macro="" textlink="">
      <xdr:nvSpPr>
        <xdr:cNvPr id="258585" name="Line 40">
          <a:extLst>
            <a:ext uri="{FF2B5EF4-FFF2-40B4-BE49-F238E27FC236}">
              <a16:creationId xmlns:a16="http://schemas.microsoft.com/office/drawing/2014/main" id="{00000000-0008-0000-0600-000019F20300}"/>
            </a:ext>
          </a:extLst>
        </xdr:cNvPr>
        <xdr:cNvSpPr>
          <a:spLocks noChangeShapeType="1"/>
        </xdr:cNvSpPr>
      </xdr:nvSpPr>
      <xdr:spPr bwMode="auto">
        <a:xfrm>
          <a:off x="5610225" y="2257425"/>
          <a:ext cx="257175" cy="0"/>
        </a:xfrm>
        <a:prstGeom prst="line">
          <a:avLst/>
        </a:prstGeom>
        <a:noFill/>
        <a:ln w="9525">
          <a:solidFill>
            <a:srgbClr val="000000"/>
          </a:solidFill>
          <a:round/>
          <a:headEnd/>
          <a:tailEnd/>
        </a:ln>
      </xdr:spPr>
    </xdr:sp>
    <xdr:clientData/>
  </xdr:twoCellAnchor>
  <xdr:twoCellAnchor>
    <xdr:from>
      <xdr:col>7</xdr:col>
      <xdr:colOff>361950</xdr:colOff>
      <xdr:row>6</xdr:row>
      <xdr:rowOff>104775</xdr:rowOff>
    </xdr:from>
    <xdr:to>
      <xdr:col>7</xdr:col>
      <xdr:colOff>619125</xdr:colOff>
      <xdr:row>6</xdr:row>
      <xdr:rowOff>104775</xdr:rowOff>
    </xdr:to>
    <xdr:sp macro="" textlink="">
      <xdr:nvSpPr>
        <xdr:cNvPr id="258586" name="Line 41">
          <a:extLst>
            <a:ext uri="{FF2B5EF4-FFF2-40B4-BE49-F238E27FC236}">
              <a16:creationId xmlns:a16="http://schemas.microsoft.com/office/drawing/2014/main" id="{00000000-0008-0000-0600-00001AF20300}"/>
            </a:ext>
          </a:extLst>
        </xdr:cNvPr>
        <xdr:cNvSpPr>
          <a:spLocks noChangeShapeType="1"/>
        </xdr:cNvSpPr>
      </xdr:nvSpPr>
      <xdr:spPr bwMode="auto">
        <a:xfrm>
          <a:off x="5610225" y="1114425"/>
          <a:ext cx="257175" cy="0"/>
        </a:xfrm>
        <a:prstGeom prst="line">
          <a:avLst/>
        </a:prstGeom>
        <a:noFill/>
        <a:ln w="9525">
          <a:solidFill>
            <a:srgbClr val="000000"/>
          </a:solidFill>
          <a:round/>
          <a:headEnd/>
          <a:tailEnd/>
        </a:ln>
      </xdr:spPr>
    </xdr:sp>
    <xdr:clientData/>
  </xdr:twoCellAnchor>
  <xdr:twoCellAnchor>
    <xdr:from>
      <xdr:col>7</xdr:col>
      <xdr:colOff>466725</xdr:colOff>
      <xdr:row>6</xdr:row>
      <xdr:rowOff>104775</xdr:rowOff>
    </xdr:from>
    <xdr:to>
      <xdr:col>7</xdr:col>
      <xdr:colOff>466725</xdr:colOff>
      <xdr:row>13</xdr:row>
      <xdr:rowOff>114300</xdr:rowOff>
    </xdr:to>
    <xdr:sp macro="" textlink="">
      <xdr:nvSpPr>
        <xdr:cNvPr id="258587" name="Line 42">
          <a:extLst>
            <a:ext uri="{FF2B5EF4-FFF2-40B4-BE49-F238E27FC236}">
              <a16:creationId xmlns:a16="http://schemas.microsoft.com/office/drawing/2014/main" id="{00000000-0008-0000-0600-00001BF20300}"/>
            </a:ext>
          </a:extLst>
        </xdr:cNvPr>
        <xdr:cNvSpPr>
          <a:spLocks noChangeShapeType="1"/>
        </xdr:cNvSpPr>
      </xdr:nvSpPr>
      <xdr:spPr bwMode="auto">
        <a:xfrm>
          <a:off x="5715000" y="1114425"/>
          <a:ext cx="0" cy="1143000"/>
        </a:xfrm>
        <a:prstGeom prst="line">
          <a:avLst/>
        </a:prstGeom>
        <a:noFill/>
        <a:ln w="9525">
          <a:solidFill>
            <a:srgbClr val="000000"/>
          </a:solidFill>
          <a:round/>
          <a:headEnd type="stealth" w="sm" len="sm"/>
          <a:tailEnd type="stealth" w="sm" len="sm"/>
        </a:ln>
      </xdr:spPr>
    </xdr:sp>
    <xdr:clientData/>
  </xdr:twoCellAnchor>
  <xdr:twoCellAnchor>
    <xdr:from>
      <xdr:col>5</xdr:col>
      <xdr:colOff>561975</xdr:colOff>
      <xdr:row>20</xdr:row>
      <xdr:rowOff>9525</xdr:rowOff>
    </xdr:from>
    <xdr:to>
      <xdr:col>6</xdr:col>
      <xdr:colOff>361950</xdr:colOff>
      <xdr:row>20</xdr:row>
      <xdr:rowOff>9525</xdr:rowOff>
    </xdr:to>
    <xdr:sp macro="" textlink="">
      <xdr:nvSpPr>
        <xdr:cNvPr id="258588" name="Line 43">
          <a:extLst>
            <a:ext uri="{FF2B5EF4-FFF2-40B4-BE49-F238E27FC236}">
              <a16:creationId xmlns:a16="http://schemas.microsoft.com/office/drawing/2014/main" id="{00000000-0008-0000-0600-00001CF20300}"/>
            </a:ext>
          </a:extLst>
        </xdr:cNvPr>
        <xdr:cNvSpPr>
          <a:spLocks noChangeShapeType="1"/>
        </xdr:cNvSpPr>
      </xdr:nvSpPr>
      <xdr:spPr bwMode="auto">
        <a:xfrm>
          <a:off x="4457700" y="3286125"/>
          <a:ext cx="476250" cy="0"/>
        </a:xfrm>
        <a:prstGeom prst="line">
          <a:avLst/>
        </a:prstGeom>
        <a:noFill/>
        <a:ln w="9525">
          <a:solidFill>
            <a:srgbClr val="000000"/>
          </a:solidFill>
          <a:round/>
          <a:headEnd/>
          <a:tailEnd/>
        </a:ln>
      </xdr:spPr>
    </xdr:sp>
    <xdr:clientData/>
  </xdr:twoCellAnchor>
  <xdr:twoCellAnchor>
    <xdr:from>
      <xdr:col>6</xdr:col>
      <xdr:colOff>114300</xdr:colOff>
      <xdr:row>19</xdr:row>
      <xdr:rowOff>9525</xdr:rowOff>
    </xdr:from>
    <xdr:to>
      <xdr:col>6</xdr:col>
      <xdr:colOff>219075</xdr:colOff>
      <xdr:row>20</xdr:row>
      <xdr:rowOff>152400</xdr:rowOff>
    </xdr:to>
    <xdr:sp macro="" textlink="">
      <xdr:nvSpPr>
        <xdr:cNvPr id="258589" name="Arc 44">
          <a:extLst>
            <a:ext uri="{FF2B5EF4-FFF2-40B4-BE49-F238E27FC236}">
              <a16:creationId xmlns:a16="http://schemas.microsoft.com/office/drawing/2014/main" id="{00000000-0008-0000-0600-00001DF20300}"/>
            </a:ext>
          </a:extLst>
        </xdr:cNvPr>
        <xdr:cNvSpPr>
          <a:spLocks/>
        </xdr:cNvSpPr>
      </xdr:nvSpPr>
      <xdr:spPr bwMode="auto">
        <a:xfrm>
          <a:off x="4686300" y="3124200"/>
          <a:ext cx="104775" cy="304800"/>
        </a:xfrm>
        <a:custGeom>
          <a:avLst/>
          <a:gdLst>
            <a:gd name="T0" fmla="*/ 0 w 21041"/>
            <a:gd name="T1" fmla="*/ 2147483647 h 21600"/>
            <a:gd name="T2" fmla="*/ 2147483647 w 21041"/>
            <a:gd name="T3" fmla="*/ 2147483647 h 21600"/>
            <a:gd name="T4" fmla="*/ 2147483647 w 21041"/>
            <a:gd name="T5" fmla="*/ 2147483647 h 21600"/>
            <a:gd name="T6" fmla="*/ 0 60000 65536"/>
            <a:gd name="T7" fmla="*/ 0 60000 65536"/>
            <a:gd name="T8" fmla="*/ 0 60000 65536"/>
            <a:gd name="T9" fmla="*/ 0 w 21041"/>
            <a:gd name="T10" fmla="*/ 0 h 21600"/>
            <a:gd name="T11" fmla="*/ 21041 w 21041"/>
            <a:gd name="T12" fmla="*/ 21600 h 21600"/>
          </a:gdLst>
          <a:ahLst/>
          <a:cxnLst>
            <a:cxn ang="T6">
              <a:pos x="T0" y="T1"/>
            </a:cxn>
            <a:cxn ang="T7">
              <a:pos x="T2" y="T3"/>
            </a:cxn>
            <a:cxn ang="T8">
              <a:pos x="T4" y="T5"/>
            </a:cxn>
          </a:cxnLst>
          <a:rect l="T9" t="T10" r="T11" b="T12"/>
          <a:pathLst>
            <a:path w="21041" h="21600" fill="none" extrusionOk="0">
              <a:moveTo>
                <a:pt x="-1" y="84"/>
              </a:moveTo>
              <a:cubicBezTo>
                <a:pt x="635" y="28"/>
                <a:pt x="1273" y="-1"/>
                <a:pt x="1912" y="0"/>
              </a:cubicBezTo>
              <a:cubicBezTo>
                <a:pt x="9943" y="0"/>
                <a:pt x="17311" y="4455"/>
                <a:pt x="21041" y="11567"/>
              </a:cubicBezTo>
            </a:path>
            <a:path w="21041" h="21600" stroke="0" extrusionOk="0">
              <a:moveTo>
                <a:pt x="-1" y="84"/>
              </a:moveTo>
              <a:cubicBezTo>
                <a:pt x="635" y="28"/>
                <a:pt x="1273" y="-1"/>
                <a:pt x="1912" y="0"/>
              </a:cubicBezTo>
              <a:cubicBezTo>
                <a:pt x="9943" y="0"/>
                <a:pt x="17311" y="4455"/>
                <a:pt x="21041" y="11567"/>
              </a:cubicBezTo>
              <a:lnTo>
                <a:pt x="1912" y="21600"/>
              </a:lnTo>
              <a:lnTo>
                <a:pt x="-1" y="84"/>
              </a:lnTo>
              <a:close/>
            </a:path>
          </a:pathLst>
        </a:custGeom>
        <a:noFill/>
        <a:ln w="9525">
          <a:solidFill>
            <a:srgbClr val="000000"/>
          </a:solidFill>
          <a:round/>
          <a:headEnd/>
          <a:tailEnd/>
        </a:ln>
      </xdr:spPr>
    </xdr:sp>
    <xdr:clientData/>
  </xdr:twoCellAnchor>
  <xdr:twoCellAnchor editAs="oneCell">
    <xdr:from>
      <xdr:col>6</xdr:col>
      <xdr:colOff>200025</xdr:colOff>
      <xdr:row>18</xdr:row>
      <xdr:rowOff>133350</xdr:rowOff>
    </xdr:from>
    <xdr:to>
      <xdr:col>6</xdr:col>
      <xdr:colOff>428625</xdr:colOff>
      <xdr:row>19</xdr:row>
      <xdr:rowOff>152400</xdr:rowOff>
    </xdr:to>
    <xdr:sp macro="" textlink="">
      <xdr:nvSpPr>
        <xdr:cNvPr id="169005" name="Text Box 45">
          <a:extLst>
            <a:ext uri="{FF2B5EF4-FFF2-40B4-BE49-F238E27FC236}">
              <a16:creationId xmlns:a16="http://schemas.microsoft.com/office/drawing/2014/main" id="{00000000-0008-0000-0600-00002D940200}"/>
            </a:ext>
          </a:extLst>
        </xdr:cNvPr>
        <xdr:cNvSpPr txBox="1">
          <a:spLocks noChangeArrowheads="1"/>
        </xdr:cNvSpPr>
      </xdr:nvSpPr>
      <xdr:spPr bwMode="auto">
        <a:xfrm>
          <a:off x="4772025" y="3086100"/>
          <a:ext cx="228600" cy="180975"/>
        </a:xfrm>
        <a:prstGeom prst="rect">
          <a:avLst/>
        </a:prstGeom>
        <a:noFill/>
        <a:ln>
          <a:noFill/>
        </a:ln>
      </xdr:spPr>
      <xdr:txBody>
        <a:bodyPr vertOverflow="clip" wrap="square" lIns="27432" tIns="22860" rIns="0" bIns="0" anchor="t" upright="1"/>
        <a:lstStyle/>
        <a:p>
          <a:pPr algn="l" rtl="0">
            <a:defRPr sz="1000"/>
          </a:pPr>
          <a:r>
            <a:rPr lang="en-US" sz="1000" b="0" i="0" u="none" strike="noStrike" baseline="0">
              <a:solidFill>
                <a:srgbClr val="0000FF"/>
              </a:solidFill>
              <a:latin typeface="Symbol"/>
            </a:rPr>
            <a:t>q </a:t>
          </a:r>
          <a:r>
            <a:rPr lang="en-US" sz="800" b="0" i="0" u="none" strike="noStrike" baseline="30000">
              <a:solidFill>
                <a:srgbClr val="0000FF"/>
              </a:solidFill>
              <a:latin typeface="Arial"/>
              <a:cs typeface="Arial"/>
            </a:rPr>
            <a:t>o</a:t>
          </a:r>
          <a:endParaRPr lang="en-US"/>
        </a:p>
      </xdr:txBody>
    </xdr:sp>
    <xdr:clientData/>
  </xdr:twoCellAnchor>
  <xdr:twoCellAnchor>
    <xdr:from>
      <xdr:col>6</xdr:col>
      <xdr:colOff>400050</xdr:colOff>
      <xdr:row>18</xdr:row>
      <xdr:rowOff>152400</xdr:rowOff>
    </xdr:from>
    <xdr:to>
      <xdr:col>7</xdr:col>
      <xdr:colOff>190500</xdr:colOff>
      <xdr:row>18</xdr:row>
      <xdr:rowOff>152400</xdr:rowOff>
    </xdr:to>
    <xdr:sp macro="" textlink="">
      <xdr:nvSpPr>
        <xdr:cNvPr id="258591" name="Line 46">
          <a:extLst>
            <a:ext uri="{FF2B5EF4-FFF2-40B4-BE49-F238E27FC236}">
              <a16:creationId xmlns:a16="http://schemas.microsoft.com/office/drawing/2014/main" id="{00000000-0008-0000-0600-00001FF20300}"/>
            </a:ext>
          </a:extLst>
        </xdr:cNvPr>
        <xdr:cNvSpPr>
          <a:spLocks noChangeShapeType="1"/>
        </xdr:cNvSpPr>
      </xdr:nvSpPr>
      <xdr:spPr bwMode="auto">
        <a:xfrm>
          <a:off x="4972050" y="3105150"/>
          <a:ext cx="466725" cy="0"/>
        </a:xfrm>
        <a:prstGeom prst="line">
          <a:avLst/>
        </a:prstGeom>
        <a:noFill/>
        <a:ln w="9525">
          <a:solidFill>
            <a:srgbClr val="000000"/>
          </a:solidFill>
          <a:round/>
          <a:headEnd/>
          <a:tailEnd/>
        </a:ln>
      </xdr:spPr>
    </xdr:sp>
    <xdr:clientData/>
  </xdr:twoCellAnchor>
  <xdr:twoCellAnchor>
    <xdr:from>
      <xdr:col>6</xdr:col>
      <xdr:colOff>609600</xdr:colOff>
      <xdr:row>18</xdr:row>
      <xdr:rowOff>152400</xdr:rowOff>
    </xdr:from>
    <xdr:to>
      <xdr:col>6</xdr:col>
      <xdr:colOff>609600</xdr:colOff>
      <xdr:row>22</xdr:row>
      <xdr:rowOff>95250</xdr:rowOff>
    </xdr:to>
    <xdr:sp macro="" textlink="">
      <xdr:nvSpPr>
        <xdr:cNvPr id="258592" name="Line 47">
          <a:extLst>
            <a:ext uri="{FF2B5EF4-FFF2-40B4-BE49-F238E27FC236}">
              <a16:creationId xmlns:a16="http://schemas.microsoft.com/office/drawing/2014/main" id="{00000000-0008-0000-0600-000020F20300}"/>
            </a:ext>
          </a:extLst>
        </xdr:cNvPr>
        <xdr:cNvSpPr>
          <a:spLocks noChangeShapeType="1"/>
        </xdr:cNvSpPr>
      </xdr:nvSpPr>
      <xdr:spPr bwMode="auto">
        <a:xfrm>
          <a:off x="5181600" y="3105150"/>
          <a:ext cx="0" cy="590550"/>
        </a:xfrm>
        <a:prstGeom prst="line">
          <a:avLst/>
        </a:prstGeom>
        <a:noFill/>
        <a:ln w="9525">
          <a:solidFill>
            <a:srgbClr val="000000"/>
          </a:solidFill>
          <a:round/>
          <a:headEnd type="stealth" w="sm" len="sm"/>
          <a:tailEnd type="stealth" w="sm" len="sm"/>
        </a:ln>
      </xdr:spPr>
    </xdr:sp>
    <xdr:clientData/>
  </xdr:twoCellAnchor>
  <xdr:twoCellAnchor>
    <xdr:from>
      <xdr:col>6</xdr:col>
      <xdr:colOff>352425</xdr:colOff>
      <xdr:row>14</xdr:row>
      <xdr:rowOff>47625</xdr:rowOff>
    </xdr:from>
    <xdr:to>
      <xdr:col>6</xdr:col>
      <xdr:colOff>504825</xdr:colOff>
      <xdr:row>15</xdr:row>
      <xdr:rowOff>47625</xdr:rowOff>
    </xdr:to>
    <xdr:sp macro="" textlink="">
      <xdr:nvSpPr>
        <xdr:cNvPr id="169008" name="Text Box 48">
          <a:extLst>
            <a:ext uri="{FF2B5EF4-FFF2-40B4-BE49-F238E27FC236}">
              <a16:creationId xmlns:a16="http://schemas.microsoft.com/office/drawing/2014/main" id="{00000000-0008-0000-0600-000030940200}"/>
            </a:ext>
          </a:extLst>
        </xdr:cNvPr>
        <xdr:cNvSpPr txBox="1">
          <a:spLocks noChangeArrowheads="1"/>
        </xdr:cNvSpPr>
      </xdr:nvSpPr>
      <xdr:spPr bwMode="auto">
        <a:xfrm>
          <a:off x="4924425" y="2352675"/>
          <a:ext cx="152400" cy="16192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L</a:t>
          </a:r>
          <a:endParaRPr lang="en-US"/>
        </a:p>
      </xdr:txBody>
    </xdr:sp>
    <xdr:clientData/>
  </xdr:twoCellAnchor>
  <xdr:twoCellAnchor>
    <xdr:from>
      <xdr:col>7</xdr:col>
      <xdr:colOff>466725</xdr:colOff>
      <xdr:row>9</xdr:row>
      <xdr:rowOff>114300</xdr:rowOff>
    </xdr:from>
    <xdr:to>
      <xdr:col>7</xdr:col>
      <xdr:colOff>647700</xdr:colOff>
      <xdr:row>10</xdr:row>
      <xdr:rowOff>123825</xdr:rowOff>
    </xdr:to>
    <xdr:sp macro="" textlink="">
      <xdr:nvSpPr>
        <xdr:cNvPr id="169009" name="Text Box 49">
          <a:extLst>
            <a:ext uri="{FF2B5EF4-FFF2-40B4-BE49-F238E27FC236}">
              <a16:creationId xmlns:a16="http://schemas.microsoft.com/office/drawing/2014/main" id="{00000000-0008-0000-0600-000031940200}"/>
            </a:ext>
          </a:extLst>
        </xdr:cNvPr>
        <xdr:cNvSpPr txBox="1">
          <a:spLocks noChangeArrowheads="1"/>
        </xdr:cNvSpPr>
      </xdr:nvSpPr>
      <xdr:spPr bwMode="auto">
        <a:xfrm>
          <a:off x="5715000" y="1609725"/>
          <a:ext cx="180975" cy="17145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B</a:t>
          </a:r>
          <a:endParaRPr lang="en-US"/>
        </a:p>
      </xdr:txBody>
    </xdr:sp>
    <xdr:clientData/>
  </xdr:twoCellAnchor>
  <xdr:twoCellAnchor>
    <xdr:from>
      <xdr:col>5</xdr:col>
      <xdr:colOff>142875</xdr:colOff>
      <xdr:row>19</xdr:row>
      <xdr:rowOff>104775</xdr:rowOff>
    </xdr:from>
    <xdr:to>
      <xdr:col>5</xdr:col>
      <xdr:colOff>352425</xdr:colOff>
      <xdr:row>20</xdr:row>
      <xdr:rowOff>95250</xdr:rowOff>
    </xdr:to>
    <xdr:sp macro="" textlink="">
      <xdr:nvSpPr>
        <xdr:cNvPr id="169010" name="Text Box 50">
          <a:extLst>
            <a:ext uri="{FF2B5EF4-FFF2-40B4-BE49-F238E27FC236}">
              <a16:creationId xmlns:a16="http://schemas.microsoft.com/office/drawing/2014/main" id="{00000000-0008-0000-0600-000032940200}"/>
            </a:ext>
          </a:extLst>
        </xdr:cNvPr>
        <xdr:cNvSpPr txBox="1">
          <a:spLocks noChangeArrowheads="1"/>
        </xdr:cNvSpPr>
      </xdr:nvSpPr>
      <xdr:spPr bwMode="auto">
        <a:xfrm>
          <a:off x="4038600" y="3219450"/>
          <a:ext cx="209550" cy="15240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r</a:t>
          </a:r>
          <a:endParaRPr lang="en-US"/>
        </a:p>
      </xdr:txBody>
    </xdr:sp>
    <xdr:clientData/>
  </xdr:twoCellAnchor>
  <xdr:twoCellAnchor>
    <xdr:from>
      <xdr:col>7</xdr:col>
      <xdr:colOff>476250</xdr:colOff>
      <xdr:row>20</xdr:row>
      <xdr:rowOff>133350</xdr:rowOff>
    </xdr:from>
    <xdr:to>
      <xdr:col>7</xdr:col>
      <xdr:colOff>657225</xdr:colOff>
      <xdr:row>21</xdr:row>
      <xdr:rowOff>123825</xdr:rowOff>
    </xdr:to>
    <xdr:sp macro="" textlink="">
      <xdr:nvSpPr>
        <xdr:cNvPr id="169011" name="Text Box 51">
          <a:extLst>
            <a:ext uri="{FF2B5EF4-FFF2-40B4-BE49-F238E27FC236}">
              <a16:creationId xmlns:a16="http://schemas.microsoft.com/office/drawing/2014/main" id="{00000000-0008-0000-0600-000033940200}"/>
            </a:ext>
          </a:extLst>
        </xdr:cNvPr>
        <xdr:cNvSpPr txBox="1">
          <a:spLocks noChangeArrowheads="1"/>
        </xdr:cNvSpPr>
      </xdr:nvSpPr>
      <xdr:spPr bwMode="auto">
        <a:xfrm>
          <a:off x="5724525" y="3409950"/>
          <a:ext cx="180975" cy="15240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e</a:t>
          </a:r>
          <a:endParaRPr lang="en-US"/>
        </a:p>
      </xdr:txBody>
    </xdr:sp>
    <xdr:clientData/>
  </xdr:twoCellAnchor>
  <xdr:twoCellAnchor>
    <xdr:from>
      <xdr:col>6</xdr:col>
      <xdr:colOff>609600</xdr:colOff>
      <xdr:row>20</xdr:row>
      <xdr:rowOff>38100</xdr:rowOff>
    </xdr:from>
    <xdr:to>
      <xdr:col>7</xdr:col>
      <xdr:colOff>123825</xdr:colOff>
      <xdr:row>21</xdr:row>
      <xdr:rowOff>57150</xdr:rowOff>
    </xdr:to>
    <xdr:sp macro="" textlink="">
      <xdr:nvSpPr>
        <xdr:cNvPr id="169012" name="Text Box 52">
          <a:extLst>
            <a:ext uri="{FF2B5EF4-FFF2-40B4-BE49-F238E27FC236}">
              <a16:creationId xmlns:a16="http://schemas.microsoft.com/office/drawing/2014/main" id="{00000000-0008-0000-0600-000034940200}"/>
            </a:ext>
          </a:extLst>
        </xdr:cNvPr>
        <xdr:cNvSpPr txBox="1">
          <a:spLocks noChangeArrowheads="1"/>
        </xdr:cNvSpPr>
      </xdr:nvSpPr>
      <xdr:spPr bwMode="auto">
        <a:xfrm>
          <a:off x="5181600" y="3314700"/>
          <a:ext cx="190500" cy="18097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endParaRPr lang="en-US"/>
        </a:p>
      </xdr:txBody>
    </xdr:sp>
    <xdr:clientData/>
  </xdr:twoCellAnchor>
  <xdr:twoCellAnchor>
    <xdr:from>
      <xdr:col>6</xdr:col>
      <xdr:colOff>247650</xdr:colOff>
      <xdr:row>15</xdr:row>
      <xdr:rowOff>76200</xdr:rowOff>
    </xdr:from>
    <xdr:to>
      <xdr:col>6</xdr:col>
      <xdr:colOff>628650</xdr:colOff>
      <xdr:row>16</xdr:row>
      <xdr:rowOff>104775</xdr:rowOff>
    </xdr:to>
    <xdr:sp macro="" textlink="">
      <xdr:nvSpPr>
        <xdr:cNvPr id="169013" name="Text Box 53">
          <a:extLst>
            <a:ext uri="{FF2B5EF4-FFF2-40B4-BE49-F238E27FC236}">
              <a16:creationId xmlns:a16="http://schemas.microsoft.com/office/drawing/2014/main" id="{00000000-0008-0000-0600-000035940200}"/>
            </a:ext>
          </a:extLst>
        </xdr:cNvPr>
        <xdr:cNvSpPr txBox="1">
          <a:spLocks noChangeArrowheads="1"/>
        </xdr:cNvSpPr>
      </xdr:nvSpPr>
      <xdr:spPr bwMode="auto">
        <a:xfrm>
          <a:off x="4819650" y="2543175"/>
          <a:ext cx="381000" cy="190500"/>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Plan</a:t>
          </a:r>
          <a:endParaRPr lang="en-US"/>
        </a:p>
      </xdr:txBody>
    </xdr:sp>
    <xdr:clientData/>
  </xdr:twoCellAnchor>
  <xdr:twoCellAnchor>
    <xdr:from>
      <xdr:col>6</xdr:col>
      <xdr:colOff>104775</xdr:colOff>
      <xdr:row>24</xdr:row>
      <xdr:rowOff>9525</xdr:rowOff>
    </xdr:from>
    <xdr:to>
      <xdr:col>7</xdr:col>
      <xdr:colOff>47625</xdr:colOff>
      <xdr:row>25</xdr:row>
      <xdr:rowOff>57150</xdr:rowOff>
    </xdr:to>
    <xdr:sp macro="" textlink="">
      <xdr:nvSpPr>
        <xdr:cNvPr id="169014" name="Text Box 54">
          <a:extLst>
            <a:ext uri="{FF2B5EF4-FFF2-40B4-BE49-F238E27FC236}">
              <a16:creationId xmlns:a16="http://schemas.microsoft.com/office/drawing/2014/main" id="{00000000-0008-0000-0600-000036940200}"/>
            </a:ext>
          </a:extLst>
        </xdr:cNvPr>
        <xdr:cNvSpPr txBox="1">
          <a:spLocks noChangeArrowheads="1"/>
        </xdr:cNvSpPr>
      </xdr:nvSpPr>
      <xdr:spPr bwMode="auto">
        <a:xfrm>
          <a:off x="4676775" y="3933825"/>
          <a:ext cx="619125" cy="209550"/>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Elevation</a:t>
          </a:r>
          <a:endParaRPr lang="en-US"/>
        </a:p>
      </xdr:txBody>
    </xdr:sp>
    <xdr:clientData/>
  </xdr:twoCellAnchor>
  <xdr:twoCellAnchor>
    <xdr:from>
      <xdr:col>6</xdr:col>
      <xdr:colOff>352425</xdr:colOff>
      <xdr:row>22</xdr:row>
      <xdr:rowOff>123825</xdr:rowOff>
    </xdr:from>
    <xdr:to>
      <xdr:col>6</xdr:col>
      <xdr:colOff>504825</xdr:colOff>
      <xdr:row>23</xdr:row>
      <xdr:rowOff>123825</xdr:rowOff>
    </xdr:to>
    <xdr:sp macro="" textlink="">
      <xdr:nvSpPr>
        <xdr:cNvPr id="169015" name="Text Box 55">
          <a:extLst>
            <a:ext uri="{FF2B5EF4-FFF2-40B4-BE49-F238E27FC236}">
              <a16:creationId xmlns:a16="http://schemas.microsoft.com/office/drawing/2014/main" id="{00000000-0008-0000-0600-000037940200}"/>
            </a:ext>
          </a:extLst>
        </xdr:cNvPr>
        <xdr:cNvSpPr txBox="1">
          <a:spLocks noChangeArrowheads="1"/>
        </xdr:cNvSpPr>
      </xdr:nvSpPr>
      <xdr:spPr bwMode="auto">
        <a:xfrm>
          <a:off x="4924425" y="3724275"/>
          <a:ext cx="152400" cy="16192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L</a:t>
          </a:r>
          <a:endParaRPr lang="en-US"/>
        </a:p>
      </xdr:txBody>
    </xdr:sp>
    <xdr:clientData/>
  </xdr:twoCellAnchor>
  <xdr:twoCellAnchor editAs="oneCell">
    <xdr:from>
      <xdr:col>1</xdr:col>
      <xdr:colOff>542925</xdr:colOff>
      <xdr:row>112</xdr:row>
      <xdr:rowOff>38100</xdr:rowOff>
    </xdr:from>
    <xdr:to>
      <xdr:col>5</xdr:col>
      <xdr:colOff>400050</xdr:colOff>
      <xdr:row>122</xdr:row>
      <xdr:rowOff>76200</xdr:rowOff>
    </xdr:to>
    <xdr:pic>
      <xdr:nvPicPr>
        <xdr:cNvPr id="258601" name="Picture 75">
          <a:extLst>
            <a:ext uri="{FF2B5EF4-FFF2-40B4-BE49-F238E27FC236}">
              <a16:creationId xmlns:a16="http://schemas.microsoft.com/office/drawing/2014/main" id="{00000000-0008-0000-0600-000029F2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8249900"/>
          <a:ext cx="2505075" cy="1657350"/>
        </a:xfrm>
        <a:prstGeom prst="rect">
          <a:avLst/>
        </a:prstGeom>
        <a:noFill/>
        <a:ln w="9525">
          <a:noFill/>
          <a:miter lim="800000"/>
          <a:headEnd/>
          <a:tailEnd/>
        </a:ln>
      </xdr:spPr>
    </xdr:pic>
    <xdr:clientData/>
  </xdr:twoCellAnchor>
  <xdr:twoCellAnchor editAs="oneCell">
    <xdr:from>
      <xdr:col>2</xdr:col>
      <xdr:colOff>76200</xdr:colOff>
      <xdr:row>130</xdr:row>
      <xdr:rowOff>0</xdr:rowOff>
    </xdr:from>
    <xdr:to>
      <xdr:col>5</xdr:col>
      <xdr:colOff>161925</xdr:colOff>
      <xdr:row>145</xdr:row>
      <xdr:rowOff>57150</xdr:rowOff>
    </xdr:to>
    <xdr:pic>
      <xdr:nvPicPr>
        <xdr:cNvPr id="258602" name="Picture 76">
          <a:extLst>
            <a:ext uri="{FF2B5EF4-FFF2-40B4-BE49-F238E27FC236}">
              <a16:creationId xmlns:a16="http://schemas.microsoft.com/office/drawing/2014/main" id="{00000000-0008-0000-0600-00002AF203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33575" y="21126450"/>
          <a:ext cx="2124075" cy="24860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514350</xdr:colOff>
      <xdr:row>6</xdr:row>
      <xdr:rowOff>104775</xdr:rowOff>
    </xdr:from>
    <xdr:to>
      <xdr:col>7</xdr:col>
      <xdr:colOff>323850</xdr:colOff>
      <xdr:row>13</xdr:row>
      <xdr:rowOff>114300</xdr:rowOff>
    </xdr:to>
    <xdr:sp macro="" textlink="">
      <xdr:nvSpPr>
        <xdr:cNvPr id="261243" name="Rectangle 31">
          <a:extLst>
            <a:ext uri="{FF2B5EF4-FFF2-40B4-BE49-F238E27FC236}">
              <a16:creationId xmlns:a16="http://schemas.microsoft.com/office/drawing/2014/main" id="{00000000-0008-0000-0700-00007BFC0300}"/>
            </a:ext>
          </a:extLst>
        </xdr:cNvPr>
        <xdr:cNvSpPr>
          <a:spLocks noChangeArrowheads="1"/>
        </xdr:cNvSpPr>
      </xdr:nvSpPr>
      <xdr:spPr bwMode="auto">
        <a:xfrm>
          <a:off x="4410075" y="1114425"/>
          <a:ext cx="1162050" cy="1143000"/>
        </a:xfrm>
        <a:prstGeom prst="rect">
          <a:avLst/>
        </a:prstGeom>
        <a:solidFill>
          <a:srgbClr val="FFFFFF"/>
        </a:solidFill>
        <a:ln w="9525">
          <a:solidFill>
            <a:srgbClr val="000000"/>
          </a:solidFill>
          <a:miter lim="800000"/>
          <a:headEnd/>
          <a:tailEnd/>
        </a:ln>
      </xdr:spPr>
    </xdr:sp>
    <xdr:clientData/>
  </xdr:twoCellAnchor>
  <xdr:twoCellAnchor>
    <xdr:from>
      <xdr:col>6</xdr:col>
      <xdr:colOff>419100</xdr:colOff>
      <xdr:row>6</xdr:row>
      <xdr:rowOff>104775</xdr:rowOff>
    </xdr:from>
    <xdr:to>
      <xdr:col>6</xdr:col>
      <xdr:colOff>419100</xdr:colOff>
      <xdr:row>13</xdr:row>
      <xdr:rowOff>114300</xdr:rowOff>
    </xdr:to>
    <xdr:sp macro="" textlink="">
      <xdr:nvSpPr>
        <xdr:cNvPr id="261244" name="Line 32">
          <a:extLst>
            <a:ext uri="{FF2B5EF4-FFF2-40B4-BE49-F238E27FC236}">
              <a16:creationId xmlns:a16="http://schemas.microsoft.com/office/drawing/2014/main" id="{00000000-0008-0000-0700-00007CFC0300}"/>
            </a:ext>
          </a:extLst>
        </xdr:cNvPr>
        <xdr:cNvSpPr>
          <a:spLocks noChangeShapeType="1"/>
        </xdr:cNvSpPr>
      </xdr:nvSpPr>
      <xdr:spPr bwMode="auto">
        <a:xfrm>
          <a:off x="4991100" y="1114425"/>
          <a:ext cx="0" cy="1143000"/>
        </a:xfrm>
        <a:prstGeom prst="line">
          <a:avLst/>
        </a:prstGeom>
        <a:noFill/>
        <a:ln w="9525">
          <a:solidFill>
            <a:srgbClr val="000000"/>
          </a:solidFill>
          <a:round/>
          <a:headEnd/>
          <a:tailEnd/>
        </a:ln>
      </xdr:spPr>
    </xdr:sp>
    <xdr:clientData/>
  </xdr:twoCellAnchor>
  <xdr:twoCellAnchor>
    <xdr:from>
      <xdr:col>5</xdr:col>
      <xdr:colOff>514350</xdr:colOff>
      <xdr:row>20</xdr:row>
      <xdr:rowOff>9525</xdr:rowOff>
    </xdr:from>
    <xdr:to>
      <xdr:col>5</xdr:col>
      <xdr:colOff>514350</xdr:colOff>
      <xdr:row>22</xdr:row>
      <xdr:rowOff>95250</xdr:rowOff>
    </xdr:to>
    <xdr:sp macro="" textlink="">
      <xdr:nvSpPr>
        <xdr:cNvPr id="261245" name="Line 33">
          <a:extLst>
            <a:ext uri="{FF2B5EF4-FFF2-40B4-BE49-F238E27FC236}">
              <a16:creationId xmlns:a16="http://schemas.microsoft.com/office/drawing/2014/main" id="{00000000-0008-0000-0700-00007DFC0300}"/>
            </a:ext>
          </a:extLst>
        </xdr:cNvPr>
        <xdr:cNvSpPr>
          <a:spLocks noChangeShapeType="1"/>
        </xdr:cNvSpPr>
      </xdr:nvSpPr>
      <xdr:spPr bwMode="auto">
        <a:xfrm flipV="1">
          <a:off x="4410075" y="3286125"/>
          <a:ext cx="0" cy="409575"/>
        </a:xfrm>
        <a:prstGeom prst="line">
          <a:avLst/>
        </a:prstGeom>
        <a:noFill/>
        <a:ln w="9525">
          <a:solidFill>
            <a:srgbClr val="000000"/>
          </a:solidFill>
          <a:round/>
          <a:headEnd/>
          <a:tailEnd/>
        </a:ln>
      </xdr:spPr>
    </xdr:sp>
    <xdr:clientData/>
  </xdr:twoCellAnchor>
  <xdr:twoCellAnchor>
    <xdr:from>
      <xdr:col>7</xdr:col>
      <xdr:colOff>323850</xdr:colOff>
      <xdr:row>20</xdr:row>
      <xdr:rowOff>9525</xdr:rowOff>
    </xdr:from>
    <xdr:to>
      <xdr:col>7</xdr:col>
      <xdr:colOff>323850</xdr:colOff>
      <xdr:row>22</xdr:row>
      <xdr:rowOff>95250</xdr:rowOff>
    </xdr:to>
    <xdr:sp macro="" textlink="">
      <xdr:nvSpPr>
        <xdr:cNvPr id="261246" name="Line 34">
          <a:extLst>
            <a:ext uri="{FF2B5EF4-FFF2-40B4-BE49-F238E27FC236}">
              <a16:creationId xmlns:a16="http://schemas.microsoft.com/office/drawing/2014/main" id="{00000000-0008-0000-0700-00007EFC0300}"/>
            </a:ext>
          </a:extLst>
        </xdr:cNvPr>
        <xdr:cNvSpPr>
          <a:spLocks noChangeShapeType="1"/>
        </xdr:cNvSpPr>
      </xdr:nvSpPr>
      <xdr:spPr bwMode="auto">
        <a:xfrm flipV="1">
          <a:off x="5572125" y="3286125"/>
          <a:ext cx="0" cy="409575"/>
        </a:xfrm>
        <a:prstGeom prst="line">
          <a:avLst/>
        </a:prstGeom>
        <a:noFill/>
        <a:ln w="9525">
          <a:solidFill>
            <a:srgbClr val="000000"/>
          </a:solidFill>
          <a:round/>
          <a:headEnd/>
          <a:tailEnd/>
        </a:ln>
      </xdr:spPr>
    </xdr:sp>
    <xdr:clientData/>
  </xdr:twoCellAnchor>
  <xdr:twoCellAnchor>
    <xdr:from>
      <xdr:col>5</xdr:col>
      <xdr:colOff>514350</xdr:colOff>
      <xdr:row>17</xdr:row>
      <xdr:rowOff>152400</xdr:rowOff>
    </xdr:from>
    <xdr:to>
      <xdr:col>6</xdr:col>
      <xdr:colOff>419100</xdr:colOff>
      <xdr:row>20</xdr:row>
      <xdr:rowOff>9525</xdr:rowOff>
    </xdr:to>
    <xdr:sp macro="" textlink="">
      <xdr:nvSpPr>
        <xdr:cNvPr id="261247" name="Line 35">
          <a:extLst>
            <a:ext uri="{FF2B5EF4-FFF2-40B4-BE49-F238E27FC236}">
              <a16:creationId xmlns:a16="http://schemas.microsoft.com/office/drawing/2014/main" id="{00000000-0008-0000-0700-00007FFC0300}"/>
            </a:ext>
          </a:extLst>
        </xdr:cNvPr>
        <xdr:cNvSpPr>
          <a:spLocks noChangeShapeType="1"/>
        </xdr:cNvSpPr>
      </xdr:nvSpPr>
      <xdr:spPr bwMode="auto">
        <a:xfrm flipV="1">
          <a:off x="4410075" y="2943225"/>
          <a:ext cx="581025" cy="342900"/>
        </a:xfrm>
        <a:prstGeom prst="line">
          <a:avLst/>
        </a:prstGeom>
        <a:noFill/>
        <a:ln w="9525">
          <a:solidFill>
            <a:srgbClr val="000000"/>
          </a:solidFill>
          <a:round/>
          <a:headEnd/>
          <a:tailEnd/>
        </a:ln>
      </xdr:spPr>
    </xdr:sp>
    <xdr:clientData/>
  </xdr:twoCellAnchor>
  <xdr:twoCellAnchor>
    <xdr:from>
      <xdr:col>6</xdr:col>
      <xdr:colOff>419100</xdr:colOff>
      <xdr:row>17</xdr:row>
      <xdr:rowOff>152400</xdr:rowOff>
    </xdr:from>
    <xdr:to>
      <xdr:col>7</xdr:col>
      <xdr:colOff>323850</xdr:colOff>
      <xdr:row>20</xdr:row>
      <xdr:rowOff>9525</xdr:rowOff>
    </xdr:to>
    <xdr:sp macro="" textlink="">
      <xdr:nvSpPr>
        <xdr:cNvPr id="261248" name="Line 36">
          <a:extLst>
            <a:ext uri="{FF2B5EF4-FFF2-40B4-BE49-F238E27FC236}">
              <a16:creationId xmlns:a16="http://schemas.microsoft.com/office/drawing/2014/main" id="{00000000-0008-0000-0700-000080FC0300}"/>
            </a:ext>
          </a:extLst>
        </xdr:cNvPr>
        <xdr:cNvSpPr>
          <a:spLocks noChangeShapeType="1"/>
        </xdr:cNvSpPr>
      </xdr:nvSpPr>
      <xdr:spPr bwMode="auto">
        <a:xfrm>
          <a:off x="4991100" y="2943225"/>
          <a:ext cx="581025" cy="342900"/>
        </a:xfrm>
        <a:prstGeom prst="line">
          <a:avLst/>
        </a:prstGeom>
        <a:noFill/>
        <a:ln w="9525">
          <a:solidFill>
            <a:srgbClr val="000000"/>
          </a:solidFill>
          <a:round/>
          <a:headEnd/>
          <a:tailEnd/>
        </a:ln>
      </xdr:spPr>
    </xdr:sp>
    <xdr:clientData/>
  </xdr:twoCellAnchor>
  <xdr:twoCellAnchor>
    <xdr:from>
      <xdr:col>5</xdr:col>
      <xdr:colOff>514350</xdr:colOff>
      <xdr:row>22</xdr:row>
      <xdr:rowOff>95250</xdr:rowOff>
    </xdr:from>
    <xdr:to>
      <xdr:col>7</xdr:col>
      <xdr:colOff>323850</xdr:colOff>
      <xdr:row>22</xdr:row>
      <xdr:rowOff>95250</xdr:rowOff>
    </xdr:to>
    <xdr:sp macro="" textlink="">
      <xdr:nvSpPr>
        <xdr:cNvPr id="261249" name="Line 37">
          <a:extLst>
            <a:ext uri="{FF2B5EF4-FFF2-40B4-BE49-F238E27FC236}">
              <a16:creationId xmlns:a16="http://schemas.microsoft.com/office/drawing/2014/main" id="{00000000-0008-0000-0700-000081FC0300}"/>
            </a:ext>
          </a:extLst>
        </xdr:cNvPr>
        <xdr:cNvSpPr>
          <a:spLocks noChangeShapeType="1"/>
        </xdr:cNvSpPr>
      </xdr:nvSpPr>
      <xdr:spPr bwMode="auto">
        <a:xfrm>
          <a:off x="4410075" y="3695700"/>
          <a:ext cx="1162050" cy="0"/>
        </a:xfrm>
        <a:prstGeom prst="line">
          <a:avLst/>
        </a:prstGeom>
        <a:noFill/>
        <a:ln w="9525">
          <a:solidFill>
            <a:srgbClr val="000000"/>
          </a:solidFill>
          <a:round/>
          <a:headEnd/>
          <a:tailEnd/>
        </a:ln>
      </xdr:spPr>
    </xdr:sp>
    <xdr:clientData/>
  </xdr:twoCellAnchor>
  <xdr:twoCellAnchor>
    <xdr:from>
      <xdr:col>5</xdr:col>
      <xdr:colOff>514350</xdr:colOff>
      <xdr:row>15</xdr:row>
      <xdr:rowOff>38100</xdr:rowOff>
    </xdr:from>
    <xdr:to>
      <xdr:col>7</xdr:col>
      <xdr:colOff>323850</xdr:colOff>
      <xdr:row>15</xdr:row>
      <xdr:rowOff>38100</xdr:rowOff>
    </xdr:to>
    <xdr:sp macro="" textlink="">
      <xdr:nvSpPr>
        <xdr:cNvPr id="261250" name="Line 38">
          <a:extLst>
            <a:ext uri="{FF2B5EF4-FFF2-40B4-BE49-F238E27FC236}">
              <a16:creationId xmlns:a16="http://schemas.microsoft.com/office/drawing/2014/main" id="{00000000-0008-0000-0700-000082FC0300}"/>
            </a:ext>
          </a:extLst>
        </xdr:cNvPr>
        <xdr:cNvSpPr>
          <a:spLocks noChangeShapeType="1"/>
        </xdr:cNvSpPr>
      </xdr:nvSpPr>
      <xdr:spPr bwMode="auto">
        <a:xfrm>
          <a:off x="4410075" y="2505075"/>
          <a:ext cx="1162050" cy="0"/>
        </a:xfrm>
        <a:prstGeom prst="line">
          <a:avLst/>
        </a:prstGeom>
        <a:noFill/>
        <a:ln w="9525">
          <a:solidFill>
            <a:srgbClr val="000000"/>
          </a:solidFill>
          <a:round/>
          <a:headEnd type="stealth" w="sm" len="sm"/>
          <a:tailEnd type="stealth" w="sm" len="sm"/>
        </a:ln>
      </xdr:spPr>
    </xdr:sp>
    <xdr:clientData/>
  </xdr:twoCellAnchor>
  <xdr:twoCellAnchor>
    <xdr:from>
      <xdr:col>5</xdr:col>
      <xdr:colOff>514350</xdr:colOff>
      <xdr:row>13</xdr:row>
      <xdr:rowOff>152400</xdr:rowOff>
    </xdr:from>
    <xdr:to>
      <xdr:col>5</xdr:col>
      <xdr:colOff>514350</xdr:colOff>
      <xdr:row>15</xdr:row>
      <xdr:rowOff>95250</xdr:rowOff>
    </xdr:to>
    <xdr:sp macro="" textlink="">
      <xdr:nvSpPr>
        <xdr:cNvPr id="261251" name="Line 39">
          <a:extLst>
            <a:ext uri="{FF2B5EF4-FFF2-40B4-BE49-F238E27FC236}">
              <a16:creationId xmlns:a16="http://schemas.microsoft.com/office/drawing/2014/main" id="{00000000-0008-0000-0700-000083FC0300}"/>
            </a:ext>
          </a:extLst>
        </xdr:cNvPr>
        <xdr:cNvSpPr>
          <a:spLocks noChangeShapeType="1"/>
        </xdr:cNvSpPr>
      </xdr:nvSpPr>
      <xdr:spPr bwMode="auto">
        <a:xfrm>
          <a:off x="4410075" y="2295525"/>
          <a:ext cx="0" cy="266700"/>
        </a:xfrm>
        <a:prstGeom prst="line">
          <a:avLst/>
        </a:prstGeom>
        <a:noFill/>
        <a:ln w="9525">
          <a:solidFill>
            <a:srgbClr val="000000"/>
          </a:solidFill>
          <a:round/>
          <a:headEnd/>
          <a:tailEnd/>
        </a:ln>
      </xdr:spPr>
    </xdr:sp>
    <xdr:clientData/>
  </xdr:twoCellAnchor>
  <xdr:twoCellAnchor>
    <xdr:from>
      <xdr:col>7</xdr:col>
      <xdr:colOff>323850</xdr:colOff>
      <xdr:row>13</xdr:row>
      <xdr:rowOff>152400</xdr:rowOff>
    </xdr:from>
    <xdr:to>
      <xdr:col>7</xdr:col>
      <xdr:colOff>323850</xdr:colOff>
      <xdr:row>15</xdr:row>
      <xdr:rowOff>95250</xdr:rowOff>
    </xdr:to>
    <xdr:sp macro="" textlink="">
      <xdr:nvSpPr>
        <xdr:cNvPr id="261252" name="Line 40">
          <a:extLst>
            <a:ext uri="{FF2B5EF4-FFF2-40B4-BE49-F238E27FC236}">
              <a16:creationId xmlns:a16="http://schemas.microsoft.com/office/drawing/2014/main" id="{00000000-0008-0000-0700-000084FC0300}"/>
            </a:ext>
          </a:extLst>
        </xdr:cNvPr>
        <xdr:cNvSpPr>
          <a:spLocks noChangeShapeType="1"/>
        </xdr:cNvSpPr>
      </xdr:nvSpPr>
      <xdr:spPr bwMode="auto">
        <a:xfrm>
          <a:off x="5572125" y="2295525"/>
          <a:ext cx="0" cy="266700"/>
        </a:xfrm>
        <a:prstGeom prst="line">
          <a:avLst/>
        </a:prstGeom>
        <a:noFill/>
        <a:ln w="9525">
          <a:solidFill>
            <a:srgbClr val="000000"/>
          </a:solidFill>
          <a:round/>
          <a:headEnd/>
          <a:tailEnd/>
        </a:ln>
      </xdr:spPr>
    </xdr:sp>
    <xdr:clientData/>
  </xdr:twoCellAnchor>
  <xdr:twoCellAnchor>
    <xdr:from>
      <xdr:col>5</xdr:col>
      <xdr:colOff>514350</xdr:colOff>
      <xdr:row>22</xdr:row>
      <xdr:rowOff>123825</xdr:rowOff>
    </xdr:from>
    <xdr:to>
      <xdr:col>5</xdr:col>
      <xdr:colOff>514350</xdr:colOff>
      <xdr:row>24</xdr:row>
      <xdr:rowOff>66675</xdr:rowOff>
    </xdr:to>
    <xdr:sp macro="" textlink="">
      <xdr:nvSpPr>
        <xdr:cNvPr id="261253" name="Line 41">
          <a:extLst>
            <a:ext uri="{FF2B5EF4-FFF2-40B4-BE49-F238E27FC236}">
              <a16:creationId xmlns:a16="http://schemas.microsoft.com/office/drawing/2014/main" id="{00000000-0008-0000-0700-000085FC0300}"/>
            </a:ext>
          </a:extLst>
        </xdr:cNvPr>
        <xdr:cNvSpPr>
          <a:spLocks noChangeShapeType="1"/>
        </xdr:cNvSpPr>
      </xdr:nvSpPr>
      <xdr:spPr bwMode="auto">
        <a:xfrm>
          <a:off x="4410075" y="3724275"/>
          <a:ext cx="0" cy="266700"/>
        </a:xfrm>
        <a:prstGeom prst="line">
          <a:avLst/>
        </a:prstGeom>
        <a:noFill/>
        <a:ln w="9525">
          <a:solidFill>
            <a:srgbClr val="000000"/>
          </a:solidFill>
          <a:round/>
          <a:headEnd/>
          <a:tailEnd/>
        </a:ln>
      </xdr:spPr>
    </xdr:sp>
    <xdr:clientData/>
  </xdr:twoCellAnchor>
  <xdr:twoCellAnchor>
    <xdr:from>
      <xdr:col>7</xdr:col>
      <xdr:colOff>323850</xdr:colOff>
      <xdr:row>22</xdr:row>
      <xdr:rowOff>123825</xdr:rowOff>
    </xdr:from>
    <xdr:to>
      <xdr:col>7</xdr:col>
      <xdr:colOff>323850</xdr:colOff>
      <xdr:row>24</xdr:row>
      <xdr:rowOff>66675</xdr:rowOff>
    </xdr:to>
    <xdr:sp macro="" textlink="">
      <xdr:nvSpPr>
        <xdr:cNvPr id="261254" name="Line 42">
          <a:extLst>
            <a:ext uri="{FF2B5EF4-FFF2-40B4-BE49-F238E27FC236}">
              <a16:creationId xmlns:a16="http://schemas.microsoft.com/office/drawing/2014/main" id="{00000000-0008-0000-0700-000086FC0300}"/>
            </a:ext>
          </a:extLst>
        </xdr:cNvPr>
        <xdr:cNvSpPr>
          <a:spLocks noChangeShapeType="1"/>
        </xdr:cNvSpPr>
      </xdr:nvSpPr>
      <xdr:spPr bwMode="auto">
        <a:xfrm>
          <a:off x="5572125" y="3724275"/>
          <a:ext cx="0" cy="266700"/>
        </a:xfrm>
        <a:prstGeom prst="line">
          <a:avLst/>
        </a:prstGeom>
        <a:noFill/>
        <a:ln w="9525">
          <a:solidFill>
            <a:srgbClr val="000000"/>
          </a:solidFill>
          <a:round/>
          <a:headEnd/>
          <a:tailEnd/>
        </a:ln>
      </xdr:spPr>
    </xdr:sp>
    <xdr:clientData/>
  </xdr:twoCellAnchor>
  <xdr:twoCellAnchor>
    <xdr:from>
      <xdr:col>5</xdr:col>
      <xdr:colOff>514350</xdr:colOff>
      <xdr:row>23</xdr:row>
      <xdr:rowOff>114300</xdr:rowOff>
    </xdr:from>
    <xdr:to>
      <xdr:col>7</xdr:col>
      <xdr:colOff>323850</xdr:colOff>
      <xdr:row>23</xdr:row>
      <xdr:rowOff>114300</xdr:rowOff>
    </xdr:to>
    <xdr:sp macro="" textlink="">
      <xdr:nvSpPr>
        <xdr:cNvPr id="261255" name="Line 43">
          <a:extLst>
            <a:ext uri="{FF2B5EF4-FFF2-40B4-BE49-F238E27FC236}">
              <a16:creationId xmlns:a16="http://schemas.microsoft.com/office/drawing/2014/main" id="{00000000-0008-0000-0700-000087FC0300}"/>
            </a:ext>
          </a:extLst>
        </xdr:cNvPr>
        <xdr:cNvSpPr>
          <a:spLocks noChangeShapeType="1"/>
        </xdr:cNvSpPr>
      </xdr:nvSpPr>
      <xdr:spPr bwMode="auto">
        <a:xfrm>
          <a:off x="4410075" y="3876675"/>
          <a:ext cx="1162050" cy="0"/>
        </a:xfrm>
        <a:prstGeom prst="line">
          <a:avLst/>
        </a:prstGeom>
        <a:noFill/>
        <a:ln w="9525">
          <a:solidFill>
            <a:srgbClr val="000000"/>
          </a:solidFill>
          <a:round/>
          <a:headEnd type="stealth" w="sm" len="sm"/>
          <a:tailEnd type="stealth" w="sm" len="sm"/>
        </a:ln>
      </xdr:spPr>
    </xdr:sp>
    <xdr:clientData/>
  </xdr:twoCellAnchor>
  <xdr:twoCellAnchor>
    <xdr:from>
      <xdr:col>7</xdr:col>
      <xdr:colOff>352425</xdr:colOff>
      <xdr:row>22</xdr:row>
      <xdr:rowOff>95250</xdr:rowOff>
    </xdr:from>
    <xdr:to>
      <xdr:col>7</xdr:col>
      <xdr:colOff>609600</xdr:colOff>
      <xdr:row>22</xdr:row>
      <xdr:rowOff>95250</xdr:rowOff>
    </xdr:to>
    <xdr:sp macro="" textlink="">
      <xdr:nvSpPr>
        <xdr:cNvPr id="261256" name="Line 44">
          <a:extLst>
            <a:ext uri="{FF2B5EF4-FFF2-40B4-BE49-F238E27FC236}">
              <a16:creationId xmlns:a16="http://schemas.microsoft.com/office/drawing/2014/main" id="{00000000-0008-0000-0700-000088FC0300}"/>
            </a:ext>
          </a:extLst>
        </xdr:cNvPr>
        <xdr:cNvSpPr>
          <a:spLocks noChangeShapeType="1"/>
        </xdr:cNvSpPr>
      </xdr:nvSpPr>
      <xdr:spPr bwMode="auto">
        <a:xfrm>
          <a:off x="5600700" y="3695700"/>
          <a:ext cx="257175" cy="0"/>
        </a:xfrm>
        <a:prstGeom prst="line">
          <a:avLst/>
        </a:prstGeom>
        <a:noFill/>
        <a:ln w="9525">
          <a:solidFill>
            <a:srgbClr val="000000"/>
          </a:solidFill>
          <a:round/>
          <a:headEnd/>
          <a:tailEnd/>
        </a:ln>
      </xdr:spPr>
    </xdr:sp>
    <xdr:clientData/>
  </xdr:twoCellAnchor>
  <xdr:twoCellAnchor>
    <xdr:from>
      <xdr:col>7</xdr:col>
      <xdr:colOff>361950</xdr:colOff>
      <xdr:row>20</xdr:row>
      <xdr:rowOff>9525</xdr:rowOff>
    </xdr:from>
    <xdr:to>
      <xdr:col>7</xdr:col>
      <xdr:colOff>619125</xdr:colOff>
      <xdr:row>20</xdr:row>
      <xdr:rowOff>9525</xdr:rowOff>
    </xdr:to>
    <xdr:sp macro="" textlink="">
      <xdr:nvSpPr>
        <xdr:cNvPr id="261257" name="Line 45">
          <a:extLst>
            <a:ext uri="{FF2B5EF4-FFF2-40B4-BE49-F238E27FC236}">
              <a16:creationId xmlns:a16="http://schemas.microsoft.com/office/drawing/2014/main" id="{00000000-0008-0000-0700-000089FC0300}"/>
            </a:ext>
          </a:extLst>
        </xdr:cNvPr>
        <xdr:cNvSpPr>
          <a:spLocks noChangeShapeType="1"/>
        </xdr:cNvSpPr>
      </xdr:nvSpPr>
      <xdr:spPr bwMode="auto">
        <a:xfrm>
          <a:off x="5610225" y="3286125"/>
          <a:ext cx="257175" cy="0"/>
        </a:xfrm>
        <a:prstGeom prst="line">
          <a:avLst/>
        </a:prstGeom>
        <a:noFill/>
        <a:ln w="9525">
          <a:solidFill>
            <a:srgbClr val="000000"/>
          </a:solidFill>
          <a:round/>
          <a:headEnd/>
          <a:tailEnd/>
        </a:ln>
      </xdr:spPr>
    </xdr:sp>
    <xdr:clientData/>
  </xdr:twoCellAnchor>
  <xdr:twoCellAnchor>
    <xdr:from>
      <xdr:col>5</xdr:col>
      <xdr:colOff>152400</xdr:colOff>
      <xdr:row>17</xdr:row>
      <xdr:rowOff>142875</xdr:rowOff>
    </xdr:from>
    <xdr:to>
      <xdr:col>6</xdr:col>
      <xdr:colOff>361950</xdr:colOff>
      <xdr:row>17</xdr:row>
      <xdr:rowOff>142875</xdr:rowOff>
    </xdr:to>
    <xdr:sp macro="" textlink="">
      <xdr:nvSpPr>
        <xdr:cNvPr id="261258" name="Line 46">
          <a:extLst>
            <a:ext uri="{FF2B5EF4-FFF2-40B4-BE49-F238E27FC236}">
              <a16:creationId xmlns:a16="http://schemas.microsoft.com/office/drawing/2014/main" id="{00000000-0008-0000-0700-00008AFC0300}"/>
            </a:ext>
          </a:extLst>
        </xdr:cNvPr>
        <xdr:cNvSpPr>
          <a:spLocks noChangeShapeType="1"/>
        </xdr:cNvSpPr>
      </xdr:nvSpPr>
      <xdr:spPr bwMode="auto">
        <a:xfrm>
          <a:off x="4048125" y="2933700"/>
          <a:ext cx="885825" cy="0"/>
        </a:xfrm>
        <a:prstGeom prst="line">
          <a:avLst/>
        </a:prstGeom>
        <a:noFill/>
        <a:ln w="9525">
          <a:solidFill>
            <a:srgbClr val="000000"/>
          </a:solidFill>
          <a:round/>
          <a:headEnd/>
          <a:tailEnd/>
        </a:ln>
      </xdr:spPr>
    </xdr:sp>
    <xdr:clientData/>
  </xdr:twoCellAnchor>
  <xdr:twoCellAnchor>
    <xdr:from>
      <xdr:col>5</xdr:col>
      <xdr:colOff>133350</xdr:colOff>
      <xdr:row>22</xdr:row>
      <xdr:rowOff>95250</xdr:rowOff>
    </xdr:from>
    <xdr:to>
      <xdr:col>5</xdr:col>
      <xdr:colOff>476250</xdr:colOff>
      <xdr:row>22</xdr:row>
      <xdr:rowOff>95250</xdr:rowOff>
    </xdr:to>
    <xdr:sp macro="" textlink="">
      <xdr:nvSpPr>
        <xdr:cNvPr id="261259" name="Line 47">
          <a:extLst>
            <a:ext uri="{FF2B5EF4-FFF2-40B4-BE49-F238E27FC236}">
              <a16:creationId xmlns:a16="http://schemas.microsoft.com/office/drawing/2014/main" id="{00000000-0008-0000-0700-00008BFC0300}"/>
            </a:ext>
          </a:extLst>
        </xdr:cNvPr>
        <xdr:cNvSpPr>
          <a:spLocks noChangeShapeType="1"/>
        </xdr:cNvSpPr>
      </xdr:nvSpPr>
      <xdr:spPr bwMode="auto">
        <a:xfrm flipH="1">
          <a:off x="4029075" y="3695700"/>
          <a:ext cx="342900" cy="0"/>
        </a:xfrm>
        <a:prstGeom prst="line">
          <a:avLst/>
        </a:prstGeom>
        <a:noFill/>
        <a:ln w="9525">
          <a:solidFill>
            <a:srgbClr val="000000"/>
          </a:solidFill>
          <a:round/>
          <a:headEnd/>
          <a:tailEnd/>
        </a:ln>
      </xdr:spPr>
    </xdr:sp>
    <xdr:clientData/>
  </xdr:twoCellAnchor>
  <xdr:twoCellAnchor>
    <xdr:from>
      <xdr:col>7</xdr:col>
      <xdr:colOff>476250</xdr:colOff>
      <xdr:row>20</xdr:row>
      <xdr:rowOff>9525</xdr:rowOff>
    </xdr:from>
    <xdr:to>
      <xdr:col>7</xdr:col>
      <xdr:colOff>476250</xdr:colOff>
      <xdr:row>22</xdr:row>
      <xdr:rowOff>95250</xdr:rowOff>
    </xdr:to>
    <xdr:sp macro="" textlink="">
      <xdr:nvSpPr>
        <xdr:cNvPr id="261260" name="Line 48">
          <a:extLst>
            <a:ext uri="{FF2B5EF4-FFF2-40B4-BE49-F238E27FC236}">
              <a16:creationId xmlns:a16="http://schemas.microsoft.com/office/drawing/2014/main" id="{00000000-0008-0000-0700-00008CFC0300}"/>
            </a:ext>
          </a:extLst>
        </xdr:cNvPr>
        <xdr:cNvSpPr>
          <a:spLocks noChangeShapeType="1"/>
        </xdr:cNvSpPr>
      </xdr:nvSpPr>
      <xdr:spPr bwMode="auto">
        <a:xfrm>
          <a:off x="5724525" y="3286125"/>
          <a:ext cx="0" cy="409575"/>
        </a:xfrm>
        <a:prstGeom prst="line">
          <a:avLst/>
        </a:prstGeom>
        <a:noFill/>
        <a:ln w="9525">
          <a:solidFill>
            <a:srgbClr val="000000"/>
          </a:solidFill>
          <a:round/>
          <a:headEnd type="stealth" w="sm" len="sm"/>
          <a:tailEnd type="stealth" w="sm" len="sm"/>
        </a:ln>
      </xdr:spPr>
    </xdr:sp>
    <xdr:clientData/>
  </xdr:twoCellAnchor>
  <xdr:twoCellAnchor>
    <xdr:from>
      <xdr:col>5</xdr:col>
      <xdr:colOff>295275</xdr:colOff>
      <xdr:row>17</xdr:row>
      <xdr:rowOff>142875</xdr:rowOff>
    </xdr:from>
    <xdr:to>
      <xdr:col>5</xdr:col>
      <xdr:colOff>295275</xdr:colOff>
      <xdr:row>22</xdr:row>
      <xdr:rowOff>95250</xdr:rowOff>
    </xdr:to>
    <xdr:sp macro="" textlink="">
      <xdr:nvSpPr>
        <xdr:cNvPr id="261261" name="Line 49">
          <a:extLst>
            <a:ext uri="{FF2B5EF4-FFF2-40B4-BE49-F238E27FC236}">
              <a16:creationId xmlns:a16="http://schemas.microsoft.com/office/drawing/2014/main" id="{00000000-0008-0000-0700-00008DFC0300}"/>
            </a:ext>
          </a:extLst>
        </xdr:cNvPr>
        <xdr:cNvSpPr>
          <a:spLocks noChangeShapeType="1"/>
        </xdr:cNvSpPr>
      </xdr:nvSpPr>
      <xdr:spPr bwMode="auto">
        <a:xfrm>
          <a:off x="4191000" y="2933700"/>
          <a:ext cx="0" cy="762000"/>
        </a:xfrm>
        <a:prstGeom prst="line">
          <a:avLst/>
        </a:prstGeom>
        <a:noFill/>
        <a:ln w="9525">
          <a:solidFill>
            <a:srgbClr val="000000"/>
          </a:solidFill>
          <a:round/>
          <a:headEnd type="stealth" w="sm" len="sm"/>
          <a:tailEnd type="stealth" w="sm" len="sm"/>
        </a:ln>
      </xdr:spPr>
    </xdr:sp>
    <xdr:clientData/>
  </xdr:twoCellAnchor>
  <xdr:twoCellAnchor>
    <xdr:from>
      <xdr:col>7</xdr:col>
      <xdr:colOff>361950</xdr:colOff>
      <xdr:row>13</xdr:row>
      <xdr:rowOff>114300</xdr:rowOff>
    </xdr:from>
    <xdr:to>
      <xdr:col>7</xdr:col>
      <xdr:colOff>619125</xdr:colOff>
      <xdr:row>13</xdr:row>
      <xdr:rowOff>114300</xdr:rowOff>
    </xdr:to>
    <xdr:sp macro="" textlink="">
      <xdr:nvSpPr>
        <xdr:cNvPr id="261262" name="Line 50">
          <a:extLst>
            <a:ext uri="{FF2B5EF4-FFF2-40B4-BE49-F238E27FC236}">
              <a16:creationId xmlns:a16="http://schemas.microsoft.com/office/drawing/2014/main" id="{00000000-0008-0000-0700-00008EFC0300}"/>
            </a:ext>
          </a:extLst>
        </xdr:cNvPr>
        <xdr:cNvSpPr>
          <a:spLocks noChangeShapeType="1"/>
        </xdr:cNvSpPr>
      </xdr:nvSpPr>
      <xdr:spPr bwMode="auto">
        <a:xfrm>
          <a:off x="5610225" y="2257425"/>
          <a:ext cx="257175" cy="0"/>
        </a:xfrm>
        <a:prstGeom prst="line">
          <a:avLst/>
        </a:prstGeom>
        <a:noFill/>
        <a:ln w="9525">
          <a:solidFill>
            <a:srgbClr val="000000"/>
          </a:solidFill>
          <a:round/>
          <a:headEnd/>
          <a:tailEnd/>
        </a:ln>
      </xdr:spPr>
    </xdr:sp>
    <xdr:clientData/>
  </xdr:twoCellAnchor>
  <xdr:twoCellAnchor>
    <xdr:from>
      <xdr:col>7</xdr:col>
      <xdr:colOff>361950</xdr:colOff>
      <xdr:row>6</xdr:row>
      <xdr:rowOff>104775</xdr:rowOff>
    </xdr:from>
    <xdr:to>
      <xdr:col>7</xdr:col>
      <xdr:colOff>619125</xdr:colOff>
      <xdr:row>6</xdr:row>
      <xdr:rowOff>104775</xdr:rowOff>
    </xdr:to>
    <xdr:sp macro="" textlink="">
      <xdr:nvSpPr>
        <xdr:cNvPr id="261263" name="Line 51">
          <a:extLst>
            <a:ext uri="{FF2B5EF4-FFF2-40B4-BE49-F238E27FC236}">
              <a16:creationId xmlns:a16="http://schemas.microsoft.com/office/drawing/2014/main" id="{00000000-0008-0000-0700-00008FFC0300}"/>
            </a:ext>
          </a:extLst>
        </xdr:cNvPr>
        <xdr:cNvSpPr>
          <a:spLocks noChangeShapeType="1"/>
        </xdr:cNvSpPr>
      </xdr:nvSpPr>
      <xdr:spPr bwMode="auto">
        <a:xfrm>
          <a:off x="5610225" y="1114425"/>
          <a:ext cx="257175" cy="0"/>
        </a:xfrm>
        <a:prstGeom prst="line">
          <a:avLst/>
        </a:prstGeom>
        <a:noFill/>
        <a:ln w="9525">
          <a:solidFill>
            <a:srgbClr val="000000"/>
          </a:solidFill>
          <a:round/>
          <a:headEnd/>
          <a:tailEnd/>
        </a:ln>
      </xdr:spPr>
    </xdr:sp>
    <xdr:clientData/>
  </xdr:twoCellAnchor>
  <xdr:twoCellAnchor>
    <xdr:from>
      <xdr:col>7</xdr:col>
      <xdr:colOff>466725</xdr:colOff>
      <xdr:row>6</xdr:row>
      <xdr:rowOff>104775</xdr:rowOff>
    </xdr:from>
    <xdr:to>
      <xdr:col>7</xdr:col>
      <xdr:colOff>466725</xdr:colOff>
      <xdr:row>13</xdr:row>
      <xdr:rowOff>114300</xdr:rowOff>
    </xdr:to>
    <xdr:sp macro="" textlink="">
      <xdr:nvSpPr>
        <xdr:cNvPr id="261264" name="Line 52">
          <a:extLst>
            <a:ext uri="{FF2B5EF4-FFF2-40B4-BE49-F238E27FC236}">
              <a16:creationId xmlns:a16="http://schemas.microsoft.com/office/drawing/2014/main" id="{00000000-0008-0000-0700-000090FC0300}"/>
            </a:ext>
          </a:extLst>
        </xdr:cNvPr>
        <xdr:cNvSpPr>
          <a:spLocks noChangeShapeType="1"/>
        </xdr:cNvSpPr>
      </xdr:nvSpPr>
      <xdr:spPr bwMode="auto">
        <a:xfrm>
          <a:off x="5715000" y="1114425"/>
          <a:ext cx="0" cy="1143000"/>
        </a:xfrm>
        <a:prstGeom prst="line">
          <a:avLst/>
        </a:prstGeom>
        <a:noFill/>
        <a:ln w="9525">
          <a:solidFill>
            <a:srgbClr val="000000"/>
          </a:solidFill>
          <a:round/>
          <a:headEnd type="stealth" w="sm" len="sm"/>
          <a:tailEnd type="stealth" w="sm" len="sm"/>
        </a:ln>
      </xdr:spPr>
    </xdr:sp>
    <xdr:clientData/>
  </xdr:twoCellAnchor>
  <xdr:twoCellAnchor>
    <xdr:from>
      <xdr:col>5</xdr:col>
      <xdr:colOff>561975</xdr:colOff>
      <xdr:row>20</xdr:row>
      <xdr:rowOff>9525</xdr:rowOff>
    </xdr:from>
    <xdr:to>
      <xdr:col>6</xdr:col>
      <xdr:colOff>361950</xdr:colOff>
      <xdr:row>20</xdr:row>
      <xdr:rowOff>9525</xdr:rowOff>
    </xdr:to>
    <xdr:sp macro="" textlink="">
      <xdr:nvSpPr>
        <xdr:cNvPr id="261265" name="Line 53">
          <a:extLst>
            <a:ext uri="{FF2B5EF4-FFF2-40B4-BE49-F238E27FC236}">
              <a16:creationId xmlns:a16="http://schemas.microsoft.com/office/drawing/2014/main" id="{00000000-0008-0000-0700-000091FC0300}"/>
            </a:ext>
          </a:extLst>
        </xdr:cNvPr>
        <xdr:cNvSpPr>
          <a:spLocks noChangeShapeType="1"/>
        </xdr:cNvSpPr>
      </xdr:nvSpPr>
      <xdr:spPr bwMode="auto">
        <a:xfrm>
          <a:off x="4457700" y="3286125"/>
          <a:ext cx="476250" cy="0"/>
        </a:xfrm>
        <a:prstGeom prst="line">
          <a:avLst/>
        </a:prstGeom>
        <a:noFill/>
        <a:ln w="9525">
          <a:solidFill>
            <a:srgbClr val="000000"/>
          </a:solidFill>
          <a:round/>
          <a:headEnd/>
          <a:tailEnd/>
        </a:ln>
      </xdr:spPr>
    </xdr:sp>
    <xdr:clientData/>
  </xdr:twoCellAnchor>
  <xdr:twoCellAnchor>
    <xdr:from>
      <xdr:col>6</xdr:col>
      <xdr:colOff>114300</xdr:colOff>
      <xdr:row>19</xdr:row>
      <xdr:rowOff>9525</xdr:rowOff>
    </xdr:from>
    <xdr:to>
      <xdr:col>6</xdr:col>
      <xdr:colOff>219075</xdr:colOff>
      <xdr:row>20</xdr:row>
      <xdr:rowOff>152400</xdr:rowOff>
    </xdr:to>
    <xdr:sp macro="" textlink="">
      <xdr:nvSpPr>
        <xdr:cNvPr id="261266" name="Arc 54">
          <a:extLst>
            <a:ext uri="{FF2B5EF4-FFF2-40B4-BE49-F238E27FC236}">
              <a16:creationId xmlns:a16="http://schemas.microsoft.com/office/drawing/2014/main" id="{00000000-0008-0000-0700-000092FC0300}"/>
            </a:ext>
          </a:extLst>
        </xdr:cNvPr>
        <xdr:cNvSpPr>
          <a:spLocks/>
        </xdr:cNvSpPr>
      </xdr:nvSpPr>
      <xdr:spPr bwMode="auto">
        <a:xfrm>
          <a:off x="4686300" y="3124200"/>
          <a:ext cx="104775" cy="304800"/>
        </a:xfrm>
        <a:custGeom>
          <a:avLst/>
          <a:gdLst>
            <a:gd name="T0" fmla="*/ 0 w 21041"/>
            <a:gd name="T1" fmla="*/ 2147483647 h 21600"/>
            <a:gd name="T2" fmla="*/ 2147483647 w 21041"/>
            <a:gd name="T3" fmla="*/ 2147483647 h 21600"/>
            <a:gd name="T4" fmla="*/ 2147483647 w 21041"/>
            <a:gd name="T5" fmla="*/ 2147483647 h 21600"/>
            <a:gd name="T6" fmla="*/ 0 60000 65536"/>
            <a:gd name="T7" fmla="*/ 0 60000 65536"/>
            <a:gd name="T8" fmla="*/ 0 60000 65536"/>
            <a:gd name="T9" fmla="*/ 0 w 21041"/>
            <a:gd name="T10" fmla="*/ 0 h 21600"/>
            <a:gd name="T11" fmla="*/ 21041 w 21041"/>
            <a:gd name="T12" fmla="*/ 21600 h 21600"/>
          </a:gdLst>
          <a:ahLst/>
          <a:cxnLst>
            <a:cxn ang="T6">
              <a:pos x="T0" y="T1"/>
            </a:cxn>
            <a:cxn ang="T7">
              <a:pos x="T2" y="T3"/>
            </a:cxn>
            <a:cxn ang="T8">
              <a:pos x="T4" y="T5"/>
            </a:cxn>
          </a:cxnLst>
          <a:rect l="T9" t="T10" r="T11" b="T12"/>
          <a:pathLst>
            <a:path w="21041" h="21600" fill="none" extrusionOk="0">
              <a:moveTo>
                <a:pt x="-1" y="84"/>
              </a:moveTo>
              <a:cubicBezTo>
                <a:pt x="635" y="28"/>
                <a:pt x="1273" y="-1"/>
                <a:pt x="1912" y="0"/>
              </a:cubicBezTo>
              <a:cubicBezTo>
                <a:pt x="9943" y="0"/>
                <a:pt x="17311" y="4455"/>
                <a:pt x="21041" y="11567"/>
              </a:cubicBezTo>
            </a:path>
            <a:path w="21041" h="21600" stroke="0" extrusionOk="0">
              <a:moveTo>
                <a:pt x="-1" y="84"/>
              </a:moveTo>
              <a:cubicBezTo>
                <a:pt x="635" y="28"/>
                <a:pt x="1273" y="-1"/>
                <a:pt x="1912" y="0"/>
              </a:cubicBezTo>
              <a:cubicBezTo>
                <a:pt x="9943" y="0"/>
                <a:pt x="17311" y="4455"/>
                <a:pt x="21041" y="11567"/>
              </a:cubicBezTo>
              <a:lnTo>
                <a:pt x="1912" y="21600"/>
              </a:lnTo>
              <a:lnTo>
                <a:pt x="-1" y="84"/>
              </a:lnTo>
              <a:close/>
            </a:path>
          </a:pathLst>
        </a:custGeom>
        <a:noFill/>
        <a:ln w="9525">
          <a:solidFill>
            <a:srgbClr val="000000"/>
          </a:solidFill>
          <a:round/>
          <a:headEnd/>
          <a:tailEnd/>
        </a:ln>
      </xdr:spPr>
    </xdr:sp>
    <xdr:clientData/>
  </xdr:twoCellAnchor>
  <xdr:twoCellAnchor editAs="oneCell">
    <xdr:from>
      <xdr:col>6</xdr:col>
      <xdr:colOff>200025</xdr:colOff>
      <xdr:row>18</xdr:row>
      <xdr:rowOff>133350</xdr:rowOff>
    </xdr:from>
    <xdr:to>
      <xdr:col>6</xdr:col>
      <xdr:colOff>428625</xdr:colOff>
      <xdr:row>19</xdr:row>
      <xdr:rowOff>152400</xdr:rowOff>
    </xdr:to>
    <xdr:sp macro="" textlink="">
      <xdr:nvSpPr>
        <xdr:cNvPr id="170039" name="Text Box 55">
          <a:extLst>
            <a:ext uri="{FF2B5EF4-FFF2-40B4-BE49-F238E27FC236}">
              <a16:creationId xmlns:a16="http://schemas.microsoft.com/office/drawing/2014/main" id="{00000000-0008-0000-0700-000037980200}"/>
            </a:ext>
          </a:extLst>
        </xdr:cNvPr>
        <xdr:cNvSpPr txBox="1">
          <a:spLocks noChangeArrowheads="1"/>
        </xdr:cNvSpPr>
      </xdr:nvSpPr>
      <xdr:spPr bwMode="auto">
        <a:xfrm>
          <a:off x="4772025" y="3086100"/>
          <a:ext cx="228600" cy="180975"/>
        </a:xfrm>
        <a:prstGeom prst="rect">
          <a:avLst/>
        </a:prstGeom>
        <a:noFill/>
        <a:ln>
          <a:noFill/>
        </a:ln>
      </xdr:spPr>
      <xdr:txBody>
        <a:bodyPr vertOverflow="clip" wrap="square" lIns="27432" tIns="22860" rIns="0" bIns="0" anchor="t" upright="1"/>
        <a:lstStyle/>
        <a:p>
          <a:pPr algn="l" rtl="0">
            <a:defRPr sz="1000"/>
          </a:pPr>
          <a:r>
            <a:rPr lang="en-US" sz="1000" b="0" i="0" u="none" strike="noStrike" baseline="0">
              <a:solidFill>
                <a:srgbClr val="0000FF"/>
              </a:solidFill>
              <a:latin typeface="Symbol"/>
            </a:rPr>
            <a:t>q </a:t>
          </a:r>
          <a:r>
            <a:rPr lang="en-US" sz="800" b="0" i="0" u="none" strike="noStrike" baseline="30000">
              <a:solidFill>
                <a:srgbClr val="0000FF"/>
              </a:solidFill>
              <a:latin typeface="Arial"/>
              <a:cs typeface="Arial"/>
            </a:rPr>
            <a:t>o</a:t>
          </a:r>
          <a:endParaRPr lang="en-US"/>
        </a:p>
      </xdr:txBody>
    </xdr:sp>
    <xdr:clientData/>
  </xdr:twoCellAnchor>
  <xdr:twoCellAnchor>
    <xdr:from>
      <xdr:col>6</xdr:col>
      <xdr:colOff>400050</xdr:colOff>
      <xdr:row>18</xdr:row>
      <xdr:rowOff>152400</xdr:rowOff>
    </xdr:from>
    <xdr:to>
      <xdr:col>7</xdr:col>
      <xdr:colOff>190500</xdr:colOff>
      <xdr:row>18</xdr:row>
      <xdr:rowOff>152400</xdr:rowOff>
    </xdr:to>
    <xdr:sp macro="" textlink="">
      <xdr:nvSpPr>
        <xdr:cNvPr id="261268" name="Line 56">
          <a:extLst>
            <a:ext uri="{FF2B5EF4-FFF2-40B4-BE49-F238E27FC236}">
              <a16:creationId xmlns:a16="http://schemas.microsoft.com/office/drawing/2014/main" id="{00000000-0008-0000-0700-000094FC0300}"/>
            </a:ext>
          </a:extLst>
        </xdr:cNvPr>
        <xdr:cNvSpPr>
          <a:spLocks noChangeShapeType="1"/>
        </xdr:cNvSpPr>
      </xdr:nvSpPr>
      <xdr:spPr bwMode="auto">
        <a:xfrm>
          <a:off x="4972050" y="3105150"/>
          <a:ext cx="466725" cy="0"/>
        </a:xfrm>
        <a:prstGeom prst="line">
          <a:avLst/>
        </a:prstGeom>
        <a:noFill/>
        <a:ln w="9525">
          <a:solidFill>
            <a:srgbClr val="000000"/>
          </a:solidFill>
          <a:round/>
          <a:headEnd/>
          <a:tailEnd/>
        </a:ln>
      </xdr:spPr>
    </xdr:sp>
    <xdr:clientData/>
  </xdr:twoCellAnchor>
  <xdr:twoCellAnchor>
    <xdr:from>
      <xdr:col>6</xdr:col>
      <xdr:colOff>609600</xdr:colOff>
      <xdr:row>18</xdr:row>
      <xdr:rowOff>152400</xdr:rowOff>
    </xdr:from>
    <xdr:to>
      <xdr:col>6</xdr:col>
      <xdr:colOff>609600</xdr:colOff>
      <xdr:row>22</xdr:row>
      <xdr:rowOff>95250</xdr:rowOff>
    </xdr:to>
    <xdr:sp macro="" textlink="">
      <xdr:nvSpPr>
        <xdr:cNvPr id="261269" name="Line 57">
          <a:extLst>
            <a:ext uri="{FF2B5EF4-FFF2-40B4-BE49-F238E27FC236}">
              <a16:creationId xmlns:a16="http://schemas.microsoft.com/office/drawing/2014/main" id="{00000000-0008-0000-0700-000095FC0300}"/>
            </a:ext>
          </a:extLst>
        </xdr:cNvPr>
        <xdr:cNvSpPr>
          <a:spLocks noChangeShapeType="1"/>
        </xdr:cNvSpPr>
      </xdr:nvSpPr>
      <xdr:spPr bwMode="auto">
        <a:xfrm>
          <a:off x="5181600" y="3105150"/>
          <a:ext cx="0" cy="590550"/>
        </a:xfrm>
        <a:prstGeom prst="line">
          <a:avLst/>
        </a:prstGeom>
        <a:noFill/>
        <a:ln w="9525">
          <a:solidFill>
            <a:srgbClr val="000000"/>
          </a:solidFill>
          <a:round/>
          <a:headEnd type="stealth" w="sm" len="sm"/>
          <a:tailEnd type="stealth" w="sm" len="sm"/>
        </a:ln>
      </xdr:spPr>
    </xdr:sp>
    <xdr:clientData/>
  </xdr:twoCellAnchor>
  <xdr:twoCellAnchor>
    <xdr:from>
      <xdr:col>6</xdr:col>
      <xdr:colOff>352425</xdr:colOff>
      <xdr:row>14</xdr:row>
      <xdr:rowOff>47625</xdr:rowOff>
    </xdr:from>
    <xdr:to>
      <xdr:col>6</xdr:col>
      <xdr:colOff>504825</xdr:colOff>
      <xdr:row>15</xdr:row>
      <xdr:rowOff>47625</xdr:rowOff>
    </xdr:to>
    <xdr:sp macro="" textlink="">
      <xdr:nvSpPr>
        <xdr:cNvPr id="170042" name="Text Box 58">
          <a:extLst>
            <a:ext uri="{FF2B5EF4-FFF2-40B4-BE49-F238E27FC236}">
              <a16:creationId xmlns:a16="http://schemas.microsoft.com/office/drawing/2014/main" id="{00000000-0008-0000-0700-00003A980200}"/>
            </a:ext>
          </a:extLst>
        </xdr:cNvPr>
        <xdr:cNvSpPr txBox="1">
          <a:spLocks noChangeArrowheads="1"/>
        </xdr:cNvSpPr>
      </xdr:nvSpPr>
      <xdr:spPr bwMode="auto">
        <a:xfrm>
          <a:off x="4924425" y="2352675"/>
          <a:ext cx="152400" cy="16192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L</a:t>
          </a:r>
          <a:endParaRPr lang="en-US"/>
        </a:p>
      </xdr:txBody>
    </xdr:sp>
    <xdr:clientData/>
  </xdr:twoCellAnchor>
  <xdr:twoCellAnchor>
    <xdr:from>
      <xdr:col>7</xdr:col>
      <xdr:colOff>466725</xdr:colOff>
      <xdr:row>9</xdr:row>
      <xdr:rowOff>114300</xdr:rowOff>
    </xdr:from>
    <xdr:to>
      <xdr:col>7</xdr:col>
      <xdr:colOff>647700</xdr:colOff>
      <xdr:row>10</xdr:row>
      <xdr:rowOff>123825</xdr:rowOff>
    </xdr:to>
    <xdr:sp macro="" textlink="">
      <xdr:nvSpPr>
        <xdr:cNvPr id="170043" name="Text Box 59">
          <a:extLst>
            <a:ext uri="{FF2B5EF4-FFF2-40B4-BE49-F238E27FC236}">
              <a16:creationId xmlns:a16="http://schemas.microsoft.com/office/drawing/2014/main" id="{00000000-0008-0000-0700-00003B980200}"/>
            </a:ext>
          </a:extLst>
        </xdr:cNvPr>
        <xdr:cNvSpPr txBox="1">
          <a:spLocks noChangeArrowheads="1"/>
        </xdr:cNvSpPr>
      </xdr:nvSpPr>
      <xdr:spPr bwMode="auto">
        <a:xfrm>
          <a:off x="5715000" y="1609725"/>
          <a:ext cx="180975" cy="17145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B</a:t>
          </a:r>
          <a:endParaRPr lang="en-US"/>
        </a:p>
      </xdr:txBody>
    </xdr:sp>
    <xdr:clientData/>
  </xdr:twoCellAnchor>
  <xdr:twoCellAnchor>
    <xdr:from>
      <xdr:col>5</xdr:col>
      <xdr:colOff>142875</xdr:colOff>
      <xdr:row>19</xdr:row>
      <xdr:rowOff>104775</xdr:rowOff>
    </xdr:from>
    <xdr:to>
      <xdr:col>5</xdr:col>
      <xdr:colOff>352425</xdr:colOff>
      <xdr:row>20</xdr:row>
      <xdr:rowOff>95250</xdr:rowOff>
    </xdr:to>
    <xdr:sp macro="" textlink="">
      <xdr:nvSpPr>
        <xdr:cNvPr id="170044" name="Text Box 60">
          <a:extLst>
            <a:ext uri="{FF2B5EF4-FFF2-40B4-BE49-F238E27FC236}">
              <a16:creationId xmlns:a16="http://schemas.microsoft.com/office/drawing/2014/main" id="{00000000-0008-0000-0700-00003C980200}"/>
            </a:ext>
          </a:extLst>
        </xdr:cNvPr>
        <xdr:cNvSpPr txBox="1">
          <a:spLocks noChangeArrowheads="1"/>
        </xdr:cNvSpPr>
      </xdr:nvSpPr>
      <xdr:spPr bwMode="auto">
        <a:xfrm>
          <a:off x="4038600" y="3219450"/>
          <a:ext cx="209550" cy="15240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r</a:t>
          </a:r>
          <a:endParaRPr lang="en-US"/>
        </a:p>
      </xdr:txBody>
    </xdr:sp>
    <xdr:clientData/>
  </xdr:twoCellAnchor>
  <xdr:twoCellAnchor>
    <xdr:from>
      <xdr:col>7</xdr:col>
      <xdr:colOff>476250</xdr:colOff>
      <xdr:row>20</xdr:row>
      <xdr:rowOff>133350</xdr:rowOff>
    </xdr:from>
    <xdr:to>
      <xdr:col>7</xdr:col>
      <xdr:colOff>657225</xdr:colOff>
      <xdr:row>21</xdr:row>
      <xdr:rowOff>123825</xdr:rowOff>
    </xdr:to>
    <xdr:sp macro="" textlink="">
      <xdr:nvSpPr>
        <xdr:cNvPr id="170045" name="Text Box 61">
          <a:extLst>
            <a:ext uri="{FF2B5EF4-FFF2-40B4-BE49-F238E27FC236}">
              <a16:creationId xmlns:a16="http://schemas.microsoft.com/office/drawing/2014/main" id="{00000000-0008-0000-0700-00003D980200}"/>
            </a:ext>
          </a:extLst>
        </xdr:cNvPr>
        <xdr:cNvSpPr txBox="1">
          <a:spLocks noChangeArrowheads="1"/>
        </xdr:cNvSpPr>
      </xdr:nvSpPr>
      <xdr:spPr bwMode="auto">
        <a:xfrm>
          <a:off x="5724525" y="3409950"/>
          <a:ext cx="180975" cy="152400"/>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r>
            <a:rPr lang="en-US" sz="800" b="0" i="0" u="none" strike="noStrike" baseline="0">
              <a:solidFill>
                <a:srgbClr val="0000FF"/>
              </a:solidFill>
              <a:latin typeface="Arial"/>
              <a:cs typeface="Arial"/>
            </a:rPr>
            <a:t>e</a:t>
          </a:r>
          <a:endParaRPr lang="en-US"/>
        </a:p>
      </xdr:txBody>
    </xdr:sp>
    <xdr:clientData/>
  </xdr:twoCellAnchor>
  <xdr:twoCellAnchor>
    <xdr:from>
      <xdr:col>6</xdr:col>
      <xdr:colOff>609600</xdr:colOff>
      <xdr:row>20</xdr:row>
      <xdr:rowOff>38100</xdr:rowOff>
    </xdr:from>
    <xdr:to>
      <xdr:col>7</xdr:col>
      <xdr:colOff>123825</xdr:colOff>
      <xdr:row>21</xdr:row>
      <xdr:rowOff>57150</xdr:rowOff>
    </xdr:to>
    <xdr:sp macro="" textlink="">
      <xdr:nvSpPr>
        <xdr:cNvPr id="170046" name="Text Box 62">
          <a:extLst>
            <a:ext uri="{FF2B5EF4-FFF2-40B4-BE49-F238E27FC236}">
              <a16:creationId xmlns:a16="http://schemas.microsoft.com/office/drawing/2014/main" id="{00000000-0008-0000-0700-00003E980200}"/>
            </a:ext>
          </a:extLst>
        </xdr:cNvPr>
        <xdr:cNvSpPr txBox="1">
          <a:spLocks noChangeArrowheads="1"/>
        </xdr:cNvSpPr>
      </xdr:nvSpPr>
      <xdr:spPr bwMode="auto">
        <a:xfrm>
          <a:off x="5181600" y="3314700"/>
          <a:ext cx="190500" cy="18097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h</a:t>
          </a:r>
          <a:endParaRPr lang="en-US"/>
        </a:p>
      </xdr:txBody>
    </xdr:sp>
    <xdr:clientData/>
  </xdr:twoCellAnchor>
  <xdr:twoCellAnchor>
    <xdr:from>
      <xdr:col>6</xdr:col>
      <xdr:colOff>247650</xdr:colOff>
      <xdr:row>15</xdr:row>
      <xdr:rowOff>76200</xdr:rowOff>
    </xdr:from>
    <xdr:to>
      <xdr:col>6</xdr:col>
      <xdr:colOff>628650</xdr:colOff>
      <xdr:row>16</xdr:row>
      <xdr:rowOff>104775</xdr:rowOff>
    </xdr:to>
    <xdr:sp macro="" textlink="">
      <xdr:nvSpPr>
        <xdr:cNvPr id="170047" name="Text Box 63">
          <a:extLst>
            <a:ext uri="{FF2B5EF4-FFF2-40B4-BE49-F238E27FC236}">
              <a16:creationId xmlns:a16="http://schemas.microsoft.com/office/drawing/2014/main" id="{00000000-0008-0000-0700-00003F980200}"/>
            </a:ext>
          </a:extLst>
        </xdr:cNvPr>
        <xdr:cNvSpPr txBox="1">
          <a:spLocks noChangeArrowheads="1"/>
        </xdr:cNvSpPr>
      </xdr:nvSpPr>
      <xdr:spPr bwMode="auto">
        <a:xfrm>
          <a:off x="4819650" y="2543175"/>
          <a:ext cx="381000" cy="190500"/>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Plan</a:t>
          </a:r>
          <a:endParaRPr lang="en-US"/>
        </a:p>
      </xdr:txBody>
    </xdr:sp>
    <xdr:clientData/>
  </xdr:twoCellAnchor>
  <xdr:twoCellAnchor>
    <xdr:from>
      <xdr:col>6</xdr:col>
      <xdr:colOff>104775</xdr:colOff>
      <xdr:row>24</xdr:row>
      <xdr:rowOff>9525</xdr:rowOff>
    </xdr:from>
    <xdr:to>
      <xdr:col>7</xdr:col>
      <xdr:colOff>47625</xdr:colOff>
      <xdr:row>25</xdr:row>
      <xdr:rowOff>57150</xdr:rowOff>
    </xdr:to>
    <xdr:sp macro="" textlink="">
      <xdr:nvSpPr>
        <xdr:cNvPr id="170048" name="Text Box 64">
          <a:extLst>
            <a:ext uri="{FF2B5EF4-FFF2-40B4-BE49-F238E27FC236}">
              <a16:creationId xmlns:a16="http://schemas.microsoft.com/office/drawing/2014/main" id="{00000000-0008-0000-0700-000040980200}"/>
            </a:ext>
          </a:extLst>
        </xdr:cNvPr>
        <xdr:cNvSpPr txBox="1">
          <a:spLocks noChangeArrowheads="1"/>
        </xdr:cNvSpPr>
      </xdr:nvSpPr>
      <xdr:spPr bwMode="auto">
        <a:xfrm>
          <a:off x="4676775" y="3933825"/>
          <a:ext cx="619125" cy="209550"/>
        </a:xfrm>
        <a:prstGeom prst="rect">
          <a:avLst/>
        </a:prstGeom>
        <a:noFill/>
        <a:ln>
          <a:noFill/>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Elevation</a:t>
          </a:r>
          <a:endParaRPr lang="en-US"/>
        </a:p>
      </xdr:txBody>
    </xdr:sp>
    <xdr:clientData/>
  </xdr:twoCellAnchor>
  <xdr:twoCellAnchor>
    <xdr:from>
      <xdr:col>6</xdr:col>
      <xdr:colOff>352425</xdr:colOff>
      <xdr:row>22</xdr:row>
      <xdr:rowOff>123825</xdr:rowOff>
    </xdr:from>
    <xdr:to>
      <xdr:col>6</xdr:col>
      <xdr:colOff>504825</xdr:colOff>
      <xdr:row>23</xdr:row>
      <xdr:rowOff>123825</xdr:rowOff>
    </xdr:to>
    <xdr:sp macro="" textlink="">
      <xdr:nvSpPr>
        <xdr:cNvPr id="170049" name="Text Box 65">
          <a:extLst>
            <a:ext uri="{FF2B5EF4-FFF2-40B4-BE49-F238E27FC236}">
              <a16:creationId xmlns:a16="http://schemas.microsoft.com/office/drawing/2014/main" id="{00000000-0008-0000-0700-000041980200}"/>
            </a:ext>
          </a:extLst>
        </xdr:cNvPr>
        <xdr:cNvSpPr txBox="1">
          <a:spLocks noChangeArrowheads="1"/>
        </xdr:cNvSpPr>
      </xdr:nvSpPr>
      <xdr:spPr bwMode="auto">
        <a:xfrm>
          <a:off x="4924425" y="3724275"/>
          <a:ext cx="152400" cy="161925"/>
        </a:xfrm>
        <a:prstGeom prst="rect">
          <a:avLst/>
        </a:prstGeom>
        <a:noFill/>
        <a:ln>
          <a:noFill/>
        </a:ln>
      </xdr:spPr>
      <xdr:txBody>
        <a:bodyPr vertOverflow="clip" wrap="square" lIns="27432" tIns="22860" rIns="0" bIns="0" anchor="t" upright="1"/>
        <a:lstStyle/>
        <a:p>
          <a:pPr algn="l" rtl="0">
            <a:defRPr sz="1000"/>
          </a:pPr>
          <a:r>
            <a:rPr lang="en-US" sz="900" b="0" i="0" u="none" strike="noStrike" baseline="0">
              <a:solidFill>
                <a:srgbClr val="0000FF"/>
              </a:solidFill>
              <a:latin typeface="Arial"/>
              <a:cs typeface="Arial"/>
            </a:rPr>
            <a:t>L</a:t>
          </a:r>
          <a:endParaRPr lang="en-US"/>
        </a:p>
      </xdr:txBody>
    </xdr:sp>
    <xdr:clientData/>
  </xdr:twoCellAnchor>
  <xdr:twoCellAnchor editAs="oneCell">
    <xdr:from>
      <xdr:col>2</xdr:col>
      <xdr:colOff>295275</xdr:colOff>
      <xdr:row>107</xdr:row>
      <xdr:rowOff>85725</xdr:rowOff>
    </xdr:from>
    <xdr:to>
      <xdr:col>5</xdr:col>
      <xdr:colOff>76200</xdr:colOff>
      <xdr:row>112</xdr:row>
      <xdr:rowOff>123825</xdr:rowOff>
    </xdr:to>
    <xdr:pic>
      <xdr:nvPicPr>
        <xdr:cNvPr id="261278" name="Picture 85">
          <a:extLst>
            <a:ext uri="{FF2B5EF4-FFF2-40B4-BE49-F238E27FC236}">
              <a16:creationId xmlns:a16="http://schemas.microsoft.com/office/drawing/2014/main" id="{00000000-0008-0000-0700-00009EFC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52650" y="17487900"/>
          <a:ext cx="1819275" cy="847725"/>
        </a:xfrm>
        <a:prstGeom prst="rect">
          <a:avLst/>
        </a:prstGeom>
        <a:noFill/>
        <a:ln w="9525">
          <a:noFill/>
          <a:miter lim="800000"/>
          <a:headEnd/>
          <a:tailEnd/>
        </a:ln>
      </xdr:spPr>
    </xdr:pic>
    <xdr:clientData/>
  </xdr:twoCellAnchor>
  <xdr:twoCellAnchor editAs="oneCell">
    <xdr:from>
      <xdr:col>0</xdr:col>
      <xdr:colOff>66675</xdr:colOff>
      <xdr:row>113</xdr:row>
      <xdr:rowOff>38100</xdr:rowOff>
    </xdr:from>
    <xdr:to>
      <xdr:col>1</xdr:col>
      <xdr:colOff>447675</xdr:colOff>
      <xdr:row>124</xdr:row>
      <xdr:rowOff>104775</xdr:rowOff>
    </xdr:to>
    <xdr:pic>
      <xdr:nvPicPr>
        <xdr:cNvPr id="261279" name="Picture 86">
          <a:extLst>
            <a:ext uri="{FF2B5EF4-FFF2-40B4-BE49-F238E27FC236}">
              <a16:creationId xmlns:a16="http://schemas.microsoft.com/office/drawing/2014/main" id="{00000000-0008-0000-0700-00009FFC03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6675" y="18411825"/>
          <a:ext cx="1628775" cy="1847850"/>
        </a:xfrm>
        <a:prstGeom prst="rect">
          <a:avLst/>
        </a:prstGeom>
        <a:noFill/>
        <a:ln w="9525">
          <a:noFill/>
          <a:miter lim="800000"/>
          <a:headEnd/>
          <a:tailEnd/>
        </a:ln>
      </xdr:spPr>
    </xdr:pic>
    <xdr:clientData/>
  </xdr:twoCellAnchor>
  <xdr:twoCellAnchor editAs="oneCell">
    <xdr:from>
      <xdr:col>2</xdr:col>
      <xdr:colOff>228600</xdr:colOff>
      <xdr:row>113</xdr:row>
      <xdr:rowOff>57150</xdr:rowOff>
    </xdr:from>
    <xdr:to>
      <xdr:col>4</xdr:col>
      <xdr:colOff>466725</xdr:colOff>
      <xdr:row>124</xdr:row>
      <xdr:rowOff>123825</xdr:rowOff>
    </xdr:to>
    <xdr:pic>
      <xdr:nvPicPr>
        <xdr:cNvPr id="261280" name="Picture 87">
          <a:extLst>
            <a:ext uri="{FF2B5EF4-FFF2-40B4-BE49-F238E27FC236}">
              <a16:creationId xmlns:a16="http://schemas.microsoft.com/office/drawing/2014/main" id="{00000000-0008-0000-0700-0000A0FC0300}"/>
            </a:ext>
          </a:extLst>
        </xdr:cNvPr>
        <xdr:cNvPicPr>
          <a:picLocks noChangeAspect="1" noChangeArrowheads="1"/>
        </xdr:cNvPicPr>
      </xdr:nvPicPr>
      <xdr:blipFill>
        <a:blip xmlns:r="http://schemas.openxmlformats.org/officeDocument/2006/relationships" r:embed="rId3" cstate="print"/>
        <a:srcRect r="3680"/>
        <a:stretch>
          <a:fillRect/>
        </a:stretch>
      </xdr:blipFill>
      <xdr:spPr bwMode="auto">
        <a:xfrm>
          <a:off x="2085975" y="18430875"/>
          <a:ext cx="1495425" cy="1847850"/>
        </a:xfrm>
        <a:prstGeom prst="rect">
          <a:avLst/>
        </a:prstGeom>
        <a:noFill/>
        <a:ln w="9525">
          <a:noFill/>
          <a:miter lim="800000"/>
          <a:headEnd/>
          <a:tailEnd/>
        </a:ln>
      </xdr:spPr>
    </xdr:pic>
    <xdr:clientData/>
  </xdr:twoCellAnchor>
  <xdr:twoCellAnchor editAs="oneCell">
    <xdr:from>
      <xdr:col>5</xdr:col>
      <xdr:colOff>180975</xdr:colOff>
      <xdr:row>112</xdr:row>
      <xdr:rowOff>104775</xdr:rowOff>
    </xdr:from>
    <xdr:to>
      <xdr:col>7</xdr:col>
      <xdr:colOff>457200</xdr:colOff>
      <xdr:row>125</xdr:row>
      <xdr:rowOff>114300</xdr:rowOff>
    </xdr:to>
    <xdr:pic>
      <xdr:nvPicPr>
        <xdr:cNvPr id="261281" name="Picture 88">
          <a:extLst>
            <a:ext uri="{FF2B5EF4-FFF2-40B4-BE49-F238E27FC236}">
              <a16:creationId xmlns:a16="http://schemas.microsoft.com/office/drawing/2014/main" id="{00000000-0008-0000-0700-0000A1FC03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076700" y="18316575"/>
          <a:ext cx="1628775" cy="2114550"/>
        </a:xfrm>
        <a:prstGeom prst="rect">
          <a:avLst/>
        </a:prstGeom>
        <a:noFill/>
        <a:ln w="9525">
          <a:noFill/>
          <a:miter lim="800000"/>
          <a:headEnd/>
          <a:tailEnd/>
        </a:ln>
      </xdr:spPr>
    </xdr:pic>
    <xdr:clientData/>
  </xdr:twoCellAnchor>
  <xdr:twoCellAnchor editAs="oneCell">
    <xdr:from>
      <xdr:col>2</xdr:col>
      <xdr:colOff>295275</xdr:colOff>
      <xdr:row>134</xdr:row>
      <xdr:rowOff>142875</xdr:rowOff>
    </xdr:from>
    <xdr:to>
      <xdr:col>4</xdr:col>
      <xdr:colOff>742950</xdr:colOff>
      <xdr:row>146</xdr:row>
      <xdr:rowOff>152400</xdr:rowOff>
    </xdr:to>
    <xdr:pic>
      <xdr:nvPicPr>
        <xdr:cNvPr id="261282" name="Picture 90">
          <a:extLst>
            <a:ext uri="{FF2B5EF4-FFF2-40B4-BE49-F238E27FC236}">
              <a16:creationId xmlns:a16="http://schemas.microsoft.com/office/drawing/2014/main" id="{00000000-0008-0000-0700-0000A2FC03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152650" y="21936075"/>
          <a:ext cx="1704975" cy="19526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21</xdr:row>
      <xdr:rowOff>0</xdr:rowOff>
    </xdr:from>
    <xdr:to>
      <xdr:col>31</xdr:col>
      <xdr:colOff>0</xdr:colOff>
      <xdr:row>25</xdr:row>
      <xdr:rowOff>0</xdr:rowOff>
    </xdr:to>
    <xdr:sp macro="" textlink="">
      <xdr:nvSpPr>
        <xdr:cNvPr id="216382" name="Rectangle 39">
          <a:extLst>
            <a:ext uri="{FF2B5EF4-FFF2-40B4-BE49-F238E27FC236}">
              <a16:creationId xmlns:a16="http://schemas.microsoft.com/office/drawing/2014/main" id="{00000000-0008-0000-0800-00003E4D0300}"/>
            </a:ext>
          </a:extLst>
        </xdr:cNvPr>
        <xdr:cNvSpPr>
          <a:spLocks noChangeArrowheads="1"/>
        </xdr:cNvSpPr>
      </xdr:nvSpPr>
      <xdr:spPr bwMode="auto">
        <a:xfrm>
          <a:off x="6838950" y="3438525"/>
          <a:ext cx="2276475" cy="647700"/>
        </a:xfrm>
        <a:prstGeom prst="rect">
          <a:avLst/>
        </a:prstGeom>
        <a:noFill/>
        <a:ln w="9525">
          <a:solidFill>
            <a:srgbClr val="000000"/>
          </a:solidFill>
          <a:miter lim="800000"/>
          <a:headEnd/>
          <a:tailEnd/>
        </a:ln>
        <a:effectLst>
          <a:outerShdw dist="107763" dir="2700000" algn="ctr" rotWithShape="0">
            <a:srgbClr val="808080">
              <a:alpha val="50000"/>
            </a:srgbClr>
          </a:outerShdw>
        </a:effectLst>
      </xdr:spPr>
      <xdr:txBody>
        <a:bodyPr/>
        <a:lstStyle/>
        <a:p>
          <a:endParaRPr lang="en-US"/>
        </a:p>
      </xdr:txBody>
    </xdr:sp>
    <xdr:clientData/>
  </xdr:twoCellAnchor>
  <xdr:twoCellAnchor>
    <xdr:from>
      <xdr:col>27</xdr:col>
      <xdr:colOff>0</xdr:colOff>
      <xdr:row>5</xdr:row>
      <xdr:rowOff>0</xdr:rowOff>
    </xdr:from>
    <xdr:to>
      <xdr:col>32</xdr:col>
      <xdr:colOff>0</xdr:colOff>
      <xdr:row>7</xdr:row>
      <xdr:rowOff>0</xdr:rowOff>
    </xdr:to>
    <xdr:sp macro="" textlink="">
      <xdr:nvSpPr>
        <xdr:cNvPr id="216383" name="Rectangle 41">
          <a:extLst>
            <a:ext uri="{FF2B5EF4-FFF2-40B4-BE49-F238E27FC236}">
              <a16:creationId xmlns:a16="http://schemas.microsoft.com/office/drawing/2014/main" id="{00000000-0008-0000-0800-00003F4D0300}"/>
            </a:ext>
          </a:extLst>
        </xdr:cNvPr>
        <xdr:cNvSpPr>
          <a:spLocks noChangeArrowheads="1"/>
        </xdr:cNvSpPr>
      </xdr:nvSpPr>
      <xdr:spPr bwMode="auto">
        <a:xfrm>
          <a:off x="6838950" y="847725"/>
          <a:ext cx="2657475" cy="323850"/>
        </a:xfrm>
        <a:prstGeom prst="rect">
          <a:avLst/>
        </a:prstGeom>
        <a:noFill/>
        <a:ln w="9525">
          <a:solidFill>
            <a:srgbClr val="000000"/>
          </a:solidFill>
          <a:miter lim="800000"/>
          <a:headEnd/>
          <a:tailEnd/>
        </a:ln>
        <a:effectLst>
          <a:outerShdw dist="107763" dir="2700000" algn="ctr" rotWithShape="0">
            <a:srgbClr val="808080">
              <a:alpha val="50000"/>
            </a:srgbClr>
          </a:outerShdw>
        </a:effectLst>
      </xdr:spPr>
      <xdr:txBody>
        <a:body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0"/>
  <sheetViews>
    <sheetView showGridLines="0" workbookViewId="0">
      <selection activeCell="I1" sqref="I1:I1048576"/>
    </sheetView>
  </sheetViews>
  <sheetFormatPr defaultColWidth="9.140625" defaultRowHeight="12.75"/>
  <cols>
    <col min="1" max="1" width="18.7109375" style="45" customWidth="1"/>
    <col min="2" max="2" width="9.140625" style="45"/>
    <col min="3" max="3" width="11.7109375" style="45" customWidth="1"/>
    <col min="4" max="4" width="12" style="45" customWidth="1"/>
    <col min="5" max="6" width="9.140625" style="45"/>
    <col min="7" max="7" width="12.28515625" style="45" customWidth="1"/>
    <col min="8" max="8" width="12.85546875" style="45" customWidth="1"/>
    <col min="9" max="9" width="21.42578125" style="45" bestFit="1" customWidth="1"/>
    <col min="10" max="10" width="11.85546875" style="45" hidden="1" customWidth="1"/>
    <col min="11" max="11" width="9.28515625" style="45" hidden="1" customWidth="1"/>
    <col min="12" max="12" width="62.42578125" style="45" hidden="1" customWidth="1"/>
    <col min="13" max="13" width="14.7109375" style="45" hidden="1" customWidth="1"/>
    <col min="14" max="14" width="18" style="45" hidden="1" customWidth="1"/>
    <col min="15" max="16" width="9.140625" style="45" hidden="1" customWidth="1"/>
    <col min="17" max="17" width="8.7109375" style="45" hidden="1" customWidth="1"/>
    <col min="18" max="18" width="6" style="45" hidden="1" customWidth="1"/>
    <col min="19" max="19" width="9.140625" style="45" hidden="1" customWidth="1"/>
    <col min="20" max="20" width="9.140625" style="206" hidden="1" customWidth="1"/>
    <col min="21" max="26" width="9.140625" style="206" customWidth="1"/>
    <col min="27" max="27" width="23.85546875" style="45" bestFit="1" customWidth="1"/>
    <col min="28" max="16384" width="9.140625" style="45"/>
  </cols>
  <sheetData>
    <row r="1" spans="1:26" ht="16.5">
      <c r="A1" s="23" t="s">
        <v>465</v>
      </c>
      <c r="B1" s="24"/>
      <c r="C1" s="24"/>
      <c r="D1" s="24"/>
      <c r="E1" s="24"/>
      <c r="F1" s="24"/>
      <c r="G1" s="24"/>
      <c r="H1" s="39"/>
      <c r="I1" s="434" t="s">
        <v>484</v>
      </c>
      <c r="L1" s="287" t="s">
        <v>175</v>
      </c>
      <c r="M1" s="65"/>
      <c r="N1" s="65"/>
      <c r="O1" s="65"/>
      <c r="P1" s="65"/>
      <c r="Q1" s="65"/>
      <c r="R1" s="65"/>
      <c r="Y1"/>
      <c r="Z1"/>
    </row>
    <row r="2" spans="1:26" ht="14.25">
      <c r="A2" s="432" t="s">
        <v>466</v>
      </c>
      <c r="B2" s="40"/>
      <c r="C2" s="27"/>
      <c r="D2" s="27"/>
      <c r="E2" s="27"/>
      <c r="F2" s="27"/>
      <c r="G2" s="27"/>
      <c r="H2" s="41"/>
      <c r="L2" s="65"/>
      <c r="M2" s="65"/>
      <c r="N2" s="65"/>
      <c r="O2" s="65"/>
      <c r="P2" s="65"/>
      <c r="Q2" s="65"/>
      <c r="R2" s="65"/>
    </row>
    <row r="3" spans="1:26" ht="14.25">
      <c r="A3" s="47" t="s">
        <v>110</v>
      </c>
      <c r="B3" s="110"/>
      <c r="C3" s="111"/>
      <c r="D3" s="112"/>
      <c r="E3" s="116" t="s">
        <v>300</v>
      </c>
      <c r="F3" s="114"/>
      <c r="G3" s="111"/>
      <c r="H3" s="113"/>
      <c r="J3" s="416" t="s">
        <v>419</v>
      </c>
      <c r="L3" s="65" t="s">
        <v>195</v>
      </c>
      <c r="M3" s="65"/>
      <c r="N3" s="65"/>
      <c r="O3" s="65"/>
      <c r="P3" s="393" t="s">
        <v>236</v>
      </c>
      <c r="Q3" s="32">
        <f>IF($B$17="Gable",DEGREES(ATAN(($B$13-$B$14)/($B$15/2))),DEGREES(ATAN(($B$13-$B$14)/($B$15))))</f>
        <v>28.072486935852957</v>
      </c>
      <c r="R3" s="65"/>
    </row>
    <row r="4" spans="1:26" ht="14.25">
      <c r="A4" s="47" t="s">
        <v>111</v>
      </c>
      <c r="B4" s="110"/>
      <c r="C4" s="111"/>
      <c r="D4" s="112"/>
      <c r="E4" s="115" t="s">
        <v>299</v>
      </c>
      <c r="F4" s="149"/>
      <c r="G4" s="116" t="s">
        <v>298</v>
      </c>
      <c r="H4" s="150"/>
      <c r="J4" s="416" t="s">
        <v>420</v>
      </c>
      <c r="L4" s="65" t="s">
        <v>429</v>
      </c>
      <c r="M4" s="394" t="str">
        <f>IF($Q$4&lt;=18,"Yes","No")</f>
        <v>No</v>
      </c>
      <c r="N4" s="65"/>
      <c r="O4" s="65"/>
      <c r="P4" s="393" t="s">
        <v>155</v>
      </c>
      <c r="Q4" s="32">
        <f>IF($B$23&lt;=10,$B$14,$B$14+($B$13-$B$14)/2)</f>
        <v>36</v>
      </c>
      <c r="R4" s="65"/>
    </row>
    <row r="5" spans="1:26" ht="14.25">
      <c r="A5" s="44"/>
      <c r="B5" s="65"/>
      <c r="C5" s="65"/>
      <c r="D5" s="65"/>
      <c r="E5" s="65"/>
      <c r="F5" s="145"/>
      <c r="G5" s="31"/>
      <c r="H5" s="208"/>
      <c r="J5" s="416" t="s">
        <v>421</v>
      </c>
      <c r="L5" s="65" t="s">
        <v>203</v>
      </c>
      <c r="M5" s="394" t="str">
        <f>IF($Q$4&lt;=$Q$5,"Yes","No")</f>
        <v>No</v>
      </c>
      <c r="N5" s="65"/>
      <c r="O5" s="65"/>
      <c r="P5" s="393" t="s">
        <v>196</v>
      </c>
      <c r="Q5" s="101">
        <f>IF($B$15&lt;=$B$16,$B$15,$B$16)</f>
        <v>30</v>
      </c>
      <c r="R5" s="65"/>
      <c r="Y5"/>
      <c r="Z5"/>
    </row>
    <row r="6" spans="1:26" ht="14.25">
      <c r="A6" s="46" t="s">
        <v>150</v>
      </c>
      <c r="B6" s="65"/>
      <c r="C6" s="65"/>
      <c r="D6" s="65"/>
      <c r="E6" s="65"/>
      <c r="F6" s="205"/>
      <c r="G6" s="31"/>
      <c r="H6" s="152"/>
      <c r="J6" s="416" t="s">
        <v>422</v>
      </c>
      <c r="L6" s="65"/>
      <c r="M6" s="65"/>
      <c r="N6" s="65"/>
      <c r="O6" s="65"/>
      <c r="P6" s="393"/>
      <c r="Q6" s="395"/>
      <c r="R6" s="65"/>
      <c r="Y6"/>
      <c r="Z6"/>
    </row>
    <row r="7" spans="1:26" ht="14.25">
      <c r="A7" s="433" t="s">
        <v>480</v>
      </c>
      <c r="B7" s="158" t="s">
        <v>884</v>
      </c>
      <c r="C7" s="65"/>
      <c r="D7" s="65"/>
      <c r="E7" s="65"/>
      <c r="H7" s="50"/>
      <c r="J7" s="416" t="s">
        <v>423</v>
      </c>
      <c r="L7" s="65" t="s">
        <v>439</v>
      </c>
      <c r="M7" s="65"/>
      <c r="N7" s="65"/>
      <c r="O7" s="65"/>
      <c r="P7" s="65"/>
      <c r="Q7" s="397"/>
      <c r="R7" s="65"/>
      <c r="Y7"/>
      <c r="Z7"/>
    </row>
    <row r="8" spans="1:26" ht="14.25">
      <c r="A8" s="433" t="s">
        <v>482</v>
      </c>
      <c r="B8" s="158" t="s">
        <v>888</v>
      </c>
      <c r="H8" s="50"/>
      <c r="J8" s="394" t="s">
        <v>415</v>
      </c>
      <c r="L8" s="398" t="s">
        <v>186</v>
      </c>
      <c r="M8" s="31">
        <f>IF($B$19="Y",0.375,1.146)</f>
        <v>1.1459999999999999</v>
      </c>
      <c r="N8" s="396"/>
      <c r="O8" s="65"/>
      <c r="P8" s="65"/>
      <c r="Q8" s="397"/>
      <c r="R8" s="65"/>
      <c r="Y8"/>
      <c r="Z8"/>
    </row>
    <row r="9" spans="1:26" ht="15.75">
      <c r="A9" s="418" t="s">
        <v>427</v>
      </c>
      <c r="B9" s="420">
        <f ca="1">VLOOKUP(B8,INDIRECT(B7),2,FALSE)</f>
        <v>32.5</v>
      </c>
      <c r="C9" s="186" t="s">
        <v>437</v>
      </c>
      <c r="H9" s="159"/>
      <c r="J9" s="394" t="s">
        <v>416</v>
      </c>
      <c r="L9" s="398" t="s">
        <v>187</v>
      </c>
      <c r="M9" s="31">
        <f>IF($B$19="Y",-0.375,-1.146)</f>
        <v>-1.1459999999999999</v>
      </c>
      <c r="N9" s="396"/>
      <c r="O9" s="65"/>
      <c r="P9" s="65"/>
      <c r="Q9" s="37"/>
      <c r="R9" s="65"/>
      <c r="Y9"/>
      <c r="Z9"/>
    </row>
    <row r="10" spans="1:26" ht="14.25">
      <c r="A10" s="418" t="s">
        <v>481</v>
      </c>
      <c r="B10" s="158" t="s">
        <v>471</v>
      </c>
      <c r="C10" s="186" t="s">
        <v>436</v>
      </c>
      <c r="H10" s="160"/>
      <c r="J10" s="394" t="s">
        <v>417</v>
      </c>
      <c r="L10" s="65"/>
      <c r="M10" s="65"/>
      <c r="N10" s="65"/>
      <c r="O10" s="65"/>
      <c r="P10" s="65"/>
      <c r="Q10" s="65"/>
      <c r="R10" s="65"/>
      <c r="Y10"/>
      <c r="Z10"/>
    </row>
    <row r="11" spans="1:26" ht="14.25">
      <c r="A11" s="418" t="s">
        <v>435</v>
      </c>
      <c r="B11" s="420">
        <f>IF(B10="第五類",1,IF(B10="第四類",0.9,1.1))</f>
        <v>1</v>
      </c>
      <c r="C11" s="186" t="s">
        <v>436</v>
      </c>
      <c r="H11" s="50"/>
      <c r="J11" s="394" t="s">
        <v>312</v>
      </c>
      <c r="L11" s="65" t="s">
        <v>237</v>
      </c>
      <c r="M11" s="65"/>
      <c r="N11" s="65"/>
      <c r="O11" s="65"/>
      <c r="P11" s="65"/>
      <c r="Q11" s="65"/>
      <c r="R11" s="65"/>
      <c r="Y11"/>
      <c r="Z11"/>
    </row>
    <row r="12" spans="1:26" ht="14.25">
      <c r="A12" s="418" t="s">
        <v>432</v>
      </c>
      <c r="B12" s="122" t="s">
        <v>157</v>
      </c>
      <c r="C12" s="186" t="s">
        <v>418</v>
      </c>
      <c r="H12" s="50"/>
      <c r="J12" s="394" t="s">
        <v>311</v>
      </c>
      <c r="L12" s="400" t="s">
        <v>238</v>
      </c>
      <c r="M12" s="101">
        <f>IF($B$12="A",0.32,IF($B$12="B",0.25,IF($B$12="C",0.15,"Error!")))</f>
        <v>0.15</v>
      </c>
      <c r="N12" s="396" t="s">
        <v>430</v>
      </c>
      <c r="O12" s="65"/>
      <c r="P12" s="65"/>
      <c r="Q12" s="65"/>
      <c r="R12" s="65"/>
      <c r="Y12"/>
      <c r="Z12"/>
    </row>
    <row r="13" spans="1:26" ht="14.25">
      <c r="A13" s="418" t="s">
        <v>469</v>
      </c>
      <c r="B13" s="123">
        <v>40</v>
      </c>
      <c r="C13" s="186" t="s">
        <v>413</v>
      </c>
      <c r="H13" s="50"/>
      <c r="J13" s="394" t="s">
        <v>272</v>
      </c>
      <c r="K13" s="206"/>
      <c r="L13" s="393" t="s">
        <v>119</v>
      </c>
      <c r="M13" s="394">
        <f>IF($B$12="A",500,IF($B$12="B",400,IF($B$12="C",300,"Error!")))</f>
        <v>300</v>
      </c>
      <c r="N13" s="396" t="s">
        <v>430</v>
      </c>
      <c r="O13" s="65"/>
      <c r="P13" s="65"/>
      <c r="Q13" s="65"/>
      <c r="R13" s="206"/>
      <c r="Y13"/>
      <c r="Z13"/>
    </row>
    <row r="14" spans="1:26" ht="14.25">
      <c r="A14" s="418" t="s">
        <v>470</v>
      </c>
      <c r="B14" s="123">
        <v>32</v>
      </c>
      <c r="C14" s="186" t="s">
        <v>414</v>
      </c>
      <c r="F14" s="162"/>
      <c r="H14" s="50"/>
      <c r="J14" s="394" t="s">
        <v>121</v>
      </c>
      <c r="K14" s="206"/>
      <c r="L14" s="393" t="s">
        <v>120</v>
      </c>
      <c r="M14" s="397">
        <f>IF($Q$4&lt;=O14,P14*(O14/$M$13)^(2*$M$12),P14*($Q$4/$M$13)^(2*$M$12))</f>
        <v>1.4684556363688959</v>
      </c>
      <c r="N14" s="65" t="s">
        <v>431</v>
      </c>
      <c r="O14" s="45">
        <v>5</v>
      </c>
      <c r="P14" s="37">
        <v>2.774</v>
      </c>
      <c r="Q14" s="65"/>
      <c r="R14" s="206"/>
      <c r="Y14"/>
      <c r="Z14"/>
    </row>
    <row r="15" spans="1:26" ht="15.75">
      <c r="A15" s="418" t="s">
        <v>467</v>
      </c>
      <c r="B15" s="123">
        <v>30</v>
      </c>
      <c r="C15" s="186" t="s">
        <v>450</v>
      </c>
      <c r="F15" s="104"/>
      <c r="G15" s="207"/>
      <c r="H15" s="50"/>
      <c r="J15" s="417" t="s">
        <v>424</v>
      </c>
      <c r="L15" s="393" t="s">
        <v>192</v>
      </c>
      <c r="M15" s="101">
        <f ca="1">0.06*$M$14*$B$18*(B$11*$B$9)^2</f>
        <v>93.063375954878765</v>
      </c>
      <c r="N15" s="396" t="s">
        <v>433</v>
      </c>
      <c r="O15" s="65"/>
      <c r="P15" s="65" t="s">
        <v>434</v>
      </c>
      <c r="Q15" s="65"/>
      <c r="R15" s="65"/>
      <c r="Y15"/>
      <c r="Z15"/>
    </row>
    <row r="16" spans="1:26" ht="15.75">
      <c r="A16" s="418" t="s">
        <v>468</v>
      </c>
      <c r="B16" s="123">
        <v>100</v>
      </c>
      <c r="C16" s="186" t="s">
        <v>451</v>
      </c>
      <c r="H16" s="50"/>
      <c r="J16" s="45">
        <v>1.1000000000000001</v>
      </c>
      <c r="L16" s="393" t="s">
        <v>461</v>
      </c>
      <c r="M16" s="101">
        <f ca="1">0.06*Q16*$B$18*(B$11*$B$9)^2</f>
        <v>89.832409003943638</v>
      </c>
      <c r="N16" s="396" t="s">
        <v>433</v>
      </c>
      <c r="O16" s="65"/>
      <c r="P16" s="65" t="s">
        <v>434</v>
      </c>
      <c r="Q16" s="427">
        <f>IF(B14&lt;=O14,P14*(O14/$M$13)^(2*$M$12),P14*(B14/$M$13)^(2*$M$12))</f>
        <v>1.417473909332444</v>
      </c>
      <c r="R16" s="65"/>
      <c r="Y16"/>
      <c r="Z16"/>
    </row>
    <row r="17" spans="1:26" ht="14.25">
      <c r="A17" s="418" t="s">
        <v>438</v>
      </c>
      <c r="B17" s="163" t="s">
        <v>312</v>
      </c>
      <c r="C17" s="182" t="s">
        <v>210</v>
      </c>
      <c r="H17" s="50"/>
      <c r="J17" s="45">
        <v>1.1000000000000001</v>
      </c>
      <c r="L17" s="65" t="s">
        <v>336</v>
      </c>
      <c r="M17" s="65"/>
      <c r="N17" s="65"/>
      <c r="O17" s="65"/>
      <c r="P17" s="65"/>
      <c r="Q17" s="65"/>
      <c r="R17" s="65"/>
      <c r="Y17"/>
      <c r="Z17"/>
    </row>
    <row r="18" spans="1:26" ht="14.25">
      <c r="A18" s="418" t="s">
        <v>425</v>
      </c>
      <c r="B18" s="123">
        <v>1</v>
      </c>
      <c r="C18" s="191" t="s">
        <v>473</v>
      </c>
      <c r="H18" s="50"/>
      <c r="J18" s="45">
        <v>1.1000000000000001</v>
      </c>
      <c r="L18" s="65"/>
      <c r="M18" s="393" t="s">
        <v>176</v>
      </c>
      <c r="N18" s="101">
        <f>IF($B$15&lt;=$B$16,$B$15,$B$16)</f>
        <v>30</v>
      </c>
      <c r="O18" s="65"/>
      <c r="P18" s="65"/>
      <c r="Q18" s="65"/>
      <c r="R18" s="65"/>
      <c r="Y18"/>
      <c r="Z18"/>
    </row>
    <row r="19" spans="1:26" ht="14.25">
      <c r="A19" s="418" t="s">
        <v>426</v>
      </c>
      <c r="B19" s="122" t="s">
        <v>121</v>
      </c>
      <c r="C19" s="92" t="s">
        <v>474</v>
      </c>
      <c r="E19" s="206"/>
      <c r="H19" s="50"/>
      <c r="J19" s="45">
        <v>0.9</v>
      </c>
      <c r="L19" s="65"/>
      <c r="M19" s="398" t="s">
        <v>177</v>
      </c>
      <c r="N19" s="101">
        <f>0.1*$N$18</f>
        <v>3</v>
      </c>
      <c r="O19" s="65"/>
      <c r="P19" s="65"/>
      <c r="Q19" s="65"/>
      <c r="R19" s="65"/>
      <c r="Y19"/>
      <c r="Z19"/>
    </row>
    <row r="20" spans="1:26" ht="14.25">
      <c r="A20" s="418" t="s">
        <v>483</v>
      </c>
      <c r="B20" s="123">
        <v>1</v>
      </c>
      <c r="C20" s="51" t="str">
        <f>IF($B$14&gt;$B$13,"hr MUST BE &gt;= he !","")</f>
        <v/>
      </c>
      <c r="E20" s="162"/>
      <c r="F20" s="162"/>
      <c r="H20" s="159"/>
      <c r="J20" s="45">
        <v>1</v>
      </c>
      <c r="L20" s="65"/>
      <c r="M20" s="393" t="s">
        <v>132</v>
      </c>
      <c r="N20" s="101">
        <f>IF($N$19&lt;=0.4*$B$24,$N$19,0.4*$B$24)</f>
        <v>3</v>
      </c>
      <c r="O20" s="65"/>
      <c r="P20" s="65"/>
      <c r="Q20" s="65"/>
      <c r="R20" s="65"/>
      <c r="Y20"/>
      <c r="Z20"/>
    </row>
    <row r="21" spans="1:26">
      <c r="A21" s="46" t="s">
        <v>172</v>
      </c>
      <c r="B21" s="31"/>
      <c r="C21" s="52"/>
      <c r="H21" s="204"/>
      <c r="L21" s="65"/>
      <c r="M21" s="393" t="s">
        <v>173</v>
      </c>
      <c r="N21" s="101">
        <f>IF($N$20&gt;=0.04*$N$18,$N$20,0.04*$N$18)</f>
        <v>3</v>
      </c>
      <c r="O21" s="65"/>
      <c r="P21" s="101"/>
      <c r="Q21" s="65"/>
      <c r="R21" s="65"/>
      <c r="Y21"/>
      <c r="Z21"/>
    </row>
    <row r="22" spans="1:26">
      <c r="A22" s="44"/>
      <c r="F22" s="162"/>
      <c r="H22" s="50"/>
      <c r="L22" s="65"/>
      <c r="M22" s="393" t="s">
        <v>448</v>
      </c>
      <c r="N22" s="101">
        <f>IF($N$21&gt;=0.9,$N$21,0.9)</f>
        <v>3</v>
      </c>
      <c r="O22" s="65"/>
      <c r="P22" s="401"/>
      <c r="Q22" s="65"/>
      <c r="R22" s="65"/>
      <c r="Y22"/>
      <c r="Z22"/>
    </row>
    <row r="23" spans="1:26">
      <c r="A23" s="49" t="s">
        <v>235</v>
      </c>
      <c r="B23" s="125">
        <f>$Q$3</f>
        <v>28.072486935852957</v>
      </c>
      <c r="C23" s="45" t="s">
        <v>276</v>
      </c>
      <c r="E23" s="53"/>
      <c r="F23" s="162"/>
      <c r="H23" s="50"/>
      <c r="L23" s="65"/>
      <c r="M23" s="393" t="s">
        <v>131</v>
      </c>
      <c r="N23" s="101">
        <f>$N$22</f>
        <v>3</v>
      </c>
      <c r="O23" s="65"/>
      <c r="P23" s="65"/>
      <c r="Q23" s="65"/>
      <c r="R23" s="65"/>
      <c r="Y23"/>
      <c r="Z23"/>
    </row>
    <row r="24" spans="1:26">
      <c r="A24" s="49" t="s">
        <v>155</v>
      </c>
      <c r="B24" s="126">
        <f>$Q$4</f>
        <v>36</v>
      </c>
      <c r="C24" s="52" t="str">
        <f>IF($B$23&lt;=10,"m. (h = he, for angle &lt;=10 deg.)","m (h = (hr+he)/2, for angle &gt;10 deg.)")</f>
        <v>m (h = (hr+he)/2, for angle &gt;10 deg.)</v>
      </c>
      <c r="F24" s="71"/>
      <c r="G24" s="71"/>
      <c r="H24" s="50"/>
      <c r="L24" s="65"/>
      <c r="M24" s="393" t="s">
        <v>197</v>
      </c>
      <c r="N24" s="101">
        <f>2*$N$23</f>
        <v>6</v>
      </c>
      <c r="O24" s="65"/>
      <c r="P24" s="65"/>
      <c r="Q24" s="65"/>
      <c r="R24" s="396"/>
      <c r="Y24"/>
      <c r="Z24"/>
    </row>
    <row r="25" spans="1:26">
      <c r="A25" s="44"/>
      <c r="H25" s="50"/>
      <c r="L25" s="398"/>
      <c r="M25" s="231"/>
      <c r="N25" s="32"/>
      <c r="O25" s="398"/>
      <c r="P25" s="231"/>
      <c r="Q25" s="65"/>
      <c r="R25" s="399"/>
      <c r="Y25"/>
      <c r="Z25"/>
    </row>
    <row r="26" spans="1:26">
      <c r="A26" s="44" t="s">
        <v>228</v>
      </c>
      <c r="H26" s="50"/>
      <c r="L26" s="298"/>
      <c r="M26" s="231"/>
      <c r="N26" s="32"/>
      <c r="O26" s="298"/>
      <c r="P26" s="231"/>
      <c r="Q26" s="65"/>
      <c r="R26" s="65"/>
      <c r="Y26"/>
      <c r="Z26"/>
    </row>
    <row r="27" spans="1:26">
      <c r="A27" s="419" t="s">
        <v>889</v>
      </c>
      <c r="B27" s="73" t="str">
        <f>IF($M$4="No","Yes, O.K.","No, Violation!")</f>
        <v>Yes, O.K.</v>
      </c>
      <c r="C27" s="74"/>
      <c r="D27" s="191" t="s">
        <v>887</v>
      </c>
      <c r="G27" s="48" t="str">
        <f>IF($M$5="Yes","Yes, O.K.","No, Violation!")</f>
        <v>No, Violation!</v>
      </c>
      <c r="H27" s="50"/>
      <c r="L27" s="65"/>
      <c r="M27" s="65"/>
      <c r="N27" s="65"/>
      <c r="O27" s="65"/>
      <c r="P27" s="65"/>
      <c r="Q27" s="65"/>
      <c r="R27" s="65"/>
      <c r="Y27"/>
      <c r="Z27"/>
    </row>
    <row r="28" spans="1:26">
      <c r="A28" s="44"/>
      <c r="H28" s="50"/>
      <c r="R28" s="65"/>
      <c r="Y28"/>
      <c r="Z28"/>
    </row>
    <row r="29" spans="1:26">
      <c r="A29" s="180" t="s">
        <v>333</v>
      </c>
      <c r="H29" s="50"/>
      <c r="R29" s="65"/>
      <c r="Y29"/>
      <c r="Z29"/>
    </row>
    <row r="30" spans="1:26">
      <c r="A30" s="44" t="s">
        <v>208</v>
      </c>
      <c r="H30" s="50"/>
      <c r="R30" s="65"/>
      <c r="Y30"/>
      <c r="Z30"/>
    </row>
    <row r="31" spans="1:26">
      <c r="A31" s="392" t="s">
        <v>334</v>
      </c>
      <c r="E31" s="34"/>
      <c r="H31" s="75"/>
      <c r="R31" s="65"/>
      <c r="Y31"/>
      <c r="Z31"/>
    </row>
    <row r="32" spans="1:26">
      <c r="A32" s="76" t="s">
        <v>189</v>
      </c>
      <c r="B32" s="142">
        <f>$M$8</f>
        <v>1.1459999999999999</v>
      </c>
      <c r="C32" s="45" t="s">
        <v>217</v>
      </c>
      <c r="H32" s="50"/>
      <c r="R32" s="65"/>
      <c r="Y32"/>
      <c r="Z32"/>
    </row>
    <row r="33" spans="1:28">
      <c r="A33" s="76" t="s">
        <v>190</v>
      </c>
      <c r="B33" s="272">
        <f>$M$9</f>
        <v>-1.1459999999999999</v>
      </c>
      <c r="C33" s="45" t="s">
        <v>218</v>
      </c>
      <c r="H33" s="50"/>
      <c r="R33" s="65"/>
      <c r="Y33"/>
      <c r="Z33"/>
    </row>
    <row r="34" spans="1:28">
      <c r="A34" s="44"/>
      <c r="H34" s="50"/>
      <c r="R34" s="65"/>
      <c r="Y34"/>
      <c r="Z34"/>
    </row>
    <row r="35" spans="1:28" ht="14.25">
      <c r="A35" s="404" t="s">
        <v>442</v>
      </c>
      <c r="F35" s="52"/>
      <c r="G35" s="61"/>
      <c r="H35" s="50"/>
      <c r="R35" s="65"/>
      <c r="Y35"/>
      <c r="Z35"/>
    </row>
    <row r="36" spans="1:28" ht="14.25">
      <c r="A36" s="404" t="s">
        <v>443</v>
      </c>
      <c r="F36" s="52" t="str">
        <f>IF($B$12="B","(Note: z not &lt; 30' for Exp. B)","")</f>
        <v/>
      </c>
      <c r="G36" s="61"/>
      <c r="H36" s="50"/>
      <c r="R36" s="65"/>
      <c r="Y36"/>
      <c r="Z36"/>
    </row>
    <row r="37" spans="1:28">
      <c r="A37" s="78" t="s">
        <v>231</v>
      </c>
      <c r="B37" s="127">
        <f>$M$12</f>
        <v>0.15</v>
      </c>
      <c r="C37" s="92" t="s">
        <v>475</v>
      </c>
      <c r="D37" s="52"/>
      <c r="E37" s="52"/>
      <c r="G37" s="61"/>
      <c r="H37" s="50"/>
      <c r="R37" s="65"/>
      <c r="Y37"/>
      <c r="Z37"/>
    </row>
    <row r="38" spans="1:28">
      <c r="A38" s="49" t="s">
        <v>119</v>
      </c>
      <c r="B38" s="132">
        <f>$M$13</f>
        <v>300</v>
      </c>
      <c r="C38" s="92" t="s">
        <v>475</v>
      </c>
      <c r="H38" s="50"/>
      <c r="R38" s="65"/>
      <c r="Y38"/>
      <c r="Z38"/>
    </row>
    <row r="39" spans="1:28" ht="15.75">
      <c r="A39" s="418" t="s">
        <v>441</v>
      </c>
      <c r="B39" s="139">
        <f>$M$14</f>
        <v>1.4684556363688959</v>
      </c>
      <c r="C39" s="186" t="s">
        <v>440</v>
      </c>
      <c r="F39" s="64"/>
      <c r="G39" s="61"/>
      <c r="H39" s="50"/>
      <c r="R39" s="65"/>
      <c r="Y39"/>
      <c r="Z39"/>
    </row>
    <row r="40" spans="1:28">
      <c r="A40" s="44"/>
      <c r="H40" s="50"/>
      <c r="R40" s="65"/>
      <c r="Y40"/>
      <c r="Z40"/>
    </row>
    <row r="41" spans="1:28" ht="15.75">
      <c r="A41" s="185" t="s">
        <v>444</v>
      </c>
      <c r="F41" s="428">
        <f ca="1">M16</f>
        <v>89.832409003943638</v>
      </c>
      <c r="G41" s="186" t="s">
        <v>445</v>
      </c>
      <c r="H41" s="50"/>
      <c r="R41" s="65"/>
      <c r="Y41"/>
      <c r="Z41"/>
    </row>
    <row r="42" spans="1:28" ht="15.75">
      <c r="A42" s="49" t="s">
        <v>192</v>
      </c>
      <c r="B42" s="59">
        <f ca="1">$M$15</f>
        <v>93.063375954878765</v>
      </c>
      <c r="C42" s="186" t="s">
        <v>445</v>
      </c>
      <c r="D42" s="186" t="s">
        <v>893</v>
      </c>
      <c r="G42" s="61"/>
      <c r="H42" s="50"/>
      <c r="R42" s="65"/>
      <c r="Y42"/>
      <c r="Z42"/>
    </row>
    <row r="43" spans="1:28">
      <c r="A43" s="185" t="s">
        <v>447</v>
      </c>
      <c r="C43" s="79"/>
      <c r="D43" s="68"/>
      <c r="E43" s="80"/>
      <c r="F43" s="81"/>
      <c r="G43" s="68"/>
      <c r="H43" s="50"/>
      <c r="K43" s="101"/>
      <c r="R43" s="65"/>
      <c r="Y43"/>
      <c r="Z43"/>
    </row>
    <row r="44" spans="1:28" ht="14.25">
      <c r="A44" s="190" t="s">
        <v>449</v>
      </c>
      <c r="D44" s="68"/>
      <c r="F44" s="68"/>
      <c r="H44" s="50"/>
      <c r="R44" s="65"/>
      <c r="Y44"/>
      <c r="Z44"/>
    </row>
    <row r="45" spans="1:28" ht="14.25">
      <c r="A45" s="444" t="s">
        <v>877</v>
      </c>
      <c r="B45" s="24"/>
      <c r="C45" s="24"/>
      <c r="D45" s="83"/>
      <c r="E45" s="103" t="s">
        <v>878</v>
      </c>
      <c r="F45" s="83"/>
      <c r="G45" s="55"/>
      <c r="H45" s="84"/>
      <c r="M45" s="419" t="s">
        <v>462</v>
      </c>
      <c r="N45" s="431" t="s">
        <v>464</v>
      </c>
      <c r="O45" s="193" t="s">
        <v>452</v>
      </c>
      <c r="P45" s="193" t="s">
        <v>416</v>
      </c>
      <c r="Q45" s="61"/>
      <c r="R45" s="429">
        <f>B24/S46</f>
        <v>0.36</v>
      </c>
      <c r="S45" s="193" t="s">
        <v>452</v>
      </c>
      <c r="T45" s="193" t="s">
        <v>416</v>
      </c>
      <c r="U45" s="45"/>
      <c r="AA45"/>
      <c r="AB45"/>
    </row>
    <row r="46" spans="1:28" ht="14.25">
      <c r="A46" s="85" t="s">
        <v>115</v>
      </c>
      <c r="B46" s="425" t="s">
        <v>890</v>
      </c>
      <c r="C46" s="445" t="s">
        <v>885</v>
      </c>
      <c r="D46" s="86"/>
      <c r="E46" s="85" t="s">
        <v>115</v>
      </c>
      <c r="F46" s="426" t="s">
        <v>890</v>
      </c>
      <c r="G46" s="445" t="s">
        <v>886</v>
      </c>
      <c r="H46" s="86"/>
      <c r="M46" s="66">
        <v>1.88</v>
      </c>
      <c r="N46" s="424">
        <f>O46/P46</f>
        <v>0.3</v>
      </c>
      <c r="O46" s="421">
        <f>B15</f>
        <v>30</v>
      </c>
      <c r="P46" s="421">
        <f>B16</f>
        <v>100</v>
      </c>
      <c r="Q46" s="54"/>
      <c r="R46" s="424">
        <f>S46/T46</f>
        <v>3.3333333333333335</v>
      </c>
      <c r="S46" s="421">
        <f>P46</f>
        <v>100</v>
      </c>
      <c r="T46" s="421">
        <f>O46</f>
        <v>30</v>
      </c>
      <c r="U46" s="45"/>
      <c r="AA46"/>
      <c r="AB46"/>
    </row>
    <row r="47" spans="1:28">
      <c r="A47" s="183"/>
      <c r="B47" s="87"/>
      <c r="C47" s="166" t="s">
        <v>193</v>
      </c>
      <c r="D47" s="58" t="s">
        <v>194</v>
      </c>
      <c r="E47" s="183"/>
      <c r="F47" s="184"/>
      <c r="G47" s="166" t="s">
        <v>193</v>
      </c>
      <c r="H47" s="166" t="s">
        <v>194</v>
      </c>
      <c r="T47" s="45"/>
      <c r="U47" s="45"/>
      <c r="AA47"/>
      <c r="AB47"/>
    </row>
    <row r="48" spans="1:28" ht="14.25">
      <c r="A48" s="422" t="s">
        <v>456</v>
      </c>
      <c r="B48" s="127"/>
      <c r="C48" s="127">
        <f ca="1">$F41*M46*$B48-$B42*$M$8</f>
        <v>-106.65062884429106</v>
      </c>
      <c r="D48" s="127">
        <f ca="1">$F41*M46*$B48-$B42*$M$9</f>
        <v>106.65062884429106</v>
      </c>
      <c r="E48" s="422" t="s">
        <v>453</v>
      </c>
      <c r="F48" s="127">
        <v>0.8</v>
      </c>
      <c r="G48" s="127">
        <f ca="1">$F41*M46*F48-$B42*$M$8</f>
        <v>28.457314297640167</v>
      </c>
      <c r="H48" s="127">
        <f ca="1">$F41*M46*F48-$B42*$M$9</f>
        <v>241.75857198622231</v>
      </c>
      <c r="I48" s="186" t="s">
        <v>892</v>
      </c>
      <c r="J48" s="186" t="s">
        <v>891</v>
      </c>
      <c r="K48" s="186" t="s">
        <v>894</v>
      </c>
      <c r="L48" s="414" t="s">
        <v>380</v>
      </c>
      <c r="M48" s="414"/>
      <c r="N48" s="415">
        <v>0</v>
      </c>
      <c r="O48" s="415" t="s">
        <v>381</v>
      </c>
      <c r="P48" s="415">
        <v>20</v>
      </c>
      <c r="Q48" s="415">
        <v>30</v>
      </c>
      <c r="R48" s="415">
        <v>40</v>
      </c>
      <c r="S48" s="415">
        <v>50</v>
      </c>
      <c r="T48" s="414" t="s">
        <v>382</v>
      </c>
      <c r="U48" s="45"/>
      <c r="AA48"/>
      <c r="AB48"/>
    </row>
    <row r="49" spans="1:28" ht="14.25">
      <c r="A49" s="446">
        <v>5</v>
      </c>
      <c r="B49" s="313">
        <v>-1.9</v>
      </c>
      <c r="C49" s="313">
        <f ca="1">$I49*$B49-$B$42*$B$32</f>
        <v>-204.4492326877629</v>
      </c>
      <c r="D49" s="313">
        <f ca="1">$I49*$B49-$B$42*$B$33</f>
        <v>8.8520250008192249</v>
      </c>
      <c r="E49" s="446"/>
      <c r="F49" s="313"/>
      <c r="G49" s="313"/>
      <c r="H49" s="313"/>
      <c r="I49" s="448">
        <f ca="1">0.06*J49*$B$18*(B$11*$B$9)^2</f>
        <v>51.472949391300972</v>
      </c>
      <c r="J49" s="447">
        <f>IF(A49&lt;=5,2.774*(5/$M$13)^(2*$M$12),2.774*(A49/$M$13)^(2*$M$12))</f>
        <v>0.81219644009942371</v>
      </c>
      <c r="K49" s="447">
        <f ca="1">I49*B49</f>
        <v>-97.798603843471838</v>
      </c>
      <c r="L49" s="414"/>
      <c r="M49" s="414"/>
      <c r="N49" s="415"/>
      <c r="O49" s="415"/>
      <c r="P49" s="415"/>
      <c r="Q49" s="415"/>
      <c r="R49" s="415"/>
      <c r="S49" s="415"/>
      <c r="T49" s="414"/>
      <c r="U49" s="45"/>
      <c r="AA49"/>
      <c r="AB49"/>
    </row>
    <row r="50" spans="1:28" ht="14.25">
      <c r="A50" s="446">
        <v>12</v>
      </c>
      <c r="B50" s="313">
        <v>-1.9</v>
      </c>
      <c r="C50" s="313">
        <f t="shared" ref="C50:C54" ca="1" si="0">$I50*$B50-$B$42*$B$32</f>
        <v>-233.82395419038423</v>
      </c>
      <c r="D50" s="313">
        <f t="shared" ref="D50:D54" ca="1" si="1">$I50*$B50-$B$42*$B$33</f>
        <v>-20.522696501802102</v>
      </c>
      <c r="E50" s="446"/>
      <c r="F50" s="313"/>
      <c r="G50" s="313"/>
      <c r="H50" s="313"/>
      <c r="I50" s="448">
        <f t="shared" ref="I50:I54" ca="1" si="2">0.06*J50*$B$18*(B$11*$B$9)^2</f>
        <v>66.933329129522718</v>
      </c>
      <c r="J50" s="447">
        <f>IF(A50&lt;=5,2.774*(5/$M$13)^(2*$M$12),2.774*(A50/$M$13)^(2*$M$12))</f>
        <v>1.0561472051995695</v>
      </c>
      <c r="K50" s="447">
        <f t="shared" ref="K50:K54" ca="1" si="3">I50*B50</f>
        <v>-127.17332534609316</v>
      </c>
      <c r="L50" s="414"/>
      <c r="M50" s="414"/>
      <c r="N50" s="415"/>
      <c r="O50" s="415"/>
      <c r="P50" s="415"/>
      <c r="Q50" s="415"/>
      <c r="R50" s="415"/>
      <c r="S50" s="415"/>
      <c r="T50" s="414"/>
      <c r="U50" s="45"/>
      <c r="AA50"/>
      <c r="AB50"/>
    </row>
    <row r="51" spans="1:28" ht="14.25">
      <c r="A51" s="446">
        <v>17</v>
      </c>
      <c r="B51" s="313">
        <v>-1.9</v>
      </c>
      <c r="C51" s="313">
        <f t="shared" ca="1" si="0"/>
        <v>-247.83165364949718</v>
      </c>
      <c r="D51" s="313">
        <f t="shared" ca="1" si="1"/>
        <v>-34.530395960915072</v>
      </c>
      <c r="E51" s="446"/>
      <c r="F51" s="313"/>
      <c r="G51" s="313"/>
      <c r="H51" s="313"/>
      <c r="I51" s="448">
        <f t="shared" ref="I51:I53" ca="1" si="4">0.06*J51*$B$18*(B$11*$B$9)^2</f>
        <v>74.305802529055867</v>
      </c>
      <c r="J51" s="447">
        <f t="shared" ref="J51:J53" si="5">IF(A51&lt;=5,2.774*(5/$M$13)^(2*$M$12),2.774*(A51/$M$13)^(2*$M$12))</f>
        <v>1.1724781464150829</v>
      </c>
      <c r="K51" s="447">
        <f t="shared" ca="1" si="3"/>
        <v>-141.18102480520614</v>
      </c>
      <c r="L51" s="414"/>
      <c r="M51" s="414"/>
      <c r="N51" s="415"/>
      <c r="O51" s="415"/>
      <c r="P51" s="415"/>
      <c r="Q51" s="415"/>
      <c r="R51" s="415"/>
      <c r="S51" s="415"/>
      <c r="T51" s="414"/>
      <c r="U51" s="45"/>
      <c r="AA51"/>
      <c r="AB51"/>
    </row>
    <row r="52" spans="1:28" ht="14.25">
      <c r="A52" s="446">
        <v>22</v>
      </c>
      <c r="B52" s="313">
        <v>-1.9</v>
      </c>
      <c r="C52" s="313">
        <f t="shared" ca="1" si="0"/>
        <v>-259.18526057579464</v>
      </c>
      <c r="D52" s="313">
        <f t="shared" ca="1" si="1"/>
        <v>-45.884002887212503</v>
      </c>
      <c r="E52" s="446"/>
      <c r="F52" s="313"/>
      <c r="G52" s="313"/>
      <c r="H52" s="313"/>
      <c r="I52" s="448">
        <f t="shared" ca="1" si="4"/>
        <v>80.281385121843982</v>
      </c>
      <c r="J52" s="447">
        <f t="shared" si="5"/>
        <v>1.2667674180961577</v>
      </c>
      <c r="K52" s="447">
        <f t="shared" ca="1" si="3"/>
        <v>-152.53463173150357</v>
      </c>
      <c r="L52" s="414"/>
      <c r="M52" s="414"/>
      <c r="N52" s="415"/>
      <c r="O52" s="415"/>
      <c r="P52" s="415"/>
      <c r="Q52" s="415"/>
      <c r="R52" s="415"/>
      <c r="S52" s="415"/>
      <c r="T52" s="414"/>
      <c r="U52" s="45"/>
      <c r="AA52"/>
      <c r="AB52"/>
    </row>
    <row r="53" spans="1:28" ht="14.25">
      <c r="A53" s="446">
        <v>27</v>
      </c>
      <c r="B53" s="313">
        <v>-1.9</v>
      </c>
      <c r="C53" s="313">
        <f t="shared" ca="1" si="0"/>
        <v>-268.85060381675311</v>
      </c>
      <c r="D53" s="313">
        <f t="shared" ca="1" si="1"/>
        <v>-55.549346128170995</v>
      </c>
      <c r="E53" s="446"/>
      <c r="F53" s="313"/>
      <c r="G53" s="313"/>
      <c r="H53" s="313"/>
      <c r="I53" s="448">
        <f t="shared" ca="1" si="4"/>
        <v>85.368407880243197</v>
      </c>
      <c r="J53" s="447">
        <f t="shared" si="5"/>
        <v>1.3470360217789854</v>
      </c>
      <c r="K53" s="447">
        <f t="shared" ca="1" si="3"/>
        <v>-162.19997497246206</v>
      </c>
      <c r="L53" s="414"/>
      <c r="M53" s="414"/>
      <c r="N53" s="415"/>
      <c r="O53" s="415"/>
      <c r="P53" s="415"/>
      <c r="Q53" s="415"/>
      <c r="R53" s="415"/>
      <c r="S53" s="415"/>
      <c r="T53" s="414"/>
      <c r="U53" s="45"/>
      <c r="AA53"/>
      <c r="AB53"/>
    </row>
    <row r="54" spans="1:28" ht="14.25">
      <c r="A54" s="446">
        <v>32</v>
      </c>
      <c r="B54" s="313">
        <v>-1.9</v>
      </c>
      <c r="C54" s="313">
        <f t="shared" ca="1" si="0"/>
        <v>-277.33220595178398</v>
      </c>
      <c r="D54" s="313">
        <f t="shared" ca="1" si="1"/>
        <v>-64.030948263201836</v>
      </c>
      <c r="E54" s="446"/>
      <c r="F54" s="313"/>
      <c r="G54" s="313"/>
      <c r="H54" s="313"/>
      <c r="I54" s="448">
        <f t="shared" ca="1" si="2"/>
        <v>89.832409003943638</v>
      </c>
      <c r="J54" s="447">
        <f>IF(A54&lt;=5,2.774*(5/$M$13)^(2*$M$12),2.774*(A54/$M$13)^(2*$M$12))</f>
        <v>1.417473909332444</v>
      </c>
      <c r="K54" s="447">
        <f t="shared" ca="1" si="3"/>
        <v>-170.6815771074929</v>
      </c>
      <c r="L54" s="414"/>
      <c r="M54" s="414"/>
      <c r="N54" s="415"/>
      <c r="O54" s="415"/>
      <c r="P54" s="415"/>
      <c r="Q54" s="415"/>
      <c r="R54" s="415"/>
      <c r="S54" s="415"/>
      <c r="T54" s="414"/>
      <c r="U54" s="45"/>
      <c r="AA54"/>
      <c r="AB54"/>
    </row>
    <row r="55" spans="1:28" ht="14.25">
      <c r="A55" s="423" t="s">
        <v>457</v>
      </c>
      <c r="B55" s="128">
        <f>IF(N46&lt;=1,-0.5,IF(N46&gt;=4,-0.2,-0.3))</f>
        <v>-0.5</v>
      </c>
      <c r="C55" s="128">
        <f ca="1">$M$15*(M46*$B55-$M$8)</f>
        <v>-194.1302022418771</v>
      </c>
      <c r="D55" s="128">
        <f ca="1">$M$15*(M46*$B55-$M$9)</f>
        <v>19.171055446705022</v>
      </c>
      <c r="E55" s="423" t="s">
        <v>454</v>
      </c>
      <c r="F55" s="128">
        <f>IF(R46&lt;=1,-0.5,IF(R46&gt;=4,-0.2,-0.3))</f>
        <v>-0.3</v>
      </c>
      <c r="G55" s="128">
        <f ca="1">$M$15*(M46*$F55-$M$8)</f>
        <v>-159.13837288284267</v>
      </c>
      <c r="H55" s="128">
        <f ca="1">$M$15*(M46*$F55-$M$9)</f>
        <v>54.162884805739438</v>
      </c>
      <c r="L55" s="413">
        <f>B24/O46</f>
        <v>1.2</v>
      </c>
      <c r="M55" s="413" t="str">
        <f>IF(L55&lt;=0.3,"≦0.3",IF(L55&lt;0.5,0.5,IF(L55&lt;1,1,"≧1.5")))</f>
        <v>≧1.5</v>
      </c>
      <c r="N55" s="414">
        <f>VLOOKUP($M55,'地況、地形、外風壓係數'!$A15:$H27,2,FALSE)</f>
        <v>-0.7</v>
      </c>
      <c r="O55" s="414">
        <f>VLOOKUP($M55,'地況、地形、外風壓係數'!$A15:$H27,3,FALSE)</f>
        <v>-0.9</v>
      </c>
      <c r="P55" s="414">
        <f>VLOOKUP($M55,'地況、地形、外風壓係數'!$A15:$H27,4,FALSE)</f>
        <v>-0.9</v>
      </c>
      <c r="Q55" s="414">
        <f>VLOOKUP($M55,'地況、地形、外風壓係數'!$A15:$H27,5,FALSE)</f>
        <v>-0.9</v>
      </c>
      <c r="R55" s="414">
        <f>VLOOKUP($M55,'地況、地形、外風壓係數'!$A15:$H27,6,FALSE)</f>
        <v>-0.35</v>
      </c>
      <c r="S55" s="414">
        <f>VLOOKUP($M55,'地況、地形、外風壓係數'!$A15:$H27,7,FALSE)</f>
        <v>0.2</v>
      </c>
      <c r="T55" s="413">
        <f>0.01*B23</f>
        <v>0.28072486935852958</v>
      </c>
      <c r="U55" s="45"/>
      <c r="AA55"/>
      <c r="AB55"/>
    </row>
    <row r="56" spans="1:28" ht="14.25">
      <c r="A56" s="423" t="s">
        <v>458</v>
      </c>
      <c r="B56" s="128">
        <v>-0.7</v>
      </c>
      <c r="C56" s="128">
        <f ca="1">$M$15*(M46*$B56-$M$8)</f>
        <v>-229.1220316009115</v>
      </c>
      <c r="D56" s="128">
        <f ca="1">$M$15*(M46*$B56-$M$9)</f>
        <v>-15.820773912329383</v>
      </c>
      <c r="E56" s="423" t="s">
        <v>455</v>
      </c>
      <c r="F56" s="128">
        <v>-0.7</v>
      </c>
      <c r="G56" s="128">
        <f ca="1">$M$15*(M46*$F56-$M$8)</f>
        <v>-229.1220316009115</v>
      </c>
      <c r="H56" s="128">
        <f ca="1">$M$15*(M46*$F56-$M$9)</f>
        <v>-15.820773912329383</v>
      </c>
      <c r="Y56"/>
      <c r="Z56"/>
    </row>
    <row r="57" spans="1:28" ht="14.25">
      <c r="A57" s="422" t="s">
        <v>459</v>
      </c>
      <c r="B57" s="128">
        <f>IF(B23=0,N55,IF(B23&lt;10,N55+(O55-N55)*B23/10,IF(B23&lt;=15,O55,IF(B23&lt;=20,O55+(P55-O55)*(B23-15)/5,IF(B23&lt;=30,P55+(Q55-P55)*(B23-20)/10,IF(B23&lt;=40,Q55+(R55-Q55)*(B23-30)/10,IF(B23&lt;=50,R55+(S55-R55)*(B23-40)/10,IF(B23&lt;60,S55+(T55-S55)*(B23-50)/10,T55))))))))</f>
        <v>-0.9</v>
      </c>
      <c r="C57" s="128">
        <f ca="1">$M$15*($M46*B57-$M$8)</f>
        <v>-264.11386095994595</v>
      </c>
      <c r="D57" s="128">
        <f ca="1">$M$15*($M46*B57-$M$9)</f>
        <v>-50.812603271363812</v>
      </c>
      <c r="E57" s="422" t="s">
        <v>459</v>
      </c>
      <c r="F57" s="128">
        <f>IF(R45&lt;=2.5,-0.7,-0.8)</f>
        <v>-0.7</v>
      </c>
      <c r="G57" s="128">
        <f ca="1">$M$15*($M46*F57-$M$8)</f>
        <v>-229.1220316009115</v>
      </c>
      <c r="H57" s="128">
        <f ca="1">$M$15*($M46*F57-$M$9)</f>
        <v>-15.820773912329383</v>
      </c>
      <c r="Y57"/>
      <c r="Z57"/>
    </row>
    <row r="58" spans="1:28" ht="14.25">
      <c r="A58" s="430" t="s">
        <v>460</v>
      </c>
      <c r="B58" s="181">
        <v>-0.7</v>
      </c>
      <c r="C58" s="181">
        <f ca="1">$M$15*($M46*B58-$M$8)</f>
        <v>-229.1220316009115</v>
      </c>
      <c r="D58" s="181">
        <f ca="1">$M$15*($M46*B58-$M$9)</f>
        <v>-15.820773912329383</v>
      </c>
      <c r="E58" s="430" t="s">
        <v>460</v>
      </c>
      <c r="F58" s="181">
        <f>F57</f>
        <v>-0.7</v>
      </c>
      <c r="G58" s="181">
        <f ca="1">$M$15*($M46*F58-$M$8)</f>
        <v>-229.1220316009115</v>
      </c>
      <c r="H58" s="181">
        <f ca="1">$M$15*($M46*F58-$M$9)</f>
        <v>-15.820773912329383</v>
      </c>
      <c r="Y58"/>
      <c r="Z58"/>
    </row>
    <row r="59" spans="1:28">
      <c r="A59" s="177"/>
      <c r="B59" s="172"/>
      <c r="C59" s="172"/>
      <c r="D59" s="172"/>
      <c r="E59" s="172"/>
      <c r="F59" s="172"/>
      <c r="G59" s="172"/>
      <c r="H59" s="173"/>
      <c r="Y59"/>
      <c r="Z59"/>
    </row>
    <row r="60" spans="1:28">
      <c r="A60" s="178"/>
      <c r="B60" s="174"/>
      <c r="C60" s="174"/>
      <c r="D60" s="174"/>
      <c r="E60" s="174"/>
      <c r="F60" s="174"/>
      <c r="G60" s="174"/>
      <c r="H60" s="175"/>
      <c r="Y60"/>
      <c r="Z60"/>
    </row>
    <row r="61" spans="1:28">
      <c r="A61" s="179"/>
      <c r="B61" s="186"/>
      <c r="C61" s="186"/>
      <c r="D61" s="186"/>
      <c r="E61" s="186"/>
      <c r="F61" s="186"/>
      <c r="G61" s="186"/>
      <c r="H61" s="187"/>
      <c r="Y61"/>
      <c r="Z61"/>
    </row>
    <row r="62" spans="1:28">
      <c r="A62" s="185"/>
      <c r="B62" s="186"/>
      <c r="C62" s="186"/>
      <c r="D62" s="186"/>
      <c r="E62" s="186"/>
      <c r="F62" s="186"/>
      <c r="G62" s="186"/>
      <c r="H62" s="187"/>
      <c r="Y62"/>
      <c r="Z62"/>
    </row>
    <row r="63" spans="1:28">
      <c r="A63" s="185"/>
      <c r="B63" s="186"/>
      <c r="C63" s="186"/>
      <c r="D63" s="186"/>
      <c r="E63" s="186"/>
      <c r="F63" s="186"/>
      <c r="G63" s="186"/>
      <c r="H63" s="187"/>
      <c r="Y63"/>
      <c r="Z63"/>
    </row>
    <row r="64" spans="1:28">
      <c r="A64" s="185"/>
      <c r="B64" s="186"/>
      <c r="C64" s="186"/>
      <c r="D64" s="186"/>
      <c r="E64" s="186"/>
      <c r="F64" s="186"/>
      <c r="G64" s="186"/>
      <c r="H64" s="187"/>
      <c r="Y64"/>
      <c r="Z64"/>
    </row>
    <row r="65" spans="1:26">
      <c r="A65" s="185"/>
      <c r="B65" s="186"/>
      <c r="C65" s="186"/>
      <c r="D65" s="186"/>
      <c r="E65" s="186"/>
      <c r="F65" s="186"/>
      <c r="G65" s="186"/>
      <c r="H65" s="187"/>
      <c r="Y65"/>
      <c r="Z65"/>
    </row>
    <row r="66" spans="1:26">
      <c r="A66" s="185"/>
      <c r="B66" s="186"/>
      <c r="C66" s="186"/>
      <c r="D66" s="186"/>
      <c r="E66" s="186"/>
      <c r="F66" s="186"/>
      <c r="G66" s="186"/>
      <c r="H66" s="187"/>
      <c r="Y66"/>
      <c r="Z66"/>
    </row>
    <row r="67" spans="1:26">
      <c r="A67" s="185"/>
      <c r="B67" s="186"/>
      <c r="C67" s="186"/>
      <c r="D67" s="186"/>
      <c r="E67" s="186"/>
      <c r="F67" s="186"/>
      <c r="G67" s="186"/>
      <c r="H67" s="187"/>
      <c r="Y67"/>
      <c r="Z67"/>
    </row>
    <row r="68" spans="1:26">
      <c r="A68" s="185"/>
      <c r="B68" s="186"/>
      <c r="C68" s="186"/>
      <c r="D68" s="186"/>
      <c r="E68" s="186"/>
      <c r="F68" s="186"/>
      <c r="G68" s="186"/>
      <c r="H68" s="187"/>
      <c r="Y68"/>
      <c r="Z68"/>
    </row>
    <row r="69" spans="1:26">
      <c r="A69" s="185"/>
      <c r="B69" s="186"/>
      <c r="C69" s="186"/>
      <c r="D69" s="186"/>
      <c r="E69" s="186"/>
      <c r="F69" s="186"/>
      <c r="G69" s="186"/>
      <c r="H69" s="187"/>
      <c r="Y69"/>
      <c r="Z69"/>
    </row>
    <row r="70" spans="1:26">
      <c r="A70" s="185"/>
      <c r="B70" s="186"/>
      <c r="C70" s="186"/>
      <c r="D70" s="186"/>
      <c r="E70" s="186"/>
      <c r="F70" s="186"/>
      <c r="G70" s="186"/>
      <c r="H70" s="187"/>
      <c r="Y70"/>
      <c r="Z70"/>
    </row>
    <row r="71" spans="1:26">
      <c r="A71" s="185"/>
      <c r="B71" s="186"/>
      <c r="C71" s="186"/>
      <c r="D71" s="186"/>
      <c r="E71" s="186"/>
      <c r="F71" s="186"/>
      <c r="G71" s="186"/>
      <c r="H71" s="187"/>
      <c r="Y71"/>
      <c r="Z71"/>
    </row>
    <row r="72" spans="1:26">
      <c r="A72" s="185"/>
      <c r="B72" s="186"/>
      <c r="C72" s="186"/>
      <c r="D72" s="186"/>
      <c r="E72" s="186"/>
      <c r="F72" s="186"/>
      <c r="G72" s="186"/>
      <c r="H72" s="187"/>
      <c r="Y72"/>
      <c r="Z72"/>
    </row>
    <row r="73" spans="1:26">
      <c r="A73" s="185"/>
      <c r="B73" s="186"/>
      <c r="C73" s="186"/>
      <c r="D73" s="186"/>
      <c r="E73" s="186"/>
      <c r="F73" s="186"/>
      <c r="G73" s="186"/>
      <c r="H73" s="187"/>
      <c r="Y73"/>
      <c r="Z73"/>
    </row>
    <row r="74" spans="1:26">
      <c r="A74" s="185"/>
      <c r="B74" s="186"/>
      <c r="C74" s="186"/>
      <c r="D74" s="186"/>
      <c r="E74" s="186"/>
      <c r="F74" s="186"/>
      <c r="G74" s="186"/>
      <c r="H74" s="187"/>
      <c r="Y74"/>
      <c r="Z74"/>
    </row>
    <row r="75" spans="1:26">
      <c r="A75" s="185"/>
      <c r="B75" s="186"/>
      <c r="C75" s="186"/>
      <c r="D75" s="186"/>
      <c r="E75" s="186"/>
      <c r="F75" s="186"/>
      <c r="G75" s="186"/>
      <c r="H75" s="187"/>
      <c r="Y75"/>
      <c r="Z75"/>
    </row>
    <row r="76" spans="1:26">
      <c r="A76" s="185"/>
      <c r="B76" s="186"/>
      <c r="C76" s="186"/>
      <c r="D76" s="186"/>
      <c r="E76" s="186"/>
      <c r="F76" s="186"/>
      <c r="G76" s="186"/>
      <c r="H76" s="187"/>
      <c r="Y76"/>
      <c r="Z76"/>
    </row>
    <row r="77" spans="1:26">
      <c r="A77" s="185"/>
      <c r="B77" s="186"/>
      <c r="C77" s="186"/>
      <c r="D77" s="186"/>
      <c r="E77" s="186"/>
      <c r="F77" s="186"/>
      <c r="G77" s="186"/>
      <c r="H77" s="187"/>
      <c r="Y77"/>
      <c r="Z77"/>
    </row>
    <row r="78" spans="1:26">
      <c r="A78" s="185"/>
      <c r="B78" s="186"/>
      <c r="C78" s="186"/>
      <c r="D78" s="186"/>
      <c r="E78" s="186"/>
      <c r="F78" s="186"/>
      <c r="G78" s="186"/>
      <c r="H78" s="187"/>
      <c r="Y78"/>
      <c r="Z78"/>
    </row>
    <row r="79" spans="1:26">
      <c r="A79" s="185"/>
      <c r="B79" s="186"/>
      <c r="C79" s="186"/>
      <c r="D79" s="186"/>
      <c r="E79" s="186"/>
      <c r="F79" s="186"/>
      <c r="G79" s="186"/>
      <c r="H79" s="187"/>
      <c r="Y79"/>
      <c r="Z79"/>
    </row>
    <row r="80" spans="1:26">
      <c r="A80" s="185"/>
      <c r="B80" s="186"/>
      <c r="C80" s="186"/>
      <c r="D80" s="186"/>
      <c r="E80" s="186"/>
      <c r="F80" s="186"/>
      <c r="G80" s="186"/>
      <c r="H80" s="187"/>
      <c r="Y80"/>
      <c r="Z80"/>
    </row>
    <row r="81" spans="1:26">
      <c r="A81" s="185"/>
      <c r="B81" s="186"/>
      <c r="C81" s="186"/>
      <c r="D81" s="186"/>
      <c r="E81" s="186"/>
      <c r="F81" s="186"/>
      <c r="G81" s="186"/>
      <c r="H81" s="187"/>
      <c r="Y81"/>
      <c r="Z81"/>
    </row>
    <row r="82" spans="1:26">
      <c r="A82" s="185"/>
      <c r="B82" s="186"/>
      <c r="C82" s="186"/>
      <c r="D82" s="186"/>
      <c r="E82" s="186"/>
      <c r="F82" s="186"/>
      <c r="G82" s="186"/>
      <c r="H82" s="187"/>
      <c r="Y82"/>
      <c r="Z82"/>
    </row>
    <row r="83" spans="1:26">
      <c r="A83" s="185"/>
      <c r="B83" s="186"/>
      <c r="C83" s="186"/>
      <c r="D83" s="186"/>
      <c r="E83" s="186"/>
      <c r="F83" s="186"/>
      <c r="G83" s="186"/>
      <c r="H83" s="187"/>
      <c r="Y83"/>
      <c r="Z83"/>
    </row>
    <row r="84" spans="1:26">
      <c r="A84" s="185"/>
      <c r="B84" s="186"/>
      <c r="C84" s="186"/>
      <c r="D84" s="186"/>
      <c r="E84" s="186"/>
      <c r="F84" s="186"/>
      <c r="G84" s="186"/>
      <c r="H84" s="187"/>
      <c r="Y84"/>
      <c r="Z84"/>
    </row>
    <row r="85" spans="1:26">
      <c r="A85" s="185"/>
      <c r="B85" s="186"/>
      <c r="C85" s="186"/>
      <c r="D85" s="186"/>
      <c r="E85" s="186"/>
      <c r="F85" s="186"/>
      <c r="G85" s="186"/>
      <c r="H85" s="187"/>
      <c r="Y85"/>
      <c r="Z85"/>
    </row>
    <row r="86" spans="1:26">
      <c r="A86" s="185"/>
      <c r="B86" s="186"/>
      <c r="C86" s="186"/>
      <c r="D86" s="186"/>
      <c r="E86" s="186"/>
      <c r="F86" s="186"/>
      <c r="G86" s="186"/>
      <c r="H86" s="187"/>
      <c r="Y86"/>
      <c r="Z86"/>
    </row>
    <row r="87" spans="1:26">
      <c r="A87" s="185"/>
      <c r="B87" s="186"/>
      <c r="C87" s="186"/>
      <c r="D87" s="186"/>
      <c r="E87" s="186"/>
      <c r="F87" s="186"/>
      <c r="G87" s="186"/>
      <c r="H87" s="187"/>
      <c r="Y87"/>
      <c r="Z87"/>
    </row>
    <row r="88" spans="1:26">
      <c r="A88" s="185"/>
      <c r="B88" s="186"/>
      <c r="C88" s="186"/>
      <c r="D88" s="186"/>
      <c r="E88" s="186"/>
      <c r="F88" s="186"/>
      <c r="G88" s="186"/>
      <c r="H88" s="187"/>
      <c r="Y88"/>
      <c r="Z88"/>
    </row>
    <row r="89" spans="1:26">
      <c r="A89" s="185"/>
      <c r="B89" s="186"/>
      <c r="C89" s="186"/>
      <c r="D89" s="186"/>
      <c r="E89" s="186"/>
      <c r="F89" s="186"/>
      <c r="G89" s="186"/>
      <c r="H89" s="187"/>
      <c r="Y89"/>
      <c r="Z89"/>
    </row>
    <row r="90" spans="1:26">
      <c r="A90" s="185"/>
      <c r="B90" s="186"/>
      <c r="C90" s="186"/>
      <c r="D90" s="186"/>
      <c r="E90" s="186"/>
      <c r="F90" s="186"/>
      <c r="G90" s="186"/>
      <c r="H90" s="187"/>
      <c r="Y90"/>
      <c r="Z90"/>
    </row>
    <row r="91" spans="1:26">
      <c r="A91" s="185"/>
      <c r="B91" s="186"/>
      <c r="C91" s="186"/>
      <c r="D91" s="186"/>
      <c r="E91" s="186"/>
      <c r="F91" s="186"/>
      <c r="G91" s="186"/>
      <c r="H91" s="187"/>
      <c r="Y91"/>
      <c r="Z91"/>
    </row>
    <row r="92" spans="1:26">
      <c r="A92" s="185"/>
      <c r="B92" s="186"/>
      <c r="C92" s="186"/>
      <c r="D92" s="186"/>
      <c r="E92" s="186"/>
      <c r="F92" s="186"/>
      <c r="G92" s="186"/>
      <c r="H92" s="187"/>
      <c r="Y92"/>
      <c r="Z92"/>
    </row>
    <row r="93" spans="1:26">
      <c r="A93" s="185"/>
      <c r="B93" s="186"/>
      <c r="C93" s="186"/>
      <c r="D93" s="186"/>
      <c r="E93" s="186"/>
      <c r="F93" s="186"/>
      <c r="G93" s="186"/>
      <c r="H93" s="187"/>
      <c r="Y93"/>
      <c r="Z93"/>
    </row>
    <row r="94" spans="1:26">
      <c r="A94" s="185"/>
      <c r="B94" s="186"/>
      <c r="C94" s="186"/>
      <c r="D94" s="186"/>
      <c r="E94" s="186"/>
      <c r="F94" s="186"/>
      <c r="G94" s="186"/>
      <c r="H94" s="187"/>
      <c r="Y94"/>
      <c r="Z94"/>
    </row>
    <row r="95" spans="1:26">
      <c r="A95" s="185"/>
      <c r="B95" s="186"/>
      <c r="C95" s="186"/>
      <c r="D95" s="186"/>
      <c r="E95" s="186"/>
      <c r="F95" s="186"/>
      <c r="G95" s="186"/>
      <c r="H95" s="187"/>
      <c r="Y95"/>
      <c r="Z95"/>
    </row>
    <row r="96" spans="1:26">
      <c r="A96" s="185"/>
      <c r="B96" s="188"/>
      <c r="C96" s="188"/>
      <c r="D96" s="188"/>
      <c r="E96" s="188"/>
      <c r="F96" s="188"/>
      <c r="G96" s="188"/>
      <c r="H96" s="189"/>
      <c r="Y96"/>
      <c r="Z96"/>
    </row>
    <row r="97" spans="1:26">
      <c r="A97" s="185"/>
      <c r="B97" s="186"/>
      <c r="C97" s="186"/>
      <c r="D97" s="186"/>
      <c r="E97" s="186"/>
      <c r="F97" s="186"/>
      <c r="G97" s="186"/>
      <c r="H97" s="187"/>
      <c r="Y97"/>
      <c r="Z97"/>
    </row>
    <row r="98" spans="1:26">
      <c r="A98" s="190"/>
      <c r="B98" s="191"/>
      <c r="C98" s="191"/>
      <c r="D98" s="191"/>
      <c r="E98" s="191"/>
      <c r="F98" s="191"/>
      <c r="G98" s="191"/>
      <c r="H98" s="192"/>
      <c r="Y98"/>
      <c r="Z98"/>
    </row>
    <row r="99" spans="1:26">
      <c r="A99" s="185"/>
      <c r="B99" s="186"/>
      <c r="C99" s="186"/>
      <c r="D99" s="186"/>
      <c r="E99" s="186"/>
      <c r="F99" s="186"/>
      <c r="G99" s="186"/>
      <c r="H99" s="176"/>
      <c r="Y99"/>
      <c r="Z99"/>
    </row>
    <row r="100" spans="1:26">
      <c r="A100" s="185"/>
      <c r="B100" s="186"/>
      <c r="C100" s="186"/>
      <c r="D100" s="186"/>
      <c r="E100" s="186"/>
      <c r="F100" s="186"/>
      <c r="G100" s="193"/>
      <c r="H100" s="194"/>
      <c r="Y100"/>
      <c r="Z100"/>
    </row>
    <row r="101" spans="1:26">
      <c r="A101" s="185"/>
      <c r="B101" s="186"/>
      <c r="C101" s="186"/>
      <c r="D101" s="186"/>
      <c r="E101" s="186"/>
      <c r="F101" s="186"/>
      <c r="G101" s="193"/>
      <c r="H101" s="195"/>
      <c r="Y101"/>
      <c r="Z101"/>
    </row>
    <row r="102" spans="1:26">
      <c r="A102" s="185"/>
      <c r="B102" s="186"/>
      <c r="C102" s="186"/>
      <c r="D102" s="186"/>
      <c r="E102" s="186"/>
      <c r="F102" s="186"/>
      <c r="G102" s="186"/>
      <c r="H102" s="187"/>
      <c r="Y102"/>
      <c r="Z102"/>
    </row>
    <row r="103" spans="1:26">
      <c r="A103" s="185"/>
      <c r="B103" s="186"/>
      <c r="C103" s="186"/>
      <c r="D103" s="186"/>
      <c r="E103" s="186"/>
      <c r="F103" s="186"/>
      <c r="G103" s="186"/>
      <c r="H103" s="187"/>
      <c r="Y103"/>
      <c r="Z103"/>
    </row>
    <row r="104" spans="1:26">
      <c r="A104" s="185"/>
      <c r="B104" s="186"/>
      <c r="C104" s="186"/>
      <c r="D104" s="186"/>
      <c r="E104" s="186"/>
      <c r="F104" s="186"/>
      <c r="G104" s="186"/>
      <c r="H104" s="187"/>
      <c r="Y104"/>
      <c r="Z104"/>
    </row>
    <row r="105" spans="1:26">
      <c r="A105" s="185"/>
      <c r="B105" s="186"/>
      <c r="C105" s="186"/>
      <c r="D105" s="186"/>
      <c r="E105" s="186"/>
      <c r="F105" s="186"/>
      <c r="G105" s="186"/>
      <c r="H105" s="187"/>
      <c r="Y105"/>
      <c r="Z105"/>
    </row>
    <row r="106" spans="1:26">
      <c r="A106" s="185"/>
      <c r="B106" s="186"/>
      <c r="C106" s="186"/>
      <c r="D106" s="186"/>
      <c r="E106" s="186"/>
      <c r="F106" s="186"/>
      <c r="G106" s="186"/>
      <c r="H106" s="187"/>
      <c r="Y106"/>
      <c r="Z106"/>
    </row>
    <row r="107" spans="1:26">
      <c r="A107" s="185"/>
      <c r="B107" s="186"/>
      <c r="C107" s="186"/>
      <c r="D107" s="186"/>
      <c r="E107" s="186"/>
      <c r="F107" s="186"/>
      <c r="G107" s="186"/>
      <c r="H107" s="187"/>
      <c r="Y107"/>
      <c r="Z107"/>
    </row>
    <row r="108" spans="1:26">
      <c r="A108" s="185"/>
      <c r="B108" s="186"/>
      <c r="C108" s="186"/>
      <c r="D108" s="186"/>
      <c r="E108" s="186"/>
      <c r="F108" s="186"/>
      <c r="G108" s="186"/>
      <c r="H108" s="187"/>
      <c r="Y108"/>
      <c r="Z108"/>
    </row>
    <row r="109" spans="1:26">
      <c r="A109" s="185"/>
      <c r="B109" s="186"/>
      <c r="C109" s="186"/>
      <c r="D109" s="186"/>
      <c r="E109" s="186"/>
      <c r="F109" s="186"/>
      <c r="G109" s="186"/>
      <c r="H109" s="187"/>
      <c r="Y109"/>
      <c r="Z109"/>
    </row>
    <row r="110" spans="1:26">
      <c r="A110" s="196"/>
      <c r="B110" s="197"/>
      <c r="C110" s="197"/>
      <c r="D110" s="197"/>
      <c r="E110" s="197"/>
      <c r="F110" s="197"/>
      <c r="G110" s="197"/>
      <c r="H110" s="198"/>
      <c r="Y110"/>
      <c r="Z110"/>
    </row>
    <row r="111" spans="1:26">
      <c r="Y111"/>
      <c r="Z111"/>
    </row>
    <row r="112" spans="1:26">
      <c r="Y112"/>
      <c r="Z112"/>
    </row>
    <row r="113" spans="25:26">
      <c r="Y113"/>
      <c r="Z113"/>
    </row>
    <row r="114" spans="25:26">
      <c r="Y114"/>
      <c r="Z114"/>
    </row>
    <row r="115" spans="25:26">
      <c r="Y115"/>
      <c r="Z115"/>
    </row>
    <row r="116" spans="25:26">
      <c r="Y116"/>
      <c r="Z116"/>
    </row>
    <row r="117" spans="25:26">
      <c r="Y117"/>
      <c r="Z117"/>
    </row>
    <row r="118" spans="25:26">
      <c r="Y118"/>
      <c r="Z118"/>
    </row>
    <row r="119" spans="25:26">
      <c r="Y119"/>
      <c r="Z119"/>
    </row>
    <row r="120" spans="25:26">
      <c r="Y120"/>
      <c r="Z120"/>
    </row>
    <row r="121" spans="25:26">
      <c r="Y121"/>
      <c r="Z121"/>
    </row>
    <row r="122" spans="25:26">
      <c r="Y122"/>
      <c r="Z122"/>
    </row>
    <row r="123" spans="25:26">
      <c r="Y123"/>
      <c r="Z123"/>
    </row>
    <row r="124" spans="25:26">
      <c r="Y124"/>
      <c r="Z124"/>
    </row>
    <row r="125" spans="25:26">
      <c r="Y125"/>
      <c r="Z125"/>
    </row>
    <row r="126" spans="25:26">
      <c r="Y126"/>
      <c r="Z126"/>
    </row>
    <row r="127" spans="25:26">
      <c r="Y127"/>
      <c r="Z127"/>
    </row>
    <row r="128" spans="25:26">
      <c r="Y128"/>
      <c r="Z128"/>
    </row>
    <row r="129" spans="25:26">
      <c r="Y129"/>
      <c r="Z129"/>
    </row>
    <row r="130" spans="25:26">
      <c r="Y130"/>
      <c r="Z130"/>
    </row>
    <row r="131" spans="25:26">
      <c r="Y131"/>
      <c r="Z131"/>
    </row>
    <row r="132" spans="25:26">
      <c r="Y132"/>
      <c r="Z132"/>
    </row>
    <row r="133" spans="25:26">
      <c r="Y133"/>
      <c r="Z133"/>
    </row>
    <row r="134" spans="25:26">
      <c r="Y134"/>
      <c r="Z134"/>
    </row>
    <row r="135" spans="25:26">
      <c r="Y135"/>
      <c r="Z135"/>
    </row>
    <row r="136" spans="25:26">
      <c r="Y136"/>
      <c r="Z136"/>
    </row>
    <row r="137" spans="25:26">
      <c r="Y137"/>
      <c r="Z137"/>
    </row>
    <row r="138" spans="25:26">
      <c r="Y138"/>
      <c r="Z138"/>
    </row>
    <row r="139" spans="25:26">
      <c r="Y139"/>
      <c r="Z139"/>
    </row>
    <row r="140" spans="25:26">
      <c r="Y140"/>
      <c r="Z140"/>
    </row>
    <row r="141" spans="25:26">
      <c r="Y141"/>
      <c r="Z141"/>
    </row>
    <row r="142" spans="25:26">
      <c r="Y142"/>
      <c r="Z142"/>
    </row>
    <row r="143" spans="25:26">
      <c r="Y143"/>
      <c r="Z143"/>
    </row>
    <row r="144" spans="25:26">
      <c r="Y144"/>
      <c r="Z144"/>
    </row>
    <row r="145" spans="25:26">
      <c r="Y145"/>
      <c r="Z145"/>
    </row>
    <row r="146" spans="25:26">
      <c r="Y146"/>
      <c r="Z146"/>
    </row>
    <row r="147" spans="25:26">
      <c r="Y147"/>
      <c r="Z147"/>
    </row>
    <row r="148" spans="25:26">
      <c r="Y148"/>
      <c r="Z148"/>
    </row>
    <row r="149" spans="25:26">
      <c r="Y149"/>
      <c r="Z149"/>
    </row>
    <row r="150" spans="25:26">
      <c r="Y150"/>
      <c r="Z150"/>
    </row>
    <row r="151" spans="25:26">
      <c r="Y151"/>
      <c r="Z151"/>
    </row>
    <row r="152" spans="25:26">
      <c r="Y152"/>
      <c r="Z152"/>
    </row>
    <row r="153" spans="25:26">
      <c r="Y153"/>
      <c r="Z153"/>
    </row>
    <row r="154" spans="25:26">
      <c r="Y154"/>
      <c r="Z154"/>
    </row>
    <row r="155" spans="25:26">
      <c r="Y155"/>
      <c r="Z155"/>
    </row>
    <row r="156" spans="25:26">
      <c r="Y156"/>
      <c r="Z156"/>
    </row>
    <row r="157" spans="25:26">
      <c r="Y157"/>
      <c r="Z157"/>
    </row>
    <row r="158" spans="25:26">
      <c r="Y158"/>
      <c r="Z158"/>
    </row>
    <row r="159" spans="25:26">
      <c r="Y159"/>
      <c r="Z159"/>
    </row>
    <row r="160" spans="25:26">
      <c r="Y160"/>
      <c r="Z160"/>
    </row>
    <row r="161" spans="25:26">
      <c r="Y161"/>
      <c r="Z161"/>
    </row>
    <row r="162" spans="25:26">
      <c r="Y162"/>
      <c r="Z162"/>
    </row>
    <row r="163" spans="25:26">
      <c r="Y163"/>
      <c r="Z163"/>
    </row>
    <row r="164" spans="25:26">
      <c r="Y164"/>
      <c r="Z164"/>
    </row>
    <row r="165" spans="25:26">
      <c r="Y165"/>
      <c r="Z165"/>
    </row>
    <row r="166" spans="25:26">
      <c r="Y166"/>
      <c r="Z166"/>
    </row>
    <row r="167" spans="25:26">
      <c r="Y167"/>
      <c r="Z167"/>
    </row>
    <row r="168" spans="25:26">
      <c r="Y168"/>
      <c r="Z168"/>
    </row>
    <row r="169" spans="25:26">
      <c r="Y169"/>
      <c r="Z169"/>
    </row>
    <row r="170" spans="25:26">
      <c r="Y170"/>
      <c r="Z170"/>
    </row>
    <row r="171" spans="25:26">
      <c r="Y171"/>
      <c r="Z171"/>
    </row>
    <row r="172" spans="25:26">
      <c r="Y172"/>
      <c r="Z172"/>
    </row>
    <row r="173" spans="25:26">
      <c r="Y173"/>
      <c r="Z173"/>
    </row>
    <row r="174" spans="25:26">
      <c r="Y174"/>
      <c r="Z174"/>
    </row>
    <row r="175" spans="25:26">
      <c r="Y175"/>
      <c r="Z175"/>
    </row>
    <row r="176" spans="25:26">
      <c r="Y176"/>
      <c r="Z176"/>
    </row>
    <row r="177" spans="25:26">
      <c r="Y177"/>
      <c r="Z177"/>
    </row>
    <row r="178" spans="25:26">
      <c r="Y178"/>
      <c r="Z178"/>
    </row>
    <row r="179" spans="25:26">
      <c r="Y179"/>
      <c r="Z179"/>
    </row>
    <row r="180" spans="25:26">
      <c r="Y180"/>
      <c r="Z180"/>
    </row>
    <row r="181" spans="25:26">
      <c r="Y181"/>
      <c r="Z181"/>
    </row>
    <row r="182" spans="25:26">
      <c r="Y182"/>
      <c r="Z182"/>
    </row>
    <row r="183" spans="25:26">
      <c r="Y183"/>
      <c r="Z183"/>
    </row>
    <row r="184" spans="25:26">
      <c r="Y184"/>
      <c r="Z184"/>
    </row>
    <row r="185" spans="25:26">
      <c r="Y185"/>
      <c r="Z185"/>
    </row>
    <row r="186" spans="25:26">
      <c r="Y186"/>
      <c r="Z186"/>
    </row>
    <row r="187" spans="25:26">
      <c r="Y187"/>
      <c r="Z187"/>
    </row>
    <row r="188" spans="25:26">
      <c r="Y188"/>
      <c r="Z188"/>
    </row>
    <row r="189" spans="25:26">
      <c r="Y189"/>
      <c r="Z189"/>
    </row>
    <row r="190" spans="25:26">
      <c r="Y190"/>
      <c r="Z190"/>
    </row>
    <row r="191" spans="25:26">
      <c r="Y191"/>
      <c r="Z191"/>
    </row>
    <row r="192" spans="25:26">
      <c r="Y192"/>
      <c r="Z192"/>
    </row>
    <row r="193" spans="25:26">
      <c r="Y193"/>
      <c r="Z193"/>
    </row>
    <row r="194" spans="25:26">
      <c r="Y194"/>
      <c r="Z194"/>
    </row>
    <row r="195" spans="25:26">
      <c r="Y195"/>
      <c r="Z195"/>
    </row>
    <row r="196" spans="25:26">
      <c r="Y196"/>
      <c r="Z196"/>
    </row>
    <row r="197" spans="25:26">
      <c r="Y197"/>
      <c r="Z197"/>
    </row>
    <row r="198" spans="25:26">
      <c r="Y198"/>
      <c r="Z198"/>
    </row>
    <row r="199" spans="25:26">
      <c r="Y199"/>
      <c r="Z199"/>
    </row>
    <row r="200" spans="25:26">
      <c r="Y200"/>
      <c r="Z200"/>
    </row>
    <row r="201" spans="25:26">
      <c r="Y201"/>
      <c r="Z201"/>
    </row>
    <row r="202" spans="25:26">
      <c r="Y202"/>
      <c r="Z202"/>
    </row>
    <row r="203" spans="25:26">
      <c r="Y203"/>
      <c r="Z203"/>
    </row>
    <row r="204" spans="25:26">
      <c r="Y204"/>
      <c r="Z204"/>
    </row>
    <row r="205" spans="25:26">
      <c r="Y205"/>
      <c r="Z205"/>
    </row>
    <row r="206" spans="25:26">
      <c r="Y206"/>
      <c r="Z206"/>
    </row>
    <row r="207" spans="25:26">
      <c r="Y207"/>
      <c r="Z207"/>
    </row>
    <row r="208" spans="25:26">
      <c r="Y208"/>
      <c r="Z208"/>
    </row>
    <row r="209" spans="25:26">
      <c r="Y209"/>
      <c r="Z209"/>
    </row>
    <row r="210" spans="25:26">
      <c r="Y210"/>
      <c r="Z210"/>
    </row>
    <row r="211" spans="25:26">
      <c r="Y211"/>
      <c r="Z211"/>
    </row>
    <row r="212" spans="25:26">
      <c r="Y212"/>
      <c r="Z212"/>
    </row>
    <row r="213" spans="25:26">
      <c r="Y213"/>
      <c r="Z213"/>
    </row>
    <row r="214" spans="25:26">
      <c r="Y214"/>
      <c r="Z214"/>
    </row>
    <row r="215" spans="25:26">
      <c r="Y215"/>
      <c r="Z215"/>
    </row>
    <row r="216" spans="25:26">
      <c r="Y216"/>
      <c r="Z216"/>
    </row>
    <row r="217" spans="25:26">
      <c r="Y217"/>
      <c r="Z217"/>
    </row>
    <row r="218" spans="25:26">
      <c r="Y218"/>
      <c r="Z218"/>
    </row>
    <row r="219" spans="25:26">
      <c r="Y219"/>
      <c r="Z219"/>
    </row>
    <row r="220" spans="25:26">
      <c r="Y220"/>
      <c r="Z220"/>
    </row>
    <row r="221" spans="25:26">
      <c r="Y221"/>
      <c r="Z221"/>
    </row>
    <row r="222" spans="25:26">
      <c r="Y222"/>
      <c r="Z222"/>
    </row>
    <row r="223" spans="25:26">
      <c r="Y223"/>
      <c r="Z223"/>
    </row>
    <row r="224" spans="25:26">
      <c r="Y224"/>
      <c r="Z224"/>
    </row>
    <row r="225" spans="25:26">
      <c r="Y225"/>
      <c r="Z225"/>
    </row>
    <row r="226" spans="25:26">
      <c r="Y226"/>
      <c r="Z226"/>
    </row>
    <row r="227" spans="25:26">
      <c r="Y227"/>
      <c r="Z227"/>
    </row>
    <row r="228" spans="25:26">
      <c r="Y228"/>
      <c r="Z228"/>
    </row>
    <row r="229" spans="25:26">
      <c r="Y229"/>
      <c r="Z229"/>
    </row>
    <row r="230" spans="25:26">
      <c r="Y230"/>
      <c r="Z230"/>
    </row>
    <row r="231" spans="25:26">
      <c r="Y231"/>
      <c r="Z231"/>
    </row>
    <row r="232" spans="25:26">
      <c r="Y232"/>
      <c r="Z232"/>
    </row>
    <row r="233" spans="25:26">
      <c r="Y233"/>
      <c r="Z233"/>
    </row>
    <row r="234" spans="25:26">
      <c r="Y234"/>
      <c r="Z234"/>
    </row>
    <row r="235" spans="25:26">
      <c r="Y235"/>
      <c r="Z235"/>
    </row>
    <row r="236" spans="25:26">
      <c r="Y236"/>
      <c r="Z236"/>
    </row>
    <row r="237" spans="25:26">
      <c r="Y237"/>
      <c r="Z237"/>
    </row>
    <row r="238" spans="25:26">
      <c r="Y238"/>
      <c r="Z238"/>
    </row>
    <row r="239" spans="25:26">
      <c r="Y239"/>
      <c r="Z239"/>
    </row>
    <row r="240" spans="25:26">
      <c r="Y240"/>
      <c r="Z240"/>
    </row>
    <row r="241" spans="25:26">
      <c r="Y241"/>
      <c r="Z241"/>
    </row>
    <row r="242" spans="25:26">
      <c r="Y242"/>
      <c r="Z242"/>
    </row>
    <row r="243" spans="25:26">
      <c r="Y243"/>
      <c r="Z243"/>
    </row>
    <row r="244" spans="25:26">
      <c r="Y244"/>
      <c r="Z244"/>
    </row>
    <row r="245" spans="25:26">
      <c r="Y245"/>
      <c r="Z245"/>
    </row>
    <row r="246" spans="25:26">
      <c r="Y246"/>
      <c r="Z246"/>
    </row>
    <row r="247" spans="25:26">
      <c r="Y247"/>
      <c r="Z247"/>
    </row>
    <row r="248" spans="25:26">
      <c r="Y248"/>
      <c r="Z248"/>
    </row>
    <row r="249" spans="25:26">
      <c r="Y249"/>
      <c r="Z249"/>
    </row>
    <row r="250" spans="25:26">
      <c r="Y250"/>
      <c r="Z250"/>
    </row>
    <row r="251" spans="25:26">
      <c r="Y251"/>
      <c r="Z251"/>
    </row>
    <row r="252" spans="25:26">
      <c r="Y252"/>
      <c r="Z252"/>
    </row>
    <row r="253" spans="25:26">
      <c r="Y253"/>
      <c r="Z253"/>
    </row>
    <row r="254" spans="25:26">
      <c r="Y254"/>
      <c r="Z254"/>
    </row>
    <row r="255" spans="25:26">
      <c r="Y255"/>
      <c r="Z255"/>
    </row>
    <row r="256" spans="25:26">
      <c r="Y256"/>
      <c r="Z256"/>
    </row>
    <row r="257" spans="25:26">
      <c r="Y257"/>
      <c r="Z257"/>
    </row>
    <row r="258" spans="25:26">
      <c r="Y258"/>
      <c r="Z258"/>
    </row>
    <row r="259" spans="25:26">
      <c r="Y259"/>
      <c r="Z259"/>
    </row>
    <row r="260" spans="25:26">
      <c r="Y260"/>
      <c r="Z260"/>
    </row>
    <row r="261" spans="25:26">
      <c r="Y261"/>
      <c r="Z261"/>
    </row>
    <row r="262" spans="25:26">
      <c r="Y262"/>
      <c r="Z262"/>
    </row>
    <row r="263" spans="25:26">
      <c r="Y263"/>
      <c r="Z263"/>
    </row>
    <row r="264" spans="25:26">
      <c r="Y264"/>
      <c r="Z264"/>
    </row>
    <row r="265" spans="25:26">
      <c r="Y265"/>
      <c r="Z265"/>
    </row>
    <row r="266" spans="25:26">
      <c r="Y266"/>
      <c r="Z266"/>
    </row>
    <row r="267" spans="25:26">
      <c r="Y267"/>
      <c r="Z267"/>
    </row>
    <row r="268" spans="25:26">
      <c r="Y268"/>
      <c r="Z268"/>
    </row>
    <row r="269" spans="25:26">
      <c r="Y269"/>
      <c r="Z269"/>
    </row>
    <row r="270" spans="25:26">
      <c r="Y270"/>
      <c r="Z270"/>
    </row>
    <row r="271" spans="25:26">
      <c r="Y271"/>
      <c r="Z271"/>
    </row>
    <row r="272" spans="25:26">
      <c r="Y272"/>
      <c r="Z272"/>
    </row>
    <row r="273" spans="25:26">
      <c r="Y273"/>
      <c r="Z273"/>
    </row>
    <row r="274" spans="25:26">
      <c r="Y274"/>
      <c r="Z274"/>
    </row>
    <row r="275" spans="25:26">
      <c r="Y275"/>
      <c r="Z275"/>
    </row>
    <row r="276" spans="25:26">
      <c r="Y276"/>
      <c r="Z276"/>
    </row>
    <row r="277" spans="25:26">
      <c r="Y277"/>
      <c r="Z277"/>
    </row>
    <row r="278" spans="25:26">
      <c r="Y278"/>
      <c r="Z278"/>
    </row>
    <row r="279" spans="25:26">
      <c r="Y279"/>
      <c r="Z279"/>
    </row>
    <row r="280" spans="25:26">
      <c r="Y280"/>
      <c r="Z280"/>
    </row>
    <row r="281" spans="25:26">
      <c r="Y281"/>
      <c r="Z281"/>
    </row>
    <row r="282" spans="25:26">
      <c r="Y282"/>
      <c r="Z282"/>
    </row>
    <row r="283" spans="25:26">
      <c r="Y283"/>
      <c r="Z283"/>
    </row>
    <row r="284" spans="25:26">
      <c r="Y284"/>
      <c r="Z284"/>
    </row>
    <row r="285" spans="25:26">
      <c r="Y285"/>
      <c r="Z285"/>
    </row>
    <row r="286" spans="25:26">
      <c r="Y286"/>
      <c r="Z286"/>
    </row>
    <row r="287" spans="25:26">
      <c r="Y287"/>
      <c r="Z287"/>
    </row>
    <row r="288" spans="25:26">
      <c r="Y288"/>
      <c r="Z288"/>
    </row>
    <row r="289" spans="25:26">
      <c r="Y289"/>
      <c r="Z289"/>
    </row>
    <row r="290" spans="25:26">
      <c r="Y290"/>
      <c r="Z290"/>
    </row>
    <row r="291" spans="25:26">
      <c r="Y291"/>
      <c r="Z291"/>
    </row>
    <row r="292" spans="25:26">
      <c r="Y292"/>
      <c r="Z292"/>
    </row>
    <row r="293" spans="25:26">
      <c r="Y293"/>
      <c r="Z293"/>
    </row>
    <row r="294" spans="25:26">
      <c r="Y294"/>
      <c r="Z294"/>
    </row>
    <row r="295" spans="25:26">
      <c r="Y295"/>
      <c r="Z295"/>
    </row>
    <row r="296" spans="25:26">
      <c r="Y296"/>
      <c r="Z296"/>
    </row>
    <row r="297" spans="25:26">
      <c r="Y297"/>
      <c r="Z297"/>
    </row>
    <row r="298" spans="25:26">
      <c r="Y298"/>
      <c r="Z298"/>
    </row>
    <row r="299" spans="25:26">
      <c r="Y299"/>
      <c r="Z299"/>
    </row>
    <row r="300" spans="25:26">
      <c r="Y300"/>
      <c r="Z300"/>
    </row>
    <row r="301" spans="25:26">
      <c r="Y301"/>
      <c r="Z301"/>
    </row>
    <row r="302" spans="25:26">
      <c r="Y302"/>
      <c r="Z302"/>
    </row>
    <row r="303" spans="25:26">
      <c r="Y303"/>
      <c r="Z303"/>
    </row>
    <row r="304" spans="25:26">
      <c r="Y304"/>
      <c r="Z304"/>
    </row>
    <row r="305" spans="25:26">
      <c r="Y305"/>
      <c r="Z305"/>
    </row>
    <row r="306" spans="25:26">
      <c r="Y306"/>
      <c r="Z306"/>
    </row>
    <row r="307" spans="25:26">
      <c r="Y307"/>
      <c r="Z307"/>
    </row>
    <row r="308" spans="25:26">
      <c r="Y308"/>
      <c r="Z308"/>
    </row>
    <row r="309" spans="25:26">
      <c r="Y309"/>
      <c r="Z309"/>
    </row>
    <row r="310" spans="25:26">
      <c r="Y310"/>
      <c r="Z310"/>
    </row>
    <row r="311" spans="25:26">
      <c r="Y311"/>
      <c r="Z311"/>
    </row>
    <row r="312" spans="25:26">
      <c r="Y312"/>
      <c r="Z312"/>
    </row>
    <row r="313" spans="25:26">
      <c r="Y313"/>
      <c r="Z313"/>
    </row>
    <row r="314" spans="25:26">
      <c r="Y314"/>
      <c r="Z314"/>
    </row>
    <row r="315" spans="25:26">
      <c r="Y315"/>
      <c r="Z315"/>
    </row>
    <row r="316" spans="25:26">
      <c r="Y316"/>
      <c r="Z316"/>
    </row>
    <row r="317" spans="25:26">
      <c r="Y317"/>
      <c r="Z317"/>
    </row>
    <row r="318" spans="25:26">
      <c r="Y318"/>
      <c r="Z318"/>
    </row>
    <row r="319" spans="25:26">
      <c r="Y319"/>
      <c r="Z319"/>
    </row>
    <row r="320" spans="25:26">
      <c r="Y320"/>
      <c r="Z320"/>
    </row>
    <row r="321" spans="25:26">
      <c r="Y321"/>
      <c r="Z321"/>
    </row>
    <row r="322" spans="25:26">
      <c r="Y322"/>
      <c r="Z322"/>
    </row>
    <row r="323" spans="25:26">
      <c r="Y323"/>
      <c r="Z323"/>
    </row>
    <row r="324" spans="25:26">
      <c r="Y324"/>
      <c r="Z324"/>
    </row>
    <row r="325" spans="25:26">
      <c r="Y325"/>
      <c r="Z325"/>
    </row>
    <row r="326" spans="25:26">
      <c r="Y326"/>
      <c r="Z326"/>
    </row>
    <row r="327" spans="25:26">
      <c r="Y327"/>
      <c r="Z327"/>
    </row>
    <row r="328" spans="25:26">
      <c r="Y328"/>
      <c r="Z328"/>
    </row>
    <row r="329" spans="25:26">
      <c r="Y329"/>
      <c r="Z329"/>
    </row>
    <row r="330" spans="25:26">
      <c r="Y330"/>
      <c r="Z330"/>
    </row>
    <row r="331" spans="25:26">
      <c r="Y331"/>
      <c r="Z331"/>
    </row>
    <row r="332" spans="25:26">
      <c r="Y332"/>
      <c r="Z332"/>
    </row>
    <row r="333" spans="25:26">
      <c r="Y333"/>
      <c r="Z333"/>
    </row>
    <row r="334" spans="25:26">
      <c r="Y334"/>
      <c r="Z334"/>
    </row>
    <row r="335" spans="25:26">
      <c r="Y335"/>
      <c r="Z335"/>
    </row>
    <row r="336" spans="25:26">
      <c r="Y336"/>
      <c r="Z336"/>
    </row>
    <row r="337" spans="25:26">
      <c r="Y337"/>
      <c r="Z337"/>
    </row>
    <row r="338" spans="25:26">
      <c r="Y338"/>
      <c r="Z338"/>
    </row>
    <row r="339" spans="25:26">
      <c r="Y339"/>
      <c r="Z339"/>
    </row>
    <row r="340" spans="25:26">
      <c r="Y340"/>
      <c r="Z340"/>
    </row>
    <row r="341" spans="25:26">
      <c r="Y341"/>
      <c r="Z341"/>
    </row>
    <row r="342" spans="25:26">
      <c r="Y342"/>
      <c r="Z342"/>
    </row>
    <row r="343" spans="25:26">
      <c r="Y343"/>
      <c r="Z343"/>
    </row>
    <row r="344" spans="25:26">
      <c r="Y344"/>
      <c r="Z344"/>
    </row>
    <row r="345" spans="25:26">
      <c r="Y345"/>
      <c r="Z345"/>
    </row>
    <row r="346" spans="25:26">
      <c r="Y346"/>
      <c r="Z346"/>
    </row>
    <row r="347" spans="25:26">
      <c r="Y347"/>
      <c r="Z347"/>
    </row>
    <row r="348" spans="25:26">
      <c r="Y348"/>
      <c r="Z348"/>
    </row>
    <row r="349" spans="25:26">
      <c r="Y349"/>
      <c r="Z349"/>
    </row>
    <row r="350" spans="25:26">
      <c r="Y350"/>
      <c r="Z350"/>
    </row>
    <row r="351" spans="25:26">
      <c r="Y351"/>
      <c r="Z351"/>
    </row>
    <row r="352" spans="25:26">
      <c r="Y352"/>
      <c r="Z352"/>
    </row>
    <row r="353" spans="25:26">
      <c r="Y353"/>
      <c r="Z353"/>
    </row>
    <row r="354" spans="25:26">
      <c r="Y354"/>
      <c r="Z354"/>
    </row>
    <row r="355" spans="25:26">
      <c r="Y355"/>
      <c r="Z355"/>
    </row>
    <row r="356" spans="25:26">
      <c r="Y356"/>
      <c r="Z356"/>
    </row>
    <row r="357" spans="25:26">
      <c r="Y357"/>
      <c r="Z357"/>
    </row>
    <row r="358" spans="25:26">
      <c r="Y358"/>
      <c r="Z358"/>
    </row>
    <row r="359" spans="25:26">
      <c r="Y359"/>
      <c r="Z359"/>
    </row>
    <row r="360" spans="25:26">
      <c r="Y360"/>
      <c r="Z360"/>
    </row>
    <row r="361" spans="25:26">
      <c r="Y361"/>
      <c r="Z361"/>
    </row>
    <row r="362" spans="25:26">
      <c r="Y362"/>
      <c r="Z362"/>
    </row>
    <row r="363" spans="25:26">
      <c r="Y363"/>
      <c r="Z363"/>
    </row>
    <row r="364" spans="25:26">
      <c r="Y364"/>
      <c r="Z364"/>
    </row>
    <row r="365" spans="25:26">
      <c r="Y365"/>
      <c r="Z365"/>
    </row>
    <row r="366" spans="25:26">
      <c r="Y366"/>
      <c r="Z366"/>
    </row>
    <row r="367" spans="25:26">
      <c r="Y367"/>
      <c r="Z367"/>
    </row>
    <row r="368" spans="25:26">
      <c r="Y368"/>
      <c r="Z368"/>
    </row>
    <row r="369" spans="25:26">
      <c r="Y369"/>
      <c r="Z369"/>
    </row>
    <row r="370" spans="25:26">
      <c r="Y370"/>
      <c r="Z370"/>
    </row>
    <row r="371" spans="25:26">
      <c r="Y371"/>
      <c r="Z371"/>
    </row>
    <row r="372" spans="25:26">
      <c r="Y372"/>
      <c r="Z372"/>
    </row>
    <row r="373" spans="25:26">
      <c r="Y373"/>
      <c r="Z373"/>
    </row>
    <row r="374" spans="25:26">
      <c r="Y374"/>
      <c r="Z374"/>
    </row>
    <row r="375" spans="25:26">
      <c r="Y375"/>
      <c r="Z375"/>
    </row>
    <row r="376" spans="25:26">
      <c r="Y376"/>
      <c r="Z376"/>
    </row>
    <row r="377" spans="25:26">
      <c r="Y377"/>
      <c r="Z377"/>
    </row>
    <row r="378" spans="25:26">
      <c r="Y378"/>
      <c r="Z378"/>
    </row>
    <row r="379" spans="25:26">
      <c r="Y379"/>
      <c r="Z379"/>
    </row>
    <row r="380" spans="25:26">
      <c r="Y380"/>
      <c r="Z380"/>
    </row>
  </sheetData>
  <dataConsolidate/>
  <phoneticPr fontId="62" type="noConversion"/>
  <dataValidations disablePrompts="1" count="6">
    <dataValidation type="list" allowBlank="1" showInputMessage="1" showErrorMessage="1" sqref="B7" xr:uid="{00000000-0002-0000-0000-000000000000}">
      <formula1>縣市</formula1>
    </dataValidation>
    <dataValidation type="list" allowBlank="1" showInputMessage="1" showErrorMessage="1" errorTitle="Warning!" error="Invalid reply (must input either Y or N)" sqref="B19" xr:uid="{00000000-0002-0000-0000-000001000000}">
      <formula1>$J$13:$J$14</formula1>
    </dataValidation>
    <dataValidation type="list" allowBlank="1" showInputMessage="1" showErrorMessage="1" errorTitle="Warning!" error="Invalid building category_x000a_Must input either I, II, III, or IV" sqref="B10" xr:uid="{00000000-0002-0000-0000-000002000000}">
      <formula1>$J$3:$J$7</formula1>
    </dataValidation>
    <dataValidation type="list" allowBlank="1" showInputMessage="1" showErrorMessage="1" errorTitle="Warning!" error="Invalid roof type (must input either G or M)" sqref="B17" xr:uid="{00000000-0002-0000-0000-000003000000}">
      <formula1>$J$11:$J$12</formula1>
    </dataValidation>
    <dataValidation type="list" allowBlank="1" showInputMessage="1" showErrorMessage="1" errorTitle="Warning!" error="Invalid exposure category_x000a_Must input either B, C, or D" sqref="B12" xr:uid="{00000000-0002-0000-0000-000004000000}">
      <formula1>$J$8:$J$10</formula1>
    </dataValidation>
    <dataValidation type="list" allowBlank="1" showInputMessage="1" showErrorMessage="1" sqref="B8" xr:uid="{00000000-0002-0000-0000-000005000000}">
      <formula1>INDEX(INDIRECT(B7),,1)</formula1>
    </dataValidation>
  </dataValidations>
  <pageMargins left="0.98425196850393704" right="0.51181102362204722" top="0.98425196850393704" bottom="0.98425196850393704" header="0.51181102362204722" footer="0.51181102362204722"/>
  <pageSetup scale="90" orientation="portrait" horizontalDpi="4294967292" r:id="rId1"/>
  <headerFooter alignWithMargins="0">
    <oddHeader>&amp;L&amp;"細明體,標準"施忠賢結構技師事務所&amp;R&amp;F</oddHeader>
    <oddFooter>&amp;C&amp;P of 1&amp;R&amp;D  &amp;T</oddFooter>
  </headerFooter>
  <rowBreaks count="1" manualBreakCount="1">
    <brk id="58" max="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74"/>
  <sheetViews>
    <sheetView showGridLines="0" tabSelected="1" topLeftCell="A34" workbookViewId="0">
      <selection activeCell="A53" sqref="A53:H53"/>
    </sheetView>
  </sheetViews>
  <sheetFormatPr defaultColWidth="9.140625" defaultRowHeight="12.75"/>
  <cols>
    <col min="1" max="1" width="18.7109375" style="45" customWidth="1"/>
    <col min="2" max="2" width="9.140625" style="45"/>
    <col min="3" max="3" width="11.7109375" style="45" customWidth="1"/>
    <col min="4" max="4" width="12" style="45" customWidth="1"/>
    <col min="5" max="6" width="9.140625" style="45"/>
    <col min="7" max="7" width="12.28515625" style="45" customWidth="1"/>
    <col min="8" max="8" width="12.85546875" style="45" customWidth="1"/>
    <col min="9" max="9" width="23.85546875" style="45" bestFit="1" customWidth="1"/>
    <col min="10" max="11" width="11.85546875" style="45" customWidth="1"/>
    <col min="12" max="12" width="62.42578125" style="45" customWidth="1"/>
    <col min="13" max="13" width="14.7109375" style="45" customWidth="1"/>
    <col min="14" max="14" width="18" style="45" customWidth="1"/>
    <col min="15" max="16" width="9.140625" style="45" customWidth="1"/>
    <col min="17" max="17" width="8.7109375" style="45" customWidth="1"/>
    <col min="18" max="18" width="6" style="45" customWidth="1"/>
    <col min="19" max="19" width="9.140625" style="45" customWidth="1"/>
    <col min="20" max="26" width="9.140625" style="206" customWidth="1"/>
    <col min="27" max="27" width="23.85546875" style="45" bestFit="1" customWidth="1"/>
    <col min="28" max="16384" width="9.140625" style="45"/>
  </cols>
  <sheetData>
    <row r="1" spans="1:26" ht="16.5">
      <c r="A1" s="23" t="s">
        <v>465</v>
      </c>
      <c r="B1" s="24"/>
      <c r="C1" s="24"/>
      <c r="D1" s="24"/>
      <c r="E1" s="24"/>
      <c r="F1" s="24"/>
      <c r="G1" s="24"/>
      <c r="H1" s="39"/>
      <c r="I1" s="434" t="s">
        <v>484</v>
      </c>
      <c r="L1" s="287" t="s">
        <v>175</v>
      </c>
      <c r="M1" s="65"/>
      <c r="N1" s="65"/>
      <c r="O1" s="65"/>
      <c r="P1" s="65"/>
      <c r="Q1" s="65"/>
      <c r="R1" s="65"/>
      <c r="Y1"/>
      <c r="Z1"/>
    </row>
    <row r="2" spans="1:26" ht="14.25">
      <c r="A2" s="432" t="s">
        <v>466</v>
      </c>
      <c r="B2" s="40"/>
      <c r="C2" s="27"/>
      <c r="D2" s="27"/>
      <c r="E2" s="27"/>
      <c r="F2" s="27"/>
      <c r="G2" s="27"/>
      <c r="H2" s="41"/>
      <c r="L2" s="65"/>
      <c r="M2" s="65"/>
      <c r="N2" s="65"/>
      <c r="O2" s="65"/>
      <c r="P2" s="65"/>
      <c r="Q2" s="65"/>
      <c r="R2" s="65"/>
    </row>
    <row r="3" spans="1:26" ht="14.25">
      <c r="A3" s="47" t="s">
        <v>110</v>
      </c>
      <c r="B3" s="110"/>
      <c r="C3" s="111"/>
      <c r="D3" s="112"/>
      <c r="E3" s="116" t="s">
        <v>300</v>
      </c>
      <c r="F3" s="114"/>
      <c r="G3" s="111"/>
      <c r="H3" s="113"/>
      <c r="J3" s="416" t="s">
        <v>419</v>
      </c>
      <c r="L3" s="65" t="s">
        <v>195</v>
      </c>
      <c r="M3" s="65"/>
      <c r="N3" s="65"/>
      <c r="O3" s="65"/>
      <c r="P3" s="393" t="s">
        <v>236</v>
      </c>
      <c r="Q3" s="32">
        <f>IF($B$17="Gable",DEGREES(ATAN(($B$13-$B$14)/($B$15/2))),DEGREES(ATAN(($B$13-$B$14)/($B$15))))</f>
        <v>25.016893478100023</v>
      </c>
      <c r="R3" s="65"/>
    </row>
    <row r="4" spans="1:26" ht="14.25">
      <c r="A4" s="47" t="s">
        <v>111</v>
      </c>
      <c r="B4" s="110"/>
      <c r="C4" s="111"/>
      <c r="D4" s="112"/>
      <c r="E4" s="115" t="s">
        <v>299</v>
      </c>
      <c r="F4" s="149"/>
      <c r="G4" s="116" t="s">
        <v>298</v>
      </c>
      <c r="H4" s="150"/>
      <c r="J4" s="416" t="s">
        <v>420</v>
      </c>
      <c r="L4" s="65" t="s">
        <v>429</v>
      </c>
      <c r="M4" s="394" t="str">
        <f>IF($Q$4&lt;=18,"Yes","No")</f>
        <v>Yes</v>
      </c>
      <c r="N4" s="65"/>
      <c r="O4" s="65"/>
      <c r="P4" s="393" t="s">
        <v>155</v>
      </c>
      <c r="Q4" s="32">
        <f>IF($B$23&lt;=10,$B$14,$B$14+($B$13-$B$14)/2)</f>
        <v>11.75</v>
      </c>
      <c r="R4" s="65"/>
    </row>
    <row r="5" spans="1:26" ht="14.25">
      <c r="A5" s="44"/>
      <c r="B5" s="65"/>
      <c r="C5" s="65"/>
      <c r="D5" s="65"/>
      <c r="E5" s="65"/>
      <c r="F5" s="145"/>
      <c r="G5" s="31"/>
      <c r="H5" s="208"/>
      <c r="J5" s="416" t="s">
        <v>421</v>
      </c>
      <c r="L5" s="65" t="s">
        <v>203</v>
      </c>
      <c r="M5" s="394" t="str">
        <f>IF($Q$4&lt;=$Q$5,"Yes","No")</f>
        <v>Yes</v>
      </c>
      <c r="N5" s="65"/>
      <c r="O5" s="65"/>
      <c r="P5" s="393" t="s">
        <v>196</v>
      </c>
      <c r="Q5" s="101">
        <f>IF($B$15&lt;=$B$16,$B$15,$B$16)</f>
        <v>15</v>
      </c>
      <c r="R5" s="65"/>
      <c r="Y5"/>
      <c r="Z5"/>
    </row>
    <row r="6" spans="1:26" ht="14.25">
      <c r="A6" s="46" t="s">
        <v>150</v>
      </c>
      <c r="B6" s="65"/>
      <c r="C6" s="65"/>
      <c r="D6" s="65"/>
      <c r="E6" s="65"/>
      <c r="F6" s="205"/>
      <c r="G6" s="31"/>
      <c r="H6" s="152"/>
      <c r="J6" s="416" t="s">
        <v>422</v>
      </c>
      <c r="L6" s="65"/>
      <c r="M6" s="65"/>
      <c r="N6" s="65"/>
      <c r="O6" s="65"/>
      <c r="P6" s="393"/>
      <c r="Q6" s="395"/>
      <c r="R6" s="65"/>
      <c r="Y6"/>
      <c r="Z6"/>
    </row>
    <row r="7" spans="1:26" ht="14.25">
      <c r="A7" s="433" t="s">
        <v>480</v>
      </c>
      <c r="B7" s="158" t="s">
        <v>895</v>
      </c>
      <c r="C7" s="65"/>
      <c r="D7" s="65"/>
      <c r="E7" s="65"/>
      <c r="H7" s="50"/>
      <c r="J7" s="416" t="s">
        <v>423</v>
      </c>
      <c r="L7" s="65" t="s">
        <v>439</v>
      </c>
      <c r="M7" s="65"/>
      <c r="N7" s="65"/>
      <c r="O7" s="65"/>
      <c r="P7" s="65"/>
      <c r="Q7" s="397"/>
      <c r="R7" s="65"/>
      <c r="Y7"/>
      <c r="Z7"/>
    </row>
    <row r="8" spans="1:26" ht="14.25">
      <c r="A8" s="433" t="s">
        <v>482</v>
      </c>
      <c r="B8" s="158" t="s">
        <v>896</v>
      </c>
      <c r="H8" s="50"/>
      <c r="J8" s="394" t="s">
        <v>415</v>
      </c>
      <c r="L8" s="398" t="s">
        <v>186</v>
      </c>
      <c r="M8" s="31">
        <f>IF($B$19="Y",0.375,1.146)</f>
        <v>0.375</v>
      </c>
      <c r="N8" s="396"/>
      <c r="O8" s="65"/>
      <c r="P8" s="65"/>
      <c r="Q8" s="397"/>
      <c r="R8" s="65"/>
      <c r="Y8"/>
      <c r="Z8"/>
    </row>
    <row r="9" spans="1:26" ht="15.75">
      <c r="A9" s="418" t="s">
        <v>427</v>
      </c>
      <c r="B9" s="420">
        <f ca="1">VLOOKUP(B8,INDIRECT(B7),2,FALSE)</f>
        <v>27.5</v>
      </c>
      <c r="C9" s="186" t="s">
        <v>437</v>
      </c>
      <c r="H9" s="159"/>
      <c r="J9" s="394" t="s">
        <v>416</v>
      </c>
      <c r="L9" s="398" t="s">
        <v>187</v>
      </c>
      <c r="M9" s="31">
        <f>IF($B$19="Y",-0.375,-1.146)</f>
        <v>-0.375</v>
      </c>
      <c r="N9" s="396"/>
      <c r="O9" s="65"/>
      <c r="P9" s="65"/>
      <c r="Q9" s="37"/>
      <c r="R9" s="65"/>
      <c r="Y9"/>
      <c r="Z9"/>
    </row>
    <row r="10" spans="1:26" ht="14.25">
      <c r="A10" s="418" t="s">
        <v>481</v>
      </c>
      <c r="B10" s="158" t="s">
        <v>897</v>
      </c>
      <c r="C10" s="186" t="s">
        <v>472</v>
      </c>
      <c r="H10" s="160"/>
      <c r="J10" s="394" t="s">
        <v>417</v>
      </c>
      <c r="L10" s="65"/>
      <c r="M10" s="65"/>
      <c r="N10" s="65"/>
      <c r="O10" s="65"/>
      <c r="P10" s="65"/>
      <c r="Q10" s="65"/>
      <c r="R10" s="65"/>
      <c r="Y10"/>
      <c r="Z10"/>
    </row>
    <row r="11" spans="1:26" ht="14.25">
      <c r="A11" s="418" t="s">
        <v>435</v>
      </c>
      <c r="B11" s="420">
        <f>IF(B10="第五類",1,IF(B10="第四類",0.9,1.1))</f>
        <v>1.1000000000000001</v>
      </c>
      <c r="C11" s="186" t="s">
        <v>436</v>
      </c>
      <c r="H11" s="50"/>
      <c r="J11" s="394" t="s">
        <v>312</v>
      </c>
      <c r="L11" s="65" t="s">
        <v>237</v>
      </c>
      <c r="M11" s="65"/>
      <c r="N11" s="65"/>
      <c r="O11" s="65"/>
      <c r="P11" s="65"/>
      <c r="Q11" s="65"/>
      <c r="R11" s="65"/>
      <c r="Y11"/>
      <c r="Z11"/>
    </row>
    <row r="12" spans="1:26" ht="14.25">
      <c r="A12" s="418" t="s">
        <v>432</v>
      </c>
      <c r="B12" s="122" t="s">
        <v>898</v>
      </c>
      <c r="C12" s="186" t="s">
        <v>418</v>
      </c>
      <c r="H12" s="50"/>
      <c r="J12" s="394" t="s">
        <v>311</v>
      </c>
      <c r="L12" s="400" t="s">
        <v>238</v>
      </c>
      <c r="M12" s="101">
        <f>IF($B$12="A",0.32,IF($B$12="B",0.25,IF($B$12="C",0.15,"Error!")))</f>
        <v>0.32</v>
      </c>
      <c r="N12" s="396" t="s">
        <v>430</v>
      </c>
      <c r="O12" s="65"/>
      <c r="P12" s="65"/>
      <c r="Q12" s="65"/>
      <c r="R12" s="65"/>
      <c r="Y12"/>
      <c r="Z12"/>
    </row>
    <row r="13" spans="1:26" ht="14.25">
      <c r="A13" s="418" t="s">
        <v>469</v>
      </c>
      <c r="B13" s="123">
        <v>13.5</v>
      </c>
      <c r="C13" s="186" t="s">
        <v>413</v>
      </c>
      <c r="H13" s="50"/>
      <c r="J13" s="394" t="s">
        <v>272</v>
      </c>
      <c r="K13" s="206"/>
      <c r="L13" s="393" t="s">
        <v>119</v>
      </c>
      <c r="M13" s="394">
        <f>IF($B$12="A",500,IF($B$12="B",400,IF($B$12="C",300,"Error!")))</f>
        <v>500</v>
      </c>
      <c r="N13" s="396" t="s">
        <v>430</v>
      </c>
      <c r="O13" s="65"/>
      <c r="P13" s="65"/>
      <c r="Q13" s="65"/>
      <c r="R13" s="206"/>
      <c r="Y13"/>
      <c r="Z13"/>
    </row>
    <row r="14" spans="1:26" ht="14.25">
      <c r="A14" s="418" t="s">
        <v>470</v>
      </c>
      <c r="B14" s="123">
        <v>10</v>
      </c>
      <c r="C14" s="186" t="s">
        <v>414</v>
      </c>
      <c r="F14" s="162"/>
      <c r="H14" s="50"/>
      <c r="J14" s="394" t="s">
        <v>121</v>
      </c>
      <c r="K14" s="206"/>
      <c r="L14" s="393" t="s">
        <v>120</v>
      </c>
      <c r="M14" s="397">
        <f>IF($Q$4&lt;=O14,P14*(O14/$M$13)^(2*$M$12),P14*($Q$4/$M$13)^(2*$M$12))</f>
        <v>0.2515300566299884</v>
      </c>
      <c r="N14" s="65" t="s">
        <v>431</v>
      </c>
      <c r="O14" s="45">
        <v>5</v>
      </c>
      <c r="P14" s="37">
        <v>2.774</v>
      </c>
      <c r="Q14" s="65"/>
      <c r="R14" s="206"/>
      <c r="Y14"/>
      <c r="Z14"/>
    </row>
    <row r="15" spans="1:26" ht="15.75">
      <c r="A15" s="418" t="s">
        <v>467</v>
      </c>
      <c r="B15" s="123">
        <v>15</v>
      </c>
      <c r="C15" s="186" t="s">
        <v>450</v>
      </c>
      <c r="F15" s="104"/>
      <c r="G15" s="207"/>
      <c r="H15" s="50"/>
      <c r="J15" s="417" t="s">
        <v>424</v>
      </c>
      <c r="L15" s="393" t="s">
        <v>192</v>
      </c>
      <c r="M15" s="101">
        <f ca="1">0.06*$M$14*$B$18*(B$11*$B$9)^2</f>
        <v>13.809943346698729</v>
      </c>
      <c r="N15" s="396" t="s">
        <v>433</v>
      </c>
      <c r="O15" s="65"/>
      <c r="P15" s="65" t="s">
        <v>434</v>
      </c>
      <c r="Q15" s="65"/>
      <c r="R15" s="65"/>
      <c r="Y15"/>
      <c r="Z15"/>
    </row>
    <row r="16" spans="1:26" ht="15.75">
      <c r="A16" s="418" t="s">
        <v>468</v>
      </c>
      <c r="B16" s="123">
        <v>25</v>
      </c>
      <c r="C16" s="186" t="s">
        <v>451</v>
      </c>
      <c r="H16" s="50"/>
      <c r="J16" s="45">
        <v>1.1000000000000001</v>
      </c>
      <c r="L16" s="393" t="s">
        <v>461</v>
      </c>
      <c r="M16" s="101">
        <f ca="1">0.06*Q16*$B$18*(B$11*$B$9)^2</f>
        <v>12.455686313049828</v>
      </c>
      <c r="N16" s="396" t="s">
        <v>433</v>
      </c>
      <c r="O16" s="65"/>
      <c r="P16" s="65" t="s">
        <v>434</v>
      </c>
      <c r="Q16" s="427">
        <f>IF(B14&lt;=O14,P14*(O14/$M$13)^(2*$M$12),P14*(B14/$M$13)^(2*$M$12))</f>
        <v>0.2268640359365221</v>
      </c>
      <c r="R16" s="65"/>
      <c r="Y16"/>
      <c r="Z16"/>
    </row>
    <row r="17" spans="1:26" ht="14.25">
      <c r="A17" s="418" t="s">
        <v>438</v>
      </c>
      <c r="B17" s="163" t="s">
        <v>312</v>
      </c>
      <c r="C17" s="182" t="s">
        <v>210</v>
      </c>
      <c r="H17" s="50"/>
      <c r="J17" s="45">
        <v>1.1000000000000001</v>
      </c>
      <c r="L17" s="65" t="s">
        <v>336</v>
      </c>
      <c r="M17" s="65"/>
      <c r="N17" s="65"/>
      <c r="O17" s="65"/>
      <c r="P17" s="65"/>
      <c r="Q17" s="65"/>
      <c r="R17" s="65"/>
      <c r="Y17"/>
      <c r="Z17"/>
    </row>
    <row r="18" spans="1:26" ht="14.25">
      <c r="A18" s="418" t="s">
        <v>425</v>
      </c>
      <c r="B18" s="123">
        <v>1</v>
      </c>
      <c r="C18" s="191" t="s">
        <v>473</v>
      </c>
      <c r="H18" s="50"/>
      <c r="J18" s="45">
        <v>1.1000000000000001</v>
      </c>
      <c r="L18" s="65"/>
      <c r="M18" s="393" t="s">
        <v>176</v>
      </c>
      <c r="N18" s="101">
        <f>IF($B$15&lt;=$B$16,$B$15,$B$16)</f>
        <v>15</v>
      </c>
      <c r="O18" s="65"/>
      <c r="P18" s="65"/>
      <c r="Q18" s="65"/>
      <c r="R18" s="65"/>
      <c r="Y18"/>
      <c r="Z18"/>
    </row>
    <row r="19" spans="1:26" ht="14.25">
      <c r="A19" s="418" t="s">
        <v>426</v>
      </c>
      <c r="B19" s="122" t="s">
        <v>272</v>
      </c>
      <c r="C19" s="92" t="s">
        <v>474</v>
      </c>
      <c r="E19" s="206"/>
      <c r="H19" s="50"/>
      <c r="J19" s="45">
        <v>0.9</v>
      </c>
      <c r="L19" s="65"/>
      <c r="M19" s="398" t="s">
        <v>177</v>
      </c>
      <c r="N19" s="101">
        <f>0.1*$N$18</f>
        <v>1.5</v>
      </c>
      <c r="O19" s="65"/>
      <c r="P19" s="65"/>
      <c r="Q19" s="65"/>
      <c r="R19" s="65"/>
      <c r="Y19"/>
      <c r="Z19"/>
    </row>
    <row r="20" spans="1:26" ht="14.25">
      <c r="A20" s="418" t="s">
        <v>483</v>
      </c>
      <c r="B20" s="123">
        <v>1</v>
      </c>
      <c r="C20" s="51" t="str">
        <f>IF($B$14&gt;$B$13,"hr MUST BE &gt;= he !","")</f>
        <v/>
      </c>
      <c r="E20" s="162"/>
      <c r="F20" s="162"/>
      <c r="H20" s="159"/>
      <c r="J20" s="45">
        <v>1</v>
      </c>
      <c r="L20" s="65"/>
      <c r="M20" s="393" t="s">
        <v>132</v>
      </c>
      <c r="N20" s="101">
        <f>IF($N$19&lt;=0.4*$B$24,$N$19,0.4*$B$24)</f>
        <v>1.5</v>
      </c>
      <c r="O20" s="65"/>
      <c r="P20" s="65"/>
      <c r="Q20" s="65"/>
      <c r="R20" s="65"/>
      <c r="Y20"/>
      <c r="Z20"/>
    </row>
    <row r="21" spans="1:26">
      <c r="A21" s="46" t="s">
        <v>172</v>
      </c>
      <c r="B21" s="31"/>
      <c r="C21" s="52"/>
      <c r="H21" s="204"/>
      <c r="L21" s="65"/>
      <c r="M21" s="393" t="s">
        <v>173</v>
      </c>
      <c r="N21" s="101">
        <f>IF($N$20&gt;=0.04*$N$18,$N$20,0.04*$N$18)</f>
        <v>1.5</v>
      </c>
      <c r="O21" s="65"/>
      <c r="P21" s="101"/>
      <c r="Q21" s="65"/>
      <c r="R21" s="65"/>
      <c r="Y21"/>
      <c r="Z21"/>
    </row>
    <row r="22" spans="1:26">
      <c r="A22" s="44"/>
      <c r="F22" s="162"/>
      <c r="H22" s="50"/>
      <c r="L22" s="65"/>
      <c r="M22" s="393" t="s">
        <v>448</v>
      </c>
      <c r="N22" s="101">
        <f>IF($N$21&gt;=0.9,$N$21,0.9)</f>
        <v>1.5</v>
      </c>
      <c r="O22" s="65"/>
      <c r="P22" s="401"/>
      <c r="Q22" s="65"/>
      <c r="R22" s="65"/>
      <c r="Y22"/>
      <c r="Z22"/>
    </row>
    <row r="23" spans="1:26">
      <c r="A23" s="49" t="s">
        <v>235</v>
      </c>
      <c r="B23" s="125">
        <f>$Q$3</f>
        <v>25.016893478100023</v>
      </c>
      <c r="C23" s="45" t="s">
        <v>276</v>
      </c>
      <c r="E23" s="53"/>
      <c r="F23" s="162"/>
      <c r="H23" s="50"/>
      <c r="L23" s="65"/>
      <c r="M23" s="393" t="s">
        <v>131</v>
      </c>
      <c r="N23" s="101">
        <f>$N$22</f>
        <v>1.5</v>
      </c>
      <c r="O23" s="65"/>
      <c r="P23" s="65"/>
      <c r="Q23" s="65"/>
      <c r="R23" s="65"/>
      <c r="Y23"/>
      <c r="Z23"/>
    </row>
    <row r="24" spans="1:26">
      <c r="A24" s="49" t="s">
        <v>155</v>
      </c>
      <c r="B24" s="126">
        <f>$Q$4</f>
        <v>11.75</v>
      </c>
      <c r="C24" s="52" t="str">
        <f>IF($B$23&lt;=10,"m. (h = he, for angle &lt;=10 deg.)","m (h = (hr+he)/2, for angle &gt;10 deg.)")</f>
        <v>m (h = (hr+he)/2, for angle &gt;10 deg.)</v>
      </c>
      <c r="F24" s="71"/>
      <c r="G24" s="71"/>
      <c r="H24" s="50"/>
      <c r="L24" s="65"/>
      <c r="M24" s="393" t="s">
        <v>197</v>
      </c>
      <c r="N24" s="101">
        <f>2*$N$23</f>
        <v>3</v>
      </c>
      <c r="O24" s="65"/>
      <c r="P24" s="65"/>
      <c r="Q24" s="65"/>
      <c r="R24" s="396"/>
      <c r="Y24"/>
      <c r="Z24"/>
    </row>
    <row r="25" spans="1:26">
      <c r="A25" s="44"/>
      <c r="H25" s="50"/>
      <c r="L25" s="398"/>
      <c r="M25" s="231"/>
      <c r="N25" s="32"/>
      <c r="O25" s="398"/>
      <c r="P25" s="231"/>
      <c r="Q25" s="65"/>
      <c r="R25" s="399"/>
      <c r="Y25"/>
      <c r="Z25"/>
    </row>
    <row r="26" spans="1:26">
      <c r="A26" s="44" t="s">
        <v>228</v>
      </c>
      <c r="H26" s="50"/>
      <c r="L26" s="298"/>
      <c r="M26" s="231"/>
      <c r="N26" s="32"/>
      <c r="O26" s="298"/>
      <c r="P26" s="231"/>
      <c r="Q26" s="65"/>
      <c r="R26" s="65"/>
      <c r="Y26"/>
      <c r="Z26"/>
    </row>
    <row r="27" spans="1:26">
      <c r="A27" s="419" t="s">
        <v>428</v>
      </c>
      <c r="B27" s="73" t="str">
        <f>IF($M$4="Yes","Yes, O.K.","No, Violation!")</f>
        <v>Yes, O.K.</v>
      </c>
      <c r="C27" s="74"/>
      <c r="D27" s="191" t="s">
        <v>887</v>
      </c>
      <c r="G27" s="48" t="str">
        <f>IF($M$5="Yes","Yes, O.K.","No, Violation!")</f>
        <v>Yes, O.K.</v>
      </c>
      <c r="H27" s="50"/>
      <c r="L27" s="65"/>
      <c r="M27" s="65"/>
      <c r="N27" s="65"/>
      <c r="O27" s="65"/>
      <c r="P27" s="65"/>
      <c r="Q27" s="65"/>
      <c r="R27" s="65"/>
      <c r="Y27"/>
      <c r="Z27"/>
    </row>
    <row r="28" spans="1:26">
      <c r="A28" s="44"/>
      <c r="H28" s="50"/>
      <c r="R28" s="65"/>
      <c r="Y28"/>
      <c r="Z28"/>
    </row>
    <row r="29" spans="1:26">
      <c r="A29" s="180" t="s">
        <v>333</v>
      </c>
      <c r="H29" s="50"/>
      <c r="R29" s="65"/>
      <c r="Y29"/>
      <c r="Z29"/>
    </row>
    <row r="30" spans="1:26">
      <c r="A30" s="44" t="s">
        <v>208</v>
      </c>
      <c r="H30" s="50"/>
      <c r="R30" s="65"/>
      <c r="Y30"/>
      <c r="Z30"/>
    </row>
    <row r="31" spans="1:26">
      <c r="A31" s="392" t="s">
        <v>334</v>
      </c>
      <c r="E31" s="34"/>
      <c r="H31" s="75"/>
      <c r="R31" s="65"/>
      <c r="Y31"/>
      <c r="Z31"/>
    </row>
    <row r="32" spans="1:26">
      <c r="A32" s="76" t="s">
        <v>189</v>
      </c>
      <c r="B32" s="142">
        <f>$M$8</f>
        <v>0.375</v>
      </c>
      <c r="C32" s="45" t="s">
        <v>217</v>
      </c>
      <c r="H32" s="50"/>
      <c r="R32" s="65"/>
      <c r="Y32"/>
      <c r="Z32"/>
    </row>
    <row r="33" spans="1:26">
      <c r="A33" s="76" t="s">
        <v>190</v>
      </c>
      <c r="B33" s="272">
        <f>$M$9</f>
        <v>-0.375</v>
      </c>
      <c r="C33" s="45" t="s">
        <v>218</v>
      </c>
      <c r="H33" s="50"/>
      <c r="R33" s="65"/>
      <c r="Y33"/>
      <c r="Z33"/>
    </row>
    <row r="34" spans="1:26">
      <c r="A34" s="44"/>
      <c r="H34" s="50"/>
      <c r="R34" s="65"/>
      <c r="Y34"/>
      <c r="Z34"/>
    </row>
    <row r="35" spans="1:26" ht="14.25">
      <c r="A35" s="404" t="s">
        <v>442</v>
      </c>
      <c r="F35" s="52"/>
      <c r="G35" s="61"/>
      <c r="H35" s="50"/>
      <c r="R35" s="65"/>
      <c r="Y35"/>
      <c r="Z35"/>
    </row>
    <row r="36" spans="1:26" ht="14.25">
      <c r="A36" s="404" t="s">
        <v>443</v>
      </c>
      <c r="F36" s="52" t="str">
        <f>IF($B$12="B","(Note: z not &lt; 30' for Exp. B)","")</f>
        <v/>
      </c>
      <c r="G36" s="61"/>
      <c r="H36" s="50"/>
      <c r="R36" s="65"/>
      <c r="Y36"/>
      <c r="Z36"/>
    </row>
    <row r="37" spans="1:26">
      <c r="A37" s="78" t="s">
        <v>231</v>
      </c>
      <c r="B37" s="127">
        <f>$M$12</f>
        <v>0.32</v>
      </c>
      <c r="C37" s="92" t="s">
        <v>475</v>
      </c>
      <c r="D37" s="52"/>
      <c r="E37" s="52"/>
      <c r="G37" s="61"/>
      <c r="H37" s="50"/>
      <c r="R37" s="65"/>
      <c r="Y37"/>
      <c r="Z37"/>
    </row>
    <row r="38" spans="1:26">
      <c r="A38" s="49" t="s">
        <v>119</v>
      </c>
      <c r="B38" s="132">
        <f>$M$13</f>
        <v>500</v>
      </c>
      <c r="C38" s="92" t="s">
        <v>475</v>
      </c>
      <c r="H38" s="50"/>
      <c r="R38" s="65"/>
      <c r="Y38"/>
      <c r="Z38"/>
    </row>
    <row r="39" spans="1:26" ht="15.75">
      <c r="A39" s="418" t="s">
        <v>441</v>
      </c>
      <c r="B39" s="139">
        <f>$M$14</f>
        <v>0.2515300566299884</v>
      </c>
      <c r="C39" s="186" t="s">
        <v>440</v>
      </c>
      <c r="F39" s="64"/>
      <c r="G39" s="61"/>
      <c r="H39" s="50"/>
      <c r="R39" s="65"/>
      <c r="Y39"/>
      <c r="Z39"/>
    </row>
    <row r="40" spans="1:26">
      <c r="A40" s="44"/>
      <c r="H40" s="50"/>
      <c r="R40" s="65"/>
      <c r="Y40"/>
      <c r="Z40"/>
    </row>
    <row r="41" spans="1:26" ht="15.75">
      <c r="A41" s="185" t="s">
        <v>444</v>
      </c>
      <c r="F41" s="428">
        <f ca="1">M16</f>
        <v>12.455686313049828</v>
      </c>
      <c r="G41" s="186" t="s">
        <v>445</v>
      </c>
      <c r="H41" s="50"/>
      <c r="R41" s="65"/>
      <c r="Y41"/>
      <c r="Z41"/>
    </row>
    <row r="42" spans="1:26" ht="15.75">
      <c r="A42" s="49" t="s">
        <v>192</v>
      </c>
      <c r="B42" s="59">
        <f ca="1">$M$15</f>
        <v>13.809943346698729</v>
      </c>
      <c r="C42" s="186" t="s">
        <v>445</v>
      </c>
      <c r="D42" s="186" t="s">
        <v>446</v>
      </c>
      <c r="G42" s="61"/>
      <c r="H42" s="50"/>
      <c r="R42" s="65"/>
      <c r="Y42"/>
      <c r="Z42"/>
    </row>
    <row r="43" spans="1:26">
      <c r="A43" s="185" t="s">
        <v>447</v>
      </c>
      <c r="C43" s="79"/>
      <c r="D43" s="68"/>
      <c r="E43" s="80"/>
      <c r="F43" s="81"/>
      <c r="G43" s="68"/>
      <c r="H43" s="50"/>
      <c r="K43" s="101"/>
      <c r="R43" s="65"/>
      <c r="Y43"/>
      <c r="Z43"/>
    </row>
    <row r="44" spans="1:26" ht="14.25">
      <c r="A44" s="190" t="s">
        <v>449</v>
      </c>
      <c r="D44" s="68"/>
      <c r="F44" s="68"/>
      <c r="H44" s="50"/>
      <c r="R44" s="65"/>
      <c r="Y44"/>
      <c r="Z44"/>
    </row>
    <row r="45" spans="1:26" ht="14.25">
      <c r="A45" s="444" t="s">
        <v>877</v>
      </c>
      <c r="B45" s="24"/>
      <c r="C45" s="24"/>
      <c r="D45" s="83"/>
      <c r="E45" s="103" t="s">
        <v>878</v>
      </c>
      <c r="F45" s="83"/>
      <c r="G45" s="55"/>
      <c r="H45" s="84"/>
      <c r="K45" s="419" t="s">
        <v>462</v>
      </c>
      <c r="L45" s="431" t="s">
        <v>464</v>
      </c>
      <c r="M45" s="193" t="s">
        <v>452</v>
      </c>
      <c r="N45" s="193" t="s">
        <v>416</v>
      </c>
      <c r="O45" s="61"/>
      <c r="P45" s="429">
        <f>B24/Q46</f>
        <v>0.47</v>
      </c>
      <c r="Q45" s="193" t="s">
        <v>452</v>
      </c>
      <c r="R45" s="193" t="s">
        <v>416</v>
      </c>
      <c r="Y45"/>
      <c r="Z45"/>
    </row>
    <row r="46" spans="1:26" ht="14.25">
      <c r="A46" s="85" t="s">
        <v>115</v>
      </c>
      <c r="B46" s="425" t="s">
        <v>463</v>
      </c>
      <c r="C46" s="445" t="s">
        <v>885</v>
      </c>
      <c r="D46" s="86"/>
      <c r="E46" s="85" t="s">
        <v>115</v>
      </c>
      <c r="F46" s="426" t="s">
        <v>463</v>
      </c>
      <c r="G46" s="445" t="s">
        <v>886</v>
      </c>
      <c r="H46" s="86"/>
      <c r="K46" s="66">
        <v>1.88</v>
      </c>
      <c r="L46" s="424">
        <f>M46/N46</f>
        <v>0.6</v>
      </c>
      <c r="M46" s="421">
        <f>B15</f>
        <v>15</v>
      </c>
      <c r="N46" s="421">
        <f>B16</f>
        <v>25</v>
      </c>
      <c r="O46" s="54"/>
      <c r="P46" s="424">
        <f>Q46/R46</f>
        <v>1.6666666666666667</v>
      </c>
      <c r="Q46" s="421">
        <f>N46</f>
        <v>25</v>
      </c>
      <c r="R46" s="421">
        <f>M46</f>
        <v>15</v>
      </c>
      <c r="Y46"/>
      <c r="Z46"/>
    </row>
    <row r="47" spans="1:26">
      <c r="A47" s="183"/>
      <c r="B47" s="87"/>
      <c r="C47" s="166" t="s">
        <v>193</v>
      </c>
      <c r="D47" s="58" t="s">
        <v>194</v>
      </c>
      <c r="E47" s="183"/>
      <c r="F47" s="184"/>
      <c r="G47" s="166" t="s">
        <v>193</v>
      </c>
      <c r="H47" s="166" t="s">
        <v>194</v>
      </c>
      <c r="Y47"/>
      <c r="Z47"/>
    </row>
    <row r="48" spans="1:26" ht="14.25">
      <c r="A48" s="422" t="s">
        <v>456</v>
      </c>
      <c r="B48" s="127">
        <v>0.8</v>
      </c>
      <c r="C48" s="127">
        <f ca="1">$F41*K46*$B48-$B42*$M$8</f>
        <v>13.554623459814916</v>
      </c>
      <c r="D48" s="127">
        <f ca="1">$F41*K46*$B48-$B42*$M$9</f>
        <v>23.912080969838964</v>
      </c>
      <c r="E48" s="422" t="s">
        <v>453</v>
      </c>
      <c r="F48" s="127">
        <v>0.8</v>
      </c>
      <c r="G48" s="127">
        <f ca="1">$F41*K46*F48-$B42*$M$8</f>
        <v>13.554623459814916</v>
      </c>
      <c r="H48" s="127">
        <f ca="1">$F41*K46*F48-$B42*$M$9</f>
        <v>23.912080969838964</v>
      </c>
      <c r="J48" s="414" t="s">
        <v>380</v>
      </c>
      <c r="K48" s="414"/>
      <c r="L48" s="415">
        <v>0</v>
      </c>
      <c r="M48" s="415" t="s">
        <v>381</v>
      </c>
      <c r="N48" s="415">
        <v>20</v>
      </c>
      <c r="O48" s="415">
        <v>30</v>
      </c>
      <c r="P48" s="415">
        <v>40</v>
      </c>
      <c r="Q48" s="415">
        <v>50</v>
      </c>
      <c r="R48" s="414" t="s">
        <v>382</v>
      </c>
      <c r="Y48"/>
      <c r="Z48"/>
    </row>
    <row r="49" spans="1:26" ht="14.25">
      <c r="A49" s="423" t="s">
        <v>457</v>
      </c>
      <c r="B49" s="128">
        <f>IF(L46&lt;=1,-0.5,IF(L46&gt;=4,-0.2,-0.3))</f>
        <v>-0.5</v>
      </c>
      <c r="C49" s="128">
        <f ca="1">$M$15*(K46*$B49-$M$8)</f>
        <v>-18.160075500908828</v>
      </c>
      <c r="D49" s="128">
        <f ca="1">$M$15*(K46*$B49-$M$9)</f>
        <v>-7.802617990884781</v>
      </c>
      <c r="E49" s="423" t="s">
        <v>454</v>
      </c>
      <c r="F49" s="128">
        <f>IF(P46&lt;=1,-0.5,IF(P46&gt;=4,-0.2,-0.3))</f>
        <v>-0.3</v>
      </c>
      <c r="G49" s="128">
        <f ca="1">$M$15*(K46*$F49-$M$8)</f>
        <v>-12.967536802550105</v>
      </c>
      <c r="H49" s="128">
        <f ca="1">$M$15*(K46*$F49-$M$9)</f>
        <v>-2.6100792925260592</v>
      </c>
      <c r="J49" s="413">
        <f>B24/M46</f>
        <v>0.78333333333333333</v>
      </c>
      <c r="K49" s="452">
        <f>IF(J49&lt;=0.3,"≦0.3",IF(J49&lt;0.5,ROUNDUP(J49,1),IF(J49&lt;1,ROUND(J49+0.049,1),"≧1.5")))</f>
        <v>0.8</v>
      </c>
      <c r="L49" s="414">
        <f>VLOOKUP($K49,'地況、地形、外風壓係數'!$A15:$H27,2,FALSE)</f>
        <v>-0.7</v>
      </c>
      <c r="M49" s="414">
        <f>VLOOKUP($K49,'地況、地形、外風壓係數'!$A15:$H27,3,FALSE)</f>
        <v>-0.9</v>
      </c>
      <c r="N49" s="414">
        <f>VLOOKUP($K49,'地況、地形、外風壓係數'!$A15:$H27,4,FALSE)</f>
        <v>-0.75</v>
      </c>
      <c r="O49" s="414">
        <f>VLOOKUP($K49,'地況、地形、外風壓係數'!$A15:$H27,5,FALSE)</f>
        <v>-0.62</v>
      </c>
      <c r="P49" s="414">
        <f>VLOOKUP($K49,'地況、地形、外風壓係數'!$A15:$H27,6,FALSE)</f>
        <v>0.33</v>
      </c>
      <c r="Q49" s="414">
        <f>VLOOKUP($K49,'地況、地形、外風壓係數'!$A15:$H27,7,FALSE)</f>
        <v>2.5</v>
      </c>
      <c r="R49" s="413">
        <f>0.01*B23</f>
        <v>0.25016893478100022</v>
      </c>
      <c r="Y49"/>
      <c r="Z49"/>
    </row>
    <row r="50" spans="1:26" ht="14.25">
      <c r="A50" s="423" t="s">
        <v>458</v>
      </c>
      <c r="B50" s="128">
        <v>-0.7</v>
      </c>
      <c r="C50" s="128">
        <f ca="1">$M$15*(K46*$B50-$M$8)</f>
        <v>-23.352614199267549</v>
      </c>
      <c r="D50" s="128">
        <f ca="1">$M$15*(K46*$B50-$M$9)</f>
        <v>-12.995156689243501</v>
      </c>
      <c r="E50" s="423" t="s">
        <v>455</v>
      </c>
      <c r="F50" s="128">
        <v>-0.7</v>
      </c>
      <c r="G50" s="128">
        <f ca="1">$M$15*(K46*$F50-$M$8)</f>
        <v>-23.352614199267549</v>
      </c>
      <c r="H50" s="128">
        <f ca="1">$M$15*(K46*$F50-$M$9)</f>
        <v>-12.995156689243501</v>
      </c>
      <c r="Y50"/>
      <c r="Z50"/>
    </row>
    <row r="51" spans="1:26" ht="14.25">
      <c r="A51" s="422" t="s">
        <v>459</v>
      </c>
      <c r="B51" s="128">
        <f>IF(B23=0,L49,IF(B23&lt;10,L49+(M49-L49)*B23/10,IF(B23&lt;=15,M49,IF(B23&lt;=20,M49+(N49-M49)*(B23-15)/5,IF(B23&lt;=30,N49+(O49-N49)*(B23-20)/10,IF(B23&lt;=40,O49+(P49-O49)*(B23-30)/10,IF(B23&lt;=50,P49+(Q49-P49)*(B23-40)/10,IF(B23&lt;60,Q49+(R49-Q49)*(B23-50)/10,R49))))))))</f>
        <v>-0.68478038478469971</v>
      </c>
      <c r="C51" s="128">
        <f ca="1">$M$15*($K46*B51-$M$8)</f>
        <v>-22.957471994369669</v>
      </c>
      <c r="D51" s="128">
        <f ca="1">$M$15*($K46*B51-$M$9)</f>
        <v>-12.600014484345623</v>
      </c>
      <c r="E51" s="422" t="s">
        <v>459</v>
      </c>
      <c r="F51" s="128">
        <f>IF(P45&lt;=2.5,-0.7,-0.8)</f>
        <v>-0.7</v>
      </c>
      <c r="G51" s="128">
        <f ca="1">$M$15*($K46*F51-$M$8)</f>
        <v>-23.352614199267549</v>
      </c>
      <c r="H51" s="128">
        <f ca="1">$M$15*($K46*F51-$M$9)</f>
        <v>-12.995156689243501</v>
      </c>
      <c r="Y51"/>
      <c r="Z51"/>
    </row>
    <row r="52" spans="1:26" ht="14.25">
      <c r="A52" s="430" t="s">
        <v>460</v>
      </c>
      <c r="B52" s="181">
        <v>-0.7</v>
      </c>
      <c r="C52" s="181">
        <f ca="1">$M$15*($K46*B52-$M$8)</f>
        <v>-23.352614199267549</v>
      </c>
      <c r="D52" s="181">
        <f ca="1">$M$15*($K46*B52-$M$9)</f>
        <v>-12.995156689243501</v>
      </c>
      <c r="E52" s="430" t="s">
        <v>460</v>
      </c>
      <c r="F52" s="181">
        <f>F51</f>
        <v>-0.7</v>
      </c>
      <c r="G52" s="181">
        <f ca="1">$M$15*($K46*F52-$M$8)</f>
        <v>-23.352614199267549</v>
      </c>
      <c r="H52" s="181">
        <f ca="1">$M$15*($K46*F52-$M$9)</f>
        <v>-12.995156689243501</v>
      </c>
      <c r="Y52"/>
      <c r="Z52"/>
    </row>
    <row r="53" spans="1:26" ht="13.5">
      <c r="A53" s="455" t="s">
        <v>899</v>
      </c>
      <c r="B53" s="456"/>
      <c r="C53" s="456"/>
      <c r="D53" s="456"/>
      <c r="E53" s="456"/>
      <c r="F53" s="456"/>
      <c r="G53" s="456"/>
      <c r="H53" s="457"/>
      <c r="Y53"/>
      <c r="Z53"/>
    </row>
    <row r="54" spans="1:26">
      <c r="A54" s="178"/>
      <c r="B54" s="174"/>
      <c r="C54" s="174"/>
      <c r="D54" s="174"/>
      <c r="E54" s="174"/>
      <c r="F54" s="174"/>
      <c r="G54" s="174"/>
      <c r="H54" s="175"/>
      <c r="Y54"/>
      <c r="Z54"/>
    </row>
    <row r="55" spans="1:26">
      <c r="A55" s="179"/>
      <c r="B55" s="186"/>
      <c r="C55" s="186"/>
      <c r="D55" s="186"/>
      <c r="E55" s="186"/>
      <c r="F55" s="186"/>
      <c r="G55" s="186"/>
      <c r="H55" s="187"/>
      <c r="Y55"/>
      <c r="Z55"/>
    </row>
    <row r="56" spans="1:26">
      <c r="A56" s="185"/>
      <c r="B56" s="186"/>
      <c r="C56" s="186"/>
      <c r="D56" s="186"/>
      <c r="E56" s="186"/>
      <c r="F56" s="186"/>
      <c r="G56" s="186"/>
      <c r="H56" s="187"/>
      <c r="Y56"/>
      <c r="Z56"/>
    </row>
    <row r="57" spans="1:26">
      <c r="A57" s="185"/>
      <c r="B57" s="186"/>
      <c r="C57" s="186"/>
      <c r="D57" s="186"/>
      <c r="E57" s="186"/>
      <c r="F57" s="186"/>
      <c r="G57" s="186"/>
      <c r="H57" s="187"/>
      <c r="Y57"/>
      <c r="Z57"/>
    </row>
    <row r="58" spans="1:26">
      <c r="A58" s="185"/>
      <c r="B58" s="186"/>
      <c r="C58" s="186"/>
      <c r="D58" s="186"/>
      <c r="E58" s="186"/>
      <c r="F58" s="186"/>
      <c r="G58" s="186"/>
      <c r="H58" s="187"/>
      <c r="Y58"/>
      <c r="Z58"/>
    </row>
    <row r="59" spans="1:26">
      <c r="A59" s="185"/>
      <c r="B59" s="186"/>
      <c r="C59" s="186"/>
      <c r="D59" s="186"/>
      <c r="E59" s="186"/>
      <c r="F59" s="186"/>
      <c r="G59" s="186"/>
      <c r="H59" s="187"/>
      <c r="Y59"/>
      <c r="Z59"/>
    </row>
    <row r="60" spans="1:26">
      <c r="A60" s="185"/>
      <c r="B60" s="186"/>
      <c r="C60" s="186"/>
      <c r="D60" s="186"/>
      <c r="E60" s="186"/>
      <c r="F60" s="186"/>
      <c r="G60" s="186"/>
      <c r="H60" s="187"/>
      <c r="Y60"/>
      <c r="Z60"/>
    </row>
    <row r="61" spans="1:26">
      <c r="A61" s="185"/>
      <c r="B61" s="186"/>
      <c r="C61" s="186"/>
      <c r="D61" s="186"/>
      <c r="E61" s="186"/>
      <c r="F61" s="186"/>
      <c r="G61" s="186"/>
      <c r="H61" s="187"/>
      <c r="Y61"/>
      <c r="Z61"/>
    </row>
    <row r="62" spans="1:26">
      <c r="A62" s="185"/>
      <c r="B62" s="186"/>
      <c r="C62" s="186"/>
      <c r="D62" s="186"/>
      <c r="E62" s="186"/>
      <c r="F62" s="186"/>
      <c r="G62" s="186"/>
      <c r="H62" s="187"/>
      <c r="Y62"/>
      <c r="Z62"/>
    </row>
    <row r="63" spans="1:26">
      <c r="A63" s="185"/>
      <c r="B63" s="186"/>
      <c r="C63" s="186"/>
      <c r="D63" s="186"/>
      <c r="E63" s="186"/>
      <c r="F63" s="186"/>
      <c r="G63" s="186"/>
      <c r="H63" s="187"/>
      <c r="Y63"/>
      <c r="Z63"/>
    </row>
    <row r="64" spans="1:26">
      <c r="A64" s="185"/>
      <c r="B64" s="186"/>
      <c r="C64" s="186"/>
      <c r="D64" s="186"/>
      <c r="E64" s="186"/>
      <c r="F64" s="186"/>
      <c r="G64" s="186"/>
      <c r="H64" s="187"/>
      <c r="Y64"/>
      <c r="Z64"/>
    </row>
    <row r="65" spans="1:26">
      <c r="A65" s="185"/>
      <c r="B65" s="186"/>
      <c r="C65" s="186"/>
      <c r="D65" s="186"/>
      <c r="E65" s="186"/>
      <c r="F65" s="186"/>
      <c r="G65" s="186"/>
      <c r="H65" s="187"/>
      <c r="Y65"/>
      <c r="Z65"/>
    </row>
    <row r="66" spans="1:26">
      <c r="A66" s="185"/>
      <c r="B66" s="186"/>
      <c r="C66" s="186"/>
      <c r="D66" s="186"/>
      <c r="E66" s="186"/>
      <c r="F66" s="186"/>
      <c r="G66" s="186"/>
      <c r="H66" s="187"/>
      <c r="Y66"/>
      <c r="Z66"/>
    </row>
    <row r="67" spans="1:26">
      <c r="A67" s="185"/>
      <c r="B67" s="186"/>
      <c r="C67" s="186"/>
      <c r="D67" s="186"/>
      <c r="E67" s="186"/>
      <c r="F67" s="186"/>
      <c r="G67" s="186"/>
      <c r="H67" s="187"/>
      <c r="Y67"/>
      <c r="Z67"/>
    </row>
    <row r="68" spans="1:26">
      <c r="A68" s="185"/>
      <c r="B68" s="186"/>
      <c r="C68" s="186"/>
      <c r="D68" s="186"/>
      <c r="E68" s="186"/>
      <c r="F68" s="186"/>
      <c r="G68" s="186"/>
      <c r="H68" s="187"/>
      <c r="Y68"/>
      <c r="Z68"/>
    </row>
    <row r="69" spans="1:26">
      <c r="A69" s="185"/>
      <c r="B69" s="186"/>
      <c r="C69" s="186"/>
      <c r="D69" s="186"/>
      <c r="E69" s="186"/>
      <c r="F69" s="186"/>
      <c r="G69" s="186"/>
      <c r="H69" s="187"/>
      <c r="Y69"/>
      <c r="Z69"/>
    </row>
    <row r="70" spans="1:26">
      <c r="A70" s="185"/>
      <c r="B70" s="186"/>
      <c r="C70" s="186"/>
      <c r="D70" s="186"/>
      <c r="E70" s="186"/>
      <c r="F70" s="186"/>
      <c r="G70" s="186"/>
      <c r="H70" s="187"/>
      <c r="Y70"/>
      <c r="Z70"/>
    </row>
    <row r="71" spans="1:26">
      <c r="A71" s="185"/>
      <c r="B71" s="186"/>
      <c r="C71" s="186"/>
      <c r="D71" s="186"/>
      <c r="E71" s="186"/>
      <c r="F71" s="186"/>
      <c r="G71" s="186"/>
      <c r="H71" s="187"/>
      <c r="Y71"/>
      <c r="Z71"/>
    </row>
    <row r="72" spans="1:26">
      <c r="A72" s="185"/>
      <c r="B72" s="186"/>
      <c r="C72" s="186"/>
      <c r="D72" s="186"/>
      <c r="E72" s="186"/>
      <c r="F72" s="186"/>
      <c r="G72" s="186"/>
      <c r="H72" s="187"/>
      <c r="Y72"/>
      <c r="Z72"/>
    </row>
    <row r="73" spans="1:26">
      <c r="A73" s="185"/>
      <c r="B73" s="186"/>
      <c r="C73" s="186"/>
      <c r="D73" s="186"/>
      <c r="E73" s="186"/>
      <c r="F73" s="186"/>
      <c r="G73" s="186"/>
      <c r="H73" s="187"/>
      <c r="Y73"/>
      <c r="Z73"/>
    </row>
    <row r="74" spans="1:26">
      <c r="A74" s="185"/>
      <c r="B74" s="186"/>
      <c r="C74" s="186"/>
      <c r="D74" s="186"/>
      <c r="E74" s="186"/>
      <c r="F74" s="186"/>
      <c r="G74" s="186"/>
      <c r="H74" s="187"/>
      <c r="Y74"/>
      <c r="Z74"/>
    </row>
    <row r="75" spans="1:26">
      <c r="A75" s="185"/>
      <c r="B75" s="186"/>
      <c r="C75" s="186"/>
      <c r="D75" s="186"/>
      <c r="E75" s="186"/>
      <c r="F75" s="186"/>
      <c r="G75" s="186"/>
      <c r="H75" s="187"/>
      <c r="Y75"/>
      <c r="Z75"/>
    </row>
    <row r="76" spans="1:26">
      <c r="A76" s="185"/>
      <c r="B76" s="186"/>
      <c r="C76" s="186"/>
      <c r="D76" s="186"/>
      <c r="E76" s="186"/>
      <c r="F76" s="186"/>
      <c r="G76" s="186"/>
      <c r="H76" s="187"/>
      <c r="Y76"/>
      <c r="Z76"/>
    </row>
    <row r="77" spans="1:26">
      <c r="A77" s="185"/>
      <c r="B77" s="186"/>
      <c r="C77" s="186"/>
      <c r="D77" s="186"/>
      <c r="E77" s="186"/>
      <c r="F77" s="186"/>
      <c r="G77" s="186"/>
      <c r="H77" s="187"/>
      <c r="Y77"/>
      <c r="Z77"/>
    </row>
    <row r="78" spans="1:26">
      <c r="A78" s="185"/>
      <c r="B78" s="186"/>
      <c r="C78" s="186"/>
      <c r="D78" s="186"/>
      <c r="E78" s="186"/>
      <c r="F78" s="186"/>
      <c r="G78" s="186"/>
      <c r="H78" s="187"/>
      <c r="Y78"/>
      <c r="Z78"/>
    </row>
    <row r="79" spans="1:26">
      <c r="A79" s="185"/>
      <c r="B79" s="186"/>
      <c r="C79" s="186"/>
      <c r="D79" s="186"/>
      <c r="E79" s="186"/>
      <c r="F79" s="186"/>
      <c r="G79" s="186"/>
      <c r="H79" s="187"/>
      <c r="Y79"/>
      <c r="Z79"/>
    </row>
    <row r="80" spans="1:26">
      <c r="A80" s="185"/>
      <c r="B80" s="186"/>
      <c r="C80" s="186"/>
      <c r="D80" s="186"/>
      <c r="E80" s="186"/>
      <c r="F80" s="186"/>
      <c r="G80" s="186"/>
      <c r="H80" s="187"/>
      <c r="Y80"/>
      <c r="Z80"/>
    </row>
    <row r="81" spans="1:26">
      <c r="A81" s="185"/>
      <c r="B81" s="186"/>
      <c r="C81" s="186"/>
      <c r="D81" s="186"/>
      <c r="E81" s="186"/>
      <c r="F81" s="186"/>
      <c r="G81" s="186"/>
      <c r="H81" s="187"/>
      <c r="Y81"/>
      <c r="Z81"/>
    </row>
    <row r="82" spans="1:26">
      <c r="A82" s="185"/>
      <c r="B82" s="186"/>
      <c r="C82" s="186"/>
      <c r="D82" s="186"/>
      <c r="E82" s="186"/>
      <c r="F82" s="186"/>
      <c r="G82" s="186"/>
      <c r="H82" s="187"/>
      <c r="Y82"/>
      <c r="Z82"/>
    </row>
    <row r="83" spans="1:26">
      <c r="A83" s="185"/>
      <c r="B83" s="186"/>
      <c r="C83" s="186"/>
      <c r="D83" s="186"/>
      <c r="E83" s="186"/>
      <c r="F83" s="186"/>
      <c r="G83" s="186"/>
      <c r="H83" s="187"/>
      <c r="Y83"/>
      <c r="Z83"/>
    </row>
    <row r="84" spans="1:26">
      <c r="A84" s="185"/>
      <c r="B84" s="186"/>
      <c r="C84" s="186"/>
      <c r="D84" s="186"/>
      <c r="E84" s="186"/>
      <c r="F84" s="186"/>
      <c r="G84" s="186"/>
      <c r="H84" s="187"/>
      <c r="Y84"/>
      <c r="Z84"/>
    </row>
    <row r="85" spans="1:26">
      <c r="A85" s="185"/>
      <c r="B85" s="186"/>
      <c r="C85" s="186"/>
      <c r="D85" s="186"/>
      <c r="E85" s="186"/>
      <c r="F85" s="186"/>
      <c r="G85" s="186"/>
      <c r="H85" s="187"/>
      <c r="Y85"/>
      <c r="Z85"/>
    </row>
    <row r="86" spans="1:26">
      <c r="A86" s="185"/>
      <c r="B86" s="186"/>
      <c r="C86" s="186"/>
      <c r="D86" s="186"/>
      <c r="E86" s="186"/>
      <c r="F86" s="186"/>
      <c r="G86" s="186"/>
      <c r="H86" s="187"/>
      <c r="Y86"/>
      <c r="Z86"/>
    </row>
    <row r="87" spans="1:26">
      <c r="A87" s="185"/>
      <c r="B87" s="186"/>
      <c r="C87" s="186"/>
      <c r="D87" s="186"/>
      <c r="E87" s="186"/>
      <c r="F87" s="186"/>
      <c r="G87" s="186"/>
      <c r="H87" s="187"/>
      <c r="Y87"/>
      <c r="Z87"/>
    </row>
    <row r="88" spans="1:26">
      <c r="A88" s="185"/>
      <c r="B88" s="186"/>
      <c r="C88" s="186"/>
      <c r="D88" s="186"/>
      <c r="E88" s="186"/>
      <c r="F88" s="186"/>
      <c r="G88" s="186"/>
      <c r="H88" s="187"/>
      <c r="Y88"/>
      <c r="Z88"/>
    </row>
    <row r="89" spans="1:26">
      <c r="A89" s="185"/>
      <c r="B89" s="186"/>
      <c r="C89" s="186"/>
      <c r="D89" s="186"/>
      <c r="E89" s="186"/>
      <c r="F89" s="186"/>
      <c r="G89" s="186"/>
      <c r="H89" s="187"/>
      <c r="Y89"/>
      <c r="Z89"/>
    </row>
    <row r="90" spans="1:26">
      <c r="A90" s="185"/>
      <c r="B90" s="188"/>
      <c r="C90" s="188"/>
      <c r="D90" s="188"/>
      <c r="E90" s="188"/>
      <c r="F90" s="188"/>
      <c r="G90" s="188"/>
      <c r="H90" s="189"/>
      <c r="Y90"/>
      <c r="Z90"/>
    </row>
    <row r="91" spans="1:26">
      <c r="A91" s="185"/>
      <c r="B91" s="186"/>
      <c r="C91" s="186"/>
      <c r="D91" s="186"/>
      <c r="E91" s="186"/>
      <c r="F91" s="186"/>
      <c r="G91" s="186"/>
      <c r="H91" s="187"/>
      <c r="Y91"/>
      <c r="Z91"/>
    </row>
    <row r="92" spans="1:26">
      <c r="A92" s="190"/>
      <c r="B92" s="191"/>
      <c r="C92" s="191"/>
      <c r="D92" s="191"/>
      <c r="E92" s="191"/>
      <c r="F92" s="191"/>
      <c r="G92" s="191"/>
      <c r="H92" s="192"/>
      <c r="Y92"/>
      <c r="Z92"/>
    </row>
    <row r="93" spans="1:26">
      <c r="A93" s="185"/>
      <c r="B93" s="186"/>
      <c r="C93" s="186"/>
      <c r="D93" s="186"/>
      <c r="E93" s="186"/>
      <c r="F93" s="186"/>
      <c r="G93" s="186"/>
      <c r="H93" s="176"/>
      <c r="Y93"/>
      <c r="Z93"/>
    </row>
    <row r="94" spans="1:26">
      <c r="A94" s="185"/>
      <c r="B94" s="186"/>
      <c r="C94" s="186"/>
      <c r="D94" s="186"/>
      <c r="E94" s="186"/>
      <c r="F94" s="186"/>
      <c r="G94" s="193"/>
      <c r="H94" s="194"/>
      <c r="Y94"/>
      <c r="Z94"/>
    </row>
    <row r="95" spans="1:26">
      <c r="A95" s="185"/>
      <c r="B95" s="186"/>
      <c r="C95" s="186"/>
      <c r="D95" s="186"/>
      <c r="E95" s="186"/>
      <c r="F95" s="186"/>
      <c r="G95" s="193"/>
      <c r="H95" s="195"/>
      <c r="Y95"/>
      <c r="Z95"/>
    </row>
    <row r="96" spans="1:26">
      <c r="A96" s="185"/>
      <c r="B96" s="186"/>
      <c r="C96" s="186"/>
      <c r="D96" s="186"/>
      <c r="E96" s="186"/>
      <c r="F96" s="186"/>
      <c r="G96" s="186"/>
      <c r="H96" s="187"/>
      <c r="Y96"/>
      <c r="Z96"/>
    </row>
    <row r="97" spans="1:26">
      <c r="A97" s="185"/>
      <c r="B97" s="186"/>
      <c r="C97" s="186"/>
      <c r="D97" s="186"/>
      <c r="E97" s="186"/>
      <c r="F97" s="186"/>
      <c r="G97" s="186"/>
      <c r="H97" s="187"/>
      <c r="Y97"/>
      <c r="Z97"/>
    </row>
    <row r="98" spans="1:26">
      <c r="A98" s="185"/>
      <c r="B98" s="186"/>
      <c r="C98" s="186"/>
      <c r="D98" s="186"/>
      <c r="E98" s="186"/>
      <c r="F98" s="186"/>
      <c r="G98" s="186"/>
      <c r="H98" s="187"/>
      <c r="Y98"/>
      <c r="Z98"/>
    </row>
    <row r="99" spans="1:26">
      <c r="A99" s="185"/>
      <c r="B99" s="186"/>
      <c r="C99" s="186"/>
      <c r="D99" s="186"/>
      <c r="E99" s="186"/>
      <c r="F99" s="186"/>
      <c r="G99" s="186"/>
      <c r="H99" s="187"/>
      <c r="Y99"/>
      <c r="Z99"/>
    </row>
    <row r="100" spans="1:26">
      <c r="A100" s="185"/>
      <c r="B100" s="186"/>
      <c r="C100" s="186"/>
      <c r="D100" s="186"/>
      <c r="E100" s="186"/>
      <c r="F100" s="186"/>
      <c r="G100" s="186"/>
      <c r="H100" s="187"/>
      <c r="Y100"/>
      <c r="Z100"/>
    </row>
    <row r="101" spans="1:26">
      <c r="A101" s="185"/>
      <c r="B101" s="186"/>
      <c r="C101" s="186"/>
      <c r="D101" s="186"/>
      <c r="E101" s="186"/>
      <c r="F101" s="186"/>
      <c r="G101" s="186"/>
      <c r="H101" s="187"/>
      <c r="Y101"/>
      <c r="Z101"/>
    </row>
    <row r="102" spans="1:26">
      <c r="A102" s="185"/>
      <c r="B102" s="186"/>
      <c r="C102" s="186"/>
      <c r="D102" s="186"/>
      <c r="E102" s="186"/>
      <c r="F102" s="186"/>
      <c r="G102" s="186"/>
      <c r="H102" s="187"/>
      <c r="Y102"/>
      <c r="Z102"/>
    </row>
    <row r="103" spans="1:26">
      <c r="A103" s="185"/>
      <c r="B103" s="186"/>
      <c r="C103" s="186"/>
      <c r="D103" s="186"/>
      <c r="E103" s="186"/>
      <c r="F103" s="186"/>
      <c r="G103" s="186"/>
      <c r="H103" s="187"/>
      <c r="Y103"/>
      <c r="Z103"/>
    </row>
    <row r="104" spans="1:26">
      <c r="A104" s="196"/>
      <c r="B104" s="197"/>
      <c r="C104" s="197"/>
      <c r="D104" s="197"/>
      <c r="E104" s="197"/>
      <c r="F104" s="197"/>
      <c r="G104" s="197"/>
      <c r="H104" s="198"/>
      <c r="Y104"/>
      <c r="Z104"/>
    </row>
    <row r="105" spans="1:26">
      <c r="Y105"/>
      <c r="Z105"/>
    </row>
    <row r="106" spans="1:26">
      <c r="Y106"/>
      <c r="Z106"/>
    </row>
    <row r="107" spans="1:26">
      <c r="Y107"/>
      <c r="Z107"/>
    </row>
    <row r="108" spans="1:26">
      <c r="Y108"/>
      <c r="Z108"/>
    </row>
    <row r="109" spans="1:26">
      <c r="Y109"/>
      <c r="Z109"/>
    </row>
    <row r="110" spans="1:26">
      <c r="Y110"/>
      <c r="Z110"/>
    </row>
    <row r="111" spans="1:26">
      <c r="Y111"/>
      <c r="Z111"/>
    </row>
    <row r="112" spans="1:26">
      <c r="Y112"/>
      <c r="Z112"/>
    </row>
    <row r="113" spans="25:26">
      <c r="Y113"/>
      <c r="Z113"/>
    </row>
    <row r="114" spans="25:26">
      <c r="Y114"/>
      <c r="Z114"/>
    </row>
    <row r="115" spans="25:26">
      <c r="Y115"/>
      <c r="Z115"/>
    </row>
    <row r="116" spans="25:26">
      <c r="Y116"/>
      <c r="Z116"/>
    </row>
    <row r="117" spans="25:26">
      <c r="Y117"/>
      <c r="Z117"/>
    </row>
    <row r="118" spans="25:26">
      <c r="Y118"/>
      <c r="Z118"/>
    </row>
    <row r="119" spans="25:26">
      <c r="Y119"/>
      <c r="Z119"/>
    </row>
    <row r="120" spans="25:26">
      <c r="Y120"/>
      <c r="Z120"/>
    </row>
    <row r="121" spans="25:26">
      <c r="Y121"/>
      <c r="Z121"/>
    </row>
    <row r="122" spans="25:26">
      <c r="Y122"/>
      <c r="Z122"/>
    </row>
    <row r="123" spans="25:26">
      <c r="Y123"/>
      <c r="Z123"/>
    </row>
    <row r="124" spans="25:26">
      <c r="Y124"/>
      <c r="Z124"/>
    </row>
    <row r="125" spans="25:26">
      <c r="Y125"/>
      <c r="Z125"/>
    </row>
    <row r="126" spans="25:26">
      <c r="Y126"/>
      <c r="Z126"/>
    </row>
    <row r="127" spans="25:26">
      <c r="Y127"/>
      <c r="Z127"/>
    </row>
    <row r="128" spans="25:26">
      <c r="Y128"/>
      <c r="Z128"/>
    </row>
    <row r="129" spans="25:26">
      <c r="Y129"/>
      <c r="Z129"/>
    </row>
    <row r="130" spans="25:26">
      <c r="Y130"/>
      <c r="Z130"/>
    </row>
    <row r="131" spans="25:26">
      <c r="Y131"/>
      <c r="Z131"/>
    </row>
    <row r="132" spans="25:26">
      <c r="Y132"/>
      <c r="Z132"/>
    </row>
    <row r="133" spans="25:26">
      <c r="Y133"/>
      <c r="Z133"/>
    </row>
    <row r="134" spans="25:26">
      <c r="Y134"/>
      <c r="Z134"/>
    </row>
    <row r="135" spans="25:26">
      <c r="Y135"/>
      <c r="Z135"/>
    </row>
    <row r="136" spans="25:26">
      <c r="Y136"/>
      <c r="Z136"/>
    </row>
    <row r="137" spans="25:26">
      <c r="Y137"/>
      <c r="Z137"/>
    </row>
    <row r="138" spans="25:26">
      <c r="Y138"/>
      <c r="Z138"/>
    </row>
    <row r="139" spans="25:26">
      <c r="Y139"/>
      <c r="Z139"/>
    </row>
    <row r="140" spans="25:26">
      <c r="Y140"/>
      <c r="Z140"/>
    </row>
    <row r="141" spans="25:26">
      <c r="Y141"/>
      <c r="Z141"/>
    </row>
    <row r="142" spans="25:26">
      <c r="Y142"/>
      <c r="Z142"/>
    </row>
    <row r="143" spans="25:26">
      <c r="Y143"/>
      <c r="Z143"/>
    </row>
    <row r="144" spans="25:26">
      <c r="Y144"/>
      <c r="Z144"/>
    </row>
    <row r="145" spans="25:26">
      <c r="Y145"/>
      <c r="Z145"/>
    </row>
    <row r="146" spans="25:26">
      <c r="Y146"/>
      <c r="Z146"/>
    </row>
    <row r="147" spans="25:26">
      <c r="Y147"/>
      <c r="Z147"/>
    </row>
    <row r="148" spans="25:26">
      <c r="Y148"/>
      <c r="Z148"/>
    </row>
    <row r="149" spans="25:26">
      <c r="Y149"/>
      <c r="Z149"/>
    </row>
    <row r="150" spans="25:26">
      <c r="Y150"/>
      <c r="Z150"/>
    </row>
    <row r="151" spans="25:26">
      <c r="Y151"/>
      <c r="Z151"/>
    </row>
    <row r="152" spans="25:26">
      <c r="Y152"/>
      <c r="Z152"/>
    </row>
    <row r="153" spans="25:26">
      <c r="Y153"/>
      <c r="Z153"/>
    </row>
    <row r="154" spans="25:26">
      <c r="Y154"/>
      <c r="Z154"/>
    </row>
    <row r="155" spans="25:26">
      <c r="Y155"/>
      <c r="Z155"/>
    </row>
    <row r="156" spans="25:26">
      <c r="Y156"/>
      <c r="Z156"/>
    </row>
    <row r="157" spans="25:26">
      <c r="Y157"/>
      <c r="Z157"/>
    </row>
    <row r="158" spans="25:26">
      <c r="Y158"/>
      <c r="Z158"/>
    </row>
    <row r="159" spans="25:26">
      <c r="Y159"/>
      <c r="Z159"/>
    </row>
    <row r="160" spans="25:26">
      <c r="Y160"/>
      <c r="Z160"/>
    </row>
    <row r="161" spans="25:26">
      <c r="Y161"/>
      <c r="Z161"/>
    </row>
    <row r="162" spans="25:26">
      <c r="Y162"/>
      <c r="Z162"/>
    </row>
    <row r="163" spans="25:26">
      <c r="Y163"/>
      <c r="Z163"/>
    </row>
    <row r="164" spans="25:26">
      <c r="Y164"/>
      <c r="Z164"/>
    </row>
    <row r="165" spans="25:26">
      <c r="Y165"/>
      <c r="Z165"/>
    </row>
    <row r="166" spans="25:26">
      <c r="Y166"/>
      <c r="Z166"/>
    </row>
    <row r="167" spans="25:26">
      <c r="Y167"/>
      <c r="Z167"/>
    </row>
    <row r="168" spans="25:26">
      <c r="Y168"/>
      <c r="Z168"/>
    </row>
    <row r="169" spans="25:26">
      <c r="Y169"/>
      <c r="Z169"/>
    </row>
    <row r="170" spans="25:26">
      <c r="Y170"/>
      <c r="Z170"/>
    </row>
    <row r="171" spans="25:26">
      <c r="Y171"/>
      <c r="Z171"/>
    </row>
    <row r="172" spans="25:26">
      <c r="Y172"/>
      <c r="Z172"/>
    </row>
    <row r="173" spans="25:26">
      <c r="Y173"/>
      <c r="Z173"/>
    </row>
    <row r="174" spans="25:26">
      <c r="Y174"/>
      <c r="Z174"/>
    </row>
    <row r="175" spans="25:26">
      <c r="Y175"/>
      <c r="Z175"/>
    </row>
    <row r="176" spans="25:26">
      <c r="Y176"/>
      <c r="Z176"/>
    </row>
    <row r="177" spans="25:26">
      <c r="Y177"/>
      <c r="Z177"/>
    </row>
    <row r="178" spans="25:26">
      <c r="Y178"/>
      <c r="Z178"/>
    </row>
    <row r="179" spans="25:26">
      <c r="Y179"/>
      <c r="Z179"/>
    </row>
    <row r="180" spans="25:26">
      <c r="Y180"/>
      <c r="Z180"/>
    </row>
    <row r="181" spans="25:26">
      <c r="Y181"/>
      <c r="Z181"/>
    </row>
    <row r="182" spans="25:26">
      <c r="Y182"/>
      <c r="Z182"/>
    </row>
    <row r="183" spans="25:26">
      <c r="Y183"/>
      <c r="Z183"/>
    </row>
    <row r="184" spans="25:26">
      <c r="Y184"/>
      <c r="Z184"/>
    </row>
    <row r="185" spans="25:26">
      <c r="Y185"/>
      <c r="Z185"/>
    </row>
    <row r="186" spans="25:26">
      <c r="Y186"/>
      <c r="Z186"/>
    </row>
    <row r="187" spans="25:26">
      <c r="Y187"/>
      <c r="Z187"/>
    </row>
    <row r="188" spans="25:26">
      <c r="Y188"/>
      <c r="Z188"/>
    </row>
    <row r="189" spans="25:26">
      <c r="Y189"/>
      <c r="Z189"/>
    </row>
    <row r="190" spans="25:26">
      <c r="Y190"/>
      <c r="Z190"/>
    </row>
    <row r="191" spans="25:26">
      <c r="Y191"/>
      <c r="Z191"/>
    </row>
    <row r="192" spans="25:26">
      <c r="Y192"/>
      <c r="Z192"/>
    </row>
    <row r="193" spans="25:26">
      <c r="Y193"/>
      <c r="Z193"/>
    </row>
    <row r="194" spans="25:26">
      <c r="Y194"/>
      <c r="Z194"/>
    </row>
    <row r="195" spans="25:26">
      <c r="Y195"/>
      <c r="Z195"/>
    </row>
    <row r="196" spans="25:26">
      <c r="Y196"/>
      <c r="Z196"/>
    </row>
    <row r="197" spans="25:26">
      <c r="Y197"/>
      <c r="Z197"/>
    </row>
    <row r="198" spans="25:26">
      <c r="Y198"/>
      <c r="Z198"/>
    </row>
    <row r="199" spans="25:26">
      <c r="Y199"/>
      <c r="Z199"/>
    </row>
    <row r="200" spans="25:26">
      <c r="Y200"/>
      <c r="Z200"/>
    </row>
    <row r="201" spans="25:26">
      <c r="Y201"/>
      <c r="Z201"/>
    </row>
    <row r="202" spans="25:26">
      <c r="Y202"/>
      <c r="Z202"/>
    </row>
    <row r="203" spans="25:26">
      <c r="Y203"/>
      <c r="Z203"/>
    </row>
    <row r="204" spans="25:26">
      <c r="Y204"/>
      <c r="Z204"/>
    </row>
    <row r="205" spans="25:26">
      <c r="Y205"/>
      <c r="Z205"/>
    </row>
    <row r="206" spans="25:26">
      <c r="Y206"/>
      <c r="Z206"/>
    </row>
    <row r="207" spans="25:26">
      <c r="Y207"/>
      <c r="Z207"/>
    </row>
    <row r="208" spans="25:26">
      <c r="Y208"/>
      <c r="Z208"/>
    </row>
    <row r="209" spans="25:26">
      <c r="Y209"/>
      <c r="Z209"/>
    </row>
    <row r="210" spans="25:26">
      <c r="Y210"/>
      <c r="Z210"/>
    </row>
    <row r="211" spans="25:26">
      <c r="Y211"/>
      <c r="Z211"/>
    </row>
    <row r="212" spans="25:26">
      <c r="Y212"/>
      <c r="Z212"/>
    </row>
    <row r="213" spans="25:26">
      <c r="Y213"/>
      <c r="Z213"/>
    </row>
    <row r="214" spans="25:26">
      <c r="Y214"/>
      <c r="Z214"/>
    </row>
    <row r="215" spans="25:26">
      <c r="Y215"/>
      <c r="Z215"/>
    </row>
    <row r="216" spans="25:26">
      <c r="Y216"/>
      <c r="Z216"/>
    </row>
    <row r="217" spans="25:26">
      <c r="Y217"/>
      <c r="Z217"/>
    </row>
    <row r="218" spans="25:26">
      <c r="Y218"/>
      <c r="Z218"/>
    </row>
    <row r="219" spans="25:26">
      <c r="Y219"/>
      <c r="Z219"/>
    </row>
    <row r="220" spans="25:26">
      <c r="Y220"/>
      <c r="Z220"/>
    </row>
    <row r="221" spans="25:26">
      <c r="Y221"/>
      <c r="Z221"/>
    </row>
    <row r="222" spans="25:26">
      <c r="Y222"/>
      <c r="Z222"/>
    </row>
    <row r="223" spans="25:26">
      <c r="Y223"/>
      <c r="Z223"/>
    </row>
    <row r="224" spans="25:26">
      <c r="Y224"/>
      <c r="Z224"/>
    </row>
    <row r="225" spans="25:26">
      <c r="Y225"/>
      <c r="Z225"/>
    </row>
    <row r="226" spans="25:26">
      <c r="Y226"/>
      <c r="Z226"/>
    </row>
    <row r="227" spans="25:26">
      <c r="Y227"/>
      <c r="Z227"/>
    </row>
    <row r="228" spans="25:26">
      <c r="Y228"/>
      <c r="Z228"/>
    </row>
    <row r="229" spans="25:26">
      <c r="Y229"/>
      <c r="Z229"/>
    </row>
    <row r="230" spans="25:26">
      <c r="Y230"/>
      <c r="Z230"/>
    </row>
    <row r="231" spans="25:26">
      <c r="Y231"/>
      <c r="Z231"/>
    </row>
    <row r="232" spans="25:26">
      <c r="Y232"/>
      <c r="Z232"/>
    </row>
    <row r="233" spans="25:26">
      <c r="Y233"/>
      <c r="Z233"/>
    </row>
    <row r="234" spans="25:26">
      <c r="Y234"/>
      <c r="Z234"/>
    </row>
    <row r="235" spans="25:26">
      <c r="Y235"/>
      <c r="Z235"/>
    </row>
    <row r="236" spans="25:26">
      <c r="Y236"/>
      <c r="Z236"/>
    </row>
    <row r="237" spans="25:26">
      <c r="Y237"/>
      <c r="Z237"/>
    </row>
    <row r="238" spans="25:26">
      <c r="Y238"/>
      <c r="Z238"/>
    </row>
    <row r="239" spans="25:26">
      <c r="Y239"/>
      <c r="Z239"/>
    </row>
    <row r="240" spans="25:26">
      <c r="Y240"/>
      <c r="Z240"/>
    </row>
    <row r="241" spans="25:26">
      <c r="Y241"/>
      <c r="Z241"/>
    </row>
    <row r="242" spans="25:26">
      <c r="Y242"/>
      <c r="Z242"/>
    </row>
    <row r="243" spans="25:26">
      <c r="Y243"/>
      <c r="Z243"/>
    </row>
    <row r="244" spans="25:26">
      <c r="Y244"/>
      <c r="Z244"/>
    </row>
    <row r="245" spans="25:26">
      <c r="Y245"/>
      <c r="Z245"/>
    </row>
    <row r="246" spans="25:26">
      <c r="Y246"/>
      <c r="Z246"/>
    </row>
    <row r="247" spans="25:26">
      <c r="Y247"/>
      <c r="Z247"/>
    </row>
    <row r="248" spans="25:26">
      <c r="Y248"/>
      <c r="Z248"/>
    </row>
    <row r="249" spans="25:26">
      <c r="Y249"/>
      <c r="Z249"/>
    </row>
    <row r="250" spans="25:26">
      <c r="Y250"/>
      <c r="Z250"/>
    </row>
    <row r="251" spans="25:26">
      <c r="Y251"/>
      <c r="Z251"/>
    </row>
    <row r="252" spans="25:26">
      <c r="Y252"/>
      <c r="Z252"/>
    </row>
    <row r="253" spans="25:26">
      <c r="Y253"/>
      <c r="Z253"/>
    </row>
    <row r="254" spans="25:26">
      <c r="Y254"/>
      <c r="Z254"/>
    </row>
    <row r="255" spans="25:26">
      <c r="Y255"/>
      <c r="Z255"/>
    </row>
    <row r="256" spans="25:26">
      <c r="Y256"/>
      <c r="Z256"/>
    </row>
    <row r="257" spans="25:26">
      <c r="Y257"/>
      <c r="Z257"/>
    </row>
    <row r="258" spans="25:26">
      <c r="Y258"/>
      <c r="Z258"/>
    </row>
    <row r="259" spans="25:26">
      <c r="Y259"/>
      <c r="Z259"/>
    </row>
    <row r="260" spans="25:26">
      <c r="Y260"/>
      <c r="Z260"/>
    </row>
    <row r="261" spans="25:26">
      <c r="Y261"/>
      <c r="Z261"/>
    </row>
    <row r="262" spans="25:26">
      <c r="Y262"/>
      <c r="Z262"/>
    </row>
    <row r="263" spans="25:26">
      <c r="Y263"/>
      <c r="Z263"/>
    </row>
    <row r="264" spans="25:26">
      <c r="Y264"/>
      <c r="Z264"/>
    </row>
    <row r="265" spans="25:26">
      <c r="Y265"/>
      <c r="Z265"/>
    </row>
    <row r="266" spans="25:26">
      <c r="Y266"/>
      <c r="Z266"/>
    </row>
    <row r="267" spans="25:26">
      <c r="Y267"/>
      <c r="Z267"/>
    </row>
    <row r="268" spans="25:26">
      <c r="Y268"/>
      <c r="Z268"/>
    </row>
    <row r="269" spans="25:26">
      <c r="Y269"/>
      <c r="Z269"/>
    </row>
    <row r="270" spans="25:26">
      <c r="Y270"/>
      <c r="Z270"/>
    </row>
    <row r="271" spans="25:26">
      <c r="Y271"/>
      <c r="Z271"/>
    </row>
    <row r="272" spans="25:26">
      <c r="Y272"/>
      <c r="Z272"/>
    </row>
    <row r="273" spans="25:26">
      <c r="Y273"/>
      <c r="Z273"/>
    </row>
    <row r="274" spans="25:26">
      <c r="Y274"/>
      <c r="Z274"/>
    </row>
    <row r="275" spans="25:26">
      <c r="Y275"/>
      <c r="Z275"/>
    </row>
    <row r="276" spans="25:26">
      <c r="Y276"/>
      <c r="Z276"/>
    </row>
    <row r="277" spans="25:26">
      <c r="Y277"/>
      <c r="Z277"/>
    </row>
    <row r="278" spans="25:26">
      <c r="Y278"/>
      <c r="Z278"/>
    </row>
    <row r="279" spans="25:26">
      <c r="Y279"/>
      <c r="Z279"/>
    </row>
    <row r="280" spans="25:26">
      <c r="Y280"/>
      <c r="Z280"/>
    </row>
    <row r="281" spans="25:26">
      <c r="Y281"/>
      <c r="Z281"/>
    </row>
    <row r="282" spans="25:26">
      <c r="Y282"/>
      <c r="Z282"/>
    </row>
    <row r="283" spans="25:26">
      <c r="Y283"/>
      <c r="Z283"/>
    </row>
    <row r="284" spans="25:26">
      <c r="Y284"/>
      <c r="Z284"/>
    </row>
    <row r="285" spans="25:26">
      <c r="Y285"/>
      <c r="Z285"/>
    </row>
    <row r="286" spans="25:26">
      <c r="Y286"/>
      <c r="Z286"/>
    </row>
    <row r="287" spans="25:26">
      <c r="Y287"/>
      <c r="Z287"/>
    </row>
    <row r="288" spans="25:26">
      <c r="Y288"/>
      <c r="Z288"/>
    </row>
    <row r="289" spans="25:26">
      <c r="Y289"/>
      <c r="Z289"/>
    </row>
    <row r="290" spans="25:26">
      <c r="Y290"/>
      <c r="Z290"/>
    </row>
    <row r="291" spans="25:26">
      <c r="Y291"/>
      <c r="Z291"/>
    </row>
    <row r="292" spans="25:26">
      <c r="Y292"/>
      <c r="Z292"/>
    </row>
    <row r="293" spans="25:26">
      <c r="Y293"/>
      <c r="Z293"/>
    </row>
    <row r="294" spans="25:26">
      <c r="Y294"/>
      <c r="Z294"/>
    </row>
    <row r="295" spans="25:26">
      <c r="Y295"/>
      <c r="Z295"/>
    </row>
    <row r="296" spans="25:26">
      <c r="Y296"/>
      <c r="Z296"/>
    </row>
    <row r="297" spans="25:26">
      <c r="Y297"/>
      <c r="Z297"/>
    </row>
    <row r="298" spans="25:26">
      <c r="Y298"/>
      <c r="Z298"/>
    </row>
    <row r="299" spans="25:26">
      <c r="Y299"/>
      <c r="Z299"/>
    </row>
    <row r="300" spans="25:26">
      <c r="Y300"/>
      <c r="Z300"/>
    </row>
    <row r="301" spans="25:26">
      <c r="Y301"/>
      <c r="Z301"/>
    </row>
    <row r="302" spans="25:26">
      <c r="Y302"/>
      <c r="Z302"/>
    </row>
    <row r="303" spans="25:26">
      <c r="Y303"/>
      <c r="Z303"/>
    </row>
    <row r="304" spans="25:26">
      <c r="Y304"/>
      <c r="Z304"/>
    </row>
    <row r="305" spans="25:26">
      <c r="Y305"/>
      <c r="Z305"/>
    </row>
    <row r="306" spans="25:26">
      <c r="Y306"/>
      <c r="Z306"/>
    </row>
    <row r="307" spans="25:26">
      <c r="Y307"/>
      <c r="Z307"/>
    </row>
    <row r="308" spans="25:26">
      <c r="Y308"/>
      <c r="Z308"/>
    </row>
    <row r="309" spans="25:26">
      <c r="Y309"/>
      <c r="Z309"/>
    </row>
    <row r="310" spans="25:26">
      <c r="Y310"/>
      <c r="Z310"/>
    </row>
    <row r="311" spans="25:26">
      <c r="Y311"/>
      <c r="Z311"/>
    </row>
    <row r="312" spans="25:26">
      <c r="Y312"/>
      <c r="Z312"/>
    </row>
    <row r="313" spans="25:26">
      <c r="Y313"/>
      <c r="Z313"/>
    </row>
    <row r="314" spans="25:26">
      <c r="Y314"/>
      <c r="Z314"/>
    </row>
    <row r="315" spans="25:26">
      <c r="Y315"/>
      <c r="Z315"/>
    </row>
    <row r="316" spans="25:26">
      <c r="Y316"/>
      <c r="Z316"/>
    </row>
    <row r="317" spans="25:26">
      <c r="Y317"/>
      <c r="Z317"/>
    </row>
    <row r="318" spans="25:26">
      <c r="Y318"/>
      <c r="Z318"/>
    </row>
    <row r="319" spans="25:26">
      <c r="Y319"/>
      <c r="Z319"/>
    </row>
    <row r="320" spans="25:26">
      <c r="Y320"/>
      <c r="Z320"/>
    </row>
    <row r="321" spans="25:26">
      <c r="Y321"/>
      <c r="Z321"/>
    </row>
    <row r="322" spans="25:26">
      <c r="Y322"/>
      <c r="Z322"/>
    </row>
    <row r="323" spans="25:26">
      <c r="Y323"/>
      <c r="Z323"/>
    </row>
    <row r="324" spans="25:26">
      <c r="Y324"/>
      <c r="Z324"/>
    </row>
    <row r="325" spans="25:26">
      <c r="Y325"/>
      <c r="Z325"/>
    </row>
    <row r="326" spans="25:26">
      <c r="Y326"/>
      <c r="Z326"/>
    </row>
    <row r="327" spans="25:26">
      <c r="Y327"/>
      <c r="Z327"/>
    </row>
    <row r="328" spans="25:26">
      <c r="Y328"/>
      <c r="Z328"/>
    </row>
    <row r="329" spans="25:26">
      <c r="Y329"/>
      <c r="Z329"/>
    </row>
    <row r="330" spans="25:26">
      <c r="Y330"/>
      <c r="Z330"/>
    </row>
    <row r="331" spans="25:26">
      <c r="Y331"/>
      <c r="Z331"/>
    </row>
    <row r="332" spans="25:26">
      <c r="Y332"/>
      <c r="Z332"/>
    </row>
    <row r="333" spans="25:26">
      <c r="Y333"/>
      <c r="Z333"/>
    </row>
    <row r="334" spans="25:26">
      <c r="Y334"/>
      <c r="Z334"/>
    </row>
    <row r="335" spans="25:26">
      <c r="Y335"/>
      <c r="Z335"/>
    </row>
    <row r="336" spans="25:26">
      <c r="Y336"/>
      <c r="Z336"/>
    </row>
    <row r="337" spans="25:26">
      <c r="Y337"/>
      <c r="Z337"/>
    </row>
    <row r="338" spans="25:26">
      <c r="Y338"/>
      <c r="Z338"/>
    </row>
    <row r="339" spans="25:26">
      <c r="Y339"/>
      <c r="Z339"/>
    </row>
    <row r="340" spans="25:26">
      <c r="Y340"/>
      <c r="Z340"/>
    </row>
    <row r="341" spans="25:26">
      <c r="Y341"/>
      <c r="Z341"/>
    </row>
    <row r="342" spans="25:26">
      <c r="Y342"/>
      <c r="Z342"/>
    </row>
    <row r="343" spans="25:26">
      <c r="Y343"/>
      <c r="Z343"/>
    </row>
    <row r="344" spans="25:26">
      <c r="Y344"/>
      <c r="Z344"/>
    </row>
    <row r="345" spans="25:26">
      <c r="Y345"/>
      <c r="Z345"/>
    </row>
    <row r="346" spans="25:26">
      <c r="Y346"/>
      <c r="Z346"/>
    </row>
    <row r="347" spans="25:26">
      <c r="Y347"/>
      <c r="Z347"/>
    </row>
    <row r="348" spans="25:26">
      <c r="Y348"/>
      <c r="Z348"/>
    </row>
    <row r="349" spans="25:26">
      <c r="Y349"/>
      <c r="Z349"/>
    </row>
    <row r="350" spans="25:26">
      <c r="Y350"/>
      <c r="Z350"/>
    </row>
    <row r="351" spans="25:26">
      <c r="Y351"/>
      <c r="Z351"/>
    </row>
    <row r="352" spans="25:26">
      <c r="Y352"/>
      <c r="Z352"/>
    </row>
    <row r="353" spans="25:26">
      <c r="Y353"/>
      <c r="Z353"/>
    </row>
    <row r="354" spans="25:26">
      <c r="Y354"/>
      <c r="Z354"/>
    </row>
    <row r="355" spans="25:26">
      <c r="Y355"/>
      <c r="Z355"/>
    </row>
    <row r="356" spans="25:26">
      <c r="Y356"/>
      <c r="Z356"/>
    </row>
    <row r="357" spans="25:26">
      <c r="Y357"/>
      <c r="Z357"/>
    </row>
    <row r="358" spans="25:26">
      <c r="Y358"/>
      <c r="Z358"/>
    </row>
    <row r="359" spans="25:26">
      <c r="Y359"/>
      <c r="Z359"/>
    </row>
    <row r="360" spans="25:26">
      <c r="Y360"/>
      <c r="Z360"/>
    </row>
    <row r="361" spans="25:26">
      <c r="Y361"/>
      <c r="Z361"/>
    </row>
    <row r="362" spans="25:26">
      <c r="Y362"/>
      <c r="Z362"/>
    </row>
    <row r="363" spans="25:26">
      <c r="Y363"/>
      <c r="Z363"/>
    </row>
    <row r="364" spans="25:26">
      <c r="Y364"/>
      <c r="Z364"/>
    </row>
    <row r="365" spans="25:26">
      <c r="Y365"/>
      <c r="Z365"/>
    </row>
    <row r="366" spans="25:26">
      <c r="Y366"/>
      <c r="Z366"/>
    </row>
    <row r="367" spans="25:26">
      <c r="Y367"/>
      <c r="Z367"/>
    </row>
    <row r="368" spans="25:26">
      <c r="Y368"/>
      <c r="Z368"/>
    </row>
    <row r="369" spans="25:26">
      <c r="Y369"/>
      <c r="Z369"/>
    </row>
    <row r="370" spans="25:26">
      <c r="Y370"/>
      <c r="Z370"/>
    </row>
    <row r="371" spans="25:26">
      <c r="Y371"/>
      <c r="Z371"/>
    </row>
    <row r="372" spans="25:26">
      <c r="Y372"/>
      <c r="Z372"/>
    </row>
    <row r="373" spans="25:26">
      <c r="Y373"/>
      <c r="Z373"/>
    </row>
    <row r="374" spans="25:26">
      <c r="Y374"/>
      <c r="Z374"/>
    </row>
  </sheetData>
  <dataConsolidate/>
  <mergeCells count="1">
    <mergeCell ref="A53:H53"/>
  </mergeCells>
  <phoneticPr fontId="62" type="noConversion"/>
  <dataValidations count="6">
    <dataValidation type="list" allowBlank="1" showInputMessage="1" showErrorMessage="1" sqref="B8" xr:uid="{00000000-0002-0000-0100-000000000000}">
      <formula1>INDEX(INDIRECT(B7),,1)</formula1>
    </dataValidation>
    <dataValidation type="list" allowBlank="1" showInputMessage="1" showErrorMessage="1" errorTitle="Warning!" error="Invalid exposure category_x000a_Must input either B, C, or D" sqref="B12" xr:uid="{00000000-0002-0000-0100-000001000000}">
      <formula1>$J$8:$J$10</formula1>
    </dataValidation>
    <dataValidation type="list" allowBlank="1" showInputMessage="1" showErrorMessage="1" errorTitle="Warning!" error="Invalid roof type (must input either G or M)" sqref="B17" xr:uid="{00000000-0002-0000-0100-000002000000}">
      <formula1>$J$11:$J$12</formula1>
    </dataValidation>
    <dataValidation type="list" allowBlank="1" showInputMessage="1" showErrorMessage="1" errorTitle="Warning!" error="Invalid building category_x000a_Must input either I, II, III, or IV" sqref="B10" xr:uid="{00000000-0002-0000-0100-000003000000}">
      <formula1>$J$3:$J$7</formula1>
    </dataValidation>
    <dataValidation type="list" allowBlank="1" showInputMessage="1" showErrorMessage="1" errorTitle="Warning!" error="Invalid reply (must input either Y or N)" sqref="B19" xr:uid="{00000000-0002-0000-0100-000004000000}">
      <formula1>$J$13:$J$14</formula1>
    </dataValidation>
    <dataValidation type="list" allowBlank="1" showInputMessage="1" showErrorMessage="1" sqref="B7" xr:uid="{00000000-0002-0000-0100-000005000000}">
      <formula1>縣市</formula1>
    </dataValidation>
  </dataValidations>
  <pageMargins left="0.98425196850393704" right="0.51181102362204722" top="0.98425196850393704" bottom="0.98425196850393704" header="0.51181102362204722" footer="0.51181102362204722"/>
  <pageSetup scale="90" orientation="portrait" horizontalDpi="4294967292" r:id="rId1"/>
  <headerFooter alignWithMargins="0">
    <oddHeader>&amp;L&amp;"細明體,標準"施忠賢結構技師事務所&amp;R&amp;F</oddHeader>
    <oddFooter>&amp;C&amp;P of 1&amp;R&amp;D  &amp;T</oddFooter>
  </headerFooter>
  <rowBreaks count="1" manualBreakCount="1">
    <brk id="52" max="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74"/>
  <sheetViews>
    <sheetView showGridLines="0" topLeftCell="A19" workbookViewId="0">
      <selection activeCell="D19" sqref="D19"/>
    </sheetView>
  </sheetViews>
  <sheetFormatPr defaultColWidth="9.140625" defaultRowHeight="12.75"/>
  <cols>
    <col min="1" max="1" width="18.7109375" style="45" customWidth="1"/>
    <col min="2" max="2" width="9.140625" style="45"/>
    <col min="3" max="4" width="10" style="45" customWidth="1"/>
    <col min="5" max="6" width="9.140625" style="45"/>
    <col min="7" max="7" width="12.28515625" style="45" customWidth="1"/>
    <col min="8" max="8" width="12.85546875" style="45" customWidth="1"/>
    <col min="9" max="9" width="23.85546875" style="45" bestFit="1" customWidth="1"/>
    <col min="10" max="11" width="11.85546875" style="45" hidden="1" customWidth="1"/>
    <col min="12" max="12" width="42.5703125" style="45" hidden="1" customWidth="1"/>
    <col min="13" max="13" width="14.7109375" style="45" hidden="1" customWidth="1"/>
    <col min="14" max="14" width="18" style="45" hidden="1" customWidth="1"/>
    <col min="15" max="16" width="9.140625" style="45" hidden="1" customWidth="1"/>
    <col min="17" max="17" width="8.7109375" style="45" hidden="1" customWidth="1"/>
    <col min="18" max="18" width="6" style="45" hidden="1" customWidth="1"/>
    <col min="19" max="19" width="9.140625" style="45" customWidth="1"/>
    <col min="20" max="26" width="9.140625" style="206" customWidth="1"/>
    <col min="27" max="27" width="23.85546875" style="45" bestFit="1" customWidth="1"/>
    <col min="28" max="16384" width="9.140625" style="45"/>
  </cols>
  <sheetData>
    <row r="1" spans="1:26" ht="16.5">
      <c r="A1" s="23" t="s">
        <v>465</v>
      </c>
      <c r="B1" s="24"/>
      <c r="C1" s="24"/>
      <c r="D1" s="24"/>
      <c r="E1" s="24"/>
      <c r="F1" s="24"/>
      <c r="G1" s="24"/>
      <c r="H1" s="39"/>
      <c r="I1" s="434" t="s">
        <v>484</v>
      </c>
      <c r="L1" s="287" t="s">
        <v>175</v>
      </c>
      <c r="M1" s="65"/>
      <c r="N1" s="65"/>
      <c r="O1" s="65"/>
      <c r="P1" s="65"/>
      <c r="Q1" s="65"/>
      <c r="R1" s="65"/>
      <c r="Y1"/>
      <c r="Z1"/>
    </row>
    <row r="2" spans="1:26" ht="14.25">
      <c r="A2" s="432" t="s">
        <v>881</v>
      </c>
      <c r="B2" s="40"/>
      <c r="C2" s="27"/>
      <c r="D2" s="27"/>
      <c r="E2" s="27"/>
      <c r="F2" s="27"/>
      <c r="G2" s="27"/>
      <c r="H2" s="41"/>
      <c r="L2" s="65"/>
      <c r="M2" s="65"/>
      <c r="N2" s="65"/>
      <c r="O2" s="65"/>
      <c r="P2" s="65"/>
      <c r="Q2" s="65"/>
      <c r="R2" s="65"/>
    </row>
    <row r="3" spans="1:26" ht="14.25">
      <c r="A3" s="47" t="s">
        <v>110</v>
      </c>
      <c r="B3" s="110"/>
      <c r="C3" s="111"/>
      <c r="D3" s="112"/>
      <c r="E3" s="116" t="s">
        <v>300</v>
      </c>
      <c r="F3" s="114"/>
      <c r="G3" s="111"/>
      <c r="H3" s="113"/>
      <c r="J3" s="416" t="s">
        <v>419</v>
      </c>
      <c r="L3" s="65" t="s">
        <v>195</v>
      </c>
      <c r="M3" s="65"/>
      <c r="N3" s="65"/>
      <c r="O3" s="65"/>
      <c r="P3" s="393" t="s">
        <v>236</v>
      </c>
      <c r="Q3" s="32">
        <f>IF($B$17="Gable",DEGREES(ATAN(($B$13-$B$14)/($B$15/2))),DEGREES(ATAN(($B$13-$B$14)/($B$15))))</f>
        <v>28.042590888728867</v>
      </c>
      <c r="R3" s="65"/>
    </row>
    <row r="4" spans="1:26" ht="14.25">
      <c r="A4" s="47" t="s">
        <v>111</v>
      </c>
      <c r="B4" s="110"/>
      <c r="C4" s="111"/>
      <c r="D4" s="112"/>
      <c r="E4" s="115" t="s">
        <v>299</v>
      </c>
      <c r="F4" s="149"/>
      <c r="G4" s="116" t="s">
        <v>298</v>
      </c>
      <c r="H4" s="150"/>
      <c r="J4" s="416" t="s">
        <v>420</v>
      </c>
      <c r="L4" s="65" t="s">
        <v>429</v>
      </c>
      <c r="M4" s="394" t="str">
        <f>IF($Q$4&lt;=18,"Yes","No")</f>
        <v>Yes</v>
      </c>
      <c r="N4" s="65"/>
      <c r="O4" s="65"/>
      <c r="P4" s="393" t="s">
        <v>155</v>
      </c>
      <c r="Q4" s="32">
        <f>IF($B$23&lt;=10,$B$14,$B$14+($B$13-$B$14)/2)</f>
        <v>5.59</v>
      </c>
      <c r="R4" s="65"/>
    </row>
    <row r="5" spans="1:26" ht="14.25">
      <c r="A5" s="44"/>
      <c r="B5" s="65"/>
      <c r="C5" s="65"/>
      <c r="D5" s="65"/>
      <c r="E5" s="65"/>
      <c r="F5" s="145"/>
      <c r="G5" s="31"/>
      <c r="H5" s="208"/>
      <c r="J5" s="416" t="s">
        <v>421</v>
      </c>
      <c r="L5" s="65" t="s">
        <v>203</v>
      </c>
      <c r="M5" s="394" t="str">
        <f>IF($Q$4&lt;=$Q$5,"Yes","No")</f>
        <v>Yes</v>
      </c>
      <c r="N5" s="65"/>
      <c r="O5" s="65"/>
      <c r="P5" s="393" t="s">
        <v>196</v>
      </c>
      <c r="Q5" s="101">
        <f>IF($B$15&lt;=$B$16,$B$15,$B$16)</f>
        <v>7.96</v>
      </c>
      <c r="R5" s="65"/>
      <c r="Y5"/>
      <c r="Z5"/>
    </row>
    <row r="6" spans="1:26" ht="14.25">
      <c r="A6" s="46" t="s">
        <v>150</v>
      </c>
      <c r="B6" s="65"/>
      <c r="C6" s="65"/>
      <c r="D6" s="65"/>
      <c r="E6" s="65"/>
      <c r="F6" s="205"/>
      <c r="G6" s="31"/>
      <c r="H6" s="152"/>
      <c r="J6" s="416" t="s">
        <v>422</v>
      </c>
      <c r="L6" s="65"/>
      <c r="M6" s="65"/>
      <c r="N6" s="65"/>
      <c r="O6" s="65"/>
      <c r="P6" s="393"/>
      <c r="Q6" s="395"/>
      <c r="R6" s="65"/>
      <c r="Y6"/>
      <c r="Z6"/>
    </row>
    <row r="7" spans="1:26" ht="14.25">
      <c r="A7" s="433" t="s">
        <v>480</v>
      </c>
      <c r="B7" s="158" t="s">
        <v>882</v>
      </c>
      <c r="C7" s="65"/>
      <c r="D7" s="65"/>
      <c r="E7" s="65"/>
      <c r="H7" s="50"/>
      <c r="J7" s="416" t="s">
        <v>423</v>
      </c>
      <c r="L7" s="65" t="s">
        <v>439</v>
      </c>
      <c r="M7" s="65"/>
      <c r="N7" s="65"/>
      <c r="O7" s="65"/>
      <c r="P7" s="65"/>
      <c r="Q7" s="397"/>
      <c r="R7" s="65"/>
      <c r="Y7"/>
      <c r="Z7"/>
    </row>
    <row r="8" spans="1:26" ht="14.25">
      <c r="A8" s="433" t="s">
        <v>482</v>
      </c>
      <c r="B8" s="158" t="s">
        <v>883</v>
      </c>
      <c r="H8" s="50"/>
      <c r="J8" s="394" t="s">
        <v>415</v>
      </c>
      <c r="L8" s="398" t="s">
        <v>186</v>
      </c>
      <c r="M8" s="31">
        <f>IF($B$19="Y",0.375,1.146)</f>
        <v>0.375</v>
      </c>
      <c r="N8" s="396"/>
      <c r="O8" s="65"/>
      <c r="P8" s="65"/>
      <c r="Q8" s="397"/>
      <c r="R8" s="65"/>
      <c r="Y8"/>
      <c r="Z8"/>
    </row>
    <row r="9" spans="1:26" ht="15.75">
      <c r="A9" s="418" t="s">
        <v>427</v>
      </c>
      <c r="B9" s="420">
        <f ca="1">VLOOKUP(B8,INDIRECT(B7),2,FALSE)</f>
        <v>33</v>
      </c>
      <c r="C9" s="186" t="s">
        <v>437</v>
      </c>
      <c r="H9" s="159"/>
      <c r="J9" s="394" t="s">
        <v>416</v>
      </c>
      <c r="L9" s="398" t="s">
        <v>187</v>
      </c>
      <c r="M9" s="31">
        <f>IF($B$19="Y",-0.375,-1.146)</f>
        <v>-0.375</v>
      </c>
      <c r="N9" s="396"/>
      <c r="O9" s="65"/>
      <c r="P9" s="65"/>
      <c r="Q9" s="37"/>
      <c r="R9" s="65"/>
      <c r="Y9"/>
      <c r="Z9"/>
    </row>
    <row r="10" spans="1:26" ht="14.25">
      <c r="A10" s="418" t="s">
        <v>481</v>
      </c>
      <c r="B10" s="158" t="s">
        <v>471</v>
      </c>
      <c r="C10" s="186" t="s">
        <v>472</v>
      </c>
      <c r="H10" s="160"/>
      <c r="J10" s="394" t="s">
        <v>417</v>
      </c>
      <c r="L10" s="65"/>
      <c r="M10" s="65"/>
      <c r="N10" s="65"/>
      <c r="O10" s="65"/>
      <c r="P10" s="65"/>
      <c r="Q10" s="65"/>
      <c r="R10" s="65"/>
      <c r="Y10"/>
      <c r="Z10"/>
    </row>
    <row r="11" spans="1:26" ht="14.25">
      <c r="A11" s="418" t="s">
        <v>435</v>
      </c>
      <c r="B11" s="420">
        <f>IF(B10="第五類",1,IF(B10="第四類",0.9,1.1))</f>
        <v>1</v>
      </c>
      <c r="C11" s="186" t="s">
        <v>436</v>
      </c>
      <c r="H11" s="50"/>
      <c r="J11" s="394" t="s">
        <v>312</v>
      </c>
      <c r="L11" s="65" t="s">
        <v>237</v>
      </c>
      <c r="M11" s="65"/>
      <c r="N11" s="65"/>
      <c r="O11" s="65"/>
      <c r="P11" s="65"/>
      <c r="Q11" s="65"/>
      <c r="R11" s="65"/>
      <c r="Y11"/>
      <c r="Z11"/>
    </row>
    <row r="12" spans="1:26" ht="14.25">
      <c r="A12" s="418" t="s">
        <v>432</v>
      </c>
      <c r="B12" s="122" t="s">
        <v>271</v>
      </c>
      <c r="C12" s="186" t="s">
        <v>418</v>
      </c>
      <c r="H12" s="50"/>
      <c r="J12" s="394" t="s">
        <v>311</v>
      </c>
      <c r="L12" s="400" t="s">
        <v>238</v>
      </c>
      <c r="M12" s="101">
        <f>IF($B$12="A",0.32,IF($B$12="B",0.25,IF($B$12="C",0.15,"Error!")))</f>
        <v>0.25</v>
      </c>
      <c r="N12" s="396" t="s">
        <v>430</v>
      </c>
      <c r="O12" s="65"/>
      <c r="P12" s="65"/>
      <c r="Q12" s="65"/>
      <c r="R12" s="65"/>
      <c r="Y12"/>
      <c r="Z12"/>
    </row>
    <row r="13" spans="1:26" ht="14.25">
      <c r="A13" s="418" t="s">
        <v>469</v>
      </c>
      <c r="B13" s="123">
        <v>6.65</v>
      </c>
      <c r="C13" s="186" t="s">
        <v>413</v>
      </c>
      <c r="H13" s="50"/>
      <c r="J13" s="394" t="s">
        <v>272</v>
      </c>
      <c r="K13" s="206"/>
      <c r="L13" s="393" t="s">
        <v>119</v>
      </c>
      <c r="M13" s="394">
        <f>IF($B$12="A",500,IF($B$12="B",400,IF($B$12="C",300,"Error!")))</f>
        <v>400</v>
      </c>
      <c r="N13" s="396" t="s">
        <v>430</v>
      </c>
      <c r="O13" s="65"/>
      <c r="P13" s="65"/>
      <c r="Q13" s="65"/>
      <c r="R13" s="206"/>
      <c r="Y13"/>
      <c r="Z13"/>
    </row>
    <row r="14" spans="1:26" ht="14.25">
      <c r="A14" s="418" t="s">
        <v>470</v>
      </c>
      <c r="B14" s="123">
        <v>4.53</v>
      </c>
      <c r="C14" s="186" t="s">
        <v>414</v>
      </c>
      <c r="F14" s="162"/>
      <c r="H14" s="50"/>
      <c r="J14" s="394" t="s">
        <v>121</v>
      </c>
      <c r="K14" s="206"/>
      <c r="L14" s="393" t="s">
        <v>120</v>
      </c>
      <c r="M14" s="397">
        <f>IF($Q$4&lt;=O14,P14*(O14/$M$13)^(2*$M$12),P14*($Q$4/$M$13)^(2*$M$12))</f>
        <v>0.32793091818247327</v>
      </c>
      <c r="N14" s="65" t="s">
        <v>431</v>
      </c>
      <c r="O14" s="45">
        <v>5</v>
      </c>
      <c r="P14" s="37">
        <v>2.774</v>
      </c>
      <c r="Q14" s="65"/>
      <c r="R14" s="206"/>
      <c r="Y14"/>
      <c r="Z14"/>
    </row>
    <row r="15" spans="1:26" ht="15.75">
      <c r="A15" s="418" t="s">
        <v>467</v>
      </c>
      <c r="B15" s="123">
        <v>7.96</v>
      </c>
      <c r="C15" s="186" t="s">
        <v>450</v>
      </c>
      <c r="F15" s="104"/>
      <c r="G15" s="207"/>
      <c r="H15" s="50"/>
      <c r="J15" s="417" t="s">
        <v>424</v>
      </c>
      <c r="L15" s="393" t="s">
        <v>192</v>
      </c>
      <c r="M15" s="101">
        <f ca="1">0.06*$M$14*$B$18*(B$11*$B$9)^2</f>
        <v>21.427006194042804</v>
      </c>
      <c r="N15" s="396" t="s">
        <v>433</v>
      </c>
      <c r="O15" s="65"/>
      <c r="P15" s="65" t="s">
        <v>434</v>
      </c>
      <c r="Q15" s="65"/>
      <c r="R15" s="65"/>
      <c r="Y15"/>
      <c r="Z15"/>
    </row>
    <row r="16" spans="1:26" ht="15.75">
      <c r="A16" s="418" t="s">
        <v>468</v>
      </c>
      <c r="B16" s="123">
        <v>28.25</v>
      </c>
      <c r="C16" s="186" t="s">
        <v>451</v>
      </c>
      <c r="H16" s="50"/>
      <c r="J16" s="45">
        <v>1.1000000000000001</v>
      </c>
      <c r="L16" s="393" t="s">
        <v>461</v>
      </c>
      <c r="M16" s="101">
        <f ca="1">0.06*Q16*$B$18*(B$11*$B$9)^2</f>
        <v>20.264719344832287</v>
      </c>
      <c r="N16" s="396" t="s">
        <v>433</v>
      </c>
      <c r="O16" s="65"/>
      <c r="P16" s="65" t="s">
        <v>434</v>
      </c>
      <c r="Q16" s="427">
        <f>IF(B14&lt;=O14,P14*(O14/$M$13)^(2*$M$12),P14*(B14/$M$13)^(2*$M$12))</f>
        <v>0.31014262847922081</v>
      </c>
      <c r="R16" s="65"/>
      <c r="Y16"/>
      <c r="Z16"/>
    </row>
    <row r="17" spans="1:26" ht="14.25">
      <c r="A17" s="418" t="s">
        <v>438</v>
      </c>
      <c r="B17" s="163" t="s">
        <v>312</v>
      </c>
      <c r="C17" s="182" t="s">
        <v>210</v>
      </c>
      <c r="H17" s="50"/>
      <c r="J17" s="45">
        <v>1.1000000000000001</v>
      </c>
      <c r="L17" s="65" t="s">
        <v>336</v>
      </c>
      <c r="M17" s="65"/>
      <c r="N17" s="65"/>
      <c r="O17" s="65"/>
      <c r="P17" s="65"/>
      <c r="Q17" s="65"/>
      <c r="R17" s="65"/>
      <c r="Y17"/>
      <c r="Z17"/>
    </row>
    <row r="18" spans="1:26" ht="14.25">
      <c r="A18" s="418" t="s">
        <v>425</v>
      </c>
      <c r="B18" s="123">
        <v>1</v>
      </c>
      <c r="C18" s="191" t="s">
        <v>473</v>
      </c>
      <c r="H18" s="50"/>
      <c r="J18" s="45">
        <v>1.1000000000000001</v>
      </c>
      <c r="L18" s="65"/>
      <c r="M18" s="393" t="s">
        <v>176</v>
      </c>
      <c r="N18" s="101">
        <f>IF($B$15&lt;=$B$16,$B$15,$B$16)</f>
        <v>7.96</v>
      </c>
      <c r="O18" s="65"/>
      <c r="P18" s="65"/>
      <c r="Q18" s="65"/>
      <c r="R18" s="65"/>
      <c r="Y18"/>
      <c r="Z18"/>
    </row>
    <row r="19" spans="1:26" ht="14.25">
      <c r="A19" s="418" t="s">
        <v>426</v>
      </c>
      <c r="B19" s="122" t="s">
        <v>272</v>
      </c>
      <c r="C19" s="92" t="s">
        <v>474</v>
      </c>
      <c r="E19" s="206"/>
      <c r="H19" s="50"/>
      <c r="J19" s="45">
        <v>0.9</v>
      </c>
      <c r="L19" s="65"/>
      <c r="M19" s="398" t="s">
        <v>177</v>
      </c>
      <c r="N19" s="101">
        <f>0.1*$N$18</f>
        <v>0.79600000000000004</v>
      </c>
      <c r="O19" s="65"/>
      <c r="P19" s="65"/>
      <c r="Q19" s="65"/>
      <c r="R19" s="65"/>
      <c r="Y19"/>
      <c r="Z19"/>
    </row>
    <row r="20" spans="1:26" ht="14.25">
      <c r="A20" s="418" t="s">
        <v>483</v>
      </c>
      <c r="B20" s="123">
        <v>1</v>
      </c>
      <c r="C20" s="51" t="str">
        <f>IF($B$14&gt;$B$13,"hr MUST BE &gt;= he !","")</f>
        <v/>
      </c>
      <c r="E20" s="162"/>
      <c r="F20" s="162"/>
      <c r="H20" s="159"/>
      <c r="J20" s="45">
        <v>1</v>
      </c>
      <c r="L20" s="65"/>
      <c r="M20" s="393" t="s">
        <v>132</v>
      </c>
      <c r="N20" s="101">
        <f>IF($N$19&lt;=0.4*$B$24,$N$19,0.4*$B$24)</f>
        <v>0.79600000000000004</v>
      </c>
      <c r="O20" s="65"/>
      <c r="P20" s="65"/>
      <c r="Q20" s="65"/>
      <c r="R20" s="65"/>
      <c r="Y20"/>
      <c r="Z20"/>
    </row>
    <row r="21" spans="1:26">
      <c r="A21" s="46" t="s">
        <v>172</v>
      </c>
      <c r="B21" s="31"/>
      <c r="C21" s="52"/>
      <c r="H21" s="204"/>
      <c r="L21" s="65"/>
      <c r="M21" s="393" t="s">
        <v>173</v>
      </c>
      <c r="N21" s="101">
        <f>IF($N$20&gt;=0.04*$N$18,$N$20,0.04*$N$18)</f>
        <v>0.79600000000000004</v>
      </c>
      <c r="O21" s="65"/>
      <c r="P21" s="101"/>
      <c r="Q21" s="65"/>
      <c r="R21" s="65"/>
      <c r="Y21"/>
      <c r="Z21"/>
    </row>
    <row r="22" spans="1:26">
      <c r="A22" s="44"/>
      <c r="F22" s="162"/>
      <c r="H22" s="50"/>
      <c r="L22" s="65"/>
      <c r="M22" s="393" t="s">
        <v>448</v>
      </c>
      <c r="N22" s="101">
        <f>IF($N$21&gt;=0.9,$N$21,0.9)</f>
        <v>0.9</v>
      </c>
      <c r="O22" s="65"/>
      <c r="P22" s="401"/>
      <c r="Q22" s="65"/>
      <c r="R22" s="65"/>
      <c r="Y22"/>
      <c r="Z22"/>
    </row>
    <row r="23" spans="1:26">
      <c r="A23" s="49" t="s">
        <v>235</v>
      </c>
      <c r="B23" s="125">
        <f>$Q$3</f>
        <v>28.042590888728867</v>
      </c>
      <c r="C23" s="45" t="s">
        <v>276</v>
      </c>
      <c r="E23" s="53"/>
      <c r="F23" s="162"/>
      <c r="H23" s="50"/>
      <c r="L23" s="65"/>
      <c r="M23" s="393" t="s">
        <v>131</v>
      </c>
      <c r="N23" s="101">
        <f>$N$22</f>
        <v>0.9</v>
      </c>
      <c r="O23" s="65"/>
      <c r="P23" s="65"/>
      <c r="Q23" s="65"/>
      <c r="R23" s="65"/>
      <c r="Y23"/>
      <c r="Z23"/>
    </row>
    <row r="24" spans="1:26">
      <c r="A24" s="49" t="s">
        <v>155</v>
      </c>
      <c r="B24" s="126">
        <f>$Q$4</f>
        <v>5.59</v>
      </c>
      <c r="C24" s="52" t="str">
        <f>IF($B$23&lt;=10,"ft. (h = he, for angle &lt;=10 deg.)","m (h = (hr+he)/2, for angle &gt;10 deg.)")</f>
        <v>m (h = (hr+he)/2, for angle &gt;10 deg.)</v>
      </c>
      <c r="F24" s="71"/>
      <c r="G24" s="71"/>
      <c r="H24" s="50"/>
      <c r="L24" s="65"/>
      <c r="M24" s="393" t="s">
        <v>197</v>
      </c>
      <c r="N24" s="101">
        <f>2*$N$23</f>
        <v>1.8</v>
      </c>
      <c r="O24" s="65"/>
      <c r="P24" s="65"/>
      <c r="Q24" s="65"/>
      <c r="R24" s="396"/>
      <c r="Y24"/>
      <c r="Z24"/>
    </row>
    <row r="25" spans="1:26">
      <c r="A25" s="44"/>
      <c r="H25" s="50"/>
      <c r="L25" s="398"/>
      <c r="M25" s="231"/>
      <c r="N25" s="32"/>
      <c r="O25" s="398"/>
      <c r="P25" s="231"/>
      <c r="Q25" s="65"/>
      <c r="R25" s="399"/>
      <c r="Y25"/>
      <c r="Z25"/>
    </row>
    <row r="26" spans="1:26">
      <c r="A26" s="44" t="s">
        <v>228</v>
      </c>
      <c r="H26" s="50"/>
      <c r="L26" s="298"/>
      <c r="M26" s="231"/>
      <c r="N26" s="32"/>
      <c r="O26" s="298"/>
      <c r="P26" s="231"/>
      <c r="Q26" s="65"/>
      <c r="R26" s="65"/>
      <c r="Y26"/>
      <c r="Z26"/>
    </row>
    <row r="27" spans="1:26">
      <c r="A27" s="419" t="s">
        <v>428</v>
      </c>
      <c r="B27" s="73" t="str">
        <f>IF($M$4="Yes","Yes, O.K.","No, Violation!")</f>
        <v>Yes, O.K.</v>
      </c>
      <c r="C27" s="74"/>
      <c r="D27" s="52" t="s">
        <v>294</v>
      </c>
      <c r="G27" s="48" t="str">
        <f>IF($M$5="Yes","Yes, O.K.","No, Violation!")</f>
        <v>Yes, O.K.</v>
      </c>
      <c r="H27" s="50"/>
      <c r="L27" s="65"/>
      <c r="M27" s="65"/>
      <c r="N27" s="65"/>
      <c r="O27" s="65"/>
      <c r="P27" s="65"/>
      <c r="Q27" s="65"/>
      <c r="R27" s="65"/>
      <c r="Y27"/>
      <c r="Z27"/>
    </row>
    <row r="28" spans="1:26">
      <c r="A28" s="44"/>
      <c r="H28" s="50"/>
      <c r="R28" s="65"/>
      <c r="Y28"/>
      <c r="Z28"/>
    </row>
    <row r="29" spans="1:26">
      <c r="A29" s="180" t="s">
        <v>333</v>
      </c>
      <c r="H29" s="50"/>
      <c r="R29" s="65"/>
      <c r="Y29"/>
      <c r="Z29"/>
    </row>
    <row r="30" spans="1:26">
      <c r="A30" s="44" t="s">
        <v>208</v>
      </c>
      <c r="H30" s="50"/>
      <c r="R30" s="65"/>
      <c r="Y30"/>
      <c r="Z30"/>
    </row>
    <row r="31" spans="1:26">
      <c r="A31" s="392" t="s">
        <v>334</v>
      </c>
      <c r="E31" s="34"/>
      <c r="H31" s="75"/>
      <c r="R31" s="65"/>
      <c r="Y31"/>
      <c r="Z31"/>
    </row>
    <row r="32" spans="1:26">
      <c r="A32" s="76" t="s">
        <v>189</v>
      </c>
      <c r="B32" s="142">
        <f>$M$8</f>
        <v>0.375</v>
      </c>
      <c r="C32" s="45" t="s">
        <v>217</v>
      </c>
      <c r="H32" s="50"/>
      <c r="R32" s="65"/>
      <c r="Y32"/>
      <c r="Z32"/>
    </row>
    <row r="33" spans="1:26">
      <c r="A33" s="76" t="s">
        <v>190</v>
      </c>
      <c r="B33" s="272">
        <f>$M$9</f>
        <v>-0.375</v>
      </c>
      <c r="C33" s="45" t="s">
        <v>218</v>
      </c>
      <c r="H33" s="50"/>
      <c r="R33" s="65"/>
      <c r="Y33"/>
      <c r="Z33"/>
    </row>
    <row r="34" spans="1:26">
      <c r="A34" s="44"/>
      <c r="H34" s="50"/>
      <c r="R34" s="65"/>
      <c r="Y34"/>
      <c r="Z34"/>
    </row>
    <row r="35" spans="1:26" ht="14.25">
      <c r="A35" s="404" t="s">
        <v>442</v>
      </c>
      <c r="F35" s="52"/>
      <c r="G35" s="61"/>
      <c r="H35" s="50"/>
      <c r="R35" s="65"/>
      <c r="Y35"/>
      <c r="Z35"/>
    </row>
    <row r="36" spans="1:26" ht="14.25">
      <c r="A36" s="404" t="s">
        <v>443</v>
      </c>
      <c r="F36" s="52" t="str">
        <f>IF($B$12="B","(Note: z not &lt; 30' for Exp. B)","")</f>
        <v>(Note: z not &lt; 30' for Exp. B)</v>
      </c>
      <c r="G36" s="61"/>
      <c r="H36" s="50"/>
      <c r="R36" s="65"/>
      <c r="Y36"/>
      <c r="Z36"/>
    </row>
    <row r="37" spans="1:26">
      <c r="A37" s="78" t="s">
        <v>231</v>
      </c>
      <c r="B37" s="127">
        <f>$M$12</f>
        <v>0.25</v>
      </c>
      <c r="C37" s="92" t="s">
        <v>430</v>
      </c>
      <c r="D37" s="52"/>
      <c r="E37" s="52"/>
      <c r="G37" s="61"/>
      <c r="H37" s="50"/>
      <c r="R37" s="65"/>
      <c r="Y37"/>
      <c r="Z37"/>
    </row>
    <row r="38" spans="1:26">
      <c r="A38" s="49" t="s">
        <v>119</v>
      </c>
      <c r="B38" s="132">
        <f>$M$13</f>
        <v>400</v>
      </c>
      <c r="C38" s="92" t="s">
        <v>430</v>
      </c>
      <c r="H38" s="50"/>
      <c r="R38" s="65"/>
      <c r="Y38"/>
      <c r="Z38"/>
    </row>
    <row r="39" spans="1:26" ht="15.75">
      <c r="A39" s="418" t="s">
        <v>441</v>
      </c>
      <c r="B39" s="139">
        <f>$M$14</f>
        <v>0.32793091818247327</v>
      </c>
      <c r="C39" s="186" t="s">
        <v>440</v>
      </c>
      <c r="F39" s="64"/>
      <c r="G39" s="61"/>
      <c r="H39" s="50"/>
      <c r="R39" s="65"/>
      <c r="Y39"/>
      <c r="Z39"/>
    </row>
    <row r="40" spans="1:26">
      <c r="A40" s="44"/>
      <c r="H40" s="50"/>
      <c r="R40" s="65"/>
      <c r="Y40"/>
      <c r="Z40"/>
    </row>
    <row r="41" spans="1:26" ht="15.75">
      <c r="A41" s="185" t="s">
        <v>444</v>
      </c>
      <c r="F41" s="428">
        <f ca="1">M16</f>
        <v>20.264719344832287</v>
      </c>
      <c r="G41" s="186" t="s">
        <v>445</v>
      </c>
      <c r="H41" s="50"/>
      <c r="R41" s="65"/>
      <c r="Y41"/>
      <c r="Z41"/>
    </row>
    <row r="42" spans="1:26" ht="15.75">
      <c r="A42" s="49" t="s">
        <v>192</v>
      </c>
      <c r="B42" s="59">
        <f ca="1">$M$15</f>
        <v>21.427006194042804</v>
      </c>
      <c r="C42" s="186" t="s">
        <v>445</v>
      </c>
      <c r="D42" s="186" t="s">
        <v>446</v>
      </c>
      <c r="G42" s="61"/>
      <c r="H42" s="50"/>
      <c r="R42" s="65"/>
      <c r="Y42"/>
      <c r="Z42"/>
    </row>
    <row r="43" spans="1:26">
      <c r="A43" s="185" t="s">
        <v>447</v>
      </c>
      <c r="C43" s="79"/>
      <c r="D43" s="68"/>
      <c r="E43" s="80"/>
      <c r="F43" s="81"/>
      <c r="G43" s="68"/>
      <c r="H43" s="50"/>
      <c r="K43" s="101"/>
      <c r="R43" s="65"/>
      <c r="Y43"/>
      <c r="Z43"/>
    </row>
    <row r="44" spans="1:26" ht="14.25">
      <c r="A44" s="190" t="s">
        <v>449</v>
      </c>
      <c r="D44" s="68"/>
      <c r="F44" s="68"/>
      <c r="H44" s="50"/>
      <c r="R44" s="65"/>
      <c r="Y44"/>
      <c r="Z44"/>
    </row>
    <row r="45" spans="1:26" ht="14.25">
      <c r="A45" s="444" t="s">
        <v>877</v>
      </c>
      <c r="B45" s="24"/>
      <c r="C45" s="24"/>
      <c r="D45" s="83"/>
      <c r="E45" s="103" t="s">
        <v>878</v>
      </c>
      <c r="F45" s="83"/>
      <c r="G45" s="55"/>
      <c r="H45" s="84"/>
      <c r="K45" s="419" t="s">
        <v>462</v>
      </c>
      <c r="L45" s="431" t="s">
        <v>464</v>
      </c>
      <c r="M45" s="193" t="s">
        <v>452</v>
      </c>
      <c r="N45" s="193" t="s">
        <v>416</v>
      </c>
      <c r="O45" s="61"/>
      <c r="P45" s="429">
        <f>B24/Q46</f>
        <v>0.19787610619469026</v>
      </c>
      <c r="Q45" s="193" t="s">
        <v>452</v>
      </c>
      <c r="R45" s="193" t="s">
        <v>416</v>
      </c>
      <c r="Y45"/>
      <c r="Z45"/>
    </row>
    <row r="46" spans="1:26">
      <c r="A46" s="85" t="s">
        <v>115</v>
      </c>
      <c r="B46" s="425" t="s">
        <v>463</v>
      </c>
      <c r="C46" s="57" t="s">
        <v>242</v>
      </c>
      <c r="D46" s="86"/>
      <c r="E46" s="85" t="s">
        <v>115</v>
      </c>
      <c r="F46" s="426" t="s">
        <v>463</v>
      </c>
      <c r="G46" s="57" t="s">
        <v>242</v>
      </c>
      <c r="H46" s="86"/>
      <c r="K46" s="66">
        <v>1.88</v>
      </c>
      <c r="L46" s="424">
        <f>M46/N46</f>
        <v>0.28176991150442476</v>
      </c>
      <c r="M46" s="421">
        <f>B15</f>
        <v>7.96</v>
      </c>
      <c r="N46" s="421">
        <f>B16</f>
        <v>28.25</v>
      </c>
      <c r="O46" s="54"/>
      <c r="P46" s="424">
        <f>Q46/R46</f>
        <v>3.5489949748743719</v>
      </c>
      <c r="Q46" s="421">
        <f>N46</f>
        <v>28.25</v>
      </c>
      <c r="R46" s="421">
        <f>M46</f>
        <v>7.96</v>
      </c>
      <c r="Y46"/>
      <c r="Z46"/>
    </row>
    <row r="47" spans="1:26">
      <c r="A47" s="183"/>
      <c r="B47" s="87"/>
      <c r="C47" s="166" t="s">
        <v>193</v>
      </c>
      <c r="D47" s="58" t="s">
        <v>194</v>
      </c>
      <c r="E47" s="183"/>
      <c r="F47" s="184"/>
      <c r="G47" s="166" t="s">
        <v>193</v>
      </c>
      <c r="H47" s="166" t="s">
        <v>194</v>
      </c>
      <c r="Y47"/>
      <c r="Z47"/>
    </row>
    <row r="48" spans="1:26" ht="14.25">
      <c r="A48" s="422" t="s">
        <v>456</v>
      </c>
      <c r="B48" s="127">
        <v>0.8</v>
      </c>
      <c r="C48" s="127">
        <f ca="1">$F41*K46*$B48-$B42*$M$8</f>
        <v>22.443010571861709</v>
      </c>
      <c r="D48" s="127">
        <f ca="1">$F41*K46*$B48-$B42*$M$9</f>
        <v>38.513265217393808</v>
      </c>
      <c r="E48" s="422" t="s">
        <v>453</v>
      </c>
      <c r="F48" s="127">
        <v>0.8</v>
      </c>
      <c r="G48" s="127">
        <f ca="1">$F41*K46*F48-$B42*$M$8</f>
        <v>22.443010571861709</v>
      </c>
      <c r="H48" s="127">
        <f ca="1">$F41*K46*F48-$B42*$M$9</f>
        <v>38.513265217393808</v>
      </c>
      <c r="J48" s="414" t="s">
        <v>380</v>
      </c>
      <c r="K48" s="414"/>
      <c r="L48" s="415">
        <v>0</v>
      </c>
      <c r="M48" s="415" t="s">
        <v>381</v>
      </c>
      <c r="N48" s="415">
        <v>20</v>
      </c>
      <c r="O48" s="415">
        <v>30</v>
      </c>
      <c r="P48" s="415">
        <v>40</v>
      </c>
      <c r="Q48" s="415">
        <v>50</v>
      </c>
      <c r="R48" s="414" t="s">
        <v>382</v>
      </c>
      <c r="Y48"/>
      <c r="Z48"/>
    </row>
    <row r="49" spans="1:26" ht="14.25">
      <c r="A49" s="423" t="s">
        <v>457</v>
      </c>
      <c r="B49" s="128">
        <f>IF(L46&lt;=1,-0.5,IF(L46&gt;=4,-0.2,-0.3))</f>
        <v>-0.5</v>
      </c>
      <c r="C49" s="128">
        <f ca="1">$M$15*(K46*$B49-$M$8)</f>
        <v>-28.176513145166286</v>
      </c>
      <c r="D49" s="128">
        <f ca="1">$M$15*(K46*$B49-$M$9)</f>
        <v>-12.106258499634183</v>
      </c>
      <c r="E49" s="423" t="s">
        <v>454</v>
      </c>
      <c r="F49" s="128">
        <f>IF(P46&lt;=1,-0.5,IF(P46&gt;=4,-0.2,-0.3))</f>
        <v>-0.3</v>
      </c>
      <c r="G49" s="128">
        <f ca="1">$M$15*(K46*$F49-$M$8)</f>
        <v>-20.119958816206193</v>
      </c>
      <c r="H49" s="128">
        <f ca="1">$M$15*(K46*$F49-$M$9)</f>
        <v>-4.0497041706740884</v>
      </c>
      <c r="J49" s="413">
        <f>B24/M46</f>
        <v>0.70226130653266328</v>
      </c>
      <c r="K49" s="413">
        <f>IF(J49&lt;=0.3,"≦0.3",IF(J49&lt;0.5,0.5,IF(J49&lt;1,1,"≧1.5")))</f>
        <v>1</v>
      </c>
      <c r="L49" s="414">
        <f>VLOOKUP($K49,'地況、地形、外風壓係數'!$A15:$H27,2,FALSE)</f>
        <v>-0.7</v>
      </c>
      <c r="M49" s="414">
        <f>VLOOKUP($K49,'地況、地形、外風壓係數'!$A15:$H27,3,FALSE)</f>
        <v>-0.9</v>
      </c>
      <c r="N49" s="414">
        <f>VLOOKUP($K49,'地況、地形、外風壓係數'!$A15:$H27,4,FALSE)</f>
        <v>-0.75</v>
      </c>
      <c r="O49" s="414">
        <f>VLOOKUP($K49,'地況、地形、外風壓係數'!$A15:$H27,5,FALSE)</f>
        <v>-0.9</v>
      </c>
      <c r="P49" s="414">
        <f>VLOOKUP($K49,'地況、地形、外風壓係數'!$A15:$H27,6,FALSE)</f>
        <v>0.35</v>
      </c>
      <c r="Q49" s="414">
        <f>VLOOKUP($K49,'地況、地形、外風壓係數'!$A15:$H27,7,FALSE)</f>
        <v>0.5</v>
      </c>
      <c r="R49" s="413">
        <f>0.01*B23</f>
        <v>0.28042590888728869</v>
      </c>
      <c r="Y49"/>
      <c r="Z49"/>
    </row>
    <row r="50" spans="1:26" ht="14.25">
      <c r="A50" s="423" t="s">
        <v>458</v>
      </c>
      <c r="B50" s="128">
        <v>-0.7</v>
      </c>
      <c r="C50" s="128">
        <f ca="1">$M$15*(K46*$B50-$M$8)</f>
        <v>-36.233067474126379</v>
      </c>
      <c r="D50" s="128">
        <f ca="1">$M$15*(K46*$B50-$M$9)</f>
        <v>-20.162812828594273</v>
      </c>
      <c r="E50" s="423" t="s">
        <v>455</v>
      </c>
      <c r="F50" s="128">
        <v>-0.7</v>
      </c>
      <c r="G50" s="128">
        <f ca="1">$M$15*(K46*$F50-$M$8)</f>
        <v>-36.233067474126379</v>
      </c>
      <c r="H50" s="128">
        <f ca="1">$M$15*(K46*$F50-$M$9)</f>
        <v>-20.162812828594273</v>
      </c>
      <c r="Y50"/>
      <c r="Z50"/>
    </row>
    <row r="51" spans="1:26" ht="14.25">
      <c r="A51" s="422" t="s">
        <v>459</v>
      </c>
      <c r="B51" s="128">
        <f>IF(B23=0,L49,IF(B23&lt;10,L49+(M49-L49)*B23/10,IF(B23&lt;=15,M49,IF(B23&lt;=20,M49+(N49-M49)*(B23-15)/5,IF(B23&lt;=30,N49+(O49-N49)*(B23-20)/10,IF(B23&lt;=40,O49+(P49-O49)*(B23-30)/10,IF(B23&lt;=50,P49+(Q49-P49)*(B23-40)/10,IF(B23&lt;60,Q49+(R49-Q49)*(B23-50)/10,R49))))))))</f>
        <v>-0.87063886333093299</v>
      </c>
      <c r="C51" s="128">
        <f ca="1">$M$15*($K46*B51-$M$8)</f>
        <v>-43.106873839414668</v>
      </c>
      <c r="D51" s="128">
        <f ca="1">$M$15*($K46*B51-$M$9)</f>
        <v>-27.036619193882565</v>
      </c>
      <c r="E51" s="422" t="s">
        <v>459</v>
      </c>
      <c r="F51" s="128">
        <f>IF(P45&lt;=2.5,-0.7,-0.8)</f>
        <v>-0.7</v>
      </c>
      <c r="G51" s="128">
        <f ca="1">$M$15*($K46*F51-$M$8)</f>
        <v>-36.233067474126379</v>
      </c>
      <c r="H51" s="128">
        <f ca="1">$M$15*($K46*F51-$M$9)</f>
        <v>-20.162812828594273</v>
      </c>
      <c r="Y51"/>
      <c r="Z51"/>
    </row>
    <row r="52" spans="1:26" ht="14.25">
      <c r="A52" s="430" t="s">
        <v>460</v>
      </c>
      <c r="B52" s="181">
        <v>-0.7</v>
      </c>
      <c r="C52" s="181">
        <f ca="1">$M$15*($K46*B52-$M$8)</f>
        <v>-36.233067474126379</v>
      </c>
      <c r="D52" s="181">
        <f ca="1">$M$15*($K46*B52-$M$9)</f>
        <v>-20.162812828594273</v>
      </c>
      <c r="E52" s="430" t="s">
        <v>460</v>
      </c>
      <c r="F52" s="181">
        <f>F51</f>
        <v>-0.7</v>
      </c>
      <c r="G52" s="181">
        <f ca="1">$M$15*($K46*F52-$M$8)</f>
        <v>-36.233067474126379</v>
      </c>
      <c r="H52" s="181">
        <f ca="1">$M$15*($K46*F52-$M$9)</f>
        <v>-20.162812828594273</v>
      </c>
      <c r="Y52"/>
      <c r="Z52"/>
    </row>
    <row r="53" spans="1:26">
      <c r="A53" s="177"/>
      <c r="B53" s="172"/>
      <c r="C53" s="172"/>
      <c r="D53" s="172"/>
      <c r="E53" s="172"/>
      <c r="F53" s="172"/>
      <c r="G53" s="172"/>
      <c r="H53" s="173"/>
      <c r="Y53"/>
      <c r="Z53"/>
    </row>
    <row r="54" spans="1:26">
      <c r="A54" s="178"/>
      <c r="B54" s="174"/>
      <c r="C54" s="174"/>
      <c r="D54" s="174"/>
      <c r="E54" s="174"/>
      <c r="F54" s="174"/>
      <c r="G54" s="174"/>
      <c r="H54" s="175"/>
      <c r="Y54"/>
      <c r="Z54"/>
    </row>
    <row r="55" spans="1:26">
      <c r="A55" s="179"/>
      <c r="B55" s="186"/>
      <c r="C55" s="186"/>
      <c r="D55" s="186"/>
      <c r="E55" s="186"/>
      <c r="F55" s="186"/>
      <c r="G55" s="186"/>
      <c r="H55" s="187"/>
      <c r="Y55"/>
      <c r="Z55"/>
    </row>
    <row r="56" spans="1:26">
      <c r="A56" s="185"/>
      <c r="B56" s="186"/>
      <c r="C56" s="186"/>
      <c r="D56" s="186"/>
      <c r="E56" s="186"/>
      <c r="F56" s="186"/>
      <c r="G56" s="186"/>
      <c r="H56" s="187"/>
      <c r="Y56"/>
      <c r="Z56"/>
    </row>
    <row r="57" spans="1:26">
      <c r="A57" s="185"/>
      <c r="B57" s="186"/>
      <c r="C57" s="186"/>
      <c r="D57" s="186"/>
      <c r="E57" s="186"/>
      <c r="F57" s="186"/>
      <c r="G57" s="186"/>
      <c r="H57" s="187"/>
      <c r="Y57"/>
      <c r="Z57"/>
    </row>
    <row r="58" spans="1:26">
      <c r="A58" s="185"/>
      <c r="B58" s="186"/>
      <c r="C58" s="186"/>
      <c r="D58" s="186"/>
      <c r="E58" s="186"/>
      <c r="F58" s="186"/>
      <c r="G58" s="186"/>
      <c r="H58" s="187"/>
      <c r="Y58"/>
      <c r="Z58"/>
    </row>
    <row r="59" spans="1:26">
      <c r="A59" s="185"/>
      <c r="B59" s="186"/>
      <c r="C59" s="186"/>
      <c r="D59" s="186"/>
      <c r="E59" s="186"/>
      <c r="F59" s="186"/>
      <c r="G59" s="186"/>
      <c r="H59" s="187"/>
      <c r="Y59"/>
      <c r="Z59"/>
    </row>
    <row r="60" spans="1:26">
      <c r="A60" s="185"/>
      <c r="B60" s="186"/>
      <c r="C60" s="186"/>
      <c r="D60" s="186"/>
      <c r="E60" s="186"/>
      <c r="F60" s="186"/>
      <c r="G60" s="186"/>
      <c r="H60" s="187"/>
      <c r="Y60"/>
      <c r="Z60"/>
    </row>
    <row r="61" spans="1:26">
      <c r="A61" s="185"/>
      <c r="B61" s="186"/>
      <c r="C61" s="186"/>
      <c r="D61" s="186"/>
      <c r="E61" s="186"/>
      <c r="F61" s="186"/>
      <c r="G61" s="186"/>
      <c r="H61" s="187"/>
      <c r="Y61"/>
      <c r="Z61"/>
    </row>
    <row r="62" spans="1:26">
      <c r="A62" s="185"/>
      <c r="B62" s="186"/>
      <c r="C62" s="186"/>
      <c r="D62" s="186"/>
      <c r="E62" s="186"/>
      <c r="F62" s="186"/>
      <c r="G62" s="186"/>
      <c r="H62" s="187"/>
      <c r="Y62"/>
      <c r="Z62"/>
    </row>
    <row r="63" spans="1:26">
      <c r="A63" s="185"/>
      <c r="B63" s="186"/>
      <c r="C63" s="186"/>
      <c r="D63" s="186"/>
      <c r="E63" s="186"/>
      <c r="F63" s="186"/>
      <c r="G63" s="186"/>
      <c r="H63" s="187"/>
      <c r="Y63"/>
      <c r="Z63"/>
    </row>
    <row r="64" spans="1:26">
      <c r="A64" s="185"/>
      <c r="B64" s="186"/>
      <c r="C64" s="186"/>
      <c r="D64" s="186"/>
      <c r="E64" s="186"/>
      <c r="F64" s="186"/>
      <c r="G64" s="186"/>
      <c r="H64" s="187"/>
      <c r="Y64"/>
      <c r="Z64"/>
    </row>
    <row r="65" spans="1:26">
      <c r="A65" s="185"/>
      <c r="B65" s="186"/>
      <c r="C65" s="186"/>
      <c r="D65" s="186"/>
      <c r="E65" s="186"/>
      <c r="F65" s="186"/>
      <c r="G65" s="186"/>
      <c r="H65" s="187"/>
      <c r="Y65"/>
      <c r="Z65"/>
    </row>
    <row r="66" spans="1:26">
      <c r="A66" s="185"/>
      <c r="B66" s="186"/>
      <c r="C66" s="186"/>
      <c r="D66" s="186"/>
      <c r="E66" s="186"/>
      <c r="F66" s="186"/>
      <c r="G66" s="186"/>
      <c r="H66" s="187"/>
      <c r="Y66"/>
      <c r="Z66"/>
    </row>
    <row r="67" spans="1:26">
      <c r="A67" s="185"/>
      <c r="B67" s="186"/>
      <c r="C67" s="186"/>
      <c r="D67" s="186"/>
      <c r="E67" s="186"/>
      <c r="F67" s="186"/>
      <c r="G67" s="186"/>
      <c r="H67" s="187"/>
      <c r="Y67"/>
      <c r="Z67"/>
    </row>
    <row r="68" spans="1:26">
      <c r="A68" s="185"/>
      <c r="B68" s="186"/>
      <c r="C68" s="186"/>
      <c r="D68" s="186"/>
      <c r="E68" s="186"/>
      <c r="F68" s="186"/>
      <c r="G68" s="186"/>
      <c r="H68" s="187"/>
      <c r="Y68"/>
      <c r="Z68"/>
    </row>
    <row r="69" spans="1:26">
      <c r="A69" s="185"/>
      <c r="B69" s="186"/>
      <c r="C69" s="186"/>
      <c r="D69" s="186"/>
      <c r="E69" s="186"/>
      <c r="F69" s="186"/>
      <c r="G69" s="186"/>
      <c r="H69" s="187"/>
      <c r="Y69"/>
      <c r="Z69"/>
    </row>
    <row r="70" spans="1:26">
      <c r="A70" s="185"/>
      <c r="B70" s="186"/>
      <c r="C70" s="186"/>
      <c r="D70" s="186"/>
      <c r="E70" s="186"/>
      <c r="F70" s="186"/>
      <c r="G70" s="186"/>
      <c r="H70" s="187"/>
      <c r="Y70"/>
      <c r="Z70"/>
    </row>
    <row r="71" spans="1:26">
      <c r="A71" s="185"/>
      <c r="B71" s="186"/>
      <c r="C71" s="186"/>
      <c r="D71" s="186"/>
      <c r="E71" s="186"/>
      <c r="F71" s="186"/>
      <c r="G71" s="186"/>
      <c r="H71" s="187"/>
      <c r="Y71"/>
      <c r="Z71"/>
    </row>
    <row r="72" spans="1:26">
      <c r="A72" s="185"/>
      <c r="B72" s="186"/>
      <c r="C72" s="186"/>
      <c r="D72" s="186"/>
      <c r="E72" s="186"/>
      <c r="F72" s="186"/>
      <c r="G72" s="186"/>
      <c r="H72" s="187"/>
      <c r="Y72"/>
      <c r="Z72"/>
    </row>
    <row r="73" spans="1:26">
      <c r="A73" s="185"/>
      <c r="B73" s="186"/>
      <c r="C73" s="186"/>
      <c r="D73" s="186"/>
      <c r="E73" s="186"/>
      <c r="F73" s="186"/>
      <c r="G73" s="186"/>
      <c r="H73" s="187"/>
      <c r="Y73"/>
      <c r="Z73"/>
    </row>
    <row r="74" spans="1:26">
      <c r="A74" s="185"/>
      <c r="B74" s="186"/>
      <c r="C74" s="186"/>
      <c r="D74" s="186"/>
      <c r="E74" s="186"/>
      <c r="F74" s="186"/>
      <c r="G74" s="186"/>
      <c r="H74" s="187"/>
      <c r="Y74"/>
      <c r="Z74"/>
    </row>
    <row r="75" spans="1:26">
      <c r="A75" s="185"/>
      <c r="B75" s="186"/>
      <c r="C75" s="186"/>
      <c r="D75" s="186"/>
      <c r="E75" s="186"/>
      <c r="F75" s="186"/>
      <c r="G75" s="186"/>
      <c r="H75" s="187"/>
      <c r="Y75"/>
      <c r="Z75"/>
    </row>
    <row r="76" spans="1:26">
      <c r="A76" s="185"/>
      <c r="B76" s="186"/>
      <c r="C76" s="186"/>
      <c r="D76" s="186"/>
      <c r="E76" s="186"/>
      <c r="F76" s="186"/>
      <c r="G76" s="186"/>
      <c r="H76" s="187"/>
      <c r="Y76"/>
      <c r="Z76"/>
    </row>
    <row r="77" spans="1:26">
      <c r="A77" s="185"/>
      <c r="B77" s="186"/>
      <c r="C77" s="186"/>
      <c r="D77" s="186"/>
      <c r="E77" s="186"/>
      <c r="F77" s="186"/>
      <c r="G77" s="186"/>
      <c r="H77" s="187"/>
      <c r="Y77"/>
      <c r="Z77"/>
    </row>
    <row r="78" spans="1:26">
      <c r="A78" s="185"/>
      <c r="B78" s="186"/>
      <c r="C78" s="186"/>
      <c r="D78" s="186"/>
      <c r="E78" s="186"/>
      <c r="F78" s="186"/>
      <c r="G78" s="186"/>
      <c r="H78" s="187"/>
      <c r="Y78"/>
      <c r="Z78"/>
    </row>
    <row r="79" spans="1:26">
      <c r="A79" s="185"/>
      <c r="B79" s="186"/>
      <c r="C79" s="186"/>
      <c r="D79" s="186"/>
      <c r="E79" s="186"/>
      <c r="F79" s="186"/>
      <c r="G79" s="186"/>
      <c r="H79" s="187"/>
      <c r="Y79"/>
      <c r="Z79"/>
    </row>
    <row r="80" spans="1:26">
      <c r="A80" s="185"/>
      <c r="B80" s="186"/>
      <c r="C80" s="186"/>
      <c r="D80" s="186"/>
      <c r="E80" s="186"/>
      <c r="F80" s="186"/>
      <c r="G80" s="186"/>
      <c r="H80" s="187"/>
      <c r="Y80"/>
      <c r="Z80"/>
    </row>
    <row r="81" spans="1:26">
      <c r="A81" s="185"/>
      <c r="B81" s="186"/>
      <c r="C81" s="186"/>
      <c r="D81" s="186"/>
      <c r="E81" s="186"/>
      <c r="F81" s="186"/>
      <c r="G81" s="186"/>
      <c r="H81" s="187"/>
      <c r="Y81"/>
      <c r="Z81"/>
    </row>
    <row r="82" spans="1:26">
      <c r="A82" s="185"/>
      <c r="B82" s="186"/>
      <c r="C82" s="186"/>
      <c r="D82" s="186"/>
      <c r="E82" s="186"/>
      <c r="F82" s="186"/>
      <c r="G82" s="186"/>
      <c r="H82" s="187"/>
      <c r="Y82"/>
      <c r="Z82"/>
    </row>
    <row r="83" spans="1:26">
      <c r="A83" s="185"/>
      <c r="B83" s="186"/>
      <c r="C83" s="186"/>
      <c r="D83" s="186"/>
      <c r="E83" s="186"/>
      <c r="F83" s="186"/>
      <c r="G83" s="186"/>
      <c r="H83" s="187"/>
      <c r="Y83"/>
      <c r="Z83"/>
    </row>
    <row r="84" spans="1:26">
      <c r="A84" s="185"/>
      <c r="B84" s="186"/>
      <c r="C84" s="186"/>
      <c r="D84" s="186"/>
      <c r="E84" s="186"/>
      <c r="F84" s="186"/>
      <c r="G84" s="186"/>
      <c r="H84" s="187"/>
      <c r="Y84"/>
      <c r="Z84"/>
    </row>
    <row r="85" spans="1:26">
      <c r="A85" s="185"/>
      <c r="B85" s="186"/>
      <c r="C85" s="186"/>
      <c r="D85" s="186"/>
      <c r="E85" s="186"/>
      <c r="F85" s="186"/>
      <c r="G85" s="186"/>
      <c r="H85" s="187"/>
      <c r="Y85"/>
      <c r="Z85"/>
    </row>
    <row r="86" spans="1:26">
      <c r="A86" s="185"/>
      <c r="B86" s="186"/>
      <c r="C86" s="186"/>
      <c r="D86" s="186"/>
      <c r="E86" s="186"/>
      <c r="F86" s="186"/>
      <c r="G86" s="186"/>
      <c r="H86" s="187"/>
      <c r="Y86"/>
      <c r="Z86"/>
    </row>
    <row r="87" spans="1:26">
      <c r="A87" s="185"/>
      <c r="B87" s="186"/>
      <c r="C87" s="186"/>
      <c r="D87" s="186"/>
      <c r="E87" s="186"/>
      <c r="F87" s="186"/>
      <c r="G87" s="186"/>
      <c r="H87" s="187"/>
      <c r="Y87"/>
      <c r="Z87"/>
    </row>
    <row r="88" spans="1:26">
      <c r="A88" s="185"/>
      <c r="B88" s="186"/>
      <c r="C88" s="186"/>
      <c r="D88" s="186"/>
      <c r="E88" s="186"/>
      <c r="F88" s="186"/>
      <c r="G88" s="186"/>
      <c r="H88" s="187"/>
      <c r="Y88"/>
      <c r="Z88"/>
    </row>
    <row r="89" spans="1:26">
      <c r="A89" s="185"/>
      <c r="B89" s="186"/>
      <c r="C89" s="186"/>
      <c r="D89" s="186"/>
      <c r="E89" s="186"/>
      <c r="F89" s="186"/>
      <c r="G89" s="186"/>
      <c r="H89" s="187"/>
      <c r="Y89"/>
      <c r="Z89"/>
    </row>
    <row r="90" spans="1:26">
      <c r="A90" s="185"/>
      <c r="B90" s="188"/>
      <c r="C90" s="188"/>
      <c r="D90" s="188"/>
      <c r="E90" s="188"/>
      <c r="F90" s="188"/>
      <c r="G90" s="188"/>
      <c r="H90" s="189"/>
      <c r="Y90"/>
      <c r="Z90"/>
    </row>
    <row r="91" spans="1:26">
      <c r="A91" s="185"/>
      <c r="B91" s="186"/>
      <c r="C91" s="186"/>
      <c r="D91" s="186"/>
      <c r="E91" s="186"/>
      <c r="F91" s="186"/>
      <c r="G91" s="186"/>
      <c r="H91" s="187"/>
      <c r="Y91"/>
      <c r="Z91"/>
    </row>
    <row r="92" spans="1:26">
      <c r="A92" s="190"/>
      <c r="B92" s="191"/>
      <c r="C92" s="191"/>
      <c r="D92" s="191"/>
      <c r="E92" s="191"/>
      <c r="F92" s="191"/>
      <c r="G92" s="191"/>
      <c r="H92" s="192"/>
      <c r="Y92"/>
      <c r="Z92"/>
    </row>
    <row r="93" spans="1:26">
      <c r="A93" s="185"/>
      <c r="B93" s="186"/>
      <c r="C93" s="186"/>
      <c r="D93" s="186"/>
      <c r="E93" s="186"/>
      <c r="F93" s="186"/>
      <c r="G93" s="186"/>
      <c r="H93" s="176"/>
      <c r="Y93"/>
      <c r="Z93"/>
    </row>
    <row r="94" spans="1:26">
      <c r="A94" s="185"/>
      <c r="B94" s="186"/>
      <c r="C94" s="186"/>
      <c r="D94" s="186"/>
      <c r="E94" s="186"/>
      <c r="F94" s="186"/>
      <c r="G94" s="193"/>
      <c r="H94" s="194"/>
      <c r="Y94"/>
      <c r="Z94"/>
    </row>
    <row r="95" spans="1:26">
      <c r="A95" s="185"/>
      <c r="B95" s="186"/>
      <c r="C95" s="186"/>
      <c r="D95" s="186"/>
      <c r="E95" s="186"/>
      <c r="F95" s="186"/>
      <c r="G95" s="193"/>
      <c r="H95" s="195"/>
      <c r="Y95"/>
      <c r="Z95"/>
    </row>
    <row r="96" spans="1:26">
      <c r="A96" s="185"/>
      <c r="B96" s="186"/>
      <c r="C96" s="186"/>
      <c r="D96" s="186"/>
      <c r="E96" s="186"/>
      <c r="F96" s="186"/>
      <c r="G96" s="186"/>
      <c r="H96" s="187"/>
      <c r="Y96"/>
      <c r="Z96"/>
    </row>
    <row r="97" spans="1:26">
      <c r="A97" s="185"/>
      <c r="B97" s="186"/>
      <c r="C97" s="186"/>
      <c r="D97" s="186"/>
      <c r="E97" s="186"/>
      <c r="F97" s="186"/>
      <c r="G97" s="186"/>
      <c r="H97" s="187"/>
      <c r="Y97"/>
      <c r="Z97"/>
    </row>
    <row r="98" spans="1:26">
      <c r="A98" s="185"/>
      <c r="B98" s="186"/>
      <c r="C98" s="186"/>
      <c r="D98" s="186"/>
      <c r="E98" s="186"/>
      <c r="F98" s="186"/>
      <c r="G98" s="186"/>
      <c r="H98" s="187"/>
      <c r="Y98"/>
      <c r="Z98"/>
    </row>
    <row r="99" spans="1:26">
      <c r="A99" s="185"/>
      <c r="B99" s="186"/>
      <c r="C99" s="186"/>
      <c r="D99" s="186"/>
      <c r="E99" s="186"/>
      <c r="F99" s="186"/>
      <c r="G99" s="186"/>
      <c r="H99" s="187"/>
      <c r="Y99"/>
      <c r="Z99"/>
    </row>
    <row r="100" spans="1:26">
      <c r="A100" s="185"/>
      <c r="B100" s="186"/>
      <c r="C100" s="186"/>
      <c r="D100" s="186"/>
      <c r="E100" s="186"/>
      <c r="F100" s="186"/>
      <c r="G100" s="186"/>
      <c r="H100" s="187"/>
      <c r="Y100"/>
      <c r="Z100"/>
    </row>
    <row r="101" spans="1:26">
      <c r="A101" s="185"/>
      <c r="B101" s="186"/>
      <c r="C101" s="186"/>
      <c r="D101" s="186"/>
      <c r="E101" s="186"/>
      <c r="F101" s="186"/>
      <c r="G101" s="186"/>
      <c r="H101" s="187"/>
      <c r="Y101"/>
      <c r="Z101"/>
    </row>
    <row r="102" spans="1:26">
      <c r="A102" s="185"/>
      <c r="B102" s="186"/>
      <c r="C102" s="186"/>
      <c r="D102" s="186"/>
      <c r="E102" s="186"/>
      <c r="F102" s="186"/>
      <c r="G102" s="186"/>
      <c r="H102" s="187"/>
      <c r="Y102"/>
      <c r="Z102"/>
    </row>
    <row r="103" spans="1:26">
      <c r="A103" s="185"/>
      <c r="B103" s="186"/>
      <c r="C103" s="186"/>
      <c r="D103" s="186"/>
      <c r="E103" s="186"/>
      <c r="F103" s="186"/>
      <c r="G103" s="186"/>
      <c r="H103" s="187"/>
      <c r="Y103"/>
      <c r="Z103"/>
    </row>
    <row r="104" spans="1:26">
      <c r="A104" s="196"/>
      <c r="B104" s="197"/>
      <c r="C104" s="197"/>
      <c r="D104" s="197"/>
      <c r="E104" s="197"/>
      <c r="F104" s="197"/>
      <c r="G104" s="197"/>
      <c r="H104" s="198"/>
      <c r="Y104"/>
      <c r="Z104"/>
    </row>
    <row r="105" spans="1:26">
      <c r="Y105"/>
      <c r="Z105"/>
    </row>
    <row r="106" spans="1:26">
      <c r="Y106"/>
      <c r="Z106"/>
    </row>
    <row r="107" spans="1:26">
      <c r="Y107"/>
      <c r="Z107"/>
    </row>
    <row r="108" spans="1:26">
      <c r="Y108"/>
      <c r="Z108"/>
    </row>
    <row r="109" spans="1:26">
      <c r="Y109"/>
      <c r="Z109"/>
    </row>
    <row r="110" spans="1:26">
      <c r="Y110"/>
      <c r="Z110"/>
    </row>
    <row r="111" spans="1:26">
      <c r="Y111"/>
      <c r="Z111"/>
    </row>
    <row r="112" spans="1:26">
      <c r="Y112"/>
      <c r="Z112"/>
    </row>
    <row r="113" spans="25:26">
      <c r="Y113"/>
      <c r="Z113"/>
    </row>
    <row r="114" spans="25:26">
      <c r="Y114"/>
      <c r="Z114"/>
    </row>
    <row r="115" spans="25:26">
      <c r="Y115"/>
      <c r="Z115"/>
    </row>
    <row r="116" spans="25:26">
      <c r="Y116"/>
      <c r="Z116"/>
    </row>
    <row r="117" spans="25:26">
      <c r="Y117"/>
      <c r="Z117"/>
    </row>
    <row r="118" spans="25:26">
      <c r="Y118"/>
      <c r="Z118"/>
    </row>
    <row r="119" spans="25:26">
      <c r="Y119"/>
      <c r="Z119"/>
    </row>
    <row r="120" spans="25:26">
      <c r="Y120"/>
      <c r="Z120"/>
    </row>
    <row r="121" spans="25:26">
      <c r="Y121"/>
      <c r="Z121"/>
    </row>
    <row r="122" spans="25:26">
      <c r="Y122"/>
      <c r="Z122"/>
    </row>
    <row r="123" spans="25:26">
      <c r="Y123"/>
      <c r="Z123"/>
    </row>
    <row r="124" spans="25:26">
      <c r="Y124"/>
      <c r="Z124"/>
    </row>
    <row r="125" spans="25:26">
      <c r="Y125"/>
      <c r="Z125"/>
    </row>
    <row r="126" spans="25:26">
      <c r="Y126"/>
      <c r="Z126"/>
    </row>
    <row r="127" spans="25:26">
      <c r="Y127"/>
      <c r="Z127"/>
    </row>
    <row r="128" spans="25:26">
      <c r="Y128"/>
      <c r="Z128"/>
    </row>
    <row r="129" spans="25:26">
      <c r="Y129"/>
      <c r="Z129"/>
    </row>
    <row r="130" spans="25:26">
      <c r="Y130"/>
      <c r="Z130"/>
    </row>
    <row r="131" spans="25:26">
      <c r="Y131"/>
      <c r="Z131"/>
    </row>
    <row r="132" spans="25:26">
      <c r="Y132"/>
      <c r="Z132"/>
    </row>
    <row r="133" spans="25:26">
      <c r="Y133"/>
      <c r="Z133"/>
    </row>
    <row r="134" spans="25:26">
      <c r="Y134"/>
      <c r="Z134"/>
    </row>
    <row r="135" spans="25:26">
      <c r="Y135"/>
      <c r="Z135"/>
    </row>
    <row r="136" spans="25:26">
      <c r="Y136"/>
      <c r="Z136"/>
    </row>
    <row r="137" spans="25:26">
      <c r="Y137"/>
      <c r="Z137"/>
    </row>
    <row r="138" spans="25:26">
      <c r="Y138"/>
      <c r="Z138"/>
    </row>
    <row r="139" spans="25:26">
      <c r="Y139"/>
      <c r="Z139"/>
    </row>
    <row r="140" spans="25:26">
      <c r="Y140"/>
      <c r="Z140"/>
    </row>
    <row r="141" spans="25:26">
      <c r="Y141"/>
      <c r="Z141"/>
    </row>
    <row r="142" spans="25:26">
      <c r="Y142"/>
      <c r="Z142"/>
    </row>
    <row r="143" spans="25:26">
      <c r="Y143"/>
      <c r="Z143"/>
    </row>
    <row r="144" spans="25:26">
      <c r="Y144"/>
      <c r="Z144"/>
    </row>
    <row r="145" spans="25:26">
      <c r="Y145"/>
      <c r="Z145"/>
    </row>
    <row r="146" spans="25:26">
      <c r="Y146"/>
      <c r="Z146"/>
    </row>
    <row r="147" spans="25:26">
      <c r="Y147"/>
      <c r="Z147"/>
    </row>
    <row r="148" spans="25:26">
      <c r="Y148"/>
      <c r="Z148"/>
    </row>
    <row r="149" spans="25:26">
      <c r="Y149"/>
      <c r="Z149"/>
    </row>
    <row r="150" spans="25:26">
      <c r="Y150"/>
      <c r="Z150"/>
    </row>
    <row r="151" spans="25:26">
      <c r="Y151"/>
      <c r="Z151"/>
    </row>
    <row r="152" spans="25:26">
      <c r="Y152"/>
      <c r="Z152"/>
    </row>
    <row r="153" spans="25:26">
      <c r="Y153"/>
      <c r="Z153"/>
    </row>
    <row r="154" spans="25:26">
      <c r="Y154"/>
      <c r="Z154"/>
    </row>
    <row r="155" spans="25:26">
      <c r="Y155"/>
      <c r="Z155"/>
    </row>
    <row r="156" spans="25:26">
      <c r="Y156"/>
      <c r="Z156"/>
    </row>
    <row r="157" spans="25:26">
      <c r="Y157"/>
      <c r="Z157"/>
    </row>
    <row r="158" spans="25:26">
      <c r="Y158"/>
      <c r="Z158"/>
    </row>
    <row r="159" spans="25:26">
      <c r="Y159"/>
      <c r="Z159"/>
    </row>
    <row r="160" spans="25:26">
      <c r="Y160"/>
      <c r="Z160"/>
    </row>
    <row r="161" spans="25:26">
      <c r="Y161"/>
      <c r="Z161"/>
    </row>
    <row r="162" spans="25:26">
      <c r="Y162"/>
      <c r="Z162"/>
    </row>
    <row r="163" spans="25:26">
      <c r="Y163"/>
      <c r="Z163"/>
    </row>
    <row r="164" spans="25:26">
      <c r="Y164"/>
      <c r="Z164"/>
    </row>
    <row r="165" spans="25:26">
      <c r="Y165"/>
      <c r="Z165"/>
    </row>
    <row r="166" spans="25:26">
      <c r="Y166"/>
      <c r="Z166"/>
    </row>
    <row r="167" spans="25:26">
      <c r="Y167"/>
      <c r="Z167"/>
    </row>
    <row r="168" spans="25:26">
      <c r="Y168"/>
      <c r="Z168"/>
    </row>
    <row r="169" spans="25:26">
      <c r="Y169"/>
      <c r="Z169"/>
    </row>
    <row r="170" spans="25:26">
      <c r="Y170"/>
      <c r="Z170"/>
    </row>
    <row r="171" spans="25:26">
      <c r="Y171"/>
      <c r="Z171"/>
    </row>
    <row r="172" spans="25:26">
      <c r="Y172"/>
      <c r="Z172"/>
    </row>
    <row r="173" spans="25:26">
      <c r="Y173"/>
      <c r="Z173"/>
    </row>
    <row r="174" spans="25:26">
      <c r="Y174"/>
      <c r="Z174"/>
    </row>
    <row r="175" spans="25:26">
      <c r="Y175"/>
      <c r="Z175"/>
    </row>
    <row r="176" spans="25:26">
      <c r="Y176"/>
      <c r="Z176"/>
    </row>
    <row r="177" spans="25:26">
      <c r="Y177"/>
      <c r="Z177"/>
    </row>
    <row r="178" spans="25:26">
      <c r="Y178"/>
      <c r="Z178"/>
    </row>
    <row r="179" spans="25:26">
      <c r="Y179"/>
      <c r="Z179"/>
    </row>
    <row r="180" spans="25:26">
      <c r="Y180"/>
      <c r="Z180"/>
    </row>
    <row r="181" spans="25:26">
      <c r="Y181"/>
      <c r="Z181"/>
    </row>
    <row r="182" spans="25:26">
      <c r="Y182"/>
      <c r="Z182"/>
    </row>
    <row r="183" spans="25:26">
      <c r="Y183"/>
      <c r="Z183"/>
    </row>
    <row r="184" spans="25:26">
      <c r="Y184"/>
      <c r="Z184"/>
    </row>
    <row r="185" spans="25:26">
      <c r="Y185"/>
      <c r="Z185"/>
    </row>
    <row r="186" spans="25:26">
      <c r="Y186"/>
      <c r="Z186"/>
    </row>
    <row r="187" spans="25:26">
      <c r="Y187"/>
      <c r="Z187"/>
    </row>
    <row r="188" spans="25:26">
      <c r="Y188"/>
      <c r="Z188"/>
    </row>
    <row r="189" spans="25:26">
      <c r="Y189"/>
      <c r="Z189"/>
    </row>
    <row r="190" spans="25:26">
      <c r="Y190"/>
      <c r="Z190"/>
    </row>
    <row r="191" spans="25:26">
      <c r="Y191"/>
      <c r="Z191"/>
    </row>
    <row r="192" spans="25:26">
      <c r="Y192"/>
      <c r="Z192"/>
    </row>
    <row r="193" spans="25:26">
      <c r="Y193"/>
      <c r="Z193"/>
    </row>
    <row r="194" spans="25:26">
      <c r="Y194"/>
      <c r="Z194"/>
    </row>
    <row r="195" spans="25:26">
      <c r="Y195"/>
      <c r="Z195"/>
    </row>
    <row r="196" spans="25:26">
      <c r="Y196"/>
      <c r="Z196"/>
    </row>
    <row r="197" spans="25:26">
      <c r="Y197"/>
      <c r="Z197"/>
    </row>
    <row r="198" spans="25:26">
      <c r="Y198"/>
      <c r="Z198"/>
    </row>
    <row r="199" spans="25:26">
      <c r="Y199"/>
      <c r="Z199"/>
    </row>
    <row r="200" spans="25:26">
      <c r="Y200"/>
      <c r="Z200"/>
    </row>
    <row r="201" spans="25:26">
      <c r="Y201"/>
      <c r="Z201"/>
    </row>
    <row r="202" spans="25:26">
      <c r="Y202"/>
      <c r="Z202"/>
    </row>
    <row r="203" spans="25:26">
      <c r="Y203"/>
      <c r="Z203"/>
    </row>
    <row r="204" spans="25:26">
      <c r="Y204"/>
      <c r="Z204"/>
    </row>
    <row r="205" spans="25:26">
      <c r="Y205"/>
      <c r="Z205"/>
    </row>
    <row r="206" spans="25:26">
      <c r="Y206"/>
      <c r="Z206"/>
    </row>
    <row r="207" spans="25:26">
      <c r="Y207"/>
      <c r="Z207"/>
    </row>
    <row r="208" spans="25:26">
      <c r="Y208"/>
      <c r="Z208"/>
    </row>
    <row r="209" spans="25:26">
      <c r="Y209"/>
      <c r="Z209"/>
    </row>
    <row r="210" spans="25:26">
      <c r="Y210"/>
      <c r="Z210"/>
    </row>
    <row r="211" spans="25:26">
      <c r="Y211"/>
      <c r="Z211"/>
    </row>
    <row r="212" spans="25:26">
      <c r="Y212"/>
      <c r="Z212"/>
    </row>
    <row r="213" spans="25:26">
      <c r="Y213"/>
      <c r="Z213"/>
    </row>
    <row r="214" spans="25:26">
      <c r="Y214"/>
      <c r="Z214"/>
    </row>
    <row r="215" spans="25:26">
      <c r="Y215"/>
      <c r="Z215"/>
    </row>
    <row r="216" spans="25:26">
      <c r="Y216"/>
      <c r="Z216"/>
    </row>
    <row r="217" spans="25:26">
      <c r="Y217"/>
      <c r="Z217"/>
    </row>
    <row r="218" spans="25:26">
      <c r="Y218"/>
      <c r="Z218"/>
    </row>
    <row r="219" spans="25:26">
      <c r="Y219"/>
      <c r="Z219"/>
    </row>
    <row r="220" spans="25:26">
      <c r="Y220"/>
      <c r="Z220"/>
    </row>
    <row r="221" spans="25:26">
      <c r="Y221"/>
      <c r="Z221"/>
    </row>
    <row r="222" spans="25:26">
      <c r="Y222"/>
      <c r="Z222"/>
    </row>
    <row r="223" spans="25:26">
      <c r="Y223"/>
      <c r="Z223"/>
    </row>
    <row r="224" spans="25:26">
      <c r="Y224"/>
      <c r="Z224"/>
    </row>
    <row r="225" spans="25:26">
      <c r="Y225"/>
      <c r="Z225"/>
    </row>
    <row r="226" spans="25:26">
      <c r="Y226"/>
      <c r="Z226"/>
    </row>
    <row r="227" spans="25:26">
      <c r="Y227"/>
      <c r="Z227"/>
    </row>
    <row r="228" spans="25:26">
      <c r="Y228"/>
      <c r="Z228"/>
    </row>
    <row r="229" spans="25:26">
      <c r="Y229"/>
      <c r="Z229"/>
    </row>
    <row r="230" spans="25:26">
      <c r="Y230"/>
      <c r="Z230"/>
    </row>
    <row r="231" spans="25:26">
      <c r="Y231"/>
      <c r="Z231"/>
    </row>
    <row r="232" spans="25:26">
      <c r="Y232"/>
      <c r="Z232"/>
    </row>
    <row r="233" spans="25:26">
      <c r="Y233"/>
      <c r="Z233"/>
    </row>
    <row r="234" spans="25:26">
      <c r="Y234"/>
      <c r="Z234"/>
    </row>
    <row r="235" spans="25:26">
      <c r="Y235"/>
      <c r="Z235"/>
    </row>
    <row r="236" spans="25:26">
      <c r="Y236"/>
      <c r="Z236"/>
    </row>
    <row r="237" spans="25:26">
      <c r="Y237"/>
      <c r="Z237"/>
    </row>
    <row r="238" spans="25:26">
      <c r="Y238"/>
      <c r="Z238"/>
    </row>
    <row r="239" spans="25:26">
      <c r="Y239"/>
      <c r="Z239"/>
    </row>
    <row r="240" spans="25:26">
      <c r="Y240"/>
      <c r="Z240"/>
    </row>
    <row r="241" spans="25:26">
      <c r="Y241"/>
      <c r="Z241"/>
    </row>
    <row r="242" spans="25:26">
      <c r="Y242"/>
      <c r="Z242"/>
    </row>
    <row r="243" spans="25:26">
      <c r="Y243"/>
      <c r="Z243"/>
    </row>
    <row r="244" spans="25:26">
      <c r="Y244"/>
      <c r="Z244"/>
    </row>
    <row r="245" spans="25:26">
      <c r="Y245"/>
      <c r="Z245"/>
    </row>
    <row r="246" spans="25:26">
      <c r="Y246"/>
      <c r="Z246"/>
    </row>
    <row r="247" spans="25:26">
      <c r="Y247"/>
      <c r="Z247"/>
    </row>
    <row r="248" spans="25:26">
      <c r="Y248"/>
      <c r="Z248"/>
    </row>
    <row r="249" spans="25:26">
      <c r="Y249"/>
      <c r="Z249"/>
    </row>
    <row r="250" spans="25:26">
      <c r="Y250"/>
      <c r="Z250"/>
    </row>
    <row r="251" spans="25:26">
      <c r="Y251"/>
      <c r="Z251"/>
    </row>
    <row r="252" spans="25:26">
      <c r="Y252"/>
      <c r="Z252"/>
    </row>
    <row r="253" spans="25:26">
      <c r="Y253"/>
      <c r="Z253"/>
    </row>
    <row r="254" spans="25:26">
      <c r="Y254"/>
      <c r="Z254"/>
    </row>
    <row r="255" spans="25:26">
      <c r="Y255"/>
      <c r="Z255"/>
    </row>
    <row r="256" spans="25:26">
      <c r="Y256"/>
      <c r="Z256"/>
    </row>
    <row r="257" spans="25:26">
      <c r="Y257"/>
      <c r="Z257"/>
    </row>
    <row r="258" spans="25:26">
      <c r="Y258"/>
      <c r="Z258"/>
    </row>
    <row r="259" spans="25:26">
      <c r="Y259"/>
      <c r="Z259"/>
    </row>
    <row r="260" spans="25:26">
      <c r="Y260"/>
      <c r="Z260"/>
    </row>
    <row r="261" spans="25:26">
      <c r="Y261"/>
      <c r="Z261"/>
    </row>
    <row r="262" spans="25:26">
      <c r="Y262"/>
      <c r="Z262"/>
    </row>
    <row r="263" spans="25:26">
      <c r="Y263"/>
      <c r="Z263"/>
    </row>
    <row r="264" spans="25:26">
      <c r="Y264"/>
      <c r="Z264"/>
    </row>
    <row r="265" spans="25:26">
      <c r="Y265"/>
      <c r="Z265"/>
    </row>
    <row r="266" spans="25:26">
      <c r="Y266"/>
      <c r="Z266"/>
    </row>
    <row r="267" spans="25:26">
      <c r="Y267"/>
      <c r="Z267"/>
    </row>
    <row r="268" spans="25:26">
      <c r="Y268"/>
      <c r="Z268"/>
    </row>
    <row r="269" spans="25:26">
      <c r="Y269"/>
      <c r="Z269"/>
    </row>
    <row r="270" spans="25:26">
      <c r="Y270"/>
      <c r="Z270"/>
    </row>
    <row r="271" spans="25:26">
      <c r="Y271"/>
      <c r="Z271"/>
    </row>
    <row r="272" spans="25:26">
      <c r="Y272"/>
      <c r="Z272"/>
    </row>
    <row r="273" spans="25:26">
      <c r="Y273"/>
      <c r="Z273"/>
    </row>
    <row r="274" spans="25:26">
      <c r="Y274"/>
      <c r="Z274"/>
    </row>
    <row r="275" spans="25:26">
      <c r="Y275"/>
      <c r="Z275"/>
    </row>
    <row r="276" spans="25:26">
      <c r="Y276"/>
      <c r="Z276"/>
    </row>
    <row r="277" spans="25:26">
      <c r="Y277"/>
      <c r="Z277"/>
    </row>
    <row r="278" spans="25:26">
      <c r="Y278"/>
      <c r="Z278"/>
    </row>
    <row r="279" spans="25:26">
      <c r="Y279"/>
      <c r="Z279"/>
    </row>
    <row r="280" spans="25:26">
      <c r="Y280"/>
      <c r="Z280"/>
    </row>
    <row r="281" spans="25:26">
      <c r="Y281"/>
      <c r="Z281"/>
    </row>
    <row r="282" spans="25:26">
      <c r="Y282"/>
      <c r="Z282"/>
    </row>
    <row r="283" spans="25:26">
      <c r="Y283"/>
      <c r="Z283"/>
    </row>
    <row r="284" spans="25:26">
      <c r="Y284"/>
      <c r="Z284"/>
    </row>
    <row r="285" spans="25:26">
      <c r="Y285"/>
      <c r="Z285"/>
    </row>
    <row r="286" spans="25:26">
      <c r="Y286"/>
      <c r="Z286"/>
    </row>
    <row r="287" spans="25:26">
      <c r="Y287"/>
      <c r="Z287"/>
    </row>
    <row r="288" spans="25:26">
      <c r="Y288"/>
      <c r="Z288"/>
    </row>
    <row r="289" spans="25:26">
      <c r="Y289"/>
      <c r="Z289"/>
    </row>
    <row r="290" spans="25:26">
      <c r="Y290"/>
      <c r="Z290"/>
    </row>
    <row r="291" spans="25:26">
      <c r="Y291"/>
      <c r="Z291"/>
    </row>
    <row r="292" spans="25:26">
      <c r="Y292"/>
      <c r="Z292"/>
    </row>
    <row r="293" spans="25:26">
      <c r="Y293"/>
      <c r="Z293"/>
    </row>
    <row r="294" spans="25:26">
      <c r="Y294"/>
      <c r="Z294"/>
    </row>
    <row r="295" spans="25:26">
      <c r="Y295"/>
      <c r="Z295"/>
    </row>
    <row r="296" spans="25:26">
      <c r="Y296"/>
      <c r="Z296"/>
    </row>
    <row r="297" spans="25:26">
      <c r="Y297"/>
      <c r="Z297"/>
    </row>
    <row r="298" spans="25:26">
      <c r="Y298"/>
      <c r="Z298"/>
    </row>
    <row r="299" spans="25:26">
      <c r="Y299"/>
      <c r="Z299"/>
    </row>
    <row r="300" spans="25:26">
      <c r="Y300"/>
      <c r="Z300"/>
    </row>
    <row r="301" spans="25:26">
      <c r="Y301"/>
      <c r="Z301"/>
    </row>
    <row r="302" spans="25:26">
      <c r="Y302"/>
      <c r="Z302"/>
    </row>
    <row r="303" spans="25:26">
      <c r="Y303"/>
      <c r="Z303"/>
    </row>
    <row r="304" spans="25:26">
      <c r="Y304"/>
      <c r="Z304"/>
    </row>
    <row r="305" spans="25:26">
      <c r="Y305"/>
      <c r="Z305"/>
    </row>
    <row r="306" spans="25:26">
      <c r="Y306"/>
      <c r="Z306"/>
    </row>
    <row r="307" spans="25:26">
      <c r="Y307"/>
      <c r="Z307"/>
    </row>
    <row r="308" spans="25:26">
      <c r="Y308"/>
      <c r="Z308"/>
    </row>
    <row r="309" spans="25:26">
      <c r="Y309"/>
      <c r="Z309"/>
    </row>
    <row r="310" spans="25:26">
      <c r="Y310"/>
      <c r="Z310"/>
    </row>
    <row r="311" spans="25:26">
      <c r="Y311"/>
      <c r="Z311"/>
    </row>
    <row r="312" spans="25:26">
      <c r="Y312"/>
      <c r="Z312"/>
    </row>
    <row r="313" spans="25:26">
      <c r="Y313"/>
      <c r="Z313"/>
    </row>
    <row r="314" spans="25:26">
      <c r="Y314"/>
      <c r="Z314"/>
    </row>
    <row r="315" spans="25:26">
      <c r="Y315"/>
      <c r="Z315"/>
    </row>
    <row r="316" spans="25:26">
      <c r="Y316"/>
      <c r="Z316"/>
    </row>
    <row r="317" spans="25:26">
      <c r="Y317"/>
      <c r="Z317"/>
    </row>
    <row r="318" spans="25:26">
      <c r="Y318"/>
      <c r="Z318"/>
    </row>
    <row r="319" spans="25:26">
      <c r="Y319"/>
      <c r="Z319"/>
    </row>
    <row r="320" spans="25:26">
      <c r="Y320"/>
      <c r="Z320"/>
    </row>
    <row r="321" spans="25:26">
      <c r="Y321"/>
      <c r="Z321"/>
    </row>
    <row r="322" spans="25:26">
      <c r="Y322"/>
      <c r="Z322"/>
    </row>
    <row r="323" spans="25:26">
      <c r="Y323"/>
      <c r="Z323"/>
    </row>
    <row r="324" spans="25:26">
      <c r="Y324"/>
      <c r="Z324"/>
    </row>
    <row r="325" spans="25:26">
      <c r="Y325"/>
      <c r="Z325"/>
    </row>
    <row r="326" spans="25:26">
      <c r="Y326"/>
      <c r="Z326"/>
    </row>
    <row r="327" spans="25:26">
      <c r="Y327"/>
      <c r="Z327"/>
    </row>
    <row r="328" spans="25:26">
      <c r="Y328"/>
      <c r="Z328"/>
    </row>
    <row r="329" spans="25:26">
      <c r="Y329"/>
      <c r="Z329"/>
    </row>
    <row r="330" spans="25:26">
      <c r="Y330"/>
      <c r="Z330"/>
    </row>
    <row r="331" spans="25:26">
      <c r="Y331"/>
      <c r="Z331"/>
    </row>
    <row r="332" spans="25:26">
      <c r="Y332"/>
      <c r="Z332"/>
    </row>
    <row r="333" spans="25:26">
      <c r="Y333"/>
      <c r="Z333"/>
    </row>
    <row r="334" spans="25:26">
      <c r="Y334"/>
      <c r="Z334"/>
    </row>
    <row r="335" spans="25:26">
      <c r="Y335"/>
      <c r="Z335"/>
    </row>
    <row r="336" spans="25:26">
      <c r="Y336"/>
      <c r="Z336"/>
    </row>
    <row r="337" spans="25:26">
      <c r="Y337"/>
      <c r="Z337"/>
    </row>
    <row r="338" spans="25:26">
      <c r="Y338"/>
      <c r="Z338"/>
    </row>
    <row r="339" spans="25:26">
      <c r="Y339"/>
      <c r="Z339"/>
    </row>
    <row r="340" spans="25:26">
      <c r="Y340"/>
      <c r="Z340"/>
    </row>
    <row r="341" spans="25:26">
      <c r="Y341"/>
      <c r="Z341"/>
    </row>
    <row r="342" spans="25:26">
      <c r="Y342"/>
      <c r="Z342"/>
    </row>
    <row r="343" spans="25:26">
      <c r="Y343"/>
      <c r="Z343"/>
    </row>
    <row r="344" spans="25:26">
      <c r="Y344"/>
      <c r="Z344"/>
    </row>
    <row r="345" spans="25:26">
      <c r="Y345"/>
      <c r="Z345"/>
    </row>
    <row r="346" spans="25:26">
      <c r="Y346"/>
      <c r="Z346"/>
    </row>
    <row r="347" spans="25:26">
      <c r="Y347"/>
      <c r="Z347"/>
    </row>
    <row r="348" spans="25:26">
      <c r="Y348"/>
      <c r="Z348"/>
    </row>
    <row r="349" spans="25:26">
      <c r="Y349"/>
      <c r="Z349"/>
    </row>
    <row r="350" spans="25:26">
      <c r="Y350"/>
      <c r="Z350"/>
    </row>
    <row r="351" spans="25:26">
      <c r="Y351"/>
      <c r="Z351"/>
    </row>
    <row r="352" spans="25:26">
      <c r="Y352"/>
      <c r="Z352"/>
    </row>
    <row r="353" spans="25:26">
      <c r="Y353"/>
      <c r="Z353"/>
    </row>
    <row r="354" spans="25:26">
      <c r="Y354"/>
      <c r="Z354"/>
    </row>
    <row r="355" spans="25:26">
      <c r="Y355"/>
      <c r="Z355"/>
    </row>
    <row r="356" spans="25:26">
      <c r="Y356"/>
      <c r="Z356"/>
    </row>
    <row r="357" spans="25:26">
      <c r="Y357"/>
      <c r="Z357"/>
    </row>
    <row r="358" spans="25:26">
      <c r="Y358"/>
      <c r="Z358"/>
    </row>
    <row r="359" spans="25:26">
      <c r="Y359"/>
      <c r="Z359"/>
    </row>
    <row r="360" spans="25:26">
      <c r="Y360"/>
      <c r="Z360"/>
    </row>
    <row r="361" spans="25:26">
      <c r="Y361"/>
      <c r="Z361"/>
    </row>
    <row r="362" spans="25:26">
      <c r="Y362"/>
      <c r="Z362"/>
    </row>
    <row r="363" spans="25:26">
      <c r="Y363"/>
      <c r="Z363"/>
    </row>
    <row r="364" spans="25:26">
      <c r="Y364"/>
      <c r="Z364"/>
    </row>
    <row r="365" spans="25:26">
      <c r="Y365"/>
      <c r="Z365"/>
    </row>
    <row r="366" spans="25:26">
      <c r="Y366"/>
      <c r="Z366"/>
    </row>
    <row r="367" spans="25:26">
      <c r="Y367"/>
      <c r="Z367"/>
    </row>
    <row r="368" spans="25:26">
      <c r="Y368"/>
      <c r="Z368"/>
    </row>
    <row r="369" spans="25:26">
      <c r="Y369"/>
      <c r="Z369"/>
    </row>
    <row r="370" spans="25:26">
      <c r="Y370"/>
      <c r="Z370"/>
    </row>
    <row r="371" spans="25:26">
      <c r="Y371"/>
      <c r="Z371"/>
    </row>
    <row r="372" spans="25:26">
      <c r="Y372"/>
      <c r="Z372"/>
    </row>
    <row r="373" spans="25:26">
      <c r="Y373"/>
      <c r="Z373"/>
    </row>
    <row r="374" spans="25:26">
      <c r="Y374"/>
      <c r="Z374"/>
    </row>
  </sheetData>
  <dataConsolidate/>
  <phoneticPr fontId="62" type="noConversion"/>
  <dataValidations count="6">
    <dataValidation type="list" allowBlank="1" showInputMessage="1" showErrorMessage="1" sqref="B7" xr:uid="{00000000-0002-0000-0200-000000000000}">
      <formula1>縣市</formula1>
    </dataValidation>
    <dataValidation type="list" allowBlank="1" showInputMessage="1" showErrorMessage="1" errorTitle="Warning!" error="Invalid reply (must input either Y or N)" sqref="B19" xr:uid="{00000000-0002-0000-0200-000001000000}">
      <formula1>$J$13:$J$14</formula1>
    </dataValidation>
    <dataValidation type="list" allowBlank="1" showInputMessage="1" showErrorMessage="1" errorTitle="Warning!" error="Invalid building category_x000a_Must input either I, II, III, or IV" sqref="B10" xr:uid="{00000000-0002-0000-0200-000002000000}">
      <formula1>$J$3:$J$7</formula1>
    </dataValidation>
    <dataValidation type="list" allowBlank="1" showInputMessage="1" showErrorMessage="1" errorTitle="Warning!" error="Invalid roof type (must input either G or M)" sqref="B17" xr:uid="{00000000-0002-0000-0200-000003000000}">
      <formula1>$J$11:$J$12</formula1>
    </dataValidation>
    <dataValidation type="list" allowBlank="1" showInputMessage="1" showErrorMessage="1" errorTitle="Warning!" error="Invalid exposure category_x000a_Must input either B, C, or D" sqref="B12" xr:uid="{00000000-0002-0000-0200-000004000000}">
      <formula1>$J$8:$J$10</formula1>
    </dataValidation>
    <dataValidation type="list" allowBlank="1" showInputMessage="1" showErrorMessage="1" sqref="B8" xr:uid="{00000000-0002-0000-0200-000005000000}">
      <formula1>INDEX(INDIRECT(B7),,1)</formula1>
    </dataValidation>
  </dataValidations>
  <pageMargins left="0.98425196850393704" right="0.51181102362204722" top="0.98425196850393704" bottom="0.98425196850393704" header="0.51181102362204722" footer="0.51181102362204722"/>
  <pageSetup scale="90" orientation="portrait" horizontalDpi="4294967292" r:id="rId1"/>
  <headerFooter alignWithMargins="0">
    <oddHeader>&amp;L&amp;"細明體,標準"施忠賢結構技師事務所&amp;R&amp;F</oddHeader>
    <oddFooter>&amp;C&amp;P of 1&amp;R&amp;D  &amp;T</oddFooter>
  </headerFooter>
  <rowBreaks count="1" manualBreakCount="1">
    <brk id="52" max="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4"/>
  <sheetViews>
    <sheetView workbookViewId="0">
      <selection activeCell="A10" sqref="A10"/>
    </sheetView>
  </sheetViews>
  <sheetFormatPr defaultColWidth="9.140625" defaultRowHeight="15.75"/>
  <cols>
    <col min="1" max="2" width="11.5703125" style="435" bestFit="1" customWidth="1"/>
    <col min="3" max="3" width="14.28515625" style="435" bestFit="1" customWidth="1"/>
    <col min="4" max="4" width="8" style="435" bestFit="1" customWidth="1"/>
    <col min="5" max="5" width="11" style="435" bestFit="1" customWidth="1"/>
    <col min="6" max="7" width="8.5703125" style="435" bestFit="1" customWidth="1"/>
    <col min="8" max="16384" width="9.140625" style="435"/>
  </cols>
  <sheetData>
    <row r="1" spans="1:7" ht="18.75">
      <c r="A1" s="435" t="s">
        <v>485</v>
      </c>
      <c r="B1" s="435" t="s">
        <v>485</v>
      </c>
      <c r="C1" s="435" t="s">
        <v>486</v>
      </c>
      <c r="D1" s="436" t="s">
        <v>487</v>
      </c>
      <c r="E1" s="437" t="s">
        <v>488</v>
      </c>
      <c r="F1" s="438" t="s">
        <v>485</v>
      </c>
      <c r="G1" s="439" t="s">
        <v>879</v>
      </c>
    </row>
    <row r="2" spans="1:7" ht="16.5">
      <c r="A2" s="440" t="s">
        <v>490</v>
      </c>
      <c r="B2" s="440" t="s">
        <v>490</v>
      </c>
      <c r="C2" s="440" t="s">
        <v>491</v>
      </c>
      <c r="D2" s="441">
        <v>42.5</v>
      </c>
      <c r="E2" s="437">
        <v>100</v>
      </c>
      <c r="F2" s="438" t="s">
        <v>492</v>
      </c>
      <c r="G2" s="439" t="s">
        <v>880</v>
      </c>
    </row>
    <row r="3" spans="1:7" ht="18.75">
      <c r="A3" s="440" t="s">
        <v>494</v>
      </c>
      <c r="B3" s="440" t="s">
        <v>490</v>
      </c>
      <c r="C3" s="440" t="s">
        <v>495</v>
      </c>
      <c r="D3" s="441">
        <v>42.5</v>
      </c>
      <c r="E3" s="437">
        <v>103</v>
      </c>
      <c r="F3" s="442" t="s">
        <v>487</v>
      </c>
      <c r="G3" s="439">
        <f ca="1">VLOOKUP(G2,INDIRECT(G1),2,FALSE)</f>
        <v>42.5</v>
      </c>
    </row>
    <row r="4" spans="1:7" ht="16.5">
      <c r="A4" s="440" t="s">
        <v>496</v>
      </c>
      <c r="B4" s="440" t="s">
        <v>490</v>
      </c>
      <c r="C4" s="440" t="s">
        <v>497</v>
      </c>
      <c r="D4" s="441">
        <v>42.5</v>
      </c>
      <c r="E4" s="437">
        <v>104</v>
      </c>
    </row>
    <row r="5" spans="1:7" ht="16.5">
      <c r="A5" s="440" t="s">
        <v>498</v>
      </c>
      <c r="B5" s="440" t="s">
        <v>490</v>
      </c>
      <c r="C5" s="440" t="s">
        <v>499</v>
      </c>
      <c r="D5" s="441">
        <v>42.5</v>
      </c>
      <c r="E5" s="437">
        <v>105</v>
      </c>
    </row>
    <row r="6" spans="1:7" ht="16.5">
      <c r="A6" s="440" t="s">
        <v>500</v>
      </c>
      <c r="B6" s="440" t="s">
        <v>490</v>
      </c>
      <c r="C6" s="440" t="s">
        <v>501</v>
      </c>
      <c r="D6" s="441">
        <v>42.5</v>
      </c>
      <c r="E6" s="437">
        <v>106</v>
      </c>
    </row>
    <row r="7" spans="1:7" ht="16.5">
      <c r="A7" s="440" t="s">
        <v>502</v>
      </c>
      <c r="B7" s="440" t="s">
        <v>490</v>
      </c>
      <c r="C7" s="440" t="s">
        <v>503</v>
      </c>
      <c r="D7" s="441">
        <v>42.5</v>
      </c>
      <c r="E7" s="437">
        <v>108</v>
      </c>
    </row>
    <row r="8" spans="1:7" ht="16.5">
      <c r="A8" s="440" t="s">
        <v>504</v>
      </c>
      <c r="B8" s="440" t="s">
        <v>490</v>
      </c>
      <c r="C8" s="440" t="s">
        <v>505</v>
      </c>
      <c r="D8" s="441">
        <v>42.5</v>
      </c>
      <c r="E8" s="437">
        <v>110</v>
      </c>
    </row>
    <row r="9" spans="1:7" ht="16.5">
      <c r="A9" s="440" t="s">
        <v>506</v>
      </c>
      <c r="B9" s="440" t="s">
        <v>490</v>
      </c>
      <c r="C9" s="440" t="s">
        <v>507</v>
      </c>
      <c r="D9" s="441">
        <v>42.5</v>
      </c>
      <c r="E9" s="437">
        <v>111</v>
      </c>
    </row>
    <row r="10" spans="1:7" ht="16.5">
      <c r="A10" s="440" t="s">
        <v>509</v>
      </c>
      <c r="B10" s="440" t="s">
        <v>490</v>
      </c>
      <c r="C10" s="440" t="s">
        <v>508</v>
      </c>
      <c r="D10" s="441">
        <v>42.5</v>
      </c>
      <c r="E10" s="437">
        <v>112</v>
      </c>
    </row>
    <row r="11" spans="1:7" ht="16.5">
      <c r="A11" s="440" t="s">
        <v>512</v>
      </c>
      <c r="B11" s="440" t="s">
        <v>490</v>
      </c>
      <c r="C11" s="440" t="s">
        <v>510</v>
      </c>
      <c r="D11" s="441">
        <v>42.5</v>
      </c>
      <c r="E11" s="437">
        <v>114</v>
      </c>
    </row>
    <row r="12" spans="1:7" ht="16.5">
      <c r="A12" s="440" t="s">
        <v>514</v>
      </c>
      <c r="B12" s="440" t="s">
        <v>490</v>
      </c>
      <c r="C12" s="440" t="s">
        <v>511</v>
      </c>
      <c r="D12" s="441">
        <v>42.5</v>
      </c>
      <c r="E12" s="437">
        <v>115</v>
      </c>
    </row>
    <row r="13" spans="1:7" ht="16.5">
      <c r="A13" s="440" t="s">
        <v>516</v>
      </c>
      <c r="B13" s="440" t="s">
        <v>490</v>
      </c>
      <c r="C13" s="440" t="s">
        <v>513</v>
      </c>
      <c r="D13" s="441">
        <v>42.5</v>
      </c>
      <c r="E13" s="437">
        <v>116</v>
      </c>
    </row>
    <row r="14" spans="1:7" ht="16.5">
      <c r="A14" s="440" t="s">
        <v>517</v>
      </c>
      <c r="B14" s="440" t="s">
        <v>494</v>
      </c>
      <c r="C14" s="440" t="s">
        <v>515</v>
      </c>
      <c r="D14" s="441">
        <v>42.5</v>
      </c>
      <c r="E14" s="437">
        <v>200</v>
      </c>
    </row>
    <row r="15" spans="1:7" ht="16.5">
      <c r="A15" s="440" t="s">
        <v>518</v>
      </c>
      <c r="B15" s="440" t="s">
        <v>494</v>
      </c>
      <c r="C15" s="440" t="s">
        <v>505</v>
      </c>
      <c r="D15" s="441">
        <v>42.5</v>
      </c>
      <c r="E15" s="437">
        <v>201</v>
      </c>
    </row>
    <row r="16" spans="1:7" ht="16.5">
      <c r="A16" s="440" t="s">
        <v>520</v>
      </c>
      <c r="B16" s="440" t="s">
        <v>494</v>
      </c>
      <c r="C16" s="440" t="s">
        <v>491</v>
      </c>
      <c r="D16" s="441">
        <v>42.5</v>
      </c>
      <c r="E16" s="437">
        <v>202</v>
      </c>
    </row>
    <row r="17" spans="1:5" ht="16.5">
      <c r="A17" s="440" t="s">
        <v>521</v>
      </c>
      <c r="B17" s="440" t="s">
        <v>494</v>
      </c>
      <c r="C17" s="440" t="s">
        <v>519</v>
      </c>
      <c r="D17" s="441">
        <v>57</v>
      </c>
      <c r="E17" s="437">
        <v>202</v>
      </c>
    </row>
    <row r="18" spans="1:5" ht="16.5">
      <c r="A18" s="440" t="s">
        <v>523</v>
      </c>
      <c r="B18" s="440" t="s">
        <v>494</v>
      </c>
      <c r="C18" s="440" t="s">
        <v>497</v>
      </c>
      <c r="D18" s="441">
        <v>42.5</v>
      </c>
      <c r="E18" s="437">
        <v>203</v>
      </c>
    </row>
    <row r="19" spans="1:5" ht="16.5">
      <c r="A19" s="440" t="s">
        <v>525</v>
      </c>
      <c r="B19" s="440" t="s">
        <v>494</v>
      </c>
      <c r="C19" s="440" t="s">
        <v>522</v>
      </c>
      <c r="D19" s="441">
        <v>42.5</v>
      </c>
      <c r="E19" s="437">
        <v>204</v>
      </c>
    </row>
    <row r="20" spans="1:5" ht="16.5">
      <c r="A20" s="440" t="s">
        <v>527</v>
      </c>
      <c r="B20" s="440" t="s">
        <v>494</v>
      </c>
      <c r="C20" s="440" t="s">
        <v>524</v>
      </c>
      <c r="D20" s="441">
        <v>42.5</v>
      </c>
      <c r="E20" s="437">
        <v>205</v>
      </c>
    </row>
    <row r="21" spans="1:5" ht="16.5">
      <c r="A21" s="440" t="s">
        <v>529</v>
      </c>
      <c r="B21" s="440" t="s">
        <v>494</v>
      </c>
      <c r="C21" s="440" t="s">
        <v>526</v>
      </c>
      <c r="D21" s="441">
        <v>42.5</v>
      </c>
      <c r="E21" s="437">
        <v>206</v>
      </c>
    </row>
    <row r="22" spans="1:5" ht="16.5">
      <c r="A22" s="440" t="s">
        <v>531</v>
      </c>
      <c r="B22" s="440" t="s">
        <v>496</v>
      </c>
      <c r="C22" s="440" t="s">
        <v>528</v>
      </c>
      <c r="D22" s="441">
        <v>42.5</v>
      </c>
      <c r="E22" s="437">
        <v>207</v>
      </c>
    </row>
    <row r="23" spans="1:5" ht="16.5">
      <c r="A23" s="440" t="s">
        <v>533</v>
      </c>
      <c r="B23" s="440" t="s">
        <v>496</v>
      </c>
      <c r="C23" s="440" t="s">
        <v>530</v>
      </c>
      <c r="D23" s="441">
        <v>42.5</v>
      </c>
      <c r="E23" s="437">
        <v>208</v>
      </c>
    </row>
    <row r="24" spans="1:5" ht="16.5">
      <c r="A24" s="443" t="s">
        <v>535</v>
      </c>
      <c r="B24" s="440" t="s">
        <v>496</v>
      </c>
      <c r="C24" s="440" t="s">
        <v>532</v>
      </c>
      <c r="D24" s="441">
        <v>37.5</v>
      </c>
      <c r="E24" s="437">
        <v>220</v>
      </c>
    </row>
    <row r="25" spans="1:5" ht="16.5">
      <c r="B25" s="440" t="s">
        <v>496</v>
      </c>
      <c r="C25" s="440" t="s">
        <v>534</v>
      </c>
      <c r="D25" s="441">
        <v>42.5</v>
      </c>
      <c r="E25" s="437">
        <v>221</v>
      </c>
    </row>
    <row r="26" spans="1:5" ht="16.5">
      <c r="B26" s="440" t="s">
        <v>496</v>
      </c>
      <c r="C26" s="440" t="s">
        <v>536</v>
      </c>
      <c r="D26" s="441">
        <v>42.5</v>
      </c>
      <c r="E26" s="437">
        <v>222</v>
      </c>
    </row>
    <row r="27" spans="1:5" ht="16.5">
      <c r="B27" s="440" t="s">
        <v>496</v>
      </c>
      <c r="C27" s="440" t="s">
        <v>537</v>
      </c>
      <c r="D27" s="441">
        <v>42.5</v>
      </c>
      <c r="E27" s="437">
        <v>223</v>
      </c>
    </row>
    <row r="28" spans="1:5" ht="16.5">
      <c r="B28" s="440" t="s">
        <v>496</v>
      </c>
      <c r="C28" s="440" t="s">
        <v>538</v>
      </c>
      <c r="D28" s="441">
        <v>42.5</v>
      </c>
      <c r="E28" s="437">
        <v>224</v>
      </c>
    </row>
    <row r="29" spans="1:5" ht="16.5">
      <c r="B29" s="440" t="s">
        <v>496</v>
      </c>
      <c r="C29" s="440" t="s">
        <v>539</v>
      </c>
      <c r="D29" s="441">
        <v>42.5</v>
      </c>
      <c r="E29" s="437">
        <v>226</v>
      </c>
    </row>
    <row r="30" spans="1:5" ht="16.5">
      <c r="B30" s="440" t="s">
        <v>496</v>
      </c>
      <c r="C30" s="440" t="s">
        <v>540</v>
      </c>
      <c r="D30" s="441">
        <v>42.5</v>
      </c>
      <c r="E30" s="437">
        <v>227</v>
      </c>
    </row>
    <row r="31" spans="1:5" ht="16.5">
      <c r="B31" s="440" t="s">
        <v>496</v>
      </c>
      <c r="C31" s="440" t="s">
        <v>541</v>
      </c>
      <c r="D31" s="441">
        <v>42.5</v>
      </c>
      <c r="E31" s="437">
        <v>228</v>
      </c>
    </row>
    <row r="32" spans="1:5" ht="16.5">
      <c r="B32" s="440" t="s">
        <v>496</v>
      </c>
      <c r="C32" s="440" t="s">
        <v>542</v>
      </c>
      <c r="D32" s="441">
        <v>37.5</v>
      </c>
      <c r="E32" s="437">
        <v>231</v>
      </c>
    </row>
    <row r="33" spans="2:5" ht="16.5">
      <c r="B33" s="440" t="s">
        <v>496</v>
      </c>
      <c r="C33" s="440" t="s">
        <v>543</v>
      </c>
      <c r="D33" s="441">
        <v>42.5</v>
      </c>
      <c r="E33" s="437">
        <v>232</v>
      </c>
    </row>
    <row r="34" spans="2:5" ht="16.5">
      <c r="B34" s="440" t="s">
        <v>496</v>
      </c>
      <c r="C34" s="440" t="s">
        <v>544</v>
      </c>
      <c r="D34" s="441">
        <v>37.5</v>
      </c>
      <c r="E34" s="437">
        <v>233</v>
      </c>
    </row>
    <row r="35" spans="2:5" ht="16.5">
      <c r="B35" s="440" t="s">
        <v>496</v>
      </c>
      <c r="C35" s="440" t="s">
        <v>545</v>
      </c>
      <c r="D35" s="441">
        <v>37.5</v>
      </c>
      <c r="E35" s="437">
        <v>234</v>
      </c>
    </row>
    <row r="36" spans="2:5" ht="16.5">
      <c r="B36" s="440" t="s">
        <v>496</v>
      </c>
      <c r="C36" s="440" t="s">
        <v>546</v>
      </c>
      <c r="D36" s="441">
        <v>37.5</v>
      </c>
      <c r="E36" s="437">
        <v>235</v>
      </c>
    </row>
    <row r="37" spans="2:5" ht="16.5">
      <c r="B37" s="440" t="s">
        <v>496</v>
      </c>
      <c r="C37" s="440" t="s">
        <v>547</v>
      </c>
      <c r="D37" s="441">
        <v>37.5</v>
      </c>
      <c r="E37" s="437">
        <v>236</v>
      </c>
    </row>
    <row r="38" spans="2:5" ht="16.5">
      <c r="B38" s="440" t="s">
        <v>496</v>
      </c>
      <c r="C38" s="440" t="s">
        <v>548</v>
      </c>
      <c r="D38" s="441">
        <v>37.5</v>
      </c>
      <c r="E38" s="437">
        <v>237</v>
      </c>
    </row>
    <row r="39" spans="2:5" ht="16.5">
      <c r="B39" s="440" t="s">
        <v>496</v>
      </c>
      <c r="C39" s="440" t="s">
        <v>549</v>
      </c>
      <c r="D39" s="441">
        <v>37.5</v>
      </c>
      <c r="E39" s="437">
        <v>238</v>
      </c>
    </row>
    <row r="40" spans="2:5" ht="16.5">
      <c r="B40" s="440" t="s">
        <v>496</v>
      </c>
      <c r="C40" s="440" t="s">
        <v>550</v>
      </c>
      <c r="D40" s="441">
        <v>37.5</v>
      </c>
      <c r="E40" s="437">
        <v>239</v>
      </c>
    </row>
    <row r="41" spans="2:5" ht="16.5">
      <c r="B41" s="440" t="s">
        <v>496</v>
      </c>
      <c r="C41" s="440" t="s">
        <v>551</v>
      </c>
      <c r="D41" s="441">
        <v>37.5</v>
      </c>
      <c r="E41" s="437">
        <v>241</v>
      </c>
    </row>
    <row r="42" spans="2:5" ht="16.5">
      <c r="B42" s="440" t="s">
        <v>496</v>
      </c>
      <c r="C42" s="440" t="s">
        <v>552</v>
      </c>
      <c r="D42" s="441">
        <v>37.5</v>
      </c>
      <c r="E42" s="437">
        <v>242</v>
      </c>
    </row>
    <row r="43" spans="2:5" ht="16.5">
      <c r="B43" s="440" t="s">
        <v>496</v>
      </c>
      <c r="C43" s="440" t="s">
        <v>553</v>
      </c>
      <c r="D43" s="441">
        <v>37.5</v>
      </c>
      <c r="E43" s="437">
        <v>243</v>
      </c>
    </row>
    <row r="44" spans="2:5" ht="16.5">
      <c r="B44" s="440" t="s">
        <v>496</v>
      </c>
      <c r="C44" s="440" t="s">
        <v>554</v>
      </c>
      <c r="D44" s="441">
        <v>37.5</v>
      </c>
      <c r="E44" s="437">
        <v>244</v>
      </c>
    </row>
    <row r="45" spans="2:5" ht="16.5">
      <c r="B45" s="440" t="s">
        <v>496</v>
      </c>
      <c r="C45" s="440" t="s">
        <v>555</v>
      </c>
      <c r="D45" s="441">
        <v>37.5</v>
      </c>
      <c r="E45" s="437">
        <v>247</v>
      </c>
    </row>
    <row r="46" spans="2:5" ht="16.5">
      <c r="B46" s="440" t="s">
        <v>496</v>
      </c>
      <c r="C46" s="440" t="s">
        <v>556</v>
      </c>
      <c r="D46" s="441">
        <v>37.5</v>
      </c>
      <c r="E46" s="437">
        <v>248</v>
      </c>
    </row>
    <row r="47" spans="2:5" ht="16.5">
      <c r="B47" s="440" t="s">
        <v>496</v>
      </c>
      <c r="C47" s="440" t="s">
        <v>557</v>
      </c>
      <c r="D47" s="441">
        <v>37.5</v>
      </c>
      <c r="E47" s="437">
        <v>249</v>
      </c>
    </row>
    <row r="48" spans="2:5" ht="16.5">
      <c r="B48" s="440" t="s">
        <v>496</v>
      </c>
      <c r="C48" s="440" t="s">
        <v>558</v>
      </c>
      <c r="D48" s="441">
        <v>42.5</v>
      </c>
      <c r="E48" s="437">
        <v>251</v>
      </c>
    </row>
    <row r="49" spans="2:5" ht="16.5">
      <c r="B49" s="440" t="s">
        <v>496</v>
      </c>
      <c r="C49" s="440" t="s">
        <v>559</v>
      </c>
      <c r="D49" s="441">
        <v>42.5</v>
      </c>
      <c r="E49" s="437">
        <v>252</v>
      </c>
    </row>
    <row r="50" spans="2:5" ht="16.5">
      <c r="B50" s="440" t="s">
        <v>496</v>
      </c>
      <c r="C50" s="440" t="s">
        <v>560</v>
      </c>
      <c r="D50" s="441">
        <v>42.5</v>
      </c>
      <c r="E50" s="437">
        <v>253</v>
      </c>
    </row>
    <row r="51" spans="2:5" ht="16.5">
      <c r="B51" s="440" t="s">
        <v>498</v>
      </c>
      <c r="C51" s="440" t="s">
        <v>561</v>
      </c>
      <c r="D51" s="441">
        <v>37.5</v>
      </c>
      <c r="E51" s="437">
        <v>260</v>
      </c>
    </row>
    <row r="52" spans="2:5" ht="16.5">
      <c r="B52" s="440" t="s">
        <v>498</v>
      </c>
      <c r="C52" s="440" t="s">
        <v>562</v>
      </c>
      <c r="D52" s="441">
        <v>42.5</v>
      </c>
      <c r="E52" s="437">
        <v>261</v>
      </c>
    </row>
    <row r="53" spans="2:5" ht="16.5">
      <c r="B53" s="440" t="s">
        <v>498</v>
      </c>
      <c r="C53" s="440" t="s">
        <v>563</v>
      </c>
      <c r="D53" s="441">
        <v>37.5</v>
      </c>
      <c r="E53" s="437">
        <v>262</v>
      </c>
    </row>
    <row r="54" spans="2:5" ht="16.5">
      <c r="B54" s="440" t="s">
        <v>498</v>
      </c>
      <c r="C54" s="440" t="s">
        <v>564</v>
      </c>
      <c r="D54" s="441">
        <v>42.5</v>
      </c>
      <c r="E54" s="437">
        <v>263</v>
      </c>
    </row>
    <row r="55" spans="2:5" ht="16.5">
      <c r="B55" s="440" t="s">
        <v>498</v>
      </c>
      <c r="C55" s="440" t="s">
        <v>565</v>
      </c>
      <c r="D55" s="441">
        <v>37.5</v>
      </c>
      <c r="E55" s="437">
        <v>264</v>
      </c>
    </row>
    <row r="56" spans="2:5" ht="16.5">
      <c r="B56" s="440" t="s">
        <v>498</v>
      </c>
      <c r="C56" s="440" t="s">
        <v>566</v>
      </c>
      <c r="D56" s="441">
        <v>37.5</v>
      </c>
      <c r="E56" s="437">
        <v>265</v>
      </c>
    </row>
    <row r="57" spans="2:5" ht="16.5">
      <c r="B57" s="440" t="s">
        <v>498</v>
      </c>
      <c r="C57" s="440" t="s">
        <v>567</v>
      </c>
      <c r="D57" s="441">
        <v>37.5</v>
      </c>
      <c r="E57" s="437">
        <v>266</v>
      </c>
    </row>
    <row r="58" spans="2:5" ht="16.5">
      <c r="B58" s="440" t="s">
        <v>498</v>
      </c>
      <c r="C58" s="440" t="s">
        <v>568</v>
      </c>
      <c r="D58" s="441">
        <v>37.5</v>
      </c>
      <c r="E58" s="437">
        <v>267</v>
      </c>
    </row>
    <row r="59" spans="2:5" ht="16.5">
      <c r="B59" s="440" t="s">
        <v>498</v>
      </c>
      <c r="C59" s="440" t="s">
        <v>569</v>
      </c>
      <c r="D59" s="441">
        <v>42.5</v>
      </c>
      <c r="E59" s="437">
        <v>268</v>
      </c>
    </row>
    <row r="60" spans="2:5" ht="16.5">
      <c r="B60" s="440" t="s">
        <v>498</v>
      </c>
      <c r="C60" s="440" t="s">
        <v>570</v>
      </c>
      <c r="D60" s="441">
        <v>42.5</v>
      </c>
      <c r="E60" s="437">
        <v>269</v>
      </c>
    </row>
    <row r="61" spans="2:5" ht="16.5">
      <c r="B61" s="440" t="s">
        <v>498</v>
      </c>
      <c r="C61" s="440" t="s">
        <v>571</v>
      </c>
      <c r="D61" s="441">
        <v>42.5</v>
      </c>
      <c r="E61" s="437">
        <v>270</v>
      </c>
    </row>
    <row r="62" spans="2:5" ht="16.5">
      <c r="B62" s="440" t="s">
        <v>498</v>
      </c>
      <c r="C62" s="440" t="s">
        <v>572</v>
      </c>
      <c r="D62" s="441">
        <v>42.5</v>
      </c>
      <c r="E62" s="437">
        <v>272</v>
      </c>
    </row>
    <row r="63" spans="2:5" ht="16.5">
      <c r="B63" s="440" t="s">
        <v>498</v>
      </c>
      <c r="C63" s="440" t="s">
        <v>573</v>
      </c>
      <c r="D63" s="441"/>
      <c r="E63" s="437">
        <v>290</v>
      </c>
    </row>
    <row r="64" spans="2:5" ht="16.5">
      <c r="B64" s="440" t="s">
        <v>500</v>
      </c>
      <c r="C64" s="440" t="s">
        <v>574</v>
      </c>
      <c r="D64" s="441">
        <v>32.5</v>
      </c>
      <c r="E64" s="437">
        <v>300</v>
      </c>
    </row>
    <row r="65" spans="2:5" ht="16.5">
      <c r="B65" s="440" t="s">
        <v>500</v>
      </c>
      <c r="C65" s="440" t="s">
        <v>575</v>
      </c>
      <c r="D65" s="441">
        <v>32.5</v>
      </c>
      <c r="E65" s="437">
        <v>300</v>
      </c>
    </row>
    <row r="66" spans="2:5" ht="16.5">
      <c r="B66" s="440" t="s">
        <v>500</v>
      </c>
      <c r="C66" s="440" t="s">
        <v>576</v>
      </c>
      <c r="D66" s="441">
        <v>32.5</v>
      </c>
      <c r="E66" s="437">
        <v>300</v>
      </c>
    </row>
    <row r="67" spans="2:5" ht="16.5">
      <c r="B67" s="440" t="s">
        <v>502</v>
      </c>
      <c r="C67" s="440" t="s">
        <v>577</v>
      </c>
      <c r="D67" s="441">
        <v>32.5</v>
      </c>
      <c r="E67" s="437">
        <v>302</v>
      </c>
    </row>
    <row r="68" spans="2:5" ht="16.5">
      <c r="B68" s="440" t="s">
        <v>502</v>
      </c>
      <c r="C68" s="440" t="s">
        <v>578</v>
      </c>
      <c r="D68" s="441">
        <v>37.5</v>
      </c>
      <c r="E68" s="437">
        <v>303</v>
      </c>
    </row>
    <row r="69" spans="2:5" ht="16.5">
      <c r="B69" s="440" t="s">
        <v>502</v>
      </c>
      <c r="C69" s="440" t="s">
        <v>579</v>
      </c>
      <c r="D69" s="441">
        <v>37.5</v>
      </c>
      <c r="E69" s="437">
        <v>304</v>
      </c>
    </row>
    <row r="70" spans="2:5" ht="16.5">
      <c r="B70" s="440" t="s">
        <v>502</v>
      </c>
      <c r="C70" s="440" t="s">
        <v>580</v>
      </c>
      <c r="D70" s="441">
        <v>37.5</v>
      </c>
      <c r="E70" s="437">
        <v>305</v>
      </c>
    </row>
    <row r="71" spans="2:5" ht="16.5">
      <c r="B71" s="440" t="s">
        <v>502</v>
      </c>
      <c r="C71" s="440" t="s">
        <v>581</v>
      </c>
      <c r="D71" s="441">
        <v>37.5</v>
      </c>
      <c r="E71" s="437">
        <v>306</v>
      </c>
    </row>
    <row r="72" spans="2:5" ht="16.5">
      <c r="B72" s="440" t="s">
        <v>502</v>
      </c>
      <c r="C72" s="440" t="s">
        <v>582</v>
      </c>
      <c r="D72" s="441">
        <v>32.5</v>
      </c>
      <c r="E72" s="437">
        <v>307</v>
      </c>
    </row>
    <row r="73" spans="2:5" ht="16.5">
      <c r="B73" s="440" t="s">
        <v>502</v>
      </c>
      <c r="C73" s="440" t="s">
        <v>583</v>
      </c>
      <c r="D73" s="441">
        <v>32.5</v>
      </c>
      <c r="E73" s="437">
        <v>308</v>
      </c>
    </row>
    <row r="74" spans="2:5" ht="16.5">
      <c r="B74" s="440" t="s">
        <v>502</v>
      </c>
      <c r="C74" s="440" t="s">
        <v>584</v>
      </c>
      <c r="D74" s="441">
        <v>32.5</v>
      </c>
      <c r="E74" s="437">
        <v>310</v>
      </c>
    </row>
    <row r="75" spans="2:5" ht="16.5">
      <c r="B75" s="440" t="s">
        <v>502</v>
      </c>
      <c r="C75" s="440" t="s">
        <v>585</v>
      </c>
      <c r="D75" s="441">
        <v>32.5</v>
      </c>
      <c r="E75" s="437">
        <v>311</v>
      </c>
    </row>
    <row r="76" spans="2:5" ht="16.5">
      <c r="B76" s="440" t="s">
        <v>502</v>
      </c>
      <c r="C76" s="440" t="s">
        <v>586</v>
      </c>
      <c r="D76" s="441">
        <v>37.5</v>
      </c>
      <c r="E76" s="437">
        <v>312</v>
      </c>
    </row>
    <row r="77" spans="2:5" ht="16.5">
      <c r="B77" s="440" t="s">
        <v>502</v>
      </c>
      <c r="C77" s="440" t="s">
        <v>587</v>
      </c>
      <c r="D77" s="441">
        <v>37.5</v>
      </c>
      <c r="E77" s="437">
        <v>313</v>
      </c>
    </row>
    <row r="78" spans="2:5" ht="16.5">
      <c r="B78" s="440" t="s">
        <v>502</v>
      </c>
      <c r="C78" s="440" t="s">
        <v>588</v>
      </c>
      <c r="D78" s="441">
        <v>32.5</v>
      </c>
      <c r="E78" s="437">
        <v>314</v>
      </c>
    </row>
    <row r="79" spans="2:5" ht="16.5">
      <c r="B79" s="440" t="s">
        <v>502</v>
      </c>
      <c r="C79" s="440" t="s">
        <v>589</v>
      </c>
      <c r="D79" s="441">
        <v>32.5</v>
      </c>
      <c r="E79" s="437">
        <v>315</v>
      </c>
    </row>
    <row r="80" spans="2:5" ht="16.5">
      <c r="B80" s="440" t="s">
        <v>504</v>
      </c>
      <c r="C80" s="440" t="s">
        <v>590</v>
      </c>
      <c r="D80" s="441">
        <v>37.5</v>
      </c>
      <c r="E80" s="437">
        <v>320</v>
      </c>
    </row>
    <row r="81" spans="2:5" ht="16.5">
      <c r="B81" s="440" t="s">
        <v>504</v>
      </c>
      <c r="C81" s="440" t="s">
        <v>591</v>
      </c>
      <c r="D81" s="441">
        <v>37.5</v>
      </c>
      <c r="E81" s="437">
        <v>324</v>
      </c>
    </row>
    <row r="82" spans="2:5" ht="16.5">
      <c r="B82" s="440" t="s">
        <v>504</v>
      </c>
      <c r="C82" s="440" t="s">
        <v>592</v>
      </c>
      <c r="D82" s="441">
        <v>37.5</v>
      </c>
      <c r="E82" s="437">
        <v>325</v>
      </c>
    </row>
    <row r="83" spans="2:5" ht="16.5">
      <c r="B83" s="440" t="s">
        <v>504</v>
      </c>
      <c r="C83" s="440" t="s">
        <v>593</v>
      </c>
      <c r="D83" s="441">
        <v>37.5</v>
      </c>
      <c r="E83" s="437">
        <v>326</v>
      </c>
    </row>
    <row r="84" spans="2:5" ht="16.5">
      <c r="B84" s="440" t="s">
        <v>504</v>
      </c>
      <c r="C84" s="440" t="s">
        <v>594</v>
      </c>
      <c r="D84" s="441">
        <v>37.5</v>
      </c>
      <c r="E84" s="437">
        <v>327</v>
      </c>
    </row>
    <row r="85" spans="2:5" ht="16.5">
      <c r="B85" s="440" t="s">
        <v>504</v>
      </c>
      <c r="C85" s="440" t="s">
        <v>595</v>
      </c>
      <c r="D85" s="441">
        <v>37.5</v>
      </c>
      <c r="E85" s="437">
        <v>328</v>
      </c>
    </row>
    <row r="86" spans="2:5" ht="16.5">
      <c r="B86" s="440" t="s">
        <v>504</v>
      </c>
      <c r="C86" s="440" t="s">
        <v>596</v>
      </c>
      <c r="D86" s="441">
        <v>37.5</v>
      </c>
      <c r="E86" s="437">
        <v>330</v>
      </c>
    </row>
    <row r="87" spans="2:5" ht="16.5">
      <c r="B87" s="440" t="s">
        <v>504</v>
      </c>
      <c r="C87" s="440" t="s">
        <v>597</v>
      </c>
      <c r="D87" s="441">
        <v>37.5</v>
      </c>
      <c r="E87" s="437">
        <v>333</v>
      </c>
    </row>
    <row r="88" spans="2:5" ht="16.5">
      <c r="B88" s="440" t="s">
        <v>504</v>
      </c>
      <c r="C88" s="440" t="s">
        <v>598</v>
      </c>
      <c r="D88" s="441">
        <v>37.5</v>
      </c>
      <c r="E88" s="437">
        <v>334</v>
      </c>
    </row>
    <row r="89" spans="2:5" ht="16.5">
      <c r="B89" s="440" t="s">
        <v>504</v>
      </c>
      <c r="C89" s="440" t="s">
        <v>599</v>
      </c>
      <c r="D89" s="441">
        <v>37.5</v>
      </c>
      <c r="E89" s="437">
        <v>335</v>
      </c>
    </row>
    <row r="90" spans="2:5" ht="16.5">
      <c r="B90" s="440" t="s">
        <v>504</v>
      </c>
      <c r="C90" s="440" t="s">
        <v>600</v>
      </c>
      <c r="D90" s="441">
        <v>37.5</v>
      </c>
      <c r="E90" s="437">
        <v>336</v>
      </c>
    </row>
    <row r="91" spans="2:5" ht="16.5">
      <c r="B91" s="440" t="s">
        <v>504</v>
      </c>
      <c r="C91" s="440" t="s">
        <v>601</v>
      </c>
      <c r="D91" s="441">
        <v>37.5</v>
      </c>
      <c r="E91" s="437">
        <v>337</v>
      </c>
    </row>
    <row r="92" spans="2:5" ht="16.5">
      <c r="B92" s="440" t="s">
        <v>504</v>
      </c>
      <c r="C92" s="440" t="s">
        <v>602</v>
      </c>
      <c r="D92" s="441">
        <v>37.5</v>
      </c>
      <c r="E92" s="437">
        <v>338</v>
      </c>
    </row>
    <row r="93" spans="2:5" ht="16.5">
      <c r="B93" s="440" t="s">
        <v>506</v>
      </c>
      <c r="C93" s="440" t="s">
        <v>603</v>
      </c>
      <c r="D93" s="441">
        <v>32.5</v>
      </c>
      <c r="E93" s="437">
        <v>350</v>
      </c>
    </row>
    <row r="94" spans="2:5" ht="16.5">
      <c r="B94" s="440" t="s">
        <v>506</v>
      </c>
      <c r="C94" s="440" t="s">
        <v>604</v>
      </c>
      <c r="D94" s="441">
        <v>32.5</v>
      </c>
      <c r="E94" s="437">
        <v>351</v>
      </c>
    </row>
    <row r="95" spans="2:5" ht="16.5">
      <c r="B95" s="440" t="s">
        <v>506</v>
      </c>
      <c r="C95" s="440" t="s">
        <v>605</v>
      </c>
      <c r="D95" s="441">
        <v>32.5</v>
      </c>
      <c r="E95" s="437">
        <v>352</v>
      </c>
    </row>
    <row r="96" spans="2:5" ht="16.5">
      <c r="B96" s="440" t="s">
        <v>506</v>
      </c>
      <c r="C96" s="440" t="s">
        <v>606</v>
      </c>
      <c r="D96" s="441">
        <v>32.5</v>
      </c>
      <c r="E96" s="437">
        <v>353</v>
      </c>
    </row>
    <row r="97" spans="2:5" ht="16.5">
      <c r="B97" s="440" t="s">
        <v>506</v>
      </c>
      <c r="C97" s="440" t="s">
        <v>607</v>
      </c>
      <c r="D97" s="441">
        <v>32.5</v>
      </c>
      <c r="E97" s="437">
        <v>354</v>
      </c>
    </row>
    <row r="98" spans="2:5" ht="16.5">
      <c r="B98" s="440" t="s">
        <v>506</v>
      </c>
      <c r="C98" s="440" t="s">
        <v>608</v>
      </c>
      <c r="D98" s="441">
        <v>32.5</v>
      </c>
      <c r="E98" s="437">
        <v>356</v>
      </c>
    </row>
    <row r="99" spans="2:5" ht="16.5">
      <c r="B99" s="440" t="s">
        <v>506</v>
      </c>
      <c r="C99" s="440" t="s">
        <v>609</v>
      </c>
      <c r="D99" s="441">
        <v>32.5</v>
      </c>
      <c r="E99" s="437">
        <v>357</v>
      </c>
    </row>
    <row r="100" spans="2:5" ht="16.5">
      <c r="B100" s="440" t="s">
        <v>506</v>
      </c>
      <c r="C100" s="440" t="s">
        <v>610</v>
      </c>
      <c r="D100" s="441">
        <v>32.5</v>
      </c>
      <c r="E100" s="437">
        <v>358</v>
      </c>
    </row>
    <row r="101" spans="2:5" ht="16.5">
      <c r="B101" s="440" t="s">
        <v>506</v>
      </c>
      <c r="C101" s="440" t="s">
        <v>611</v>
      </c>
      <c r="D101" s="441">
        <v>32.5</v>
      </c>
      <c r="E101" s="437">
        <v>360</v>
      </c>
    </row>
    <row r="102" spans="2:5" ht="16.5">
      <c r="B102" s="440" t="s">
        <v>506</v>
      </c>
      <c r="C102" s="440" t="s">
        <v>612</v>
      </c>
      <c r="D102" s="441">
        <v>32.5</v>
      </c>
      <c r="E102" s="437">
        <v>361</v>
      </c>
    </row>
    <row r="103" spans="2:5" ht="16.5">
      <c r="B103" s="440" t="s">
        <v>506</v>
      </c>
      <c r="C103" s="440" t="s">
        <v>613</v>
      </c>
      <c r="D103" s="441">
        <v>32.5</v>
      </c>
      <c r="E103" s="437">
        <v>362</v>
      </c>
    </row>
    <row r="104" spans="2:5" ht="16.5">
      <c r="B104" s="440" t="s">
        <v>506</v>
      </c>
      <c r="C104" s="440" t="s">
        <v>614</v>
      </c>
      <c r="D104" s="441">
        <v>32.5</v>
      </c>
      <c r="E104" s="437">
        <v>363</v>
      </c>
    </row>
    <row r="105" spans="2:5" ht="16.5">
      <c r="B105" s="440" t="s">
        <v>506</v>
      </c>
      <c r="C105" s="440" t="s">
        <v>615</v>
      </c>
      <c r="D105" s="441">
        <v>32.5</v>
      </c>
      <c r="E105" s="437">
        <v>364</v>
      </c>
    </row>
    <row r="106" spans="2:5" ht="16.5">
      <c r="B106" s="440" t="s">
        <v>506</v>
      </c>
      <c r="C106" s="440" t="s">
        <v>616</v>
      </c>
      <c r="D106" s="441">
        <v>32.5</v>
      </c>
      <c r="E106" s="437">
        <v>365</v>
      </c>
    </row>
    <row r="107" spans="2:5" ht="16.5">
      <c r="B107" s="440" t="s">
        <v>506</v>
      </c>
      <c r="C107" s="440" t="s">
        <v>617</v>
      </c>
      <c r="D107" s="441">
        <v>32.5</v>
      </c>
      <c r="E107" s="437">
        <v>366</v>
      </c>
    </row>
    <row r="108" spans="2:5" ht="16.5">
      <c r="B108" s="440" t="s">
        <v>506</v>
      </c>
      <c r="C108" s="440" t="s">
        <v>618</v>
      </c>
      <c r="D108" s="441">
        <v>32.5</v>
      </c>
      <c r="E108" s="437">
        <v>367</v>
      </c>
    </row>
    <row r="109" spans="2:5" ht="16.5">
      <c r="B109" s="440" t="s">
        <v>506</v>
      </c>
      <c r="C109" s="440" t="s">
        <v>619</v>
      </c>
      <c r="D109" s="441">
        <v>32.5</v>
      </c>
      <c r="E109" s="437">
        <v>368</v>
      </c>
    </row>
    <row r="110" spans="2:5" ht="16.5">
      <c r="B110" s="440" t="s">
        <v>506</v>
      </c>
      <c r="C110" s="440" t="s">
        <v>620</v>
      </c>
      <c r="D110" s="441">
        <v>32.5</v>
      </c>
      <c r="E110" s="437">
        <v>369</v>
      </c>
    </row>
    <row r="111" spans="2:5" ht="16.5">
      <c r="B111" s="440" t="s">
        <v>509</v>
      </c>
      <c r="C111" s="440" t="s">
        <v>621</v>
      </c>
      <c r="D111" s="441">
        <v>32.5</v>
      </c>
      <c r="E111" s="437">
        <v>400</v>
      </c>
    </row>
    <row r="112" spans="2:5" ht="16.5">
      <c r="B112" s="440" t="s">
        <v>509</v>
      </c>
      <c r="C112" s="440" t="s">
        <v>574</v>
      </c>
      <c r="D112" s="441">
        <v>32.5</v>
      </c>
      <c r="E112" s="437">
        <v>401</v>
      </c>
    </row>
    <row r="113" spans="2:5" ht="16.5">
      <c r="B113" s="440" t="s">
        <v>509</v>
      </c>
      <c r="C113" s="440" t="s">
        <v>622</v>
      </c>
      <c r="D113" s="441">
        <v>32.5</v>
      </c>
      <c r="E113" s="437">
        <v>402</v>
      </c>
    </row>
    <row r="114" spans="2:5" ht="16.5">
      <c r="B114" s="440" t="s">
        <v>509</v>
      </c>
      <c r="C114" s="440" t="s">
        <v>623</v>
      </c>
      <c r="D114" s="441">
        <v>32.5</v>
      </c>
      <c r="E114" s="437">
        <v>403</v>
      </c>
    </row>
    <row r="115" spans="2:5" ht="16.5">
      <c r="B115" s="440" t="s">
        <v>509</v>
      </c>
      <c r="C115" s="440" t="s">
        <v>575</v>
      </c>
      <c r="D115" s="441">
        <v>32.5</v>
      </c>
      <c r="E115" s="437">
        <v>404</v>
      </c>
    </row>
    <row r="116" spans="2:5" ht="16.5">
      <c r="B116" s="440" t="s">
        <v>509</v>
      </c>
      <c r="C116" s="440" t="s">
        <v>624</v>
      </c>
      <c r="D116" s="441">
        <v>32.5</v>
      </c>
      <c r="E116" s="437">
        <v>406</v>
      </c>
    </row>
    <row r="117" spans="2:5" ht="16.5">
      <c r="B117" s="440" t="s">
        <v>509</v>
      </c>
      <c r="C117" s="440" t="s">
        <v>625</v>
      </c>
      <c r="D117" s="441">
        <v>32.5</v>
      </c>
      <c r="E117" s="437">
        <v>407</v>
      </c>
    </row>
    <row r="118" spans="2:5" ht="16.5">
      <c r="B118" s="440" t="s">
        <v>509</v>
      </c>
      <c r="C118" s="440" t="s">
        <v>626</v>
      </c>
      <c r="D118" s="441">
        <v>32.5</v>
      </c>
      <c r="E118" s="437">
        <v>408</v>
      </c>
    </row>
    <row r="119" spans="2:5" ht="16.5">
      <c r="B119" s="440" t="s">
        <v>509</v>
      </c>
      <c r="C119" s="440" t="s">
        <v>627</v>
      </c>
      <c r="D119" s="441">
        <v>32.5</v>
      </c>
      <c r="E119" s="437">
        <v>411</v>
      </c>
    </row>
    <row r="120" spans="2:5" ht="16.5">
      <c r="B120" s="440" t="s">
        <v>509</v>
      </c>
      <c r="C120" s="440" t="s">
        <v>628</v>
      </c>
      <c r="D120" s="441">
        <v>27.5</v>
      </c>
      <c r="E120" s="437">
        <v>412</v>
      </c>
    </row>
    <row r="121" spans="2:5" ht="16.5">
      <c r="B121" s="440" t="s">
        <v>509</v>
      </c>
      <c r="C121" s="440" t="s">
        <v>629</v>
      </c>
      <c r="D121" s="441">
        <v>27.5</v>
      </c>
      <c r="E121" s="437">
        <v>413</v>
      </c>
    </row>
    <row r="122" spans="2:5" ht="16.5">
      <c r="B122" s="440" t="s">
        <v>509</v>
      </c>
      <c r="C122" s="440" t="s">
        <v>630</v>
      </c>
      <c r="D122" s="441">
        <v>27.5</v>
      </c>
      <c r="E122" s="437">
        <v>414</v>
      </c>
    </row>
    <row r="123" spans="2:5" ht="16.5">
      <c r="B123" s="440" t="s">
        <v>509</v>
      </c>
      <c r="C123" s="440" t="s">
        <v>631</v>
      </c>
      <c r="D123" s="441">
        <v>32.5</v>
      </c>
      <c r="E123" s="437">
        <v>420</v>
      </c>
    </row>
    <row r="124" spans="2:5" ht="16.5">
      <c r="B124" s="440" t="s">
        <v>509</v>
      </c>
      <c r="C124" s="440" t="s">
        <v>632</v>
      </c>
      <c r="D124" s="441">
        <v>32.5</v>
      </c>
      <c r="E124" s="437">
        <v>421</v>
      </c>
    </row>
    <row r="125" spans="2:5" ht="16.5">
      <c r="B125" s="440" t="s">
        <v>509</v>
      </c>
      <c r="C125" s="440" t="s">
        <v>633</v>
      </c>
      <c r="D125" s="441">
        <v>32.5</v>
      </c>
      <c r="E125" s="437">
        <v>422</v>
      </c>
    </row>
    <row r="126" spans="2:5" ht="16.5">
      <c r="B126" s="440" t="s">
        <v>509</v>
      </c>
      <c r="C126" s="440" t="s">
        <v>634</v>
      </c>
      <c r="D126" s="441">
        <v>32.5</v>
      </c>
      <c r="E126" s="437">
        <v>423</v>
      </c>
    </row>
    <row r="127" spans="2:5" ht="16.5">
      <c r="B127" s="440" t="s">
        <v>509</v>
      </c>
      <c r="C127" s="440" t="s">
        <v>635</v>
      </c>
      <c r="D127" s="441">
        <v>37.5</v>
      </c>
      <c r="E127" s="437">
        <v>424</v>
      </c>
    </row>
    <row r="128" spans="2:5" ht="16.5">
      <c r="B128" s="440" t="s">
        <v>509</v>
      </c>
      <c r="C128" s="440" t="s">
        <v>636</v>
      </c>
      <c r="D128" s="441">
        <v>32.5</v>
      </c>
      <c r="E128" s="437">
        <v>426</v>
      </c>
    </row>
    <row r="129" spans="2:5" ht="16.5">
      <c r="B129" s="440" t="s">
        <v>509</v>
      </c>
      <c r="C129" s="440" t="s">
        <v>637</v>
      </c>
      <c r="D129" s="441">
        <v>32.5</v>
      </c>
      <c r="E129" s="437">
        <v>427</v>
      </c>
    </row>
    <row r="130" spans="2:5" ht="16.5">
      <c r="B130" s="440" t="s">
        <v>509</v>
      </c>
      <c r="C130" s="440" t="s">
        <v>638</v>
      </c>
      <c r="D130" s="441">
        <v>32.5</v>
      </c>
      <c r="E130" s="437">
        <v>428</v>
      </c>
    </row>
    <row r="131" spans="2:5" ht="16.5">
      <c r="B131" s="440" t="s">
        <v>509</v>
      </c>
      <c r="C131" s="440" t="s">
        <v>639</v>
      </c>
      <c r="D131" s="441">
        <v>32.5</v>
      </c>
      <c r="E131" s="437">
        <v>429</v>
      </c>
    </row>
    <row r="132" spans="2:5" ht="16.5">
      <c r="B132" s="440" t="s">
        <v>509</v>
      </c>
      <c r="C132" s="440" t="s">
        <v>640</v>
      </c>
      <c r="D132" s="441">
        <v>32.5</v>
      </c>
      <c r="E132" s="437">
        <v>432</v>
      </c>
    </row>
    <row r="133" spans="2:5" ht="16.5">
      <c r="B133" s="440" t="s">
        <v>509</v>
      </c>
      <c r="C133" s="440" t="s">
        <v>641</v>
      </c>
      <c r="D133" s="441">
        <v>32.5</v>
      </c>
      <c r="E133" s="437">
        <v>433</v>
      </c>
    </row>
    <row r="134" spans="2:5" ht="16.5">
      <c r="B134" s="440" t="s">
        <v>509</v>
      </c>
      <c r="C134" s="440" t="s">
        <v>642</v>
      </c>
      <c r="D134" s="441">
        <v>32.5</v>
      </c>
      <c r="E134" s="437">
        <v>434</v>
      </c>
    </row>
    <row r="135" spans="2:5" ht="16.5">
      <c r="B135" s="440" t="s">
        <v>509</v>
      </c>
      <c r="C135" s="440" t="s">
        <v>643</v>
      </c>
      <c r="D135" s="441">
        <v>32.5</v>
      </c>
      <c r="E135" s="437">
        <v>435</v>
      </c>
    </row>
    <row r="136" spans="2:5" ht="16.5">
      <c r="B136" s="440" t="s">
        <v>509</v>
      </c>
      <c r="C136" s="440" t="s">
        <v>644</v>
      </c>
      <c r="D136" s="441">
        <v>32.5</v>
      </c>
      <c r="E136" s="437">
        <v>436</v>
      </c>
    </row>
    <row r="137" spans="2:5" ht="16.5">
      <c r="B137" s="440" t="s">
        <v>509</v>
      </c>
      <c r="C137" s="440" t="s">
        <v>645</v>
      </c>
      <c r="D137" s="441">
        <v>32.5</v>
      </c>
      <c r="E137" s="437">
        <v>437</v>
      </c>
    </row>
    <row r="138" spans="2:5" ht="16.5">
      <c r="B138" s="440" t="s">
        <v>509</v>
      </c>
      <c r="C138" s="440" t="s">
        <v>646</v>
      </c>
      <c r="D138" s="441">
        <v>32.5</v>
      </c>
      <c r="E138" s="437">
        <v>438</v>
      </c>
    </row>
    <row r="139" spans="2:5" ht="16.5">
      <c r="B139" s="440" t="s">
        <v>509</v>
      </c>
      <c r="C139" s="440" t="s">
        <v>501</v>
      </c>
      <c r="D139" s="441">
        <v>32.5</v>
      </c>
      <c r="E139" s="437">
        <v>439</v>
      </c>
    </row>
    <row r="140" spans="2:5" ht="16.5">
      <c r="B140" s="440" t="s">
        <v>512</v>
      </c>
      <c r="C140" s="440" t="s">
        <v>647</v>
      </c>
      <c r="D140" s="441">
        <v>27.5</v>
      </c>
      <c r="E140" s="437">
        <v>500</v>
      </c>
    </row>
    <row r="141" spans="2:5" ht="16.5">
      <c r="B141" s="440" t="s">
        <v>512</v>
      </c>
      <c r="C141" s="440" t="s">
        <v>648</v>
      </c>
      <c r="D141" s="441">
        <v>27.5</v>
      </c>
      <c r="E141" s="437">
        <v>502</v>
      </c>
    </row>
    <row r="142" spans="2:5" ht="16.5">
      <c r="B142" s="440" t="s">
        <v>512</v>
      </c>
      <c r="C142" s="440" t="s">
        <v>649</v>
      </c>
      <c r="D142" s="441">
        <v>27.5</v>
      </c>
      <c r="E142" s="437">
        <v>503</v>
      </c>
    </row>
    <row r="143" spans="2:5" ht="16.5">
      <c r="B143" s="440" t="s">
        <v>512</v>
      </c>
      <c r="C143" s="440" t="s">
        <v>650</v>
      </c>
      <c r="D143" s="441">
        <v>27.5</v>
      </c>
      <c r="E143" s="437">
        <v>504</v>
      </c>
    </row>
    <row r="144" spans="2:5" ht="16.5">
      <c r="B144" s="440" t="s">
        <v>512</v>
      </c>
      <c r="C144" s="440" t="s">
        <v>651</v>
      </c>
      <c r="D144" s="441">
        <v>27.5</v>
      </c>
      <c r="E144" s="437">
        <v>505</v>
      </c>
    </row>
    <row r="145" spans="2:5" ht="16.5">
      <c r="B145" s="440" t="s">
        <v>512</v>
      </c>
      <c r="C145" s="440" t="s">
        <v>652</v>
      </c>
      <c r="D145" s="441">
        <v>27.5</v>
      </c>
      <c r="E145" s="437">
        <v>506</v>
      </c>
    </row>
    <row r="146" spans="2:5" ht="16.5">
      <c r="B146" s="440" t="s">
        <v>512</v>
      </c>
      <c r="C146" s="440" t="s">
        <v>653</v>
      </c>
      <c r="D146" s="441">
        <v>32.5</v>
      </c>
      <c r="E146" s="437">
        <v>507</v>
      </c>
    </row>
    <row r="147" spans="2:5" ht="16.5">
      <c r="B147" s="440" t="s">
        <v>512</v>
      </c>
      <c r="C147" s="440" t="s">
        <v>654</v>
      </c>
      <c r="D147" s="441">
        <v>32.5</v>
      </c>
      <c r="E147" s="437">
        <v>508</v>
      </c>
    </row>
    <row r="148" spans="2:5" ht="16.5">
      <c r="B148" s="440" t="s">
        <v>512</v>
      </c>
      <c r="C148" s="440" t="s">
        <v>655</v>
      </c>
      <c r="D148" s="441">
        <v>32.5</v>
      </c>
      <c r="E148" s="437">
        <v>509</v>
      </c>
    </row>
    <row r="149" spans="2:5" ht="16.5">
      <c r="B149" s="440" t="s">
        <v>512</v>
      </c>
      <c r="C149" s="440" t="s">
        <v>656</v>
      </c>
      <c r="D149" s="441">
        <v>27.5</v>
      </c>
      <c r="E149" s="437">
        <v>510</v>
      </c>
    </row>
    <row r="150" spans="2:5" ht="16.5">
      <c r="B150" s="440" t="s">
        <v>512</v>
      </c>
      <c r="C150" s="440" t="s">
        <v>657</v>
      </c>
      <c r="D150" s="441">
        <v>27.5</v>
      </c>
      <c r="E150" s="437">
        <v>511</v>
      </c>
    </row>
    <row r="151" spans="2:5" ht="16.5">
      <c r="B151" s="440" t="s">
        <v>512</v>
      </c>
      <c r="C151" s="440" t="s">
        <v>658</v>
      </c>
      <c r="D151" s="441">
        <v>27.5</v>
      </c>
      <c r="E151" s="437">
        <v>512</v>
      </c>
    </row>
    <row r="152" spans="2:5" ht="16.5">
      <c r="B152" s="440" t="s">
        <v>512</v>
      </c>
      <c r="C152" s="440" t="s">
        <v>659</v>
      </c>
      <c r="D152" s="441">
        <v>27.5</v>
      </c>
      <c r="E152" s="437">
        <v>513</v>
      </c>
    </row>
    <row r="153" spans="2:5" ht="16.5">
      <c r="B153" s="440" t="s">
        <v>512</v>
      </c>
      <c r="C153" s="440" t="s">
        <v>660</v>
      </c>
      <c r="D153" s="441">
        <v>27.5</v>
      </c>
      <c r="E153" s="437">
        <v>514</v>
      </c>
    </row>
    <row r="154" spans="2:5" ht="16.5">
      <c r="B154" s="440" t="s">
        <v>512</v>
      </c>
      <c r="C154" s="440" t="s">
        <v>661</v>
      </c>
      <c r="D154" s="441">
        <v>27.5</v>
      </c>
      <c r="E154" s="437">
        <v>515</v>
      </c>
    </row>
    <row r="155" spans="2:5" ht="16.5">
      <c r="B155" s="440" t="s">
        <v>512</v>
      </c>
      <c r="C155" s="440" t="s">
        <v>662</v>
      </c>
      <c r="D155" s="441">
        <v>27.5</v>
      </c>
      <c r="E155" s="437">
        <v>516</v>
      </c>
    </row>
    <row r="156" spans="2:5" ht="16.5">
      <c r="B156" s="440" t="s">
        <v>512</v>
      </c>
      <c r="C156" s="440" t="s">
        <v>663</v>
      </c>
      <c r="D156" s="441">
        <v>27.5</v>
      </c>
      <c r="E156" s="437">
        <v>520</v>
      </c>
    </row>
    <row r="157" spans="2:5" ht="16.5">
      <c r="B157" s="440" t="s">
        <v>512</v>
      </c>
      <c r="C157" s="440" t="s">
        <v>664</v>
      </c>
      <c r="D157" s="441">
        <v>27.5</v>
      </c>
      <c r="E157" s="437">
        <v>521</v>
      </c>
    </row>
    <row r="158" spans="2:5" ht="16.5">
      <c r="B158" s="440" t="s">
        <v>512</v>
      </c>
      <c r="C158" s="440" t="s">
        <v>665</v>
      </c>
      <c r="D158" s="441">
        <v>27.5</v>
      </c>
      <c r="E158" s="437">
        <v>522</v>
      </c>
    </row>
    <row r="159" spans="2:5" ht="16.5">
      <c r="B159" s="440" t="s">
        <v>512</v>
      </c>
      <c r="C159" s="440" t="s">
        <v>666</v>
      </c>
      <c r="D159" s="441">
        <v>27.5</v>
      </c>
      <c r="E159" s="437">
        <v>523</v>
      </c>
    </row>
    <row r="160" spans="2:5" ht="16.5">
      <c r="B160" s="440" t="s">
        <v>512</v>
      </c>
      <c r="C160" s="440" t="s">
        <v>667</v>
      </c>
      <c r="D160" s="441">
        <v>27.5</v>
      </c>
      <c r="E160" s="437">
        <v>524</v>
      </c>
    </row>
    <row r="161" spans="2:5" ht="16.5">
      <c r="B161" s="440" t="s">
        <v>512</v>
      </c>
      <c r="C161" s="440" t="s">
        <v>668</v>
      </c>
      <c r="D161" s="441">
        <v>27.5</v>
      </c>
      <c r="E161" s="437">
        <v>525</v>
      </c>
    </row>
    <row r="162" spans="2:5" ht="16.5">
      <c r="B162" s="440" t="s">
        <v>512</v>
      </c>
      <c r="C162" s="440" t="s">
        <v>669</v>
      </c>
      <c r="D162" s="441">
        <v>27.5</v>
      </c>
      <c r="E162" s="437">
        <v>526</v>
      </c>
    </row>
    <row r="163" spans="2:5" ht="16.5">
      <c r="B163" s="440" t="s">
        <v>512</v>
      </c>
      <c r="C163" s="440" t="s">
        <v>670</v>
      </c>
      <c r="D163" s="441">
        <v>27.5</v>
      </c>
      <c r="E163" s="437">
        <v>527</v>
      </c>
    </row>
    <row r="164" spans="2:5" ht="16.5">
      <c r="B164" s="440" t="s">
        <v>512</v>
      </c>
      <c r="C164" s="440" t="s">
        <v>671</v>
      </c>
      <c r="D164" s="441">
        <v>27.5</v>
      </c>
      <c r="E164" s="437">
        <v>528</v>
      </c>
    </row>
    <row r="165" spans="2:5" ht="16.5">
      <c r="B165" s="440" t="s">
        <v>512</v>
      </c>
      <c r="C165" s="440" t="s">
        <v>672</v>
      </c>
      <c r="D165" s="441">
        <v>27.5</v>
      </c>
      <c r="E165" s="437">
        <v>530</v>
      </c>
    </row>
    <row r="166" spans="2:5" ht="16.5">
      <c r="B166" s="440" t="s">
        <v>514</v>
      </c>
      <c r="C166" s="440" t="s">
        <v>673</v>
      </c>
      <c r="D166" s="441">
        <v>27.5</v>
      </c>
      <c r="E166" s="437">
        <v>540</v>
      </c>
    </row>
    <row r="167" spans="2:5" ht="16.5">
      <c r="B167" s="440" t="s">
        <v>514</v>
      </c>
      <c r="C167" s="440" t="s">
        <v>674</v>
      </c>
      <c r="D167" s="441">
        <v>27.5</v>
      </c>
      <c r="E167" s="437">
        <v>541</v>
      </c>
    </row>
    <row r="168" spans="2:5" ht="16.5">
      <c r="B168" s="440" t="s">
        <v>514</v>
      </c>
      <c r="C168" s="440" t="s">
        <v>675</v>
      </c>
      <c r="D168" s="441">
        <v>27.5</v>
      </c>
      <c r="E168" s="437">
        <v>542</v>
      </c>
    </row>
    <row r="169" spans="2:5" ht="16.5">
      <c r="B169" s="440" t="s">
        <v>514</v>
      </c>
      <c r="C169" s="440" t="s">
        <v>676</v>
      </c>
      <c r="D169" s="441">
        <v>27.5</v>
      </c>
      <c r="E169" s="437">
        <v>544</v>
      </c>
    </row>
    <row r="170" spans="2:5" ht="16.5">
      <c r="B170" s="440" t="s">
        <v>514</v>
      </c>
      <c r="C170" s="440" t="s">
        <v>677</v>
      </c>
      <c r="D170" s="441">
        <v>27.5</v>
      </c>
      <c r="E170" s="437">
        <v>545</v>
      </c>
    </row>
    <row r="171" spans="2:5" ht="16.5">
      <c r="B171" s="440" t="s">
        <v>514</v>
      </c>
      <c r="C171" s="440" t="s">
        <v>678</v>
      </c>
      <c r="D171" s="441">
        <v>32.5</v>
      </c>
      <c r="E171" s="437">
        <v>546</v>
      </c>
    </row>
    <row r="172" spans="2:5" ht="16.5">
      <c r="B172" s="440" t="s">
        <v>514</v>
      </c>
      <c r="C172" s="440" t="s">
        <v>679</v>
      </c>
      <c r="D172" s="441">
        <v>27.5</v>
      </c>
      <c r="E172" s="437">
        <v>551</v>
      </c>
    </row>
    <row r="173" spans="2:5" ht="16.5">
      <c r="B173" s="440" t="s">
        <v>514</v>
      </c>
      <c r="C173" s="440" t="s">
        <v>680</v>
      </c>
      <c r="D173" s="441">
        <v>22.5</v>
      </c>
      <c r="E173" s="437">
        <v>552</v>
      </c>
    </row>
    <row r="174" spans="2:5" ht="16.5">
      <c r="B174" s="440" t="s">
        <v>514</v>
      </c>
      <c r="C174" s="440" t="s">
        <v>681</v>
      </c>
      <c r="D174" s="441">
        <v>22.5</v>
      </c>
      <c r="E174" s="437">
        <v>553</v>
      </c>
    </row>
    <row r="175" spans="2:5" ht="16.5">
      <c r="B175" s="440" t="s">
        <v>514</v>
      </c>
      <c r="C175" s="440" t="s">
        <v>682</v>
      </c>
      <c r="D175" s="441">
        <v>27.5</v>
      </c>
      <c r="E175" s="437">
        <v>555</v>
      </c>
    </row>
    <row r="176" spans="2:5" ht="16.5">
      <c r="B176" s="440" t="s">
        <v>514</v>
      </c>
      <c r="C176" s="440" t="s">
        <v>683</v>
      </c>
      <c r="D176" s="441">
        <v>37.5</v>
      </c>
      <c r="E176" s="437">
        <v>556</v>
      </c>
    </row>
    <row r="177" spans="2:5" ht="16.5">
      <c r="B177" s="440" t="s">
        <v>514</v>
      </c>
      <c r="C177" s="440" t="s">
        <v>684</v>
      </c>
      <c r="D177" s="441">
        <v>22.5</v>
      </c>
      <c r="E177" s="437">
        <v>557</v>
      </c>
    </row>
    <row r="178" spans="2:5" ht="16.5">
      <c r="B178" s="440" t="s">
        <v>514</v>
      </c>
      <c r="C178" s="440" t="s">
        <v>685</v>
      </c>
      <c r="D178" s="441">
        <v>22.5</v>
      </c>
      <c r="E178" s="437">
        <v>558</v>
      </c>
    </row>
    <row r="179" spans="2:5" ht="16.5">
      <c r="B179" s="440" t="s">
        <v>517</v>
      </c>
      <c r="C179" s="440" t="s">
        <v>574</v>
      </c>
      <c r="D179" s="441">
        <v>27.5</v>
      </c>
      <c r="E179" s="437">
        <v>600</v>
      </c>
    </row>
    <row r="180" spans="2:5" ht="16.5">
      <c r="B180" s="440" t="s">
        <v>517</v>
      </c>
      <c r="C180" s="440" t="s">
        <v>623</v>
      </c>
      <c r="D180" s="441">
        <v>27.5</v>
      </c>
      <c r="E180" s="437">
        <v>600</v>
      </c>
    </row>
    <row r="181" spans="2:5" ht="16.5">
      <c r="B181" s="440" t="s">
        <v>518</v>
      </c>
      <c r="C181" s="440" t="s">
        <v>686</v>
      </c>
      <c r="D181" s="441">
        <v>27.5</v>
      </c>
      <c r="E181" s="437">
        <v>602</v>
      </c>
    </row>
    <row r="182" spans="2:5" ht="16.5">
      <c r="B182" s="440" t="s">
        <v>518</v>
      </c>
      <c r="C182" s="440" t="s">
        <v>687</v>
      </c>
      <c r="D182" s="441">
        <v>27.5</v>
      </c>
      <c r="E182" s="437">
        <v>603</v>
      </c>
    </row>
    <row r="183" spans="2:5" ht="16.5">
      <c r="B183" s="440" t="s">
        <v>518</v>
      </c>
      <c r="C183" s="440" t="s">
        <v>688</v>
      </c>
      <c r="D183" s="441">
        <v>27.5</v>
      </c>
      <c r="E183" s="437">
        <v>604</v>
      </c>
    </row>
    <row r="184" spans="2:5" ht="16.5">
      <c r="B184" s="440" t="s">
        <v>518</v>
      </c>
      <c r="C184" s="440" t="s">
        <v>689</v>
      </c>
      <c r="D184" s="441">
        <v>27.5</v>
      </c>
      <c r="E184" s="437">
        <v>605</v>
      </c>
    </row>
    <row r="185" spans="2:5" ht="16.5">
      <c r="B185" s="440" t="s">
        <v>518</v>
      </c>
      <c r="C185" s="440" t="s">
        <v>690</v>
      </c>
      <c r="D185" s="441">
        <v>27.5</v>
      </c>
      <c r="E185" s="437">
        <v>606</v>
      </c>
    </row>
    <row r="186" spans="2:5" ht="16.5">
      <c r="B186" s="440" t="s">
        <v>518</v>
      </c>
      <c r="C186" s="440" t="s">
        <v>691</v>
      </c>
      <c r="D186" s="441">
        <v>27.5</v>
      </c>
      <c r="E186" s="437">
        <v>607</v>
      </c>
    </row>
    <row r="187" spans="2:5" ht="16.5">
      <c r="B187" s="440" t="s">
        <v>518</v>
      </c>
      <c r="C187" s="440" t="s">
        <v>692</v>
      </c>
      <c r="D187" s="441">
        <v>27.5</v>
      </c>
      <c r="E187" s="437">
        <v>608</v>
      </c>
    </row>
    <row r="188" spans="2:5" ht="16.5">
      <c r="B188" s="440" t="s">
        <v>518</v>
      </c>
      <c r="C188" s="440" t="s">
        <v>693</v>
      </c>
      <c r="D188" s="441">
        <v>32.5</v>
      </c>
      <c r="E188" s="437">
        <v>611</v>
      </c>
    </row>
    <row r="189" spans="2:5" ht="16.5">
      <c r="B189" s="440" t="s">
        <v>518</v>
      </c>
      <c r="C189" s="440" t="s">
        <v>694</v>
      </c>
      <c r="D189" s="441">
        <v>32.5</v>
      </c>
      <c r="E189" s="437">
        <v>612</v>
      </c>
    </row>
    <row r="190" spans="2:5" ht="16.5">
      <c r="B190" s="440" t="s">
        <v>518</v>
      </c>
      <c r="C190" s="440" t="s">
        <v>695</v>
      </c>
      <c r="D190" s="441">
        <v>32.5</v>
      </c>
      <c r="E190" s="437">
        <v>613</v>
      </c>
    </row>
    <row r="191" spans="2:5" ht="16.5">
      <c r="B191" s="440" t="s">
        <v>518</v>
      </c>
      <c r="C191" s="440" t="s">
        <v>696</v>
      </c>
      <c r="D191" s="441">
        <v>32.5</v>
      </c>
      <c r="E191" s="437">
        <v>614</v>
      </c>
    </row>
    <row r="192" spans="2:5" ht="16.5">
      <c r="B192" s="440" t="s">
        <v>518</v>
      </c>
      <c r="C192" s="440" t="s">
        <v>697</v>
      </c>
      <c r="D192" s="441">
        <v>32.5</v>
      </c>
      <c r="E192" s="437">
        <v>615</v>
      </c>
    </row>
    <row r="193" spans="2:5" ht="16.5">
      <c r="B193" s="440" t="s">
        <v>518</v>
      </c>
      <c r="C193" s="440" t="s">
        <v>698</v>
      </c>
      <c r="D193" s="441">
        <v>27.5</v>
      </c>
      <c r="E193" s="437">
        <v>616</v>
      </c>
    </row>
    <row r="194" spans="2:5" ht="16.5">
      <c r="B194" s="440" t="s">
        <v>518</v>
      </c>
      <c r="C194" s="440" t="s">
        <v>699</v>
      </c>
      <c r="D194" s="441">
        <v>27.5</v>
      </c>
      <c r="E194" s="437">
        <v>621</v>
      </c>
    </row>
    <row r="195" spans="2:5" ht="16.5">
      <c r="B195" s="440" t="s">
        <v>518</v>
      </c>
      <c r="C195" s="440" t="s">
        <v>700</v>
      </c>
      <c r="D195" s="441">
        <v>27.5</v>
      </c>
      <c r="E195" s="437">
        <v>622</v>
      </c>
    </row>
    <row r="196" spans="2:5" ht="16.5">
      <c r="B196" s="440" t="s">
        <v>518</v>
      </c>
      <c r="C196" s="440" t="s">
        <v>701</v>
      </c>
      <c r="D196" s="441">
        <v>27.5</v>
      </c>
      <c r="E196" s="437">
        <v>623</v>
      </c>
    </row>
    <row r="197" spans="2:5" ht="16.5">
      <c r="B197" s="440" t="s">
        <v>518</v>
      </c>
      <c r="C197" s="440" t="s">
        <v>702</v>
      </c>
      <c r="D197" s="441">
        <v>32.5</v>
      </c>
      <c r="E197" s="437">
        <v>624</v>
      </c>
    </row>
    <row r="198" spans="2:5" ht="16.5">
      <c r="B198" s="440" t="s">
        <v>518</v>
      </c>
      <c r="C198" s="440" t="s">
        <v>703</v>
      </c>
      <c r="D198" s="441">
        <v>32.5</v>
      </c>
      <c r="E198" s="437">
        <v>625</v>
      </c>
    </row>
    <row r="199" spans="2:5" ht="16.5">
      <c r="B199" s="440" t="s">
        <v>516</v>
      </c>
      <c r="C199" s="440" t="s">
        <v>704</v>
      </c>
      <c r="D199" s="441">
        <v>27.5</v>
      </c>
      <c r="E199" s="437">
        <v>630</v>
      </c>
    </row>
    <row r="200" spans="2:5" ht="16.5">
      <c r="B200" s="440" t="s">
        <v>516</v>
      </c>
      <c r="C200" s="440" t="s">
        <v>705</v>
      </c>
      <c r="D200" s="441">
        <v>27.5</v>
      </c>
      <c r="E200" s="437">
        <v>631</v>
      </c>
    </row>
    <row r="201" spans="2:5" ht="16.5">
      <c r="B201" s="440" t="s">
        <v>516</v>
      </c>
      <c r="C201" s="440" t="s">
        <v>706</v>
      </c>
      <c r="D201" s="441">
        <v>27.5</v>
      </c>
      <c r="E201" s="437">
        <v>632</v>
      </c>
    </row>
    <row r="202" spans="2:5" ht="16.5">
      <c r="B202" s="440" t="s">
        <v>516</v>
      </c>
      <c r="C202" s="440" t="s">
        <v>707</v>
      </c>
      <c r="D202" s="441">
        <v>27.5</v>
      </c>
      <c r="E202" s="437">
        <v>633</v>
      </c>
    </row>
    <row r="203" spans="2:5" ht="16.5">
      <c r="B203" s="440" t="s">
        <v>516</v>
      </c>
      <c r="C203" s="440" t="s">
        <v>708</v>
      </c>
      <c r="D203" s="441">
        <v>27.5</v>
      </c>
      <c r="E203" s="437">
        <v>634</v>
      </c>
    </row>
    <row r="204" spans="2:5" ht="16.5">
      <c r="B204" s="440" t="s">
        <v>516</v>
      </c>
      <c r="C204" s="440" t="s">
        <v>709</v>
      </c>
      <c r="D204" s="441">
        <v>27.5</v>
      </c>
      <c r="E204" s="437">
        <v>635</v>
      </c>
    </row>
    <row r="205" spans="2:5" ht="16.5">
      <c r="B205" s="440" t="s">
        <v>516</v>
      </c>
      <c r="C205" s="440" t="s">
        <v>710</v>
      </c>
      <c r="D205" s="441">
        <v>27.5</v>
      </c>
      <c r="E205" s="437">
        <v>636</v>
      </c>
    </row>
    <row r="206" spans="2:5" ht="16.5">
      <c r="B206" s="440" t="s">
        <v>516</v>
      </c>
      <c r="C206" s="440" t="s">
        <v>711</v>
      </c>
      <c r="D206" s="441">
        <v>27.5</v>
      </c>
      <c r="E206" s="437">
        <v>637</v>
      </c>
    </row>
    <row r="207" spans="2:5" ht="16.5">
      <c r="B207" s="440" t="s">
        <v>516</v>
      </c>
      <c r="C207" s="440" t="s">
        <v>712</v>
      </c>
      <c r="D207" s="441">
        <v>27.5</v>
      </c>
      <c r="E207" s="437">
        <v>638</v>
      </c>
    </row>
    <row r="208" spans="2:5" ht="16.5">
      <c r="B208" s="440" t="s">
        <v>516</v>
      </c>
      <c r="C208" s="440" t="s">
        <v>713</v>
      </c>
      <c r="D208" s="441">
        <v>27.5</v>
      </c>
      <c r="E208" s="437">
        <v>640</v>
      </c>
    </row>
    <row r="209" spans="2:5" ht="16.5">
      <c r="B209" s="440" t="s">
        <v>516</v>
      </c>
      <c r="C209" s="440" t="s">
        <v>714</v>
      </c>
      <c r="D209" s="441">
        <v>27.5</v>
      </c>
      <c r="E209" s="437">
        <v>643</v>
      </c>
    </row>
    <row r="210" spans="2:5" ht="16.5">
      <c r="B210" s="440" t="s">
        <v>516</v>
      </c>
      <c r="C210" s="440" t="s">
        <v>715</v>
      </c>
      <c r="D210" s="441">
        <v>27.5</v>
      </c>
      <c r="E210" s="437">
        <v>646</v>
      </c>
    </row>
    <row r="211" spans="2:5" ht="16.5">
      <c r="B211" s="440" t="s">
        <v>516</v>
      </c>
      <c r="C211" s="440" t="s">
        <v>716</v>
      </c>
      <c r="D211" s="441">
        <v>27.5</v>
      </c>
      <c r="E211" s="437">
        <v>647</v>
      </c>
    </row>
    <row r="212" spans="2:5" ht="16.5">
      <c r="B212" s="440" t="s">
        <v>516</v>
      </c>
      <c r="C212" s="440" t="s">
        <v>717</v>
      </c>
      <c r="D212" s="441">
        <v>27.5</v>
      </c>
      <c r="E212" s="437">
        <v>648</v>
      </c>
    </row>
    <row r="213" spans="2:5" ht="16.5">
      <c r="B213" s="440" t="s">
        <v>516</v>
      </c>
      <c r="C213" s="440" t="s">
        <v>718</v>
      </c>
      <c r="D213" s="441">
        <v>27.5</v>
      </c>
      <c r="E213" s="437">
        <v>649</v>
      </c>
    </row>
    <row r="214" spans="2:5" ht="16.5">
      <c r="B214" s="440" t="s">
        <v>516</v>
      </c>
      <c r="C214" s="440" t="s">
        <v>719</v>
      </c>
      <c r="D214" s="441">
        <v>27.5</v>
      </c>
      <c r="E214" s="437">
        <v>651</v>
      </c>
    </row>
    <row r="215" spans="2:5" ht="16.5">
      <c r="B215" s="440" t="s">
        <v>516</v>
      </c>
      <c r="C215" s="440" t="s">
        <v>720</v>
      </c>
      <c r="D215" s="441">
        <v>32.5</v>
      </c>
      <c r="E215" s="437">
        <v>652</v>
      </c>
    </row>
    <row r="216" spans="2:5" ht="16.5">
      <c r="B216" s="440" t="s">
        <v>516</v>
      </c>
      <c r="C216" s="440" t="s">
        <v>721</v>
      </c>
      <c r="D216" s="441">
        <v>32.5</v>
      </c>
      <c r="E216" s="437">
        <v>653</v>
      </c>
    </row>
    <row r="217" spans="2:5" ht="16.5">
      <c r="B217" s="440" t="s">
        <v>516</v>
      </c>
      <c r="C217" s="440" t="s">
        <v>722</v>
      </c>
      <c r="D217" s="441">
        <v>32.5</v>
      </c>
      <c r="E217" s="437">
        <v>654</v>
      </c>
    </row>
    <row r="218" spans="2:5" ht="16.5">
      <c r="B218" s="440" t="s">
        <v>516</v>
      </c>
      <c r="C218" s="440" t="s">
        <v>723</v>
      </c>
      <c r="D218" s="441">
        <v>27.5</v>
      </c>
      <c r="E218" s="437">
        <v>655</v>
      </c>
    </row>
    <row r="219" spans="2:5" ht="16.5">
      <c r="B219" s="440" t="s">
        <v>520</v>
      </c>
      <c r="C219" s="440" t="s">
        <v>724</v>
      </c>
      <c r="D219" s="441">
        <v>37.5</v>
      </c>
      <c r="E219" s="437">
        <v>700</v>
      </c>
    </row>
    <row r="220" spans="2:5" ht="16.5">
      <c r="B220" s="440" t="s">
        <v>520</v>
      </c>
      <c r="C220" s="440" t="s">
        <v>574</v>
      </c>
      <c r="D220" s="441">
        <v>37.5</v>
      </c>
      <c r="E220" s="437">
        <v>701</v>
      </c>
    </row>
    <row r="221" spans="2:5" ht="16.5">
      <c r="B221" s="440" t="s">
        <v>520</v>
      </c>
      <c r="C221" s="440" t="s">
        <v>622</v>
      </c>
      <c r="D221" s="441">
        <v>37.5</v>
      </c>
      <c r="E221" s="437">
        <v>702</v>
      </c>
    </row>
    <row r="222" spans="2:5" ht="16.5">
      <c r="B222" s="440" t="s">
        <v>520</v>
      </c>
      <c r="C222" s="440" t="s">
        <v>575</v>
      </c>
      <c r="D222" s="441">
        <v>37.5</v>
      </c>
      <c r="E222" s="437">
        <v>704</v>
      </c>
    </row>
    <row r="223" spans="2:5" ht="16.5">
      <c r="B223" s="440" t="s">
        <v>520</v>
      </c>
      <c r="C223" s="440" t="s">
        <v>725</v>
      </c>
      <c r="D223" s="441">
        <v>37.5</v>
      </c>
      <c r="E223" s="437">
        <v>708</v>
      </c>
    </row>
    <row r="224" spans="2:5" ht="16.5">
      <c r="B224" s="440" t="s">
        <v>520</v>
      </c>
      <c r="C224" s="440" t="s">
        <v>726</v>
      </c>
      <c r="D224" s="441">
        <v>37.5</v>
      </c>
      <c r="E224" s="437">
        <v>709</v>
      </c>
    </row>
    <row r="225" spans="2:5" ht="16.5">
      <c r="B225" s="440" t="s">
        <v>520</v>
      </c>
      <c r="C225" s="440" t="s">
        <v>727</v>
      </c>
      <c r="D225" s="441">
        <v>32.5</v>
      </c>
      <c r="E225" s="437">
        <v>710</v>
      </c>
    </row>
    <row r="226" spans="2:5" ht="16.5">
      <c r="B226" s="440" t="s">
        <v>520</v>
      </c>
      <c r="C226" s="440" t="s">
        <v>728</v>
      </c>
      <c r="D226" s="441">
        <v>32.5</v>
      </c>
      <c r="E226" s="437">
        <v>711</v>
      </c>
    </row>
    <row r="227" spans="2:5" ht="16.5">
      <c r="B227" s="440" t="s">
        <v>520</v>
      </c>
      <c r="C227" s="440" t="s">
        <v>729</v>
      </c>
      <c r="D227" s="441">
        <v>32.5</v>
      </c>
      <c r="E227" s="437">
        <v>712</v>
      </c>
    </row>
    <row r="228" spans="2:5" ht="16.5">
      <c r="B228" s="440" t="s">
        <v>520</v>
      </c>
      <c r="C228" s="440" t="s">
        <v>730</v>
      </c>
      <c r="D228" s="441">
        <v>32.5</v>
      </c>
      <c r="E228" s="437">
        <v>713</v>
      </c>
    </row>
    <row r="229" spans="2:5" ht="16.5">
      <c r="B229" s="440" t="s">
        <v>520</v>
      </c>
      <c r="C229" s="440" t="s">
        <v>731</v>
      </c>
      <c r="D229" s="441">
        <v>32.5</v>
      </c>
      <c r="E229" s="437">
        <v>714</v>
      </c>
    </row>
    <row r="230" spans="2:5" ht="16.5">
      <c r="B230" s="440" t="s">
        <v>520</v>
      </c>
      <c r="C230" s="440" t="s">
        <v>732</v>
      </c>
      <c r="D230" s="441">
        <v>32.5</v>
      </c>
      <c r="E230" s="437">
        <v>715</v>
      </c>
    </row>
    <row r="231" spans="2:5" ht="16.5">
      <c r="B231" s="440" t="s">
        <v>520</v>
      </c>
      <c r="C231" s="440" t="s">
        <v>733</v>
      </c>
      <c r="D231" s="441">
        <v>32.5</v>
      </c>
      <c r="E231" s="437">
        <v>716</v>
      </c>
    </row>
    <row r="232" spans="2:5" ht="16.5">
      <c r="B232" s="440" t="s">
        <v>520</v>
      </c>
      <c r="C232" s="440" t="s">
        <v>734</v>
      </c>
      <c r="D232" s="441">
        <v>32.5</v>
      </c>
      <c r="E232" s="437">
        <v>717</v>
      </c>
    </row>
    <row r="233" spans="2:5" ht="16.5">
      <c r="B233" s="440" t="s">
        <v>520</v>
      </c>
      <c r="C233" s="440" t="s">
        <v>735</v>
      </c>
      <c r="D233" s="441">
        <v>32.5</v>
      </c>
      <c r="E233" s="437">
        <v>718</v>
      </c>
    </row>
    <row r="234" spans="2:5" ht="16.5">
      <c r="B234" s="440" t="s">
        <v>520</v>
      </c>
      <c r="C234" s="440" t="s">
        <v>736</v>
      </c>
      <c r="D234" s="441">
        <v>32.5</v>
      </c>
      <c r="E234" s="437">
        <v>719</v>
      </c>
    </row>
    <row r="235" spans="2:5" ht="16.5">
      <c r="B235" s="440" t="s">
        <v>520</v>
      </c>
      <c r="C235" s="440" t="s">
        <v>737</v>
      </c>
      <c r="D235" s="441">
        <v>32.5</v>
      </c>
      <c r="E235" s="437">
        <v>720</v>
      </c>
    </row>
    <row r="236" spans="2:5" ht="16.5">
      <c r="B236" s="440" t="s">
        <v>520</v>
      </c>
      <c r="C236" s="440" t="s">
        <v>738</v>
      </c>
      <c r="D236" s="441">
        <v>32.5</v>
      </c>
      <c r="E236" s="437">
        <v>721</v>
      </c>
    </row>
    <row r="237" spans="2:5" ht="16.5">
      <c r="B237" s="440" t="s">
        <v>520</v>
      </c>
      <c r="C237" s="440" t="s">
        <v>739</v>
      </c>
      <c r="D237" s="441">
        <v>32.5</v>
      </c>
      <c r="E237" s="437">
        <v>722</v>
      </c>
    </row>
    <row r="238" spans="2:5" ht="16.5">
      <c r="B238" s="440" t="s">
        <v>520</v>
      </c>
      <c r="C238" s="440" t="s">
        <v>740</v>
      </c>
      <c r="D238" s="441">
        <v>32.5</v>
      </c>
      <c r="E238" s="437">
        <v>723</v>
      </c>
    </row>
    <row r="239" spans="2:5" ht="16.5">
      <c r="B239" s="440" t="s">
        <v>520</v>
      </c>
      <c r="C239" s="440" t="s">
        <v>741</v>
      </c>
      <c r="D239" s="441">
        <v>37.5</v>
      </c>
      <c r="E239" s="437">
        <v>724</v>
      </c>
    </row>
    <row r="240" spans="2:5" ht="16.5">
      <c r="B240" s="440" t="s">
        <v>520</v>
      </c>
      <c r="C240" s="440" t="s">
        <v>742</v>
      </c>
      <c r="D240" s="441">
        <v>32.5</v>
      </c>
      <c r="E240" s="437">
        <v>725</v>
      </c>
    </row>
    <row r="241" spans="2:5" ht="16.5">
      <c r="B241" s="440" t="s">
        <v>520</v>
      </c>
      <c r="C241" s="440" t="s">
        <v>743</v>
      </c>
      <c r="D241" s="441">
        <v>32.5</v>
      </c>
      <c r="E241" s="437">
        <v>726</v>
      </c>
    </row>
    <row r="242" spans="2:5" ht="16.5">
      <c r="B242" s="440" t="s">
        <v>520</v>
      </c>
      <c r="C242" s="440" t="s">
        <v>744</v>
      </c>
      <c r="D242" s="441">
        <v>32.5</v>
      </c>
      <c r="E242" s="437">
        <v>727</v>
      </c>
    </row>
    <row r="243" spans="2:5" ht="16.5">
      <c r="B243" s="440" t="s">
        <v>520</v>
      </c>
      <c r="C243" s="440" t="s">
        <v>745</v>
      </c>
      <c r="D243" s="441">
        <v>32.5</v>
      </c>
      <c r="E243" s="437">
        <v>730</v>
      </c>
    </row>
    <row r="244" spans="2:5" ht="16.5">
      <c r="B244" s="440" t="s">
        <v>520</v>
      </c>
      <c r="C244" s="440" t="s">
        <v>746</v>
      </c>
      <c r="D244" s="441">
        <v>32.5</v>
      </c>
      <c r="E244" s="437">
        <v>731</v>
      </c>
    </row>
    <row r="245" spans="2:5" ht="16.5">
      <c r="B245" s="440" t="s">
        <v>520</v>
      </c>
      <c r="C245" s="440" t="s">
        <v>747</v>
      </c>
      <c r="D245" s="441">
        <v>27.5</v>
      </c>
      <c r="E245" s="437">
        <v>732</v>
      </c>
    </row>
    <row r="246" spans="2:5" ht="16.5">
      <c r="B246" s="440" t="s">
        <v>520</v>
      </c>
      <c r="C246" s="440" t="s">
        <v>748</v>
      </c>
      <c r="D246" s="441">
        <v>32.5</v>
      </c>
      <c r="E246" s="437">
        <v>733</v>
      </c>
    </row>
    <row r="247" spans="2:5" ht="16.5">
      <c r="B247" s="440" t="s">
        <v>520</v>
      </c>
      <c r="C247" s="440" t="s">
        <v>749</v>
      </c>
      <c r="D247" s="441">
        <v>32.5</v>
      </c>
      <c r="E247" s="437">
        <v>734</v>
      </c>
    </row>
    <row r="248" spans="2:5" ht="16.5">
      <c r="B248" s="440" t="s">
        <v>520</v>
      </c>
      <c r="C248" s="440" t="s">
        <v>750</v>
      </c>
      <c r="D248" s="441">
        <v>32.5</v>
      </c>
      <c r="E248" s="437">
        <v>735</v>
      </c>
    </row>
    <row r="249" spans="2:5" ht="16.5">
      <c r="B249" s="440" t="s">
        <v>520</v>
      </c>
      <c r="C249" s="440" t="s">
        <v>751</v>
      </c>
      <c r="D249" s="441">
        <v>32.5</v>
      </c>
      <c r="E249" s="437">
        <v>736</v>
      </c>
    </row>
    <row r="250" spans="2:5" ht="16.5">
      <c r="B250" s="440" t="s">
        <v>520</v>
      </c>
      <c r="C250" s="440" t="s">
        <v>752</v>
      </c>
      <c r="D250" s="441">
        <v>32.5</v>
      </c>
      <c r="E250" s="437">
        <v>737</v>
      </c>
    </row>
    <row r="251" spans="2:5" ht="16.5">
      <c r="B251" s="440" t="s">
        <v>520</v>
      </c>
      <c r="C251" s="440" t="s">
        <v>753</v>
      </c>
      <c r="D251" s="441">
        <v>32.5</v>
      </c>
      <c r="E251" s="437">
        <v>741</v>
      </c>
    </row>
    <row r="252" spans="2:5" ht="16.5">
      <c r="B252" s="440" t="s">
        <v>520</v>
      </c>
      <c r="C252" s="440" t="s">
        <v>754</v>
      </c>
      <c r="D252" s="441">
        <v>32.5</v>
      </c>
      <c r="E252" s="437">
        <v>742</v>
      </c>
    </row>
    <row r="253" spans="2:5" ht="16.5">
      <c r="B253" s="440" t="s">
        <v>520</v>
      </c>
      <c r="C253" s="440" t="s">
        <v>755</v>
      </c>
      <c r="D253" s="441">
        <v>32.5</v>
      </c>
      <c r="E253" s="437">
        <v>743</v>
      </c>
    </row>
    <row r="254" spans="2:5" ht="16.5">
      <c r="B254" s="440" t="s">
        <v>520</v>
      </c>
      <c r="C254" s="440" t="s">
        <v>756</v>
      </c>
      <c r="D254" s="441">
        <v>32.5</v>
      </c>
      <c r="E254" s="437">
        <v>744</v>
      </c>
    </row>
    <row r="255" spans="2:5" ht="16.5">
      <c r="B255" s="440" t="s">
        <v>520</v>
      </c>
      <c r="C255" s="440" t="s">
        <v>757</v>
      </c>
      <c r="D255" s="441">
        <v>32.5</v>
      </c>
      <c r="E255" s="437">
        <v>745</v>
      </c>
    </row>
    <row r="256" spans="2:5" ht="16.5">
      <c r="B256" s="440" t="s">
        <v>521</v>
      </c>
      <c r="C256" s="440" t="s">
        <v>758</v>
      </c>
      <c r="D256" s="441">
        <v>37.5</v>
      </c>
      <c r="E256" s="437">
        <v>800</v>
      </c>
    </row>
    <row r="257" spans="2:5" ht="16.5">
      <c r="B257" s="440" t="s">
        <v>521</v>
      </c>
      <c r="C257" s="440" t="s">
        <v>759</v>
      </c>
      <c r="D257" s="441">
        <v>37.5</v>
      </c>
      <c r="E257" s="437">
        <v>801</v>
      </c>
    </row>
    <row r="258" spans="2:5" ht="16.5">
      <c r="B258" s="440" t="s">
        <v>521</v>
      </c>
      <c r="C258" s="440" t="s">
        <v>760</v>
      </c>
      <c r="D258" s="441">
        <v>37.5</v>
      </c>
      <c r="E258" s="437">
        <v>802</v>
      </c>
    </row>
    <row r="259" spans="2:5" ht="16.5">
      <c r="B259" s="440" t="s">
        <v>521</v>
      </c>
      <c r="C259" s="440" t="s">
        <v>761</v>
      </c>
      <c r="D259" s="441">
        <v>37.5</v>
      </c>
      <c r="E259" s="437">
        <v>803</v>
      </c>
    </row>
    <row r="260" spans="2:5" ht="16.5">
      <c r="B260" s="440" t="s">
        <v>521</v>
      </c>
      <c r="C260" s="440" t="s">
        <v>762</v>
      </c>
      <c r="D260" s="441">
        <v>37.5</v>
      </c>
      <c r="E260" s="437">
        <v>804</v>
      </c>
    </row>
    <row r="261" spans="2:5" ht="16.5">
      <c r="B261" s="440" t="s">
        <v>521</v>
      </c>
      <c r="C261" s="440" t="s">
        <v>763</v>
      </c>
      <c r="D261" s="441">
        <v>37.5</v>
      </c>
      <c r="E261" s="437">
        <v>805</v>
      </c>
    </row>
    <row r="262" spans="2:5" ht="16.5">
      <c r="B262" s="440" t="s">
        <v>521</v>
      </c>
      <c r="C262" s="440" t="s">
        <v>764</v>
      </c>
      <c r="D262" s="441">
        <v>37.5</v>
      </c>
      <c r="E262" s="437">
        <v>806</v>
      </c>
    </row>
    <row r="263" spans="2:5" ht="16.5">
      <c r="B263" s="440" t="s">
        <v>521</v>
      </c>
      <c r="C263" s="440" t="s">
        <v>765</v>
      </c>
      <c r="D263" s="441">
        <v>37.5</v>
      </c>
      <c r="E263" s="437">
        <v>807</v>
      </c>
    </row>
    <row r="264" spans="2:5" ht="16.5">
      <c r="B264" s="440" t="s">
        <v>521</v>
      </c>
      <c r="C264" s="440" t="s">
        <v>766</v>
      </c>
      <c r="D264" s="441">
        <v>37.5</v>
      </c>
      <c r="E264" s="437">
        <v>811</v>
      </c>
    </row>
    <row r="265" spans="2:5" ht="16.5">
      <c r="B265" s="440" t="s">
        <v>521</v>
      </c>
      <c r="C265" s="440" t="s">
        <v>767</v>
      </c>
      <c r="D265" s="441">
        <v>37.5</v>
      </c>
      <c r="E265" s="437">
        <v>812</v>
      </c>
    </row>
    <row r="266" spans="2:5" ht="16.5">
      <c r="B266" s="440" t="s">
        <v>521</v>
      </c>
      <c r="C266" s="440" t="s">
        <v>768</v>
      </c>
      <c r="D266" s="441">
        <v>37.5</v>
      </c>
      <c r="E266" s="437">
        <v>813</v>
      </c>
    </row>
    <row r="267" spans="2:5" ht="16.5">
      <c r="B267" s="440" t="s">
        <v>521</v>
      </c>
      <c r="C267" s="440" t="s">
        <v>769</v>
      </c>
      <c r="D267" s="441">
        <v>37.5</v>
      </c>
      <c r="E267" s="437">
        <v>814</v>
      </c>
    </row>
    <row r="268" spans="2:5" ht="16.5">
      <c r="B268" s="440" t="s">
        <v>521</v>
      </c>
      <c r="C268" s="440" t="s">
        <v>770</v>
      </c>
      <c r="D268" s="441">
        <v>37.5</v>
      </c>
      <c r="E268" s="437">
        <v>815</v>
      </c>
    </row>
    <row r="269" spans="2:5" ht="16.5">
      <c r="B269" s="440" t="s">
        <v>521</v>
      </c>
      <c r="C269" s="440" t="s">
        <v>771</v>
      </c>
      <c r="D269" s="441">
        <v>37.5</v>
      </c>
      <c r="E269" s="437">
        <v>820</v>
      </c>
    </row>
    <row r="270" spans="2:5" ht="16.5">
      <c r="B270" s="440" t="s">
        <v>521</v>
      </c>
      <c r="C270" s="440" t="s">
        <v>772</v>
      </c>
      <c r="D270" s="441">
        <v>37.5</v>
      </c>
      <c r="E270" s="437">
        <v>821</v>
      </c>
    </row>
    <row r="271" spans="2:5" ht="16.5">
      <c r="B271" s="440" t="s">
        <v>521</v>
      </c>
      <c r="C271" s="440" t="s">
        <v>773</v>
      </c>
      <c r="D271" s="441">
        <v>32.5</v>
      </c>
      <c r="E271" s="437">
        <v>822</v>
      </c>
    </row>
    <row r="272" spans="2:5" ht="16.5">
      <c r="B272" s="440" t="s">
        <v>521</v>
      </c>
      <c r="C272" s="440" t="s">
        <v>774</v>
      </c>
      <c r="D272" s="441">
        <v>32.5</v>
      </c>
      <c r="E272" s="437">
        <v>823</v>
      </c>
    </row>
    <row r="273" spans="2:5" ht="16.5">
      <c r="B273" s="440" t="s">
        <v>521</v>
      </c>
      <c r="C273" s="440" t="s">
        <v>775</v>
      </c>
      <c r="D273" s="441">
        <v>37.5</v>
      </c>
      <c r="E273" s="437">
        <v>824</v>
      </c>
    </row>
    <row r="274" spans="2:5" ht="16.5">
      <c r="B274" s="440" t="s">
        <v>521</v>
      </c>
      <c r="C274" s="440" t="s">
        <v>776</v>
      </c>
      <c r="D274" s="441">
        <v>37.5</v>
      </c>
      <c r="E274" s="437">
        <v>825</v>
      </c>
    </row>
    <row r="275" spans="2:5" ht="16.5">
      <c r="B275" s="440" t="s">
        <v>521</v>
      </c>
      <c r="C275" s="440" t="s">
        <v>777</v>
      </c>
      <c r="D275" s="441">
        <v>37.5</v>
      </c>
      <c r="E275" s="437">
        <v>826</v>
      </c>
    </row>
    <row r="276" spans="2:5" ht="16.5">
      <c r="B276" s="440" t="s">
        <v>521</v>
      </c>
      <c r="C276" s="440" t="s">
        <v>778</v>
      </c>
      <c r="D276" s="441">
        <v>37.5</v>
      </c>
      <c r="E276" s="437">
        <v>827</v>
      </c>
    </row>
    <row r="277" spans="2:5" ht="16.5">
      <c r="B277" s="440" t="s">
        <v>521</v>
      </c>
      <c r="C277" s="440" t="s">
        <v>779</v>
      </c>
      <c r="D277" s="441">
        <v>37.5</v>
      </c>
      <c r="E277" s="437">
        <v>828</v>
      </c>
    </row>
    <row r="278" spans="2:5" ht="16.5">
      <c r="B278" s="440" t="s">
        <v>521</v>
      </c>
      <c r="C278" s="440" t="s">
        <v>780</v>
      </c>
      <c r="D278" s="441">
        <v>37.5</v>
      </c>
      <c r="E278" s="437">
        <v>829</v>
      </c>
    </row>
    <row r="279" spans="2:5" ht="16.5">
      <c r="B279" s="440" t="s">
        <v>521</v>
      </c>
      <c r="C279" s="440" t="s">
        <v>781</v>
      </c>
      <c r="D279" s="441">
        <v>37.5</v>
      </c>
      <c r="E279" s="437">
        <v>830</v>
      </c>
    </row>
    <row r="280" spans="2:5" ht="16.5">
      <c r="B280" s="440" t="s">
        <v>521</v>
      </c>
      <c r="C280" s="440" t="s">
        <v>782</v>
      </c>
      <c r="D280" s="441">
        <v>37.5</v>
      </c>
      <c r="E280" s="437">
        <v>831</v>
      </c>
    </row>
    <row r="281" spans="2:5" ht="16.5">
      <c r="B281" s="440" t="s">
        <v>521</v>
      </c>
      <c r="C281" s="440" t="s">
        <v>783</v>
      </c>
      <c r="D281" s="441">
        <v>37.5</v>
      </c>
      <c r="E281" s="437">
        <v>832</v>
      </c>
    </row>
    <row r="282" spans="2:5" ht="16.5">
      <c r="B282" s="440" t="s">
        <v>521</v>
      </c>
      <c r="C282" s="440" t="s">
        <v>784</v>
      </c>
      <c r="D282" s="441">
        <v>37.5</v>
      </c>
      <c r="E282" s="437">
        <v>833</v>
      </c>
    </row>
    <row r="283" spans="2:5" ht="16.5">
      <c r="B283" s="440" t="s">
        <v>521</v>
      </c>
      <c r="C283" s="440" t="s">
        <v>785</v>
      </c>
      <c r="D283" s="441">
        <v>37.5</v>
      </c>
      <c r="E283" s="437">
        <v>840</v>
      </c>
    </row>
    <row r="284" spans="2:5" ht="16.5">
      <c r="B284" s="440" t="s">
        <v>521</v>
      </c>
      <c r="C284" s="440" t="s">
        <v>786</v>
      </c>
      <c r="D284" s="441">
        <v>32.5</v>
      </c>
      <c r="E284" s="437">
        <v>842</v>
      </c>
    </row>
    <row r="285" spans="2:5" ht="16.5">
      <c r="B285" s="440" t="s">
        <v>521</v>
      </c>
      <c r="C285" s="440" t="s">
        <v>787</v>
      </c>
      <c r="D285" s="441">
        <v>32.5</v>
      </c>
      <c r="E285" s="437">
        <v>843</v>
      </c>
    </row>
    <row r="286" spans="2:5" ht="16.5">
      <c r="B286" s="440" t="s">
        <v>521</v>
      </c>
      <c r="C286" s="440" t="s">
        <v>788</v>
      </c>
      <c r="D286" s="441">
        <v>32.5</v>
      </c>
      <c r="E286" s="437">
        <v>844</v>
      </c>
    </row>
    <row r="287" spans="2:5" ht="16.5">
      <c r="B287" s="440" t="s">
        <v>521</v>
      </c>
      <c r="C287" s="440" t="s">
        <v>789</v>
      </c>
      <c r="D287" s="441">
        <v>32.5</v>
      </c>
      <c r="E287" s="437">
        <v>845</v>
      </c>
    </row>
    <row r="288" spans="2:5" ht="16.5">
      <c r="B288" s="440" t="s">
        <v>521</v>
      </c>
      <c r="C288" s="440" t="s">
        <v>790</v>
      </c>
      <c r="D288" s="441">
        <v>32.5</v>
      </c>
      <c r="E288" s="437">
        <v>846</v>
      </c>
    </row>
    <row r="289" spans="2:5" ht="16.5">
      <c r="B289" s="440" t="s">
        <v>521</v>
      </c>
      <c r="C289" s="440" t="s">
        <v>791</v>
      </c>
      <c r="D289" s="441">
        <v>32.5</v>
      </c>
      <c r="E289" s="437">
        <v>847</v>
      </c>
    </row>
    <row r="290" spans="2:5" ht="16.5">
      <c r="B290" s="440" t="s">
        <v>521</v>
      </c>
      <c r="C290" s="440" t="s">
        <v>792</v>
      </c>
      <c r="D290" s="441">
        <v>37.5</v>
      </c>
      <c r="E290" s="437">
        <v>848</v>
      </c>
    </row>
    <row r="291" spans="2:5" ht="16.5">
      <c r="B291" s="440" t="s">
        <v>521</v>
      </c>
      <c r="C291" s="440" t="s">
        <v>793</v>
      </c>
      <c r="D291" s="441">
        <v>32.5</v>
      </c>
      <c r="E291" s="437">
        <v>849</v>
      </c>
    </row>
    <row r="292" spans="2:5" ht="16.5">
      <c r="B292" s="440" t="s">
        <v>521</v>
      </c>
      <c r="C292" s="440" t="s">
        <v>794</v>
      </c>
      <c r="D292" s="441">
        <v>32.5</v>
      </c>
      <c r="E292" s="437">
        <v>851</v>
      </c>
    </row>
    <row r="293" spans="2:5" ht="16.5">
      <c r="B293" s="440" t="s">
        <v>521</v>
      </c>
      <c r="C293" s="440" t="s">
        <v>795</v>
      </c>
      <c r="D293" s="441">
        <v>37.5</v>
      </c>
      <c r="E293" s="437">
        <v>852</v>
      </c>
    </row>
    <row r="294" spans="2:5" ht="16.5">
      <c r="B294" s="440" t="s">
        <v>523</v>
      </c>
      <c r="C294" s="440" t="s">
        <v>796</v>
      </c>
      <c r="D294" s="441">
        <v>37.5</v>
      </c>
      <c r="E294" s="437">
        <v>900</v>
      </c>
    </row>
    <row r="295" spans="2:5" ht="16.5">
      <c r="B295" s="440" t="s">
        <v>523</v>
      </c>
      <c r="C295" s="440" t="s">
        <v>797</v>
      </c>
      <c r="D295" s="441">
        <v>37.5</v>
      </c>
      <c r="E295" s="437">
        <v>901</v>
      </c>
    </row>
    <row r="296" spans="2:5" ht="16.5">
      <c r="B296" s="440" t="s">
        <v>523</v>
      </c>
      <c r="C296" s="440" t="s">
        <v>798</v>
      </c>
      <c r="D296" s="441">
        <v>37.5</v>
      </c>
      <c r="E296" s="437">
        <v>902</v>
      </c>
    </row>
    <row r="297" spans="2:5" ht="16.5">
      <c r="B297" s="440" t="s">
        <v>523</v>
      </c>
      <c r="C297" s="440" t="s">
        <v>799</v>
      </c>
      <c r="D297" s="441">
        <v>37.5</v>
      </c>
      <c r="E297" s="437">
        <v>903</v>
      </c>
    </row>
    <row r="298" spans="2:5" ht="16.5">
      <c r="B298" s="440" t="s">
        <v>523</v>
      </c>
      <c r="C298" s="440" t="s">
        <v>800</v>
      </c>
      <c r="D298" s="441">
        <v>37.5</v>
      </c>
      <c r="E298" s="437">
        <v>904</v>
      </c>
    </row>
    <row r="299" spans="2:5" ht="16.5">
      <c r="B299" s="440" t="s">
        <v>523</v>
      </c>
      <c r="C299" s="440" t="s">
        <v>801</v>
      </c>
      <c r="D299" s="441">
        <v>37.5</v>
      </c>
      <c r="E299" s="437">
        <v>905</v>
      </c>
    </row>
    <row r="300" spans="2:5" ht="16.5">
      <c r="B300" s="440" t="s">
        <v>523</v>
      </c>
      <c r="C300" s="440" t="s">
        <v>802</v>
      </c>
      <c r="D300" s="441">
        <v>37.5</v>
      </c>
      <c r="E300" s="437">
        <v>906</v>
      </c>
    </row>
    <row r="301" spans="2:5" ht="16.5">
      <c r="B301" s="440" t="s">
        <v>523</v>
      </c>
      <c r="C301" s="440" t="s">
        <v>803</v>
      </c>
      <c r="D301" s="441">
        <v>37.5</v>
      </c>
      <c r="E301" s="437">
        <v>907</v>
      </c>
    </row>
    <row r="302" spans="2:5" ht="16.5">
      <c r="B302" s="440" t="s">
        <v>523</v>
      </c>
      <c r="C302" s="440" t="s">
        <v>804</v>
      </c>
      <c r="D302" s="441">
        <v>37.5</v>
      </c>
      <c r="E302" s="437">
        <v>908</v>
      </c>
    </row>
    <row r="303" spans="2:5" ht="16.5">
      <c r="B303" s="440" t="s">
        <v>523</v>
      </c>
      <c r="C303" s="440" t="s">
        <v>805</v>
      </c>
      <c r="D303" s="441">
        <v>37.5</v>
      </c>
      <c r="E303" s="437">
        <v>909</v>
      </c>
    </row>
    <row r="304" spans="2:5" ht="16.5">
      <c r="B304" s="440" t="s">
        <v>523</v>
      </c>
      <c r="C304" s="440" t="s">
        <v>806</v>
      </c>
      <c r="D304" s="441">
        <v>37.5</v>
      </c>
      <c r="E304" s="437">
        <v>911</v>
      </c>
    </row>
    <row r="305" spans="2:5" ht="16.5">
      <c r="B305" s="440" t="s">
        <v>523</v>
      </c>
      <c r="C305" s="440" t="s">
        <v>807</v>
      </c>
      <c r="D305" s="441">
        <v>37.5</v>
      </c>
      <c r="E305" s="437">
        <v>912</v>
      </c>
    </row>
    <row r="306" spans="2:5" ht="16.5">
      <c r="B306" s="440" t="s">
        <v>523</v>
      </c>
      <c r="C306" s="440" t="s">
        <v>808</v>
      </c>
      <c r="D306" s="441">
        <v>37.5</v>
      </c>
      <c r="E306" s="437">
        <v>913</v>
      </c>
    </row>
    <row r="307" spans="2:5" ht="16.5">
      <c r="B307" s="440" t="s">
        <v>523</v>
      </c>
      <c r="C307" s="440" t="s">
        <v>809</v>
      </c>
      <c r="D307" s="441">
        <v>37.5</v>
      </c>
      <c r="E307" s="437">
        <v>920</v>
      </c>
    </row>
    <row r="308" spans="2:5" ht="16.5">
      <c r="B308" s="440" t="s">
        <v>523</v>
      </c>
      <c r="C308" s="440" t="s">
        <v>810</v>
      </c>
      <c r="D308" s="441">
        <v>37.5</v>
      </c>
      <c r="E308" s="437">
        <v>921</v>
      </c>
    </row>
    <row r="309" spans="2:5" ht="16.5">
      <c r="B309" s="440" t="s">
        <v>523</v>
      </c>
      <c r="C309" s="440" t="s">
        <v>811</v>
      </c>
      <c r="D309" s="441">
        <v>37.5</v>
      </c>
      <c r="E309" s="437">
        <v>922</v>
      </c>
    </row>
    <row r="310" spans="2:5" ht="16.5">
      <c r="B310" s="440" t="s">
        <v>523</v>
      </c>
      <c r="C310" s="440" t="s">
        <v>812</v>
      </c>
      <c r="D310" s="441">
        <v>37.5</v>
      </c>
      <c r="E310" s="437">
        <v>923</v>
      </c>
    </row>
    <row r="311" spans="2:5" ht="16.5">
      <c r="B311" s="440" t="s">
        <v>523</v>
      </c>
      <c r="C311" s="440" t="s">
        <v>813</v>
      </c>
      <c r="D311" s="441">
        <v>37.5</v>
      </c>
      <c r="E311" s="437">
        <v>924</v>
      </c>
    </row>
    <row r="312" spans="2:5" ht="16.5">
      <c r="B312" s="440" t="s">
        <v>523</v>
      </c>
      <c r="C312" s="440" t="s">
        <v>814</v>
      </c>
      <c r="D312" s="441">
        <v>37.5</v>
      </c>
      <c r="E312" s="437">
        <v>925</v>
      </c>
    </row>
    <row r="313" spans="2:5" ht="16.5">
      <c r="B313" s="440" t="s">
        <v>523</v>
      </c>
      <c r="C313" s="440" t="s">
        <v>815</v>
      </c>
      <c r="D313" s="441">
        <v>37.5</v>
      </c>
      <c r="E313" s="437">
        <v>926</v>
      </c>
    </row>
    <row r="314" spans="2:5" ht="16.5">
      <c r="B314" s="440" t="s">
        <v>523</v>
      </c>
      <c r="C314" s="440" t="s">
        <v>816</v>
      </c>
      <c r="D314" s="441">
        <v>37.5</v>
      </c>
      <c r="E314" s="437">
        <v>927</v>
      </c>
    </row>
    <row r="315" spans="2:5" ht="16.5">
      <c r="B315" s="440" t="s">
        <v>523</v>
      </c>
      <c r="C315" s="440" t="s">
        <v>817</v>
      </c>
      <c r="D315" s="441">
        <v>37.5</v>
      </c>
      <c r="E315" s="437">
        <v>928</v>
      </c>
    </row>
    <row r="316" spans="2:5" ht="16.5">
      <c r="B316" s="440" t="s">
        <v>523</v>
      </c>
      <c r="C316" s="440" t="s">
        <v>818</v>
      </c>
      <c r="D316" s="441">
        <v>40</v>
      </c>
      <c r="E316" s="437">
        <v>929</v>
      </c>
    </row>
    <row r="317" spans="2:5" ht="16.5">
      <c r="B317" s="440" t="s">
        <v>523</v>
      </c>
      <c r="C317" s="440" t="s">
        <v>819</v>
      </c>
      <c r="D317" s="441">
        <v>37.5</v>
      </c>
      <c r="E317" s="437">
        <v>931</v>
      </c>
    </row>
    <row r="318" spans="2:5" ht="16.5">
      <c r="B318" s="440" t="s">
        <v>523</v>
      </c>
      <c r="C318" s="440" t="s">
        <v>820</v>
      </c>
      <c r="D318" s="441">
        <v>37.5</v>
      </c>
      <c r="E318" s="437">
        <v>932</v>
      </c>
    </row>
    <row r="319" spans="2:5" ht="16.5">
      <c r="B319" s="440" t="s">
        <v>523</v>
      </c>
      <c r="C319" s="440" t="s">
        <v>821</v>
      </c>
      <c r="D319" s="441">
        <v>42.5</v>
      </c>
      <c r="E319" s="437">
        <v>940</v>
      </c>
    </row>
    <row r="320" spans="2:5" ht="16.5">
      <c r="B320" s="440" t="s">
        <v>523</v>
      </c>
      <c r="C320" s="440" t="s">
        <v>822</v>
      </c>
      <c r="D320" s="441">
        <v>42.5</v>
      </c>
      <c r="E320" s="437">
        <v>941</v>
      </c>
    </row>
    <row r="321" spans="2:5" ht="16.5">
      <c r="B321" s="440" t="s">
        <v>523</v>
      </c>
      <c r="C321" s="440" t="s">
        <v>823</v>
      </c>
      <c r="D321" s="441">
        <v>42.5</v>
      </c>
      <c r="E321" s="437">
        <v>942</v>
      </c>
    </row>
    <row r="322" spans="2:5" ht="16.5">
      <c r="B322" s="440" t="s">
        <v>523</v>
      </c>
      <c r="C322" s="440" t="s">
        <v>824</v>
      </c>
      <c r="D322" s="441">
        <v>42.5</v>
      </c>
      <c r="E322" s="437">
        <v>943</v>
      </c>
    </row>
    <row r="323" spans="2:5" ht="16.5">
      <c r="B323" s="440" t="s">
        <v>523</v>
      </c>
      <c r="C323" s="440" t="s">
        <v>825</v>
      </c>
      <c r="D323" s="441">
        <v>42.5</v>
      </c>
      <c r="E323" s="437">
        <v>944</v>
      </c>
    </row>
    <row r="324" spans="2:5" ht="16.5">
      <c r="B324" s="440" t="s">
        <v>523</v>
      </c>
      <c r="C324" s="440" t="s">
        <v>826</v>
      </c>
      <c r="D324" s="441">
        <v>42.5</v>
      </c>
      <c r="E324" s="437">
        <v>945</v>
      </c>
    </row>
    <row r="325" spans="2:5" ht="16.5">
      <c r="B325" s="440" t="s">
        <v>523</v>
      </c>
      <c r="C325" s="440" t="s">
        <v>827</v>
      </c>
      <c r="D325" s="441">
        <v>47.5</v>
      </c>
      <c r="E325" s="437">
        <v>946</v>
      </c>
    </row>
    <row r="326" spans="2:5" ht="16.5">
      <c r="B326" s="440" t="s">
        <v>523</v>
      </c>
      <c r="C326" s="440" t="s">
        <v>828</v>
      </c>
      <c r="D326" s="441">
        <v>47.5</v>
      </c>
      <c r="E326" s="437">
        <v>947</v>
      </c>
    </row>
    <row r="327" spans="2:5" ht="16.5">
      <c r="B327" s="440" t="s">
        <v>525</v>
      </c>
      <c r="C327" s="440" t="s">
        <v>829</v>
      </c>
      <c r="D327" s="441">
        <v>37.5</v>
      </c>
      <c r="E327" s="437">
        <v>950</v>
      </c>
    </row>
    <row r="328" spans="2:5" ht="16.5">
      <c r="B328" s="440" t="s">
        <v>525</v>
      </c>
      <c r="C328" s="440" t="s">
        <v>830</v>
      </c>
      <c r="D328" s="441">
        <v>65</v>
      </c>
      <c r="E328" s="437">
        <v>951</v>
      </c>
    </row>
    <row r="329" spans="2:5" ht="16.5">
      <c r="B329" s="440" t="s">
        <v>525</v>
      </c>
      <c r="C329" s="440" t="s">
        <v>831</v>
      </c>
      <c r="D329" s="441">
        <v>65</v>
      </c>
      <c r="E329" s="437">
        <v>952</v>
      </c>
    </row>
    <row r="330" spans="2:5" ht="16.5">
      <c r="B330" s="440" t="s">
        <v>525</v>
      </c>
      <c r="C330" s="440" t="s">
        <v>832</v>
      </c>
      <c r="D330" s="441">
        <v>37.5</v>
      </c>
      <c r="E330" s="437">
        <v>953</v>
      </c>
    </row>
    <row r="331" spans="2:5" ht="16.5">
      <c r="B331" s="440" t="s">
        <v>525</v>
      </c>
      <c r="C331" s="440" t="s">
        <v>833</v>
      </c>
      <c r="D331" s="441">
        <v>37.5</v>
      </c>
      <c r="E331" s="437">
        <v>954</v>
      </c>
    </row>
    <row r="332" spans="2:5" ht="16.5">
      <c r="B332" s="440" t="s">
        <v>525</v>
      </c>
      <c r="C332" s="440" t="s">
        <v>834</v>
      </c>
      <c r="D332" s="441">
        <v>37.5</v>
      </c>
      <c r="E332" s="437">
        <v>955</v>
      </c>
    </row>
    <row r="333" spans="2:5" ht="16.5">
      <c r="B333" s="440" t="s">
        <v>525</v>
      </c>
      <c r="C333" s="440" t="s">
        <v>835</v>
      </c>
      <c r="D333" s="441">
        <v>37.5</v>
      </c>
      <c r="E333" s="437">
        <v>956</v>
      </c>
    </row>
    <row r="334" spans="2:5" ht="16.5">
      <c r="B334" s="440" t="s">
        <v>525</v>
      </c>
      <c r="C334" s="440" t="s">
        <v>836</v>
      </c>
      <c r="D334" s="441">
        <v>37.5</v>
      </c>
      <c r="E334" s="437">
        <v>957</v>
      </c>
    </row>
    <row r="335" spans="2:5" ht="16.5">
      <c r="B335" s="440" t="s">
        <v>525</v>
      </c>
      <c r="C335" s="440" t="s">
        <v>837</v>
      </c>
      <c r="D335" s="441">
        <v>37.5</v>
      </c>
      <c r="E335" s="437">
        <v>958</v>
      </c>
    </row>
    <row r="336" spans="2:5" ht="16.5">
      <c r="B336" s="440" t="s">
        <v>525</v>
      </c>
      <c r="C336" s="440" t="s">
        <v>838</v>
      </c>
      <c r="D336" s="441">
        <v>37.5</v>
      </c>
      <c r="E336" s="437">
        <v>959</v>
      </c>
    </row>
    <row r="337" spans="2:5" ht="16.5">
      <c r="B337" s="440" t="s">
        <v>525</v>
      </c>
      <c r="C337" s="440" t="s">
        <v>839</v>
      </c>
      <c r="D337" s="441">
        <v>37.5</v>
      </c>
      <c r="E337" s="437">
        <v>961</v>
      </c>
    </row>
    <row r="338" spans="2:5" ht="16.5">
      <c r="B338" s="440" t="s">
        <v>525</v>
      </c>
      <c r="C338" s="440" t="s">
        <v>840</v>
      </c>
      <c r="D338" s="441">
        <v>42.5</v>
      </c>
      <c r="E338" s="437">
        <v>962</v>
      </c>
    </row>
    <row r="339" spans="2:5" ht="16.5">
      <c r="B339" s="440" t="s">
        <v>525</v>
      </c>
      <c r="C339" s="440" t="s">
        <v>841</v>
      </c>
      <c r="D339" s="441">
        <v>42.5</v>
      </c>
      <c r="E339" s="437">
        <v>963</v>
      </c>
    </row>
    <row r="340" spans="2:5" ht="16.5">
      <c r="B340" s="440" t="s">
        <v>525</v>
      </c>
      <c r="C340" s="440" t="s">
        <v>842</v>
      </c>
      <c r="D340" s="441">
        <v>37.5</v>
      </c>
      <c r="E340" s="437">
        <v>964</v>
      </c>
    </row>
    <row r="341" spans="2:5" ht="16.5">
      <c r="B341" s="440" t="s">
        <v>525</v>
      </c>
      <c r="C341" s="440" t="s">
        <v>843</v>
      </c>
      <c r="D341" s="441">
        <v>42.5</v>
      </c>
      <c r="E341" s="437">
        <v>965</v>
      </c>
    </row>
    <row r="342" spans="2:5" ht="16.5">
      <c r="B342" s="440" t="s">
        <v>525</v>
      </c>
      <c r="C342" s="440" t="s">
        <v>844</v>
      </c>
      <c r="D342" s="441">
        <v>42.5</v>
      </c>
      <c r="E342" s="437">
        <v>966</v>
      </c>
    </row>
    <row r="343" spans="2:5" ht="16.5">
      <c r="B343" s="440" t="s">
        <v>527</v>
      </c>
      <c r="C343" s="440" t="s">
        <v>845</v>
      </c>
      <c r="D343" s="441">
        <v>47.5</v>
      </c>
      <c r="E343" s="437">
        <v>970</v>
      </c>
    </row>
    <row r="344" spans="2:5" ht="16.5">
      <c r="B344" s="440" t="s">
        <v>527</v>
      </c>
      <c r="C344" s="440" t="s">
        <v>846</v>
      </c>
      <c r="D344" s="441">
        <v>42.5</v>
      </c>
      <c r="E344" s="437">
        <v>971</v>
      </c>
    </row>
    <row r="345" spans="2:5" ht="16.5">
      <c r="B345" s="440" t="s">
        <v>527</v>
      </c>
      <c r="C345" s="440" t="s">
        <v>847</v>
      </c>
      <c r="D345" s="441">
        <v>42.5</v>
      </c>
      <c r="E345" s="437">
        <v>972</v>
      </c>
    </row>
    <row r="346" spans="2:5" ht="16.5">
      <c r="B346" s="440" t="s">
        <v>527</v>
      </c>
      <c r="C346" s="440" t="s">
        <v>848</v>
      </c>
      <c r="D346" s="441">
        <v>47.5</v>
      </c>
      <c r="E346" s="437">
        <v>973</v>
      </c>
    </row>
    <row r="347" spans="2:5" ht="16.5">
      <c r="B347" s="440" t="s">
        <v>527</v>
      </c>
      <c r="C347" s="440" t="s">
        <v>849</v>
      </c>
      <c r="D347" s="441">
        <v>42.5</v>
      </c>
      <c r="E347" s="437">
        <v>974</v>
      </c>
    </row>
    <row r="348" spans="2:5" ht="16.5">
      <c r="B348" s="440" t="s">
        <v>527</v>
      </c>
      <c r="C348" s="440" t="s">
        <v>850</v>
      </c>
      <c r="D348" s="441">
        <v>42.5</v>
      </c>
      <c r="E348" s="437">
        <v>975</v>
      </c>
    </row>
    <row r="349" spans="2:5" ht="16.5">
      <c r="B349" s="440" t="s">
        <v>527</v>
      </c>
      <c r="C349" s="440" t="s">
        <v>851</v>
      </c>
      <c r="D349" s="441">
        <v>42.5</v>
      </c>
      <c r="E349" s="437">
        <v>976</v>
      </c>
    </row>
    <row r="350" spans="2:5" ht="16.5">
      <c r="B350" s="440" t="s">
        <v>527</v>
      </c>
      <c r="C350" s="440" t="s">
        <v>852</v>
      </c>
      <c r="D350" s="441">
        <v>42.5</v>
      </c>
      <c r="E350" s="437">
        <v>977</v>
      </c>
    </row>
    <row r="351" spans="2:5" ht="16.5">
      <c r="B351" s="440" t="s">
        <v>527</v>
      </c>
      <c r="C351" s="440" t="s">
        <v>853</v>
      </c>
      <c r="D351" s="441">
        <v>42.5</v>
      </c>
      <c r="E351" s="437">
        <v>978</v>
      </c>
    </row>
    <row r="352" spans="2:5" ht="16.5">
      <c r="B352" s="440" t="s">
        <v>527</v>
      </c>
      <c r="C352" s="440" t="s">
        <v>854</v>
      </c>
      <c r="D352" s="441">
        <v>37.5</v>
      </c>
      <c r="E352" s="437">
        <v>979</v>
      </c>
    </row>
    <row r="353" spans="2:5" ht="16.5">
      <c r="B353" s="440" t="s">
        <v>527</v>
      </c>
      <c r="C353" s="440" t="s">
        <v>855</v>
      </c>
      <c r="D353" s="441">
        <v>42.5</v>
      </c>
      <c r="E353" s="437">
        <v>981</v>
      </c>
    </row>
    <row r="354" spans="2:5" ht="16.5">
      <c r="B354" s="440" t="s">
        <v>527</v>
      </c>
      <c r="C354" s="440" t="s">
        <v>856</v>
      </c>
      <c r="D354" s="441">
        <v>37.5</v>
      </c>
      <c r="E354" s="437">
        <v>982</v>
      </c>
    </row>
    <row r="355" spans="2:5" ht="16.5">
      <c r="B355" s="440" t="s">
        <v>527</v>
      </c>
      <c r="C355" s="440" t="s">
        <v>857</v>
      </c>
      <c r="D355" s="441">
        <v>37.5</v>
      </c>
      <c r="E355" s="437">
        <v>983</v>
      </c>
    </row>
    <row r="356" spans="2:5" ht="16.5">
      <c r="B356" s="440" t="s">
        <v>529</v>
      </c>
      <c r="C356" s="440" t="s">
        <v>858</v>
      </c>
      <c r="D356" s="441">
        <v>33</v>
      </c>
      <c r="E356" s="437">
        <v>880</v>
      </c>
    </row>
    <row r="357" spans="2:5" ht="16.5">
      <c r="B357" s="440" t="s">
        <v>529</v>
      </c>
      <c r="C357" s="440" t="s">
        <v>859</v>
      </c>
      <c r="D357" s="441">
        <v>33</v>
      </c>
      <c r="E357" s="437">
        <v>881</v>
      </c>
    </row>
    <row r="358" spans="2:5" ht="16.5">
      <c r="B358" s="440" t="s">
        <v>529</v>
      </c>
      <c r="C358" s="440" t="s">
        <v>860</v>
      </c>
      <c r="D358" s="441">
        <v>33</v>
      </c>
      <c r="E358" s="437">
        <v>882</v>
      </c>
    </row>
    <row r="359" spans="2:5" ht="16.5">
      <c r="B359" s="440" t="s">
        <v>529</v>
      </c>
      <c r="C359" s="440" t="s">
        <v>861</v>
      </c>
      <c r="D359" s="441">
        <v>45</v>
      </c>
      <c r="E359" s="437">
        <v>882</v>
      </c>
    </row>
    <row r="360" spans="2:5" ht="16.5">
      <c r="B360" s="440" t="s">
        <v>529</v>
      </c>
      <c r="C360" s="440" t="s">
        <v>862</v>
      </c>
      <c r="D360" s="437">
        <v>33</v>
      </c>
      <c r="E360" s="437">
        <v>883</v>
      </c>
    </row>
    <row r="361" spans="2:5" ht="16.5">
      <c r="B361" s="440" t="s">
        <v>529</v>
      </c>
      <c r="C361" s="440" t="s">
        <v>863</v>
      </c>
      <c r="D361" s="441">
        <v>33</v>
      </c>
      <c r="E361" s="437">
        <v>884</v>
      </c>
    </row>
    <row r="362" spans="2:5" ht="16.5">
      <c r="B362" s="440" t="s">
        <v>529</v>
      </c>
      <c r="C362" s="440" t="s">
        <v>864</v>
      </c>
      <c r="D362" s="441">
        <v>33</v>
      </c>
      <c r="E362" s="437">
        <v>885</v>
      </c>
    </row>
    <row r="363" spans="2:5" ht="16.5">
      <c r="B363" s="440" t="s">
        <v>531</v>
      </c>
      <c r="C363" s="440" t="s">
        <v>865</v>
      </c>
      <c r="D363" s="441">
        <v>35</v>
      </c>
      <c r="E363" s="437">
        <v>890</v>
      </c>
    </row>
    <row r="364" spans="2:5" ht="16.5">
      <c r="B364" s="440" t="s">
        <v>531</v>
      </c>
      <c r="C364" s="440" t="s">
        <v>866</v>
      </c>
      <c r="D364" s="441">
        <v>35</v>
      </c>
      <c r="E364" s="437">
        <v>891</v>
      </c>
    </row>
    <row r="365" spans="2:5" ht="16.5">
      <c r="B365" s="440" t="s">
        <v>531</v>
      </c>
      <c r="C365" s="440" t="s">
        <v>867</v>
      </c>
      <c r="D365" s="441">
        <v>35</v>
      </c>
      <c r="E365" s="437">
        <v>892</v>
      </c>
    </row>
    <row r="366" spans="2:5" ht="16.5">
      <c r="B366" s="440" t="s">
        <v>531</v>
      </c>
      <c r="C366" s="440" t="s">
        <v>868</v>
      </c>
      <c r="D366" s="441">
        <v>35</v>
      </c>
      <c r="E366" s="437">
        <v>893</v>
      </c>
    </row>
    <row r="367" spans="2:5" ht="16.5">
      <c r="B367" s="440" t="s">
        <v>531</v>
      </c>
      <c r="C367" s="440" t="s">
        <v>869</v>
      </c>
      <c r="D367" s="441">
        <v>35</v>
      </c>
      <c r="E367" s="437">
        <v>894</v>
      </c>
    </row>
    <row r="368" spans="2:5" ht="16.5">
      <c r="B368" s="440" t="s">
        <v>531</v>
      </c>
      <c r="C368" s="440" t="s">
        <v>870</v>
      </c>
      <c r="D368" s="441">
        <v>35</v>
      </c>
      <c r="E368" s="437">
        <v>896</v>
      </c>
    </row>
    <row r="369" spans="2:5" ht="16.5">
      <c r="B369" s="440" t="s">
        <v>533</v>
      </c>
      <c r="C369" s="440" t="s">
        <v>871</v>
      </c>
      <c r="D369" s="441">
        <v>42</v>
      </c>
      <c r="E369" s="437">
        <v>209</v>
      </c>
    </row>
    <row r="370" spans="2:5" ht="16.5">
      <c r="B370" s="440" t="s">
        <v>533</v>
      </c>
      <c r="C370" s="440" t="s">
        <v>872</v>
      </c>
      <c r="D370" s="441">
        <v>42</v>
      </c>
      <c r="E370" s="437">
        <v>210</v>
      </c>
    </row>
    <row r="371" spans="2:5" ht="16.5">
      <c r="B371" s="440" t="s">
        <v>533</v>
      </c>
      <c r="C371" s="440" t="s">
        <v>873</v>
      </c>
      <c r="D371" s="441">
        <v>42</v>
      </c>
      <c r="E371" s="437">
        <v>211</v>
      </c>
    </row>
    <row r="372" spans="2:5" ht="16.5">
      <c r="B372" s="440" t="s">
        <v>533</v>
      </c>
      <c r="C372" s="440" t="s">
        <v>874</v>
      </c>
      <c r="D372" s="441">
        <v>42</v>
      </c>
      <c r="E372" s="437">
        <v>212</v>
      </c>
    </row>
    <row r="373" spans="2:5" ht="16.5">
      <c r="B373" s="443" t="s">
        <v>535</v>
      </c>
      <c r="C373" s="443" t="s">
        <v>875</v>
      </c>
      <c r="D373" s="437"/>
      <c r="E373" s="437">
        <v>817</v>
      </c>
    </row>
    <row r="374" spans="2:5" ht="16.5">
      <c r="B374" s="443" t="s">
        <v>535</v>
      </c>
      <c r="C374" s="443" t="s">
        <v>876</v>
      </c>
      <c r="D374" s="437"/>
      <c r="E374" s="437">
        <v>819</v>
      </c>
    </row>
  </sheetData>
  <phoneticPr fontId="62" type="noConversion"/>
  <dataValidations count="2">
    <dataValidation type="list" allowBlank="1" showInputMessage="1" showErrorMessage="1" sqref="G2" xr:uid="{00000000-0002-0000-0300-000000000000}">
      <formula1>INDEX(INDIRECT(G1),,1)</formula1>
    </dataValidation>
    <dataValidation type="list" allowBlank="1" showInputMessage="1" showErrorMessage="1" sqref="G1" xr:uid="{00000000-0002-0000-0300-000001000000}">
      <formula1>縣市</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0"/>
  <sheetViews>
    <sheetView topLeftCell="A13" workbookViewId="0">
      <selection activeCell="K26" sqref="K26"/>
    </sheetView>
  </sheetViews>
  <sheetFormatPr defaultColWidth="9.140625" defaultRowHeight="16.5"/>
  <cols>
    <col min="1" max="1" width="11.7109375" style="411" bestFit="1" customWidth="1"/>
    <col min="2" max="4" width="11.140625" style="411" bestFit="1" customWidth="1"/>
    <col min="5" max="5" width="8" style="411" bestFit="1" customWidth="1"/>
    <col min="6" max="8" width="8.5703125" style="411" bestFit="1" customWidth="1"/>
    <col min="9" max="16384" width="9.140625" style="411"/>
  </cols>
  <sheetData>
    <row r="1" spans="1:8" ht="19.5">
      <c r="A1" s="411" t="s">
        <v>476</v>
      </c>
      <c r="B1" s="411" t="s">
        <v>376</v>
      </c>
      <c r="C1" s="411" t="s">
        <v>383</v>
      </c>
      <c r="D1" s="411" t="s">
        <v>384</v>
      </c>
      <c r="E1" s="411" t="s">
        <v>385</v>
      </c>
      <c r="F1" s="411" t="s">
        <v>386</v>
      </c>
      <c r="G1" s="411" t="s">
        <v>379</v>
      </c>
      <c r="H1" s="411" t="s">
        <v>387</v>
      </c>
    </row>
    <row r="2" spans="1:8">
      <c r="A2" s="411" t="s">
        <v>388</v>
      </c>
      <c r="B2" s="411">
        <v>0.32</v>
      </c>
      <c r="C2" s="411">
        <v>500</v>
      </c>
      <c r="D2" s="411">
        <v>0.45</v>
      </c>
      <c r="E2" s="411">
        <v>0.45</v>
      </c>
      <c r="F2" s="411">
        <v>55</v>
      </c>
      <c r="G2" s="411">
        <v>0.5</v>
      </c>
      <c r="H2" s="411">
        <v>18</v>
      </c>
    </row>
    <row r="3" spans="1:8">
      <c r="A3" s="411" t="s">
        <v>389</v>
      </c>
      <c r="B3" s="411">
        <v>0.25</v>
      </c>
      <c r="C3" s="411">
        <v>400</v>
      </c>
      <c r="D3" s="411">
        <v>0.62</v>
      </c>
      <c r="E3" s="411">
        <v>0.3</v>
      </c>
      <c r="F3" s="411">
        <v>98</v>
      </c>
      <c r="G3" s="411">
        <v>0.33</v>
      </c>
      <c r="H3" s="411">
        <v>9</v>
      </c>
    </row>
    <row r="4" spans="1:8">
      <c r="A4" s="411" t="s">
        <v>390</v>
      </c>
      <c r="B4" s="411">
        <v>0.15</v>
      </c>
      <c r="C4" s="411">
        <v>300</v>
      </c>
      <c r="D4" s="411">
        <v>0.94</v>
      </c>
      <c r="E4" s="411">
        <v>0.2</v>
      </c>
      <c r="F4" s="411">
        <v>152</v>
      </c>
      <c r="G4" s="411">
        <v>0.2</v>
      </c>
      <c r="H4" s="411">
        <v>4.5</v>
      </c>
    </row>
    <row r="6" spans="1:8">
      <c r="B6" s="411" t="s">
        <v>391</v>
      </c>
      <c r="C6" s="411" t="s">
        <v>391</v>
      </c>
      <c r="D6" s="411" t="s">
        <v>391</v>
      </c>
      <c r="E6" s="411" t="s">
        <v>378</v>
      </c>
      <c r="F6" s="411" t="s">
        <v>377</v>
      </c>
      <c r="G6" s="411" t="s">
        <v>377</v>
      </c>
    </row>
    <row r="7" spans="1:8">
      <c r="A7" s="411" t="s">
        <v>477</v>
      </c>
      <c r="B7" s="411" t="s">
        <v>392</v>
      </c>
      <c r="C7" s="411" t="s">
        <v>393</v>
      </c>
      <c r="D7" s="411" t="s">
        <v>394</v>
      </c>
      <c r="F7" s="411" t="s">
        <v>395</v>
      </c>
      <c r="G7" s="411" t="s">
        <v>396</v>
      </c>
    </row>
    <row r="8" spans="1:8">
      <c r="A8" s="411" t="s">
        <v>397</v>
      </c>
    </row>
    <row r="9" spans="1:8">
      <c r="A9" s="411" t="s">
        <v>398</v>
      </c>
      <c r="B9" s="411">
        <v>1.3</v>
      </c>
      <c r="C9" s="411">
        <v>1.3</v>
      </c>
      <c r="D9" s="411">
        <v>1.45</v>
      </c>
      <c r="E9" s="411">
        <v>3</v>
      </c>
      <c r="F9" s="411">
        <v>1.5</v>
      </c>
      <c r="G9" s="411">
        <v>1.5</v>
      </c>
    </row>
    <row r="10" spans="1:8">
      <c r="A10" s="411" t="s">
        <v>399</v>
      </c>
      <c r="B10" s="411">
        <v>0.75</v>
      </c>
      <c r="C10" s="411">
        <v>0.75</v>
      </c>
      <c r="D10" s="411">
        <v>0.85</v>
      </c>
      <c r="E10" s="411">
        <v>2.5</v>
      </c>
      <c r="F10" s="411">
        <v>1.5</v>
      </c>
      <c r="G10" s="411">
        <v>4</v>
      </c>
    </row>
    <row r="11" spans="1:8">
      <c r="A11" s="411" t="s">
        <v>400</v>
      </c>
      <c r="B11" s="411">
        <v>0.95</v>
      </c>
      <c r="C11" s="411">
        <v>0.95</v>
      </c>
      <c r="D11" s="411">
        <v>1.05</v>
      </c>
      <c r="E11" s="411">
        <v>4</v>
      </c>
      <c r="F11" s="411">
        <v>1.5</v>
      </c>
      <c r="G11" s="411">
        <v>1.5</v>
      </c>
    </row>
    <row r="13" spans="1:8">
      <c r="A13" s="411" t="s">
        <v>401</v>
      </c>
      <c r="B13" s="411" t="s">
        <v>478</v>
      </c>
    </row>
    <row r="14" spans="1:8">
      <c r="B14" s="450">
        <v>0</v>
      </c>
      <c r="C14" s="450" t="s">
        <v>402</v>
      </c>
      <c r="D14" s="450">
        <v>20</v>
      </c>
      <c r="E14" s="450">
        <v>30</v>
      </c>
      <c r="F14" s="450">
        <v>40</v>
      </c>
      <c r="G14" s="450">
        <v>50</v>
      </c>
      <c r="H14" s="451" t="s">
        <v>403</v>
      </c>
    </row>
    <row r="15" spans="1:8">
      <c r="A15" s="412" t="s">
        <v>404</v>
      </c>
      <c r="B15" s="450">
        <v>-0.7</v>
      </c>
      <c r="C15" s="450">
        <v>-0.9</v>
      </c>
      <c r="D15" s="450">
        <v>0.2</v>
      </c>
      <c r="E15" s="450">
        <v>0.3</v>
      </c>
      <c r="F15" s="450">
        <v>0.4</v>
      </c>
      <c r="G15" s="450">
        <v>0.5</v>
      </c>
      <c r="H15" s="451">
        <f>0.01*'MWFRS (普通建築物-封閉或部分封閉)'!B$23</f>
        <v>0.25016893478100022</v>
      </c>
    </row>
    <row r="16" spans="1:8">
      <c r="A16" s="449">
        <v>0.4</v>
      </c>
      <c r="B16" s="450">
        <v>-0.7</v>
      </c>
      <c r="C16" s="450">
        <v>-0.9</v>
      </c>
      <c r="D16" s="450">
        <v>-0.27500000000000002</v>
      </c>
      <c r="E16" s="450">
        <v>0.05</v>
      </c>
      <c r="F16" s="450">
        <v>0.35</v>
      </c>
      <c r="G16" s="450">
        <v>0.5</v>
      </c>
      <c r="H16" s="451">
        <f>0.01*'MWFRS (普通建築物-封閉或部分封閉)'!B$23</f>
        <v>0.25016893478100022</v>
      </c>
    </row>
    <row r="17" spans="1:8">
      <c r="A17" s="449">
        <v>0.5</v>
      </c>
      <c r="B17" s="450">
        <v>-0.7</v>
      </c>
      <c r="C17" s="450">
        <v>-0.9</v>
      </c>
      <c r="D17" s="450">
        <v>-0.75</v>
      </c>
      <c r="E17" s="450">
        <v>-0.2</v>
      </c>
      <c r="F17" s="450">
        <v>0.3</v>
      </c>
      <c r="G17" s="450">
        <v>0.5</v>
      </c>
      <c r="H17" s="451">
        <f>0.01*'MWFRS (普通建築物-封閉或部分封閉)'!B$23</f>
        <v>0.25016893478100022</v>
      </c>
    </row>
    <row r="18" spans="1:8">
      <c r="A18" s="449">
        <v>0.6</v>
      </c>
      <c r="B18" s="450">
        <v>-0.7</v>
      </c>
      <c r="C18" s="450">
        <v>-0.9</v>
      </c>
      <c r="D18" s="450">
        <v>-0.75</v>
      </c>
      <c r="E18" s="450">
        <v>-0.34</v>
      </c>
      <c r="F18" s="450">
        <v>0.31</v>
      </c>
      <c r="G18" s="450">
        <v>0.5</v>
      </c>
      <c r="H18" s="451">
        <f>0.01*'MWFRS (普通建築物-封閉或部分封閉)'!B$23</f>
        <v>0.25016893478100022</v>
      </c>
    </row>
    <row r="19" spans="1:8">
      <c r="A19" s="449">
        <v>0.7</v>
      </c>
      <c r="B19" s="450">
        <v>-0.7</v>
      </c>
      <c r="C19" s="450">
        <v>-0.9</v>
      </c>
      <c r="D19" s="450">
        <v>-0.75</v>
      </c>
      <c r="E19" s="450">
        <v>-0.48</v>
      </c>
      <c r="F19" s="450">
        <v>0.32</v>
      </c>
      <c r="G19" s="450">
        <v>1.5</v>
      </c>
      <c r="H19" s="451">
        <f>0.01*'MWFRS (普通建築物-封閉或部分封閉)'!B$23</f>
        <v>0.25016893478100022</v>
      </c>
    </row>
    <row r="20" spans="1:8">
      <c r="A20" s="449">
        <v>0.8</v>
      </c>
      <c r="B20" s="450">
        <v>-0.7</v>
      </c>
      <c r="C20" s="450">
        <v>-0.9</v>
      </c>
      <c r="D20" s="450">
        <v>-0.75</v>
      </c>
      <c r="E20" s="450">
        <v>-0.62</v>
      </c>
      <c r="F20" s="450">
        <v>0.33</v>
      </c>
      <c r="G20" s="450">
        <v>2.5</v>
      </c>
      <c r="H20" s="451">
        <f>0.01*'MWFRS (普通建築物-封閉或部分封閉)'!B$23</f>
        <v>0.25016893478100022</v>
      </c>
    </row>
    <row r="21" spans="1:8">
      <c r="A21" s="449">
        <v>0.9</v>
      </c>
      <c r="B21" s="450">
        <v>-0.7</v>
      </c>
      <c r="C21" s="450">
        <v>-0.9</v>
      </c>
      <c r="D21" s="450">
        <v>-0.75</v>
      </c>
      <c r="E21" s="450">
        <v>-0.76</v>
      </c>
      <c r="F21" s="450">
        <v>0.34</v>
      </c>
      <c r="G21" s="450">
        <v>3.5</v>
      </c>
      <c r="H21" s="451">
        <f>0.01*'MWFRS (普通建築物-封閉或部分封閉)'!B$23</f>
        <v>0.25016893478100022</v>
      </c>
    </row>
    <row r="22" spans="1:8">
      <c r="A22" s="449">
        <v>1</v>
      </c>
      <c r="B22" s="450">
        <v>-0.7</v>
      </c>
      <c r="C22" s="450">
        <v>-0.9</v>
      </c>
      <c r="D22" s="450">
        <v>-0.75</v>
      </c>
      <c r="E22" s="450">
        <v>-0.9</v>
      </c>
      <c r="F22" s="450">
        <v>0.35</v>
      </c>
      <c r="G22" s="450">
        <v>0.5</v>
      </c>
      <c r="H22" s="451">
        <f>0.01*'MWFRS (普通建築物-封閉或部分封閉)'!B$23</f>
        <v>0.25016893478100022</v>
      </c>
    </row>
    <row r="23" spans="1:8">
      <c r="A23" s="449">
        <v>1.1000000000000001</v>
      </c>
      <c r="B23" s="450">
        <v>-0.7</v>
      </c>
      <c r="C23" s="450">
        <v>-0.9</v>
      </c>
      <c r="D23" s="450">
        <f>D22-0.03</f>
        <v>-0.78</v>
      </c>
      <c r="E23" s="450">
        <v>-0.9</v>
      </c>
      <c r="F23" s="450">
        <f>F22-0.14</f>
        <v>0.20999999999999996</v>
      </c>
      <c r="G23" s="450">
        <f>G22-0.06</f>
        <v>0.44</v>
      </c>
      <c r="H23" s="451">
        <f>0.01*'MWFRS (普通建築物-封閉或部分封閉)'!B$23</f>
        <v>0.25016893478100022</v>
      </c>
    </row>
    <row r="24" spans="1:8">
      <c r="A24" s="449">
        <v>1.2</v>
      </c>
      <c r="B24" s="450">
        <v>-0.7</v>
      </c>
      <c r="C24" s="450">
        <v>-0.9</v>
      </c>
      <c r="D24" s="450">
        <f t="shared" ref="D24:D26" si="0">D23-0.03</f>
        <v>-0.81</v>
      </c>
      <c r="E24" s="450">
        <v>-0.9</v>
      </c>
      <c r="F24" s="450">
        <f t="shared" ref="F24:F26" si="1">F23-0.14</f>
        <v>6.9999999999999951E-2</v>
      </c>
      <c r="G24" s="450">
        <f t="shared" ref="G24:G26" si="2">G23-0.06</f>
        <v>0.38</v>
      </c>
      <c r="H24" s="451">
        <f>0.01*'MWFRS (普通建築物-封閉或部分封閉)'!B$23</f>
        <v>0.25016893478100022</v>
      </c>
    </row>
    <row r="25" spans="1:8">
      <c r="A25" s="449">
        <v>1.3</v>
      </c>
      <c r="B25" s="450">
        <v>-0.7</v>
      </c>
      <c r="C25" s="450">
        <v>-0.9</v>
      </c>
      <c r="D25" s="450">
        <f t="shared" si="0"/>
        <v>-0.84000000000000008</v>
      </c>
      <c r="E25" s="450">
        <v>-0.9</v>
      </c>
      <c r="F25" s="450">
        <f t="shared" si="1"/>
        <v>-7.0000000000000062E-2</v>
      </c>
      <c r="G25" s="450">
        <f t="shared" si="2"/>
        <v>0.32</v>
      </c>
      <c r="H25" s="451">
        <f>0.01*'MWFRS (普通建築物-封閉或部分封閉)'!B$23</f>
        <v>0.25016893478100022</v>
      </c>
    </row>
    <row r="26" spans="1:8">
      <c r="A26" s="449">
        <v>1.4</v>
      </c>
      <c r="B26" s="450">
        <v>-0.7</v>
      </c>
      <c r="C26" s="450">
        <v>-0.9</v>
      </c>
      <c r="D26" s="450">
        <f t="shared" si="0"/>
        <v>-0.87000000000000011</v>
      </c>
      <c r="E26" s="450">
        <v>-0.9</v>
      </c>
      <c r="F26" s="450">
        <f t="shared" si="1"/>
        <v>-0.21000000000000008</v>
      </c>
      <c r="G26" s="450">
        <f t="shared" si="2"/>
        <v>0.26</v>
      </c>
      <c r="H26" s="451">
        <f>0.01*'MWFRS (普通建築物-封閉或部分封閉)'!B$23</f>
        <v>0.25016893478100022</v>
      </c>
    </row>
    <row r="27" spans="1:8">
      <c r="A27" s="412" t="s">
        <v>405</v>
      </c>
      <c r="B27" s="450">
        <v>-0.7</v>
      </c>
      <c r="C27" s="450">
        <v>-0.9</v>
      </c>
      <c r="D27" s="450">
        <v>-0.9</v>
      </c>
      <c r="E27" s="450">
        <v>-0.9</v>
      </c>
      <c r="F27" s="450">
        <v>-0.35</v>
      </c>
      <c r="G27" s="450">
        <v>0.2</v>
      </c>
      <c r="H27" s="451">
        <f>0.01*'MWFRS (普通建築物-封閉或部分封閉)'!B$23</f>
        <v>0.25016893478100022</v>
      </c>
    </row>
    <row r="29" spans="1:8">
      <c r="A29" s="411" t="s">
        <v>406</v>
      </c>
      <c r="B29" s="411" t="s">
        <v>479</v>
      </c>
    </row>
    <row r="30" spans="1:8">
      <c r="B30" s="411" t="s">
        <v>407</v>
      </c>
      <c r="C30" s="411" t="s">
        <v>408</v>
      </c>
      <c r="D30" s="411" t="s">
        <v>407</v>
      </c>
    </row>
    <row r="31" spans="1:8">
      <c r="A31" s="411" t="s">
        <v>409</v>
      </c>
      <c r="B31" s="411">
        <v>-0.9</v>
      </c>
      <c r="C31" s="411">
        <f>-0.7-A$30</f>
        <v>-0.7</v>
      </c>
      <c r="D31" s="411">
        <v>-0.5</v>
      </c>
    </row>
    <row r="32" spans="1:8">
      <c r="A32" s="412" t="s">
        <v>410</v>
      </c>
      <c r="B32" s="411">
        <f>1.5*A30-0.3</f>
        <v>-0.3</v>
      </c>
      <c r="C32" s="411">
        <f>-0.7-A$30</f>
        <v>-0.7</v>
      </c>
      <c r="D32" s="411">
        <v>-0.5</v>
      </c>
    </row>
    <row r="33" spans="1:4">
      <c r="A33" s="412" t="s">
        <v>411</v>
      </c>
      <c r="B33" s="411">
        <f>2.75*A30-0.7</f>
        <v>-0.7</v>
      </c>
      <c r="C33" s="411">
        <f>-0.7-A$30</f>
        <v>-0.7</v>
      </c>
      <c r="D33" s="411">
        <v>-0.5</v>
      </c>
    </row>
    <row r="35" spans="1:4">
      <c r="A35" s="412" t="s">
        <v>412</v>
      </c>
      <c r="B35" s="411">
        <f>1.4*A34</f>
        <v>0</v>
      </c>
      <c r="C35" s="411">
        <f>-0.7-A34</f>
        <v>-0.7</v>
      </c>
      <c r="D35" s="411">
        <v>-0.5</v>
      </c>
    </row>
    <row r="38" spans="1:4">
      <c r="A38" s="438" t="s">
        <v>485</v>
      </c>
      <c r="B38" s="439" t="s">
        <v>489</v>
      </c>
    </row>
    <row r="39" spans="1:4">
      <c r="A39" s="438" t="s">
        <v>492</v>
      </c>
      <c r="B39" s="439" t="s">
        <v>493</v>
      </c>
    </row>
    <row r="40" spans="1:4" ht="18.75">
      <c r="A40" s="442" t="s">
        <v>487</v>
      </c>
      <c r="B40" s="439">
        <f ca="1">VLOOKUP(B39,INDIRECT(B38),2,FALSE)</f>
        <v>37.5</v>
      </c>
    </row>
  </sheetData>
  <phoneticPr fontId="62" type="noConversion"/>
  <dataValidations disablePrompts="1" count="2">
    <dataValidation type="list" allowBlank="1" showInputMessage="1" showErrorMessage="1" sqref="B38" xr:uid="{00000000-0002-0000-0400-000000000000}">
      <formula1>縣市</formula1>
    </dataValidation>
    <dataValidation type="list" allowBlank="1" showInputMessage="1" showErrorMessage="1" sqref="B39" xr:uid="{00000000-0002-0000-0400-000001000000}">
      <formula1>INDEX(INDIRECT(B38),,1)</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N17" sqref="N17"/>
    </sheetView>
  </sheetViews>
  <sheetFormatPr defaultRowHeight="12.75"/>
  <sheetData/>
  <phoneticPr fontId="62"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56"/>
  <sheetViews>
    <sheetView showGridLines="0" topLeftCell="A61" workbookViewId="0">
      <selection activeCell="AC51" sqref="AC51"/>
    </sheetView>
  </sheetViews>
  <sheetFormatPr defaultColWidth="9.140625" defaultRowHeight="12.75"/>
  <cols>
    <col min="1" max="1" width="18.7109375" style="45" customWidth="1"/>
    <col min="2" max="3" width="9.140625" style="45"/>
    <col min="4" max="4" width="9.7109375" style="45" customWidth="1"/>
    <col min="5" max="5" width="11.7109375" style="45" customWidth="1"/>
    <col min="6" max="7" width="10.140625" style="45" customWidth="1"/>
    <col min="8" max="8" width="12.28515625" style="45" customWidth="1"/>
    <col min="9" max="11" width="9.140625" hidden="1" customWidth="1"/>
    <col min="12" max="12" width="19.28515625" hidden="1" customWidth="1"/>
    <col min="13" max="13" width="9.140625" hidden="1" customWidth="1"/>
    <col min="14" max="14" width="16.7109375" hidden="1" customWidth="1"/>
    <col min="15" max="19" width="9.140625" hidden="1" customWidth="1"/>
    <col min="20" max="26" width="9.140625" style="17" hidden="1" customWidth="1"/>
    <col min="27" max="28" width="11.7109375" customWidth="1"/>
    <col min="29" max="29" width="9.7109375" customWidth="1"/>
  </cols>
  <sheetData>
    <row r="1" spans="1:28" ht="15.75">
      <c r="A1" s="23" t="s">
        <v>243</v>
      </c>
      <c r="B1" s="24"/>
      <c r="C1" s="24"/>
      <c r="D1" s="24"/>
      <c r="E1" s="24"/>
      <c r="F1" s="24"/>
      <c r="G1" s="24"/>
      <c r="H1" s="39"/>
      <c r="L1" s="19" t="s">
        <v>175</v>
      </c>
      <c r="M1" s="7"/>
      <c r="N1" s="7"/>
      <c r="O1" s="7"/>
      <c r="P1" s="7"/>
      <c r="Q1" s="7"/>
      <c r="R1" s="7"/>
      <c r="AA1" s="453" t="e">
        <f>#REF!</f>
        <v>#REF!</v>
      </c>
      <c r="AB1" s="454"/>
    </row>
    <row r="2" spans="1:28">
      <c r="A2" s="25" t="s">
        <v>317</v>
      </c>
      <c r="B2" s="26"/>
      <c r="C2" s="27"/>
      <c r="D2" s="27"/>
      <c r="E2" s="27"/>
      <c r="F2" s="27"/>
      <c r="G2" s="27"/>
      <c r="H2" s="41"/>
      <c r="L2" s="7"/>
      <c r="M2" s="7"/>
      <c r="N2" s="7"/>
      <c r="O2" s="7"/>
      <c r="P2" s="7"/>
      <c r="Q2" s="7"/>
      <c r="R2" s="7"/>
    </row>
    <row r="3" spans="1:28">
      <c r="A3" s="42" t="s">
        <v>318</v>
      </c>
      <c r="B3" s="40"/>
      <c r="C3" s="27"/>
      <c r="D3" s="27"/>
      <c r="E3" s="29"/>
      <c r="F3" s="29"/>
      <c r="G3" s="29"/>
      <c r="H3" s="43"/>
      <c r="J3" s="161" t="s">
        <v>291</v>
      </c>
      <c r="L3" s="11" t="s">
        <v>236</v>
      </c>
      <c r="M3" s="6">
        <f>IF($B$16="Gable",DEGREES(ATAN(($B$12-$B$13)/($B$14/2))),DEGREES(ATAN(($B$12-$B$13)/($B$14))))</f>
        <v>0</v>
      </c>
      <c r="N3" s="7"/>
      <c r="O3" s="11" t="s">
        <v>155</v>
      </c>
      <c r="P3" s="6">
        <f>IF($B$26&lt;=10,$B$13,$B$13+($B$12-$B$13)/2)</f>
        <v>14.67</v>
      </c>
      <c r="Q3" s="7"/>
      <c r="R3" s="7"/>
    </row>
    <row r="4" spans="1:28">
      <c r="A4" s="47" t="s">
        <v>110</v>
      </c>
      <c r="B4" s="110"/>
      <c r="C4" s="111"/>
      <c r="D4" s="112"/>
      <c r="E4" s="109" t="s">
        <v>300</v>
      </c>
      <c r="F4" s="119"/>
      <c r="G4" s="118"/>
      <c r="H4" s="117"/>
      <c r="J4" s="161" t="s">
        <v>282</v>
      </c>
      <c r="L4" s="17"/>
      <c r="M4" s="17"/>
      <c r="N4" s="17"/>
      <c r="O4" s="17"/>
      <c r="P4" s="7"/>
      <c r="Q4" s="7"/>
      <c r="R4" s="7"/>
    </row>
    <row r="5" spans="1:28">
      <c r="A5" s="47" t="s">
        <v>111</v>
      </c>
      <c r="B5" s="110"/>
      <c r="C5" s="111"/>
      <c r="D5" s="112"/>
      <c r="E5" s="115" t="s">
        <v>299</v>
      </c>
      <c r="F5" s="149"/>
      <c r="G5" s="116" t="s">
        <v>298</v>
      </c>
      <c r="H5" s="150"/>
      <c r="J5" s="161" t="s">
        <v>283</v>
      </c>
      <c r="L5" s="7" t="s">
        <v>239</v>
      </c>
      <c r="M5" s="7"/>
      <c r="N5" s="7"/>
      <c r="O5" s="8">
        <f>IF($P$3&lt;=60,IF($M$3&lt;=10,0.9,1),"N.A.")</f>
        <v>0.9</v>
      </c>
      <c r="P5" s="7"/>
      <c r="Q5" s="7"/>
      <c r="R5" s="7"/>
    </row>
    <row r="6" spans="1:28">
      <c r="A6" s="44"/>
      <c r="B6" s="65"/>
      <c r="C6" s="65"/>
      <c r="D6" s="65"/>
      <c r="E6" s="65"/>
      <c r="F6" s="145"/>
      <c r="G6" s="31"/>
      <c r="H6" s="208"/>
      <c r="J6" s="161" t="s">
        <v>284</v>
      </c>
      <c r="L6" s="17"/>
      <c r="M6" s="17"/>
      <c r="N6" s="17"/>
      <c r="O6" s="7"/>
      <c r="P6" s="7"/>
      <c r="Q6" s="7"/>
      <c r="R6" s="7"/>
    </row>
    <row r="7" spans="1:28">
      <c r="A7" s="46" t="s">
        <v>150</v>
      </c>
      <c r="B7" s="65"/>
      <c r="C7" s="65"/>
      <c r="D7" s="65"/>
      <c r="E7" s="65"/>
      <c r="F7" s="205"/>
      <c r="G7" s="31"/>
      <c r="H7" s="152"/>
      <c r="J7" s="10" t="s">
        <v>271</v>
      </c>
      <c r="L7" s="7" t="str">
        <f>IF($B$27&lt;=60,"Wall Pressure Coefficients, GCp (Fig. 6-11A):","Wall Pressure Coefficients, GCp (Fig. 6-17):")</f>
        <v>Wall Pressure Coefficients, GCp (Fig. 6-11A):</v>
      </c>
      <c r="M7" s="7"/>
      <c r="N7" s="7"/>
      <c r="O7" s="7"/>
      <c r="P7" s="7"/>
      <c r="Q7" s="7"/>
      <c r="R7" s="7"/>
    </row>
    <row r="8" spans="1:28">
      <c r="A8" s="46"/>
      <c r="B8" s="65"/>
      <c r="C8" s="65"/>
      <c r="D8" s="65"/>
      <c r="E8" s="65"/>
      <c r="H8" s="50"/>
      <c r="J8" s="10" t="s">
        <v>157</v>
      </c>
      <c r="L8" s="11" t="s">
        <v>127</v>
      </c>
      <c r="M8" s="8">
        <f>IF($P$3&lt;=60,IF($B$22&lt;=10,$O$5*1,IF($B$22&lt;=500,$O$5*(1.1766-0.1766*LOG($B$22)),$O$5*0.7)),IF($B$22&lt;=20,0.9,IF($B$22&lt;=500,1.1792-0.2146*LOG($B$22),0.6)))</f>
        <v>0.63</v>
      </c>
      <c r="N8" s="14" t="str">
        <f>IF($B$27&lt;=60,IF($B$26&lt;=10,"(GCp is reduced by 10% for roof angle &lt;=10 deg. )",""),"")</f>
        <v>(GCp is reduced by 10% for roof angle &lt;=10 deg. )</v>
      </c>
      <c r="O8" s="7"/>
      <c r="P8" s="7"/>
      <c r="Q8" s="7"/>
      <c r="R8" s="7"/>
    </row>
    <row r="9" spans="1:28">
      <c r="A9" s="49" t="s">
        <v>151</v>
      </c>
      <c r="B9" s="121">
        <v>110</v>
      </c>
      <c r="C9" s="186" t="s">
        <v>350</v>
      </c>
      <c r="H9" s="50"/>
      <c r="J9" s="10" t="s">
        <v>285</v>
      </c>
      <c r="L9" s="11" t="s">
        <v>128</v>
      </c>
      <c r="M9" s="8">
        <f>IF($P$3&lt;=60,IF($B$22&lt;=10,$O$5*1,IF($B$22&lt;=500,$O$5*(1.1766-0.1766*LOG($B$22)),$O$5*0.7)),IF($B$22&lt;=20,0.9,IF($B$22&lt;=500,1.1792-0.2146*LOG($B$22),0.6)))</f>
        <v>0.63</v>
      </c>
      <c r="N9" s="14" t="str">
        <f>IF($B$27&lt;=60,IF($B$26&lt;=10,"(GCp is reduced by 10% for roof angle &lt;=10 deg. )",""),"")</f>
        <v>(GCp is reduced by 10% for roof angle &lt;=10 deg. )</v>
      </c>
      <c r="O9" s="7"/>
      <c r="P9" s="7"/>
      <c r="Q9" s="7"/>
      <c r="R9" s="7"/>
    </row>
    <row r="10" spans="1:28">
      <c r="A10" s="49" t="s">
        <v>307</v>
      </c>
      <c r="B10" s="158" t="s">
        <v>282</v>
      </c>
      <c r="C10" s="186" t="s">
        <v>315</v>
      </c>
      <c r="H10" s="159"/>
      <c r="J10" s="10" t="s">
        <v>312</v>
      </c>
      <c r="L10" s="11" t="s">
        <v>129</v>
      </c>
      <c r="M10" s="8">
        <f>IF($P$3&lt;=60,IF($B$22&lt;=10,$O$5*(-1.1),IF($B$22&lt;=500,$O$5*(-1.2766+0.1766*LOG($B$22)),$O$5*(-0.8))),IF($B$22&lt;=20,-0.9,IF($B$22&lt;=500,-1.0861+0.1431*LOG($B$22),-0.7)))</f>
        <v>-0.72000000000000008</v>
      </c>
      <c r="N10" s="14" t="str">
        <f>IF($B$27&lt;=60,IF($B$26&lt;=10,"(GCp is reduced by 10% for roof angle &lt;=10 deg. )",""),"")</f>
        <v>(GCp is reduced by 10% for roof angle &lt;=10 deg. )</v>
      </c>
      <c r="O10" s="7"/>
      <c r="P10" s="7"/>
      <c r="Q10" s="7"/>
      <c r="R10" s="7"/>
    </row>
    <row r="11" spans="1:28">
      <c r="A11" s="49" t="s">
        <v>309</v>
      </c>
      <c r="B11" s="122" t="s">
        <v>157</v>
      </c>
      <c r="C11" s="94" t="s">
        <v>319</v>
      </c>
      <c r="H11" s="160"/>
      <c r="J11" s="10" t="s">
        <v>311</v>
      </c>
      <c r="L11" s="11" t="s">
        <v>130</v>
      </c>
      <c r="M11" s="8">
        <f>IF($P$3&lt;=60,IF($B$22&lt;=10,$O$5*(-1.4),IF($B$22&lt;=500,$O$5*(-1.7532+0.3532*LOG($B$22)),$O$5*(-0.8))),IF($B$22&lt;=20,-1.8,IF($B$22&lt;=500,-2.5445+0.5723*LOG($B$22),-1)))</f>
        <v>-0.72000000000000008</v>
      </c>
      <c r="N11" s="14" t="str">
        <f>IF($B$27&lt;=60,IF($B$26&lt;=10,"(GCp is reduced by 10% for roof angle &lt;=10 deg. )",""),"")</f>
        <v>(GCp is reduced by 10% for roof angle &lt;=10 deg. )</v>
      </c>
      <c r="O11" s="17"/>
      <c r="P11" s="17"/>
      <c r="Q11" s="7"/>
      <c r="R11" s="7"/>
    </row>
    <row r="12" spans="1:28">
      <c r="A12" s="49" t="s">
        <v>152</v>
      </c>
      <c r="B12" s="123">
        <v>14.67</v>
      </c>
      <c r="C12" s="182" t="s">
        <v>18</v>
      </c>
      <c r="H12" s="50"/>
      <c r="J12" s="10" t="s">
        <v>272</v>
      </c>
      <c r="L12" s="7"/>
      <c r="M12" s="7"/>
      <c r="N12" s="7"/>
      <c r="O12" s="7"/>
      <c r="P12" s="7"/>
      <c r="Q12" s="7"/>
      <c r="R12" s="7"/>
    </row>
    <row r="13" spans="1:28">
      <c r="A13" s="49" t="s">
        <v>153</v>
      </c>
      <c r="B13" s="123">
        <v>14.67</v>
      </c>
      <c r="C13" s="182" t="s">
        <v>19</v>
      </c>
      <c r="E13" s="51" t="str">
        <f>IF($B$13&gt;$B$12,"hr MUST BE &gt;= he !","")</f>
        <v/>
      </c>
      <c r="H13" s="50"/>
      <c r="J13" s="10" t="s">
        <v>121</v>
      </c>
      <c r="L13" s="7" t="s">
        <v>141</v>
      </c>
      <c r="M13" s="7"/>
      <c r="N13" s="7" t="s">
        <v>142</v>
      </c>
      <c r="O13" s="7"/>
      <c r="P13" s="7"/>
      <c r="Q13" s="7"/>
      <c r="R13" s="7"/>
    </row>
    <row r="14" spans="1:28">
      <c r="A14" s="49" t="s">
        <v>269</v>
      </c>
      <c r="B14" s="123">
        <v>222</v>
      </c>
      <c r="C14" s="182" t="s">
        <v>20</v>
      </c>
      <c r="H14" s="50"/>
      <c r="J14" s="10" t="s">
        <v>268</v>
      </c>
      <c r="L14" s="11" t="s">
        <v>176</v>
      </c>
      <c r="M14" s="8">
        <f>IF($P$3&lt;=60,IF($B$14&lt;=$B$15,$B$14,$B$15),"N.A.")</f>
        <v>204</v>
      </c>
      <c r="N14" s="11" t="s">
        <v>176</v>
      </c>
      <c r="O14" s="10" t="str">
        <f>IF($P$3&gt;60,IF($B$14&lt;=$B$15,$B$14,$B$15),"N.A.")</f>
        <v>N.A.</v>
      </c>
      <c r="P14" s="7"/>
      <c r="Q14" s="7"/>
      <c r="R14" s="7"/>
    </row>
    <row r="15" spans="1:28">
      <c r="A15" s="49" t="s">
        <v>270</v>
      </c>
      <c r="B15" s="123">
        <v>204</v>
      </c>
      <c r="C15" s="182" t="s">
        <v>21</v>
      </c>
      <c r="F15" s="162"/>
      <c r="H15" s="50"/>
      <c r="J15" s="10" t="s">
        <v>290</v>
      </c>
      <c r="L15" s="13" t="s">
        <v>177</v>
      </c>
      <c r="M15" s="8">
        <f>IF($P$3&lt;=60,0.1*$M$14,"N.A.")</f>
        <v>20.400000000000002</v>
      </c>
      <c r="N15" s="13" t="s">
        <v>177</v>
      </c>
      <c r="O15" s="10" t="str">
        <f>IF($P$3&gt;60,0.1*$O$14,"N.A.")</f>
        <v>N.A.</v>
      </c>
      <c r="P15" s="7"/>
      <c r="Q15" s="7"/>
      <c r="R15" s="7"/>
    </row>
    <row r="16" spans="1:28">
      <c r="A16" s="49" t="s">
        <v>310</v>
      </c>
      <c r="B16" s="163" t="s">
        <v>311</v>
      </c>
      <c r="C16" s="182" t="s">
        <v>210</v>
      </c>
      <c r="F16" s="104"/>
      <c r="G16" s="207"/>
      <c r="H16" s="50"/>
      <c r="J16" s="18" t="s">
        <v>274</v>
      </c>
      <c r="L16" s="11" t="s">
        <v>132</v>
      </c>
      <c r="M16" s="8">
        <f>IF($P$3&lt;=60,IF($M$15&lt;=0.4*$P$3,$M$15,0.4*$P$3),"N.A.")</f>
        <v>5.8680000000000003</v>
      </c>
      <c r="N16" s="11" t="s">
        <v>143</v>
      </c>
      <c r="O16" s="10" t="str">
        <f>IF($P$3&gt;60,IF($O$15&gt;=3,$O$15,3),"N.A.")</f>
        <v>N.A.</v>
      </c>
      <c r="P16" s="7"/>
      <c r="Q16" s="7"/>
      <c r="R16" s="7"/>
    </row>
    <row r="17" spans="1:18">
      <c r="A17" s="49" t="s">
        <v>154</v>
      </c>
      <c r="B17" s="123">
        <v>1</v>
      </c>
      <c r="C17" s="213" t="s">
        <v>316</v>
      </c>
      <c r="H17" s="50"/>
      <c r="J17" s="10" t="s">
        <v>289</v>
      </c>
      <c r="L17" s="11" t="s">
        <v>173</v>
      </c>
      <c r="M17" s="8">
        <f>IF($P$3&lt;=60,IF($M$16&gt;=0.04*$M$14,$M$16,0.04*$M$14),"N.A.")</f>
        <v>8.16</v>
      </c>
      <c r="N17" s="11" t="s">
        <v>131</v>
      </c>
      <c r="O17" s="10" t="str">
        <f>$O$16</f>
        <v>N.A.</v>
      </c>
      <c r="P17" s="7"/>
      <c r="Q17" s="7"/>
      <c r="R17" s="7"/>
    </row>
    <row r="18" spans="1:18">
      <c r="A18" s="49" t="s">
        <v>253</v>
      </c>
      <c r="B18" s="123">
        <v>0.85</v>
      </c>
      <c r="C18" s="94" t="s">
        <v>320</v>
      </c>
      <c r="H18" s="50"/>
      <c r="L18" s="11" t="s">
        <v>143</v>
      </c>
      <c r="M18" s="8">
        <f>IF($P$3&lt;=60,IF($M$17&gt;=3,$M$17,3),"N.A.")</f>
        <v>8.16</v>
      </c>
      <c r="N18" s="12"/>
      <c r="O18" s="7"/>
      <c r="P18" s="7"/>
      <c r="Q18" s="7"/>
      <c r="R18" s="7"/>
    </row>
    <row r="19" spans="1:18">
      <c r="A19" s="49" t="s">
        <v>4</v>
      </c>
      <c r="B19" s="122" t="s">
        <v>272</v>
      </c>
      <c r="C19" s="92" t="s">
        <v>321</v>
      </c>
      <c r="H19" s="50"/>
      <c r="L19" s="11" t="s">
        <v>131</v>
      </c>
      <c r="M19" s="8">
        <f>$M$18</f>
        <v>8.16</v>
      </c>
      <c r="N19" s="12"/>
      <c r="O19" s="7"/>
      <c r="P19" s="7"/>
      <c r="Q19" s="7"/>
      <c r="R19" s="7"/>
    </row>
    <row r="20" spans="1:18">
      <c r="A20" s="199" t="s">
        <v>277</v>
      </c>
      <c r="B20" s="122" t="s">
        <v>272</v>
      </c>
      <c r="H20" s="50"/>
      <c r="L20" s="7"/>
      <c r="M20" s="7"/>
      <c r="N20" s="7"/>
      <c r="O20" s="7"/>
      <c r="P20" s="7"/>
      <c r="Q20" s="7"/>
      <c r="R20" s="7"/>
    </row>
    <row r="21" spans="1:18">
      <c r="A21" s="49" t="s">
        <v>275</v>
      </c>
      <c r="B21" s="122" t="s">
        <v>274</v>
      </c>
      <c r="C21" s="213" t="s">
        <v>301</v>
      </c>
      <c r="F21" s="162"/>
      <c r="H21" s="159"/>
      <c r="L21" s="7" t="s">
        <v>323</v>
      </c>
      <c r="M21" s="7"/>
      <c r="N21" s="7"/>
      <c r="O21" s="7"/>
      <c r="P21" s="7"/>
      <c r="Q21" s="7"/>
      <c r="R21" s="7"/>
    </row>
    <row r="22" spans="1:18">
      <c r="A22" s="49" t="s">
        <v>156</v>
      </c>
      <c r="B22" s="131">
        <v>533</v>
      </c>
      <c r="C22" s="213" t="s">
        <v>22</v>
      </c>
      <c r="H22" s="204"/>
      <c r="L22" s="13" t="s">
        <v>186</v>
      </c>
      <c r="M22" s="3">
        <f>IF($B$19="Y",0.18,0.55)</f>
        <v>0.18</v>
      </c>
      <c r="N22" s="7"/>
      <c r="O22" s="7"/>
      <c r="P22" s="7"/>
      <c r="Q22" s="7"/>
      <c r="R22" s="7"/>
    </row>
    <row r="23" spans="1:18">
      <c r="A23" s="49"/>
      <c r="B23" s="31"/>
      <c r="C23" s="52"/>
      <c r="F23" s="162"/>
      <c r="H23" s="50"/>
      <c r="L23" s="13" t="s">
        <v>187</v>
      </c>
      <c r="M23" s="3">
        <f>IF($B$19="Y",-0.18,-0.55)</f>
        <v>-0.18</v>
      </c>
      <c r="N23" s="7"/>
      <c r="O23" s="7"/>
      <c r="P23" s="7"/>
      <c r="Q23" s="7"/>
      <c r="R23" s="7"/>
    </row>
    <row r="24" spans="1:18">
      <c r="A24" s="46" t="s">
        <v>172</v>
      </c>
      <c r="B24" s="31"/>
      <c r="C24" s="52"/>
      <c r="F24" s="162"/>
      <c r="H24" s="50"/>
      <c r="L24" s="7"/>
      <c r="M24" s="7"/>
      <c r="N24" s="7"/>
      <c r="O24" s="7"/>
      <c r="P24" s="7"/>
      <c r="Q24" s="7"/>
      <c r="R24" s="7"/>
    </row>
    <row r="25" spans="1:18">
      <c r="A25" s="44"/>
      <c r="F25" s="71"/>
      <c r="G25" s="71"/>
      <c r="H25" s="50"/>
      <c r="L25" s="7" t="s">
        <v>237</v>
      </c>
      <c r="M25" s="7"/>
      <c r="N25" s="7"/>
      <c r="O25" s="7"/>
      <c r="P25" s="7"/>
      <c r="Q25" s="7"/>
      <c r="R25" s="7"/>
    </row>
    <row r="26" spans="1:18">
      <c r="A26" s="49" t="s">
        <v>235</v>
      </c>
      <c r="B26" s="127">
        <f>$M$3</f>
        <v>0</v>
      </c>
      <c r="C26" s="45" t="s">
        <v>276</v>
      </c>
      <c r="F26" s="53"/>
      <c r="H26" s="50"/>
      <c r="L26" s="15" t="s">
        <v>238</v>
      </c>
      <c r="M26" s="8">
        <f>IF($B$11="A",5,IF($B$11="B",7,IF($B$11="C",9.5,IF($B$11="D",11.5,"Error!"))))</f>
        <v>9.5</v>
      </c>
      <c r="N26" s="12" t="s">
        <v>325</v>
      </c>
      <c r="O26" s="7"/>
      <c r="P26" s="7"/>
      <c r="Q26" s="7"/>
      <c r="R26" s="7"/>
    </row>
    <row r="27" spans="1:18">
      <c r="A27" s="49" t="s">
        <v>155</v>
      </c>
      <c r="B27" s="126">
        <f>$P$3</f>
        <v>14.67</v>
      </c>
      <c r="C27" s="52" t="str">
        <f>IF($B$26&lt;=10,"ft. (h = he, for roof angle &lt;=10 deg.)","ft. (h = (hr+he)/2, for roof angle &gt;10 deg.)")</f>
        <v>ft. (h = he, for roof angle &lt;=10 deg.)</v>
      </c>
      <c r="H27" s="50"/>
      <c r="L27" s="11" t="s">
        <v>119</v>
      </c>
      <c r="M27" s="10">
        <f>IF($B$11="A",1500,IF($B$11="B",1200,IF($B$11="C",900,IF($B$11="D",700,"Error!"))))</f>
        <v>900</v>
      </c>
      <c r="N27" s="12" t="s">
        <v>325</v>
      </c>
      <c r="O27" s="7"/>
      <c r="P27" s="7"/>
      <c r="Q27" s="7"/>
      <c r="R27" s="7"/>
    </row>
    <row r="28" spans="1:18">
      <c r="A28" s="44"/>
      <c r="H28" s="50"/>
      <c r="K28" s="8"/>
      <c r="L28" s="11" t="s">
        <v>120</v>
      </c>
      <c r="M28" s="8">
        <f>IF($B$11="A",IF($P$3&lt;100,2.01*(100/$M$27)^(2/$M$26),2.01*($P$3/$M$27)^(2/$M$26)),IF($B$11="B",IF($P$3&lt;30,2.01*(30/$M$27)^(2/$M$26),2.01*($P$3/$M$27)^(2/$M$26)),IF(OR($B$11="C",$B$11="D"),IF($P$3&lt;15,2.01*(15/$M$27)^(2/$M$26),2.01*($P$3/$M$27)^(2/$M$26)))))</f>
        <v>0.84888415207790313</v>
      </c>
      <c r="N28" s="7" t="s">
        <v>332</v>
      </c>
      <c r="O28" s="7"/>
      <c r="P28" s="7"/>
      <c r="Q28" s="7"/>
      <c r="R28" s="7"/>
    </row>
    <row r="29" spans="1:18">
      <c r="A29" s="44" t="s">
        <v>205</v>
      </c>
      <c r="H29" s="50"/>
      <c r="L29" s="11" t="s">
        <v>158</v>
      </c>
      <c r="M29" s="8">
        <v>1</v>
      </c>
      <c r="N29" s="7" t="s">
        <v>326</v>
      </c>
      <c r="O29" s="7"/>
      <c r="P29" s="7"/>
      <c r="Q29" s="7"/>
      <c r="R29" s="7"/>
    </row>
    <row r="30" spans="1:18">
      <c r="A30" s="49" t="s">
        <v>127</v>
      </c>
      <c r="B30" s="127">
        <f>$M$8</f>
        <v>0.63</v>
      </c>
      <c r="C30" s="79" t="str">
        <f>IF($B$27&lt;=60,IF($B$26&lt;=10,"(Fig. 30.4-1, GCp is reduced by 10% for roof angle &lt;=10 deg. )","(Fig. 30.4-1)"),"(Fig. 30.8-1)")</f>
        <v>(Fig. 30.4-1, GCp is reduced by 10% for roof angle &lt;=10 deg. )</v>
      </c>
      <c r="D30" s="64"/>
      <c r="H30" s="50"/>
      <c r="L30" s="11" t="s">
        <v>192</v>
      </c>
      <c r="M30" s="8">
        <f>0.00256*$M$28*$B$17*$B$18*$B$9^2*$M$29</f>
        <v>22.350780170550358</v>
      </c>
      <c r="N30" s="7"/>
      <c r="O30" s="7"/>
      <c r="P30" s="7"/>
      <c r="Q30" s="7"/>
      <c r="R30" s="7"/>
    </row>
    <row r="31" spans="1:18">
      <c r="A31" s="49" t="s">
        <v>128</v>
      </c>
      <c r="B31" s="128">
        <f>$M$9</f>
        <v>0.63</v>
      </c>
      <c r="C31" s="79" t="str">
        <f>IF($B$27&lt;=60,IF($B$26&lt;=10,"(Fig. 30.4-1, GCp is reduced by 10% for roof angle &lt;=10 deg. )","(Fig. 30.4-1)"),"(Fig. 30.8-1)")</f>
        <v>(Fig. 30.4-1, GCp is reduced by 10% for roof angle &lt;=10 deg. )</v>
      </c>
      <c r="D31" s="64"/>
      <c r="H31" s="50"/>
      <c r="L31" s="7"/>
      <c r="M31" s="7"/>
      <c r="N31" s="7"/>
      <c r="O31" s="7"/>
      <c r="P31" s="7"/>
      <c r="Q31" s="7"/>
      <c r="R31" s="7"/>
    </row>
    <row r="32" spans="1:18">
      <c r="A32" s="49" t="s">
        <v>129</v>
      </c>
      <c r="B32" s="128">
        <f>$M$10</f>
        <v>-0.72000000000000008</v>
      </c>
      <c r="C32" s="79" t="str">
        <f>IF($B$27&lt;=60,IF($B$26&lt;=10,"(Fig. 30.4-1, GCp is reduced by 10% for roof angle &lt;=10 deg. )","(Fig. 30.4-1)"),"(Fig. 30.8-1)")</f>
        <v>(Fig. 30.4-1, GCp is reduced by 10% for roof angle &lt;=10 deg. )</v>
      </c>
      <c r="D32" s="64"/>
      <c r="H32" s="50"/>
      <c r="L32" s="7"/>
      <c r="M32" s="7"/>
      <c r="N32" s="7"/>
      <c r="O32" s="16"/>
      <c r="P32" s="14"/>
      <c r="Q32" s="7"/>
      <c r="R32" s="7"/>
    </row>
    <row r="33" spans="1:18">
      <c r="A33" s="49" t="s">
        <v>130</v>
      </c>
      <c r="B33" s="130">
        <f>$M$11</f>
        <v>-0.72000000000000008</v>
      </c>
      <c r="C33" s="79" t="str">
        <f>IF($B$27&lt;=60,IF($B$26&lt;=10,"(Fig. 30.4-1, GCp is reduced by 10% for roof angle &lt;=10 deg. )","(Fig. 30.4-1)"),"(Fig. 30.8-1)")</f>
        <v>(Fig. 30.4-1, GCp is reduced by 10% for roof angle &lt;=10 deg. )</v>
      </c>
      <c r="D33" s="64"/>
      <c r="H33" s="50"/>
      <c r="L33" s="7"/>
      <c r="M33" s="7"/>
      <c r="N33" s="7"/>
      <c r="O33" s="7"/>
      <c r="P33" s="12"/>
      <c r="Q33" s="7"/>
      <c r="R33" s="7"/>
    </row>
    <row r="34" spans="1:18">
      <c r="A34" s="185" t="s">
        <v>323</v>
      </c>
      <c r="E34" s="34"/>
      <c r="H34" s="50"/>
      <c r="L34" s="7"/>
      <c r="M34" s="7"/>
      <c r="N34" s="7"/>
      <c r="O34" s="7"/>
      <c r="P34" s="7"/>
      <c r="Q34" s="7"/>
      <c r="R34" s="7"/>
    </row>
    <row r="35" spans="1:18">
      <c r="A35" s="76" t="s">
        <v>189</v>
      </c>
      <c r="B35" s="125">
        <f>$M$22</f>
        <v>0.18</v>
      </c>
      <c r="C35" s="45" t="s">
        <v>217</v>
      </c>
      <c r="H35" s="50"/>
      <c r="L35" s="7"/>
      <c r="M35" s="7"/>
      <c r="N35" s="7"/>
      <c r="O35" s="7"/>
      <c r="P35" s="7"/>
      <c r="Q35" s="7"/>
      <c r="R35" s="7"/>
    </row>
    <row r="36" spans="1:18">
      <c r="A36" s="76" t="s">
        <v>190</v>
      </c>
      <c r="B36" s="126">
        <f>$M$23</f>
        <v>-0.18</v>
      </c>
      <c r="C36" s="45" t="s">
        <v>218</v>
      </c>
      <c r="H36" s="50"/>
      <c r="L36" s="7"/>
      <c r="M36" s="7"/>
      <c r="N36" s="7"/>
      <c r="O36" s="7"/>
      <c r="P36" s="7"/>
      <c r="Q36" s="7"/>
      <c r="R36" s="7"/>
    </row>
    <row r="37" spans="1:18">
      <c r="A37" s="44"/>
      <c r="H37" s="50"/>
      <c r="L37" s="7"/>
      <c r="M37" s="7"/>
      <c r="N37" s="11"/>
      <c r="O37" s="16"/>
      <c r="P37" s="7"/>
      <c r="Q37" s="7"/>
      <c r="R37" s="7"/>
    </row>
    <row r="38" spans="1:18">
      <c r="A38" s="388" t="s">
        <v>324</v>
      </c>
      <c r="F38" s="64"/>
      <c r="G38" s="61"/>
      <c r="H38" s="50"/>
      <c r="L38" s="7"/>
      <c r="M38" s="7"/>
      <c r="N38" s="7"/>
      <c r="O38" s="7"/>
      <c r="P38" s="7"/>
      <c r="Q38" s="7"/>
      <c r="R38" s="7"/>
    </row>
    <row r="39" spans="1:18">
      <c r="A39" s="78" t="s">
        <v>229</v>
      </c>
      <c r="B39" s="127">
        <f>$M$26</f>
        <v>9.5</v>
      </c>
      <c r="C39" s="213" t="s">
        <v>325</v>
      </c>
      <c r="E39" s="52" t="str">
        <f>IF($B$11="B","(Note: z not &lt; 30' for Exp. B, Case 1)","")</f>
        <v/>
      </c>
      <c r="F39" s="64"/>
      <c r="G39" s="61"/>
      <c r="H39" s="50"/>
      <c r="L39" s="7"/>
      <c r="M39" s="7"/>
      <c r="N39" s="7"/>
      <c r="O39" s="7"/>
      <c r="P39" s="7"/>
      <c r="Q39" s="7"/>
      <c r="R39" s="7"/>
    </row>
    <row r="40" spans="1:18">
      <c r="A40" s="49" t="s">
        <v>119</v>
      </c>
      <c r="B40" s="132">
        <f>$M$27</f>
        <v>900</v>
      </c>
      <c r="C40" s="182" t="s">
        <v>325</v>
      </c>
      <c r="F40" s="64"/>
      <c r="G40" s="61"/>
      <c r="H40" s="50"/>
      <c r="L40" s="7"/>
      <c r="M40" s="7"/>
      <c r="N40" s="7"/>
      <c r="O40" s="7"/>
      <c r="P40" s="7"/>
      <c r="Q40" s="7"/>
      <c r="R40" s="7"/>
    </row>
    <row r="41" spans="1:18">
      <c r="A41" s="49" t="s">
        <v>120</v>
      </c>
      <c r="B41" s="389">
        <f>$M$28</f>
        <v>0.84888415207790313</v>
      </c>
      <c r="C41" s="45" t="s">
        <v>188</v>
      </c>
      <c r="F41" s="64"/>
      <c r="G41" s="61"/>
      <c r="H41" s="50"/>
      <c r="L41" s="7"/>
      <c r="M41" s="7"/>
      <c r="N41" s="7"/>
      <c r="O41" s="7"/>
      <c r="P41" s="7"/>
      <c r="Q41" s="7"/>
      <c r="R41" s="7"/>
    </row>
    <row r="42" spans="1:18">
      <c r="A42" s="203"/>
      <c r="B42" s="390"/>
      <c r="C42" s="79"/>
      <c r="G42" s="61"/>
      <c r="H42" s="50"/>
      <c r="L42" s="7"/>
      <c r="M42" s="7"/>
      <c r="N42" s="7"/>
      <c r="O42" s="7"/>
      <c r="P42" s="7"/>
      <c r="Q42" s="7"/>
      <c r="R42" s="7"/>
    </row>
    <row r="43" spans="1:18">
      <c r="A43" s="106" t="s">
        <v>327</v>
      </c>
      <c r="E43" s="68"/>
      <c r="F43" s="68"/>
      <c r="G43" s="68"/>
      <c r="H43" s="50"/>
      <c r="L43" s="7"/>
      <c r="M43" s="7"/>
      <c r="N43" s="7"/>
      <c r="O43" s="7"/>
      <c r="P43" s="7"/>
      <c r="Q43" s="7"/>
      <c r="R43" s="7"/>
    </row>
    <row r="44" spans="1:18">
      <c r="A44" s="49" t="s">
        <v>192</v>
      </c>
      <c r="B44" s="59">
        <f>$M$30</f>
        <v>22.350780170550358</v>
      </c>
      <c r="C44" s="45" t="s">
        <v>293</v>
      </c>
      <c r="D44" s="182" t="s">
        <v>328</v>
      </c>
      <c r="G44" s="68"/>
      <c r="H44" s="50"/>
      <c r="L44" s="7"/>
      <c r="M44" s="7"/>
      <c r="N44" s="7"/>
      <c r="O44" s="7"/>
      <c r="P44" s="7"/>
      <c r="Q44" s="7"/>
      <c r="R44" s="7"/>
    </row>
    <row r="45" spans="1:18">
      <c r="A45" s="44"/>
      <c r="H45" s="50"/>
      <c r="L45" s="7"/>
      <c r="M45" s="7"/>
      <c r="N45" s="7"/>
      <c r="O45" s="7"/>
      <c r="P45" s="7"/>
      <c r="Q45" s="7"/>
      <c r="R45" s="7"/>
    </row>
    <row r="46" spans="1:18">
      <c r="A46" s="106" t="s">
        <v>330</v>
      </c>
      <c r="E46" s="69"/>
      <c r="F46" s="68"/>
      <c r="G46" s="68"/>
      <c r="H46" s="75"/>
      <c r="L46" s="7"/>
      <c r="M46" s="7"/>
      <c r="N46" s="7"/>
      <c r="O46" s="7"/>
      <c r="P46" s="7"/>
      <c r="Q46" s="7"/>
      <c r="R46" s="7"/>
    </row>
    <row r="47" spans="1:18">
      <c r="A47" s="44" t="s">
        <v>256</v>
      </c>
      <c r="C47" s="79"/>
      <c r="D47" s="69"/>
      <c r="F47" s="68"/>
      <c r="G47" s="68"/>
      <c r="H47" s="75"/>
      <c r="L47" s="7"/>
      <c r="M47" s="7"/>
      <c r="N47" s="7"/>
      <c r="O47" s="7"/>
      <c r="P47" s="7"/>
      <c r="Q47" s="7"/>
      <c r="R47" s="7"/>
    </row>
    <row r="48" spans="1:18">
      <c r="A48" s="44" t="s">
        <v>257</v>
      </c>
      <c r="H48" s="50"/>
      <c r="L48" s="7"/>
      <c r="M48" s="7"/>
      <c r="N48" s="7"/>
      <c r="O48" s="7"/>
      <c r="P48" s="7"/>
      <c r="Q48" s="7"/>
      <c r="R48" s="7"/>
    </row>
    <row r="49" spans="1:29">
      <c r="A49" s="82" t="s">
        <v>254</v>
      </c>
      <c r="D49" s="68"/>
      <c r="G49" s="68"/>
      <c r="H49" s="50"/>
      <c r="L49" s="7"/>
      <c r="M49" s="7"/>
      <c r="N49" s="7"/>
      <c r="O49" s="7"/>
      <c r="P49" s="7"/>
      <c r="Q49" s="7"/>
      <c r="R49" s="7"/>
    </row>
    <row r="50" spans="1:29">
      <c r="A50" s="391" t="s">
        <v>331</v>
      </c>
      <c r="D50" s="68"/>
      <c r="G50" s="68"/>
      <c r="H50" s="75"/>
      <c r="L50" s="17"/>
      <c r="M50" s="17"/>
      <c r="N50" s="17"/>
      <c r="O50" s="17"/>
      <c r="P50" s="17"/>
      <c r="Q50" s="17"/>
      <c r="R50" s="17"/>
    </row>
    <row r="51" spans="1:29">
      <c r="A51" s="44"/>
      <c r="H51" s="50"/>
    </row>
    <row r="52" spans="1:29">
      <c r="A52" s="66"/>
      <c r="B52" s="54"/>
      <c r="C52" s="54"/>
      <c r="D52" s="54"/>
      <c r="E52" s="54"/>
      <c r="F52" s="54"/>
      <c r="G52" s="54"/>
      <c r="H52" s="67"/>
    </row>
    <row r="53" spans="1:29">
      <c r="A53" s="103" t="s">
        <v>244</v>
      </c>
      <c r="B53" s="55"/>
      <c r="C53" s="55"/>
      <c r="D53" s="83"/>
      <c r="E53" s="83"/>
      <c r="F53" s="96"/>
      <c r="G53" s="96"/>
      <c r="H53" s="56"/>
      <c r="J53" s="22"/>
    </row>
    <row r="54" spans="1:29">
      <c r="A54" s="98" t="s">
        <v>122</v>
      </c>
      <c r="B54" s="62" t="s">
        <v>116</v>
      </c>
      <c r="C54" s="62" t="str">
        <f>IF($B$27&lt;=60,"Kh","Kz")</f>
        <v>Kh</v>
      </c>
      <c r="D54" s="85" t="str">
        <f>IF($B$27&lt;=60,"qh","qz")</f>
        <v>qh</v>
      </c>
      <c r="E54" s="57" t="s">
        <v>241</v>
      </c>
      <c r="F54" s="55"/>
      <c r="G54" s="96"/>
      <c r="H54" s="97"/>
      <c r="J54" s="8"/>
      <c r="K54" s="8"/>
      <c r="AB54" s="209" t="s">
        <v>17</v>
      </c>
    </row>
    <row r="55" spans="1:29">
      <c r="A55" s="63"/>
      <c r="B55" s="98" t="s">
        <v>117</v>
      </c>
      <c r="C55" s="98"/>
      <c r="D55" s="99" t="s">
        <v>118</v>
      </c>
      <c r="E55" s="99" t="s">
        <v>123</v>
      </c>
      <c r="F55" s="99" t="s">
        <v>124</v>
      </c>
      <c r="G55" s="99" t="s">
        <v>125</v>
      </c>
      <c r="H55" s="99" t="s">
        <v>126</v>
      </c>
      <c r="J55" s="8"/>
      <c r="K55" s="8"/>
      <c r="AB55" s="210" t="s">
        <v>121</v>
      </c>
      <c r="AC55" s="212" t="s">
        <v>103</v>
      </c>
    </row>
    <row r="56" spans="1:29">
      <c r="A56" s="107" t="str">
        <f>$B$21</f>
        <v>Wall</v>
      </c>
      <c r="B56" s="140">
        <f>IF($AB$55="N",0,$AB56)</f>
        <v>0</v>
      </c>
      <c r="C56" s="135">
        <f t="shared" ref="C56:C83" si="0">IF($P$3&lt;=60,IF($B56="","",$M$28),IF($B56="","",IF(AND($B$11="A",$B56&lt;=100),0.68,IF(AND($B$11="B",$B56&lt;=30),0.7,IF(AND($B$11="C",$B56&lt;=15),0.85,IF(AND($B$11="D",$B56&lt;=15),1.03,2.01*($B56/$M$27)^(2/$M$26)))))))</f>
        <v>0.84888415207790313</v>
      </c>
      <c r="D56" s="127">
        <f t="shared" ref="D56:D83" si="1">IF($P$3&lt;=60,IF($B56="","",$M$30),IF($B56="","",0.00256*$C56*$B$17*$B$18*$M$29*$B$9^2))</f>
        <v>22.350780170550358</v>
      </c>
      <c r="E56" s="135">
        <f>IF($P$3&lt;=60,IF($B56="","",$M$30*($M$8-$M$23)),IF($B56="","",$D56*$M$8-$M$30*$M$23))</f>
        <v>18.104131938145791</v>
      </c>
      <c r="F56" s="127">
        <f t="shared" ref="F56:F83" si="2">IF($P$3&lt;=60,IF($B56="","",$M$30*($M$10-$M$22)),IF($B56="","",$M$30*$M$10-$M$30*$M$22))</f>
        <v>-20.115702153495324</v>
      </c>
      <c r="G56" s="135">
        <f t="shared" ref="G56:G83" si="3">IF($P$3&lt;=60,IF($B56="","",$M$30*($M$9-$M$23)),IF($B56="","",$D56*$M$9-$M$30*$M$23))</f>
        <v>18.104131938145791</v>
      </c>
      <c r="H56" s="127">
        <f t="shared" ref="H56:H83" si="4">IF($P$3&lt;=60,IF($B56="","",$M$30*($M$11-$M$22)),IF($B56="","",$M$30*$M$11-$M$30*$M$22))</f>
        <v>-20.115702153495324</v>
      </c>
      <c r="J56" s="8"/>
      <c r="K56" s="8"/>
      <c r="AB56" s="157"/>
    </row>
    <row r="57" spans="1:29">
      <c r="A57" s="100" t="str">
        <f t="shared" ref="A57:A81" si="5">IF($B57=$B$12,"For z = hr:","")</f>
        <v>For z = hr:</v>
      </c>
      <c r="B57" s="128">
        <f>IF($AB$55="N",IF($B$12&gt;=15,15,IF($B56=$B$12,"",IF($B56="","",$B$12))),IF(OR($AB57="",$AB57&gt;$B$12),"",$AB57))</f>
        <v>14.67</v>
      </c>
      <c r="C57" s="136">
        <f t="shared" si="0"/>
        <v>0.84888415207790313</v>
      </c>
      <c r="D57" s="128">
        <f t="shared" si="1"/>
        <v>22.350780170550358</v>
      </c>
      <c r="E57" s="136">
        <f t="shared" ref="E57:E83" si="6">IF($P$3&lt;=60,IF($B57="","",$M$30*($M$8-$M$23)),IF($B57="","",$D57*$M$8-$M$30*$M$23))</f>
        <v>18.104131938145791</v>
      </c>
      <c r="F57" s="128">
        <f t="shared" si="2"/>
        <v>-20.115702153495324</v>
      </c>
      <c r="G57" s="136">
        <f t="shared" si="3"/>
        <v>18.104131938145791</v>
      </c>
      <c r="H57" s="128">
        <f t="shared" si="4"/>
        <v>-20.115702153495324</v>
      </c>
      <c r="J57" s="8"/>
      <c r="K57" s="8"/>
      <c r="AB57" s="157"/>
    </row>
    <row r="58" spans="1:29">
      <c r="A58" s="100" t="str">
        <f t="shared" si="5"/>
        <v/>
      </c>
      <c r="B58" s="128" t="str">
        <f>IF($AB$55="N",IF($B$12&gt;=20,20,IF($B57=$B$12,"",IF($B57="","",$B$12))),IF(OR($AB58="",$AB58&gt;$B$12),"",$AB58))</f>
        <v/>
      </c>
      <c r="C58" s="136" t="str">
        <f t="shared" si="0"/>
        <v/>
      </c>
      <c r="D58" s="128" t="str">
        <f t="shared" si="1"/>
        <v/>
      </c>
      <c r="E58" s="136" t="str">
        <f t="shared" si="6"/>
        <v/>
      </c>
      <c r="F58" s="128" t="str">
        <f t="shared" si="2"/>
        <v/>
      </c>
      <c r="G58" s="136" t="str">
        <f t="shared" si="3"/>
        <v/>
      </c>
      <c r="H58" s="128" t="str">
        <f t="shared" si="4"/>
        <v/>
      </c>
      <c r="J58" s="8"/>
      <c r="K58" s="8"/>
      <c r="AB58" s="157"/>
    </row>
    <row r="59" spans="1:29">
      <c r="A59" s="100" t="str">
        <f t="shared" si="5"/>
        <v/>
      </c>
      <c r="B59" s="128" t="str">
        <f>IF($AB$55="N",IF($B$12&gt;=25,25,IF($B58=$B$12,"",IF($B58="","",$B$12))),IF(OR($AB59="",$AB59&gt;$B$12),"",$AB59))</f>
        <v/>
      </c>
      <c r="C59" s="136" t="str">
        <f t="shared" si="0"/>
        <v/>
      </c>
      <c r="D59" s="128" t="str">
        <f t="shared" si="1"/>
        <v/>
      </c>
      <c r="E59" s="136" t="str">
        <f t="shared" si="6"/>
        <v/>
      </c>
      <c r="F59" s="128" t="str">
        <f t="shared" si="2"/>
        <v/>
      </c>
      <c r="G59" s="136" t="str">
        <f t="shared" si="3"/>
        <v/>
      </c>
      <c r="H59" s="128" t="str">
        <f t="shared" si="4"/>
        <v/>
      </c>
      <c r="J59" s="8"/>
      <c r="K59" s="8"/>
      <c r="AB59" s="157"/>
    </row>
    <row r="60" spans="1:29">
      <c r="A60" s="100" t="str">
        <f t="shared" si="5"/>
        <v/>
      </c>
      <c r="B60" s="128" t="str">
        <f>IF($AB$55="N",IF($B$12&gt;=30,30,IF($B59=$B$12,"",IF($B59="","",$B$12))),IF(OR($AB60="",$AB60&gt;$B$12),"",$AB60))</f>
        <v/>
      </c>
      <c r="C60" s="136" t="str">
        <f t="shared" si="0"/>
        <v/>
      </c>
      <c r="D60" s="128" t="str">
        <f t="shared" si="1"/>
        <v/>
      </c>
      <c r="E60" s="136" t="str">
        <f t="shared" si="6"/>
        <v/>
      </c>
      <c r="F60" s="128" t="str">
        <f t="shared" si="2"/>
        <v/>
      </c>
      <c r="G60" s="136" t="str">
        <f t="shared" si="3"/>
        <v/>
      </c>
      <c r="H60" s="128" t="str">
        <f t="shared" si="4"/>
        <v/>
      </c>
      <c r="J60" s="8"/>
      <c r="K60" s="8"/>
      <c r="AB60" s="157"/>
    </row>
    <row r="61" spans="1:29">
      <c r="A61" s="100" t="str">
        <f t="shared" si="5"/>
        <v/>
      </c>
      <c r="B61" s="128" t="str">
        <f>IF($AB$55="N",IF($B$12&gt;=35,35,IF($B60=$B$12,"",IF($B60="","",$B$12))),IF(OR($AB61="",$AB61&gt;$B$12),"",$AB61))</f>
        <v/>
      </c>
      <c r="C61" s="136" t="str">
        <f t="shared" si="0"/>
        <v/>
      </c>
      <c r="D61" s="128" t="str">
        <f t="shared" si="1"/>
        <v/>
      </c>
      <c r="E61" s="136" t="str">
        <f t="shared" si="6"/>
        <v/>
      </c>
      <c r="F61" s="128" t="str">
        <f t="shared" si="2"/>
        <v/>
      </c>
      <c r="G61" s="136" t="str">
        <f t="shared" si="3"/>
        <v/>
      </c>
      <c r="H61" s="128" t="str">
        <f t="shared" si="4"/>
        <v/>
      </c>
      <c r="J61" s="8"/>
      <c r="K61" s="8"/>
      <c r="AB61" s="157"/>
    </row>
    <row r="62" spans="1:29">
      <c r="A62" s="100" t="str">
        <f t="shared" si="5"/>
        <v/>
      </c>
      <c r="B62" s="128" t="str">
        <f>IF($AB$55="N",IF($B$12&gt;=40,40,IF($B61=$B$12,"",IF($B61="","",$B$12))),IF(OR($AB62="",$AB62&gt;$B$12),"",$AB62))</f>
        <v/>
      </c>
      <c r="C62" s="136" t="str">
        <f t="shared" si="0"/>
        <v/>
      </c>
      <c r="D62" s="128" t="str">
        <f t="shared" si="1"/>
        <v/>
      </c>
      <c r="E62" s="136" t="str">
        <f t="shared" si="6"/>
        <v/>
      </c>
      <c r="F62" s="128" t="str">
        <f t="shared" si="2"/>
        <v/>
      </c>
      <c r="G62" s="136" t="str">
        <f t="shared" si="3"/>
        <v/>
      </c>
      <c r="H62" s="128" t="str">
        <f t="shared" si="4"/>
        <v/>
      </c>
      <c r="J62" s="8"/>
      <c r="K62" s="8"/>
      <c r="AB62" s="157"/>
    </row>
    <row r="63" spans="1:29">
      <c r="A63" s="100" t="str">
        <f t="shared" si="5"/>
        <v/>
      </c>
      <c r="B63" s="128" t="str">
        <f>IF($AB$55="N",IF($B$12&gt;=45,45,IF($B62=$B$12,"",IF($B62="","",$B$12))),IF(OR($AB63="",$AB63&gt;$B$12),"",$AB63))</f>
        <v/>
      </c>
      <c r="C63" s="136" t="str">
        <f t="shared" si="0"/>
        <v/>
      </c>
      <c r="D63" s="128" t="str">
        <f t="shared" si="1"/>
        <v/>
      </c>
      <c r="E63" s="136" t="str">
        <f t="shared" si="6"/>
        <v/>
      </c>
      <c r="F63" s="128" t="str">
        <f t="shared" si="2"/>
        <v/>
      </c>
      <c r="G63" s="136" t="str">
        <f t="shared" si="3"/>
        <v/>
      </c>
      <c r="H63" s="128" t="str">
        <f t="shared" si="4"/>
        <v/>
      </c>
      <c r="J63" s="8"/>
      <c r="K63" s="8"/>
      <c r="AB63" s="157"/>
    </row>
    <row r="64" spans="1:29">
      <c r="A64" s="100" t="str">
        <f t="shared" si="5"/>
        <v/>
      </c>
      <c r="B64" s="128" t="str">
        <f>IF($AB$55="N",IF($B$12&gt;=50,50,IF($B63=$B$12,"",IF($B63="","",$B$12))),IF(OR($AB64="",$AB64&gt;$B$12),"",$AB64))</f>
        <v/>
      </c>
      <c r="C64" s="136" t="str">
        <f t="shared" si="0"/>
        <v/>
      </c>
      <c r="D64" s="128" t="str">
        <f t="shared" si="1"/>
        <v/>
      </c>
      <c r="E64" s="136" t="str">
        <f t="shared" si="6"/>
        <v/>
      </c>
      <c r="F64" s="128" t="str">
        <f t="shared" si="2"/>
        <v/>
      </c>
      <c r="G64" s="136" t="str">
        <f t="shared" si="3"/>
        <v/>
      </c>
      <c r="H64" s="128" t="str">
        <f t="shared" si="4"/>
        <v/>
      </c>
      <c r="J64" s="8"/>
      <c r="K64" s="8"/>
      <c r="AB64" s="157"/>
    </row>
    <row r="65" spans="1:28">
      <c r="A65" s="100" t="str">
        <f t="shared" si="5"/>
        <v/>
      </c>
      <c r="B65" s="128" t="str">
        <f>IF($AB$55="N",IF($B$12&gt;=55,55,IF($B64=$B$12,"",IF($B64="","",$B$12))),IF(OR($AB65="",$AB65&gt;$B$12),"",$AB65))</f>
        <v/>
      </c>
      <c r="C65" s="136" t="str">
        <f t="shared" si="0"/>
        <v/>
      </c>
      <c r="D65" s="128" t="str">
        <f t="shared" si="1"/>
        <v/>
      </c>
      <c r="E65" s="136" t="str">
        <f t="shared" si="6"/>
        <v/>
      </c>
      <c r="F65" s="128" t="str">
        <f t="shared" si="2"/>
        <v/>
      </c>
      <c r="G65" s="136" t="str">
        <f t="shared" si="3"/>
        <v/>
      </c>
      <c r="H65" s="128" t="str">
        <f t="shared" si="4"/>
        <v/>
      </c>
      <c r="J65" s="8"/>
      <c r="K65" s="8"/>
      <c r="AB65" s="157"/>
    </row>
    <row r="66" spans="1:28">
      <c r="A66" s="100" t="str">
        <f t="shared" si="5"/>
        <v/>
      </c>
      <c r="B66" s="128" t="str">
        <f>IF($AB$55="N",IF($B$12&gt;=60,60,IF($B65=$B$12,"",IF($B65="","",$B$12))),IF(OR($AB66="",$AB66&gt;$B$12),"",$AB66))</f>
        <v/>
      </c>
      <c r="C66" s="136" t="str">
        <f t="shared" si="0"/>
        <v/>
      </c>
      <c r="D66" s="128" t="str">
        <f t="shared" si="1"/>
        <v/>
      </c>
      <c r="E66" s="136" t="str">
        <f t="shared" si="6"/>
        <v/>
      </c>
      <c r="F66" s="128" t="str">
        <f t="shared" si="2"/>
        <v/>
      </c>
      <c r="G66" s="136" t="str">
        <f t="shared" si="3"/>
        <v/>
      </c>
      <c r="H66" s="128" t="str">
        <f t="shared" si="4"/>
        <v/>
      </c>
      <c r="J66" s="8"/>
      <c r="K66" s="8"/>
      <c r="AB66" s="157"/>
    </row>
    <row r="67" spans="1:28">
      <c r="A67" s="100" t="str">
        <f t="shared" si="5"/>
        <v/>
      </c>
      <c r="B67" s="128" t="str">
        <f>IF($AB$55="N",IF($B$12&gt;=70,70,IF($B66=$B$12,"",IF($B66="","",$B$12))),IF(OR($AB67="",$AB67&gt;$B$12),"",$AB67))</f>
        <v/>
      </c>
      <c r="C67" s="136" t="str">
        <f t="shared" si="0"/>
        <v/>
      </c>
      <c r="D67" s="128" t="str">
        <f t="shared" si="1"/>
        <v/>
      </c>
      <c r="E67" s="136" t="str">
        <f t="shared" si="6"/>
        <v/>
      </c>
      <c r="F67" s="128" t="str">
        <f t="shared" si="2"/>
        <v/>
      </c>
      <c r="G67" s="136" t="str">
        <f t="shared" si="3"/>
        <v/>
      </c>
      <c r="H67" s="128" t="str">
        <f t="shared" si="4"/>
        <v/>
      </c>
      <c r="J67" s="8"/>
      <c r="K67" s="8"/>
      <c r="AB67" s="157"/>
    </row>
    <row r="68" spans="1:28">
      <c r="A68" s="100" t="str">
        <f t="shared" si="5"/>
        <v/>
      </c>
      <c r="B68" s="128" t="str">
        <f>IF($AB$55="N",IF($B$12&gt;=80,80,IF($B67=$B$12,"",IF($B67="","",$B$12))),IF(OR($AB68="",$AB68&gt;$B$12),"",$AB68))</f>
        <v/>
      </c>
      <c r="C68" s="136" t="str">
        <f t="shared" si="0"/>
        <v/>
      </c>
      <c r="D68" s="128" t="str">
        <f t="shared" si="1"/>
        <v/>
      </c>
      <c r="E68" s="136" t="str">
        <f t="shared" si="6"/>
        <v/>
      </c>
      <c r="F68" s="128" t="str">
        <f t="shared" si="2"/>
        <v/>
      </c>
      <c r="G68" s="136" t="str">
        <f t="shared" si="3"/>
        <v/>
      </c>
      <c r="H68" s="128" t="str">
        <f t="shared" si="4"/>
        <v/>
      </c>
      <c r="J68" s="8"/>
      <c r="K68" s="8"/>
      <c r="AB68" s="157"/>
    </row>
    <row r="69" spans="1:28">
      <c r="A69" s="100" t="str">
        <f t="shared" si="5"/>
        <v/>
      </c>
      <c r="B69" s="128" t="str">
        <f>IF($AB$55="N",IF($B$12&gt;=90,90,IF($B68=$B$12,"",IF($B68="","",$B$12))),IF(OR($AB69="",$AB69&gt;$B$12),"",$AB69))</f>
        <v/>
      </c>
      <c r="C69" s="136" t="str">
        <f t="shared" si="0"/>
        <v/>
      </c>
      <c r="D69" s="128" t="str">
        <f t="shared" si="1"/>
        <v/>
      </c>
      <c r="E69" s="136" t="str">
        <f t="shared" si="6"/>
        <v/>
      </c>
      <c r="F69" s="128" t="str">
        <f t="shared" si="2"/>
        <v/>
      </c>
      <c r="G69" s="136" t="str">
        <f t="shared" si="3"/>
        <v/>
      </c>
      <c r="H69" s="128" t="str">
        <f t="shared" si="4"/>
        <v/>
      </c>
      <c r="J69" s="8"/>
      <c r="K69" s="8"/>
      <c r="AB69" s="157"/>
    </row>
    <row r="70" spans="1:28">
      <c r="A70" s="100" t="str">
        <f t="shared" si="5"/>
        <v/>
      </c>
      <c r="B70" s="128" t="str">
        <f>IF($AB$55="N",IF($B$12&gt;=100,100,IF($B69=$B$12,"",IF($B69="","",$B$12))),IF(OR($AB70="",$AB70&gt;$B$12),"",$AB70))</f>
        <v/>
      </c>
      <c r="C70" s="136" t="str">
        <f t="shared" si="0"/>
        <v/>
      </c>
      <c r="D70" s="128" t="str">
        <f t="shared" si="1"/>
        <v/>
      </c>
      <c r="E70" s="136" t="str">
        <f t="shared" si="6"/>
        <v/>
      </c>
      <c r="F70" s="128" t="str">
        <f t="shared" si="2"/>
        <v/>
      </c>
      <c r="G70" s="136" t="str">
        <f t="shared" si="3"/>
        <v/>
      </c>
      <c r="H70" s="128" t="str">
        <f t="shared" si="4"/>
        <v/>
      </c>
      <c r="J70" s="8"/>
      <c r="K70" s="8"/>
      <c r="AB70" s="157"/>
    </row>
    <row r="71" spans="1:28">
      <c r="A71" s="100" t="str">
        <f t="shared" si="5"/>
        <v/>
      </c>
      <c r="B71" s="128" t="str">
        <f>IF($AB$55="N",IF($B$12&gt;=120,120,IF($B70=$B$12,"",IF($B70="","",$B$12))),IF(OR($AB71="",$AB71&gt;$B$12),"",$AB71))</f>
        <v/>
      </c>
      <c r="C71" s="136" t="str">
        <f t="shared" si="0"/>
        <v/>
      </c>
      <c r="D71" s="128" t="str">
        <f t="shared" si="1"/>
        <v/>
      </c>
      <c r="E71" s="136" t="str">
        <f t="shared" si="6"/>
        <v/>
      </c>
      <c r="F71" s="128" t="str">
        <f t="shared" si="2"/>
        <v/>
      </c>
      <c r="G71" s="136" t="str">
        <f t="shared" si="3"/>
        <v/>
      </c>
      <c r="H71" s="128" t="str">
        <f t="shared" si="4"/>
        <v/>
      </c>
      <c r="J71" s="8"/>
      <c r="K71" s="8"/>
      <c r="AB71" s="157"/>
    </row>
    <row r="72" spans="1:28">
      <c r="A72" s="100" t="str">
        <f t="shared" si="5"/>
        <v/>
      </c>
      <c r="B72" s="128" t="str">
        <f>IF($AB$55="N",IF($B$12&gt;=140,140,IF($B71=$B$12,"",IF($B71="","",$B$12))),IF(OR($AB72="",$AB72&gt;$B$12),"",$AB72))</f>
        <v/>
      </c>
      <c r="C72" s="136" t="str">
        <f t="shared" si="0"/>
        <v/>
      </c>
      <c r="D72" s="128" t="str">
        <f t="shared" si="1"/>
        <v/>
      </c>
      <c r="E72" s="136" t="str">
        <f t="shared" si="6"/>
        <v/>
      </c>
      <c r="F72" s="128" t="str">
        <f t="shared" si="2"/>
        <v/>
      </c>
      <c r="G72" s="136" t="str">
        <f t="shared" si="3"/>
        <v/>
      </c>
      <c r="H72" s="128" t="str">
        <f t="shared" si="4"/>
        <v/>
      </c>
      <c r="J72" s="8"/>
      <c r="K72" s="8"/>
      <c r="AB72" s="157"/>
    </row>
    <row r="73" spans="1:28">
      <c r="A73" s="100" t="str">
        <f t="shared" si="5"/>
        <v/>
      </c>
      <c r="B73" s="128" t="str">
        <f>IF($AB$55="N",IF($B$12&gt;=160,160,IF($B72=$B$12,"",IF($B72="","",$B$12))),IF(OR($AB73="",$AB73&gt;$B$12),"",$AB73))</f>
        <v/>
      </c>
      <c r="C73" s="136" t="str">
        <f t="shared" si="0"/>
        <v/>
      </c>
      <c r="D73" s="128" t="str">
        <f t="shared" si="1"/>
        <v/>
      </c>
      <c r="E73" s="136" t="str">
        <f t="shared" si="6"/>
        <v/>
      </c>
      <c r="F73" s="128" t="str">
        <f t="shared" si="2"/>
        <v/>
      </c>
      <c r="G73" s="136" t="str">
        <f t="shared" si="3"/>
        <v/>
      </c>
      <c r="H73" s="128" t="str">
        <f t="shared" si="4"/>
        <v/>
      </c>
      <c r="J73" s="8"/>
      <c r="K73" s="8"/>
      <c r="AB73" s="157"/>
    </row>
    <row r="74" spans="1:28">
      <c r="A74" s="100" t="str">
        <f t="shared" si="5"/>
        <v/>
      </c>
      <c r="B74" s="128" t="str">
        <f>IF($AB$55="N",IF($B$12&gt;=180,180,IF($B73=$B$12,"",IF($B73="","",$B$12))),IF(OR($AB74="",$AB74&gt;$B$12),"",$AB74))</f>
        <v/>
      </c>
      <c r="C74" s="136" t="str">
        <f t="shared" si="0"/>
        <v/>
      </c>
      <c r="D74" s="128" t="str">
        <f t="shared" si="1"/>
        <v/>
      </c>
      <c r="E74" s="136" t="str">
        <f t="shared" si="6"/>
        <v/>
      </c>
      <c r="F74" s="128" t="str">
        <f t="shared" si="2"/>
        <v/>
      </c>
      <c r="G74" s="136" t="str">
        <f t="shared" si="3"/>
        <v/>
      </c>
      <c r="H74" s="128" t="str">
        <f t="shared" si="4"/>
        <v/>
      </c>
      <c r="J74" s="8"/>
      <c r="K74" s="8"/>
      <c r="AB74" s="157"/>
    </row>
    <row r="75" spans="1:28">
      <c r="A75" s="100" t="str">
        <f t="shared" si="5"/>
        <v/>
      </c>
      <c r="B75" s="128" t="str">
        <f>IF($AB$55="N",IF($B$12&gt;=200,200,IF($B74=$B$12,"",IF($B74="","",$B$12))),IF(OR($AB75="",$AB75&gt;$B$12),"",$AB75))</f>
        <v/>
      </c>
      <c r="C75" s="136" t="str">
        <f t="shared" si="0"/>
        <v/>
      </c>
      <c r="D75" s="128" t="str">
        <f t="shared" si="1"/>
        <v/>
      </c>
      <c r="E75" s="136" t="str">
        <f t="shared" si="6"/>
        <v/>
      </c>
      <c r="F75" s="128" t="str">
        <f t="shared" si="2"/>
        <v/>
      </c>
      <c r="G75" s="136" t="str">
        <f t="shared" si="3"/>
        <v/>
      </c>
      <c r="H75" s="128" t="str">
        <f t="shared" si="4"/>
        <v/>
      </c>
      <c r="J75" s="8"/>
      <c r="K75" s="8"/>
      <c r="AB75" s="157"/>
    </row>
    <row r="76" spans="1:28">
      <c r="A76" s="100" t="str">
        <f t="shared" si="5"/>
        <v/>
      </c>
      <c r="B76" s="128" t="str">
        <f>IF($AB$55="N",IF($B$12&gt;=250,250,IF($B75=$B$12,"",IF($B75="","",$B$12))),IF(OR($AB76="",$AB76&gt;$B$12),"",$AB76))</f>
        <v/>
      </c>
      <c r="C76" s="136" t="str">
        <f t="shared" si="0"/>
        <v/>
      </c>
      <c r="D76" s="128" t="str">
        <f t="shared" si="1"/>
        <v/>
      </c>
      <c r="E76" s="136" t="str">
        <f t="shared" si="6"/>
        <v/>
      </c>
      <c r="F76" s="128" t="str">
        <f t="shared" si="2"/>
        <v/>
      </c>
      <c r="G76" s="136" t="str">
        <f t="shared" si="3"/>
        <v/>
      </c>
      <c r="H76" s="128" t="str">
        <f t="shared" si="4"/>
        <v/>
      </c>
      <c r="J76" s="8"/>
      <c r="K76" s="8"/>
      <c r="AB76" s="157"/>
    </row>
    <row r="77" spans="1:28">
      <c r="A77" s="100" t="str">
        <f t="shared" si="5"/>
        <v/>
      </c>
      <c r="B77" s="128" t="str">
        <f>IF($AB$55="N",IF($B$12&gt;=300,300,IF($B76=$B$12,"",IF($B76="","",$B$12))),IF(OR($AB77="",$AB77&gt;$B$12),"",$AB77))</f>
        <v/>
      </c>
      <c r="C77" s="136" t="str">
        <f t="shared" si="0"/>
        <v/>
      </c>
      <c r="D77" s="128" t="str">
        <f t="shared" si="1"/>
        <v/>
      </c>
      <c r="E77" s="136" t="str">
        <f t="shared" si="6"/>
        <v/>
      </c>
      <c r="F77" s="128" t="str">
        <f t="shared" si="2"/>
        <v/>
      </c>
      <c r="G77" s="136" t="str">
        <f t="shared" si="3"/>
        <v/>
      </c>
      <c r="H77" s="128" t="str">
        <f t="shared" si="4"/>
        <v/>
      </c>
      <c r="J77" s="8"/>
      <c r="K77" s="8"/>
      <c r="AB77" s="157"/>
    </row>
    <row r="78" spans="1:28">
      <c r="A78" s="100" t="str">
        <f t="shared" si="5"/>
        <v/>
      </c>
      <c r="B78" s="128" t="str">
        <f>IF($AB$55="N",IF($B$12&gt;=350,350,IF($B77=$B$12,"",IF($B77="","",$B$12))),IF(OR($AB78="",$AB78&gt;$B$12),"",$AB78))</f>
        <v/>
      </c>
      <c r="C78" s="136" t="str">
        <f t="shared" si="0"/>
        <v/>
      </c>
      <c r="D78" s="128" t="str">
        <f t="shared" si="1"/>
        <v/>
      </c>
      <c r="E78" s="136" t="str">
        <f t="shared" si="6"/>
        <v/>
      </c>
      <c r="F78" s="128" t="str">
        <f t="shared" si="2"/>
        <v/>
      </c>
      <c r="G78" s="136" t="str">
        <f t="shared" si="3"/>
        <v/>
      </c>
      <c r="H78" s="128" t="str">
        <f t="shared" si="4"/>
        <v/>
      </c>
      <c r="J78" s="8"/>
      <c r="K78" s="8"/>
      <c r="AB78" s="157"/>
    </row>
    <row r="79" spans="1:28">
      <c r="A79" s="100" t="str">
        <f t="shared" si="5"/>
        <v/>
      </c>
      <c r="B79" s="128" t="str">
        <f>IF($AB$55="N",IF($B$12&gt;=400,400,IF($B78=$B$12,"",IF($B78="","",$B$12))),IF(OR($AB79="",$AB79&gt;$B$12),"",$AB79))</f>
        <v/>
      </c>
      <c r="C79" s="136" t="str">
        <f t="shared" si="0"/>
        <v/>
      </c>
      <c r="D79" s="128" t="str">
        <f t="shared" si="1"/>
        <v/>
      </c>
      <c r="E79" s="136" t="str">
        <f t="shared" si="6"/>
        <v/>
      </c>
      <c r="F79" s="128" t="str">
        <f t="shared" si="2"/>
        <v/>
      </c>
      <c r="G79" s="136" t="str">
        <f t="shared" si="3"/>
        <v/>
      </c>
      <c r="H79" s="128" t="str">
        <f t="shared" si="4"/>
        <v/>
      </c>
      <c r="J79" s="8"/>
      <c r="K79" s="8"/>
      <c r="AB79" s="157"/>
    </row>
    <row r="80" spans="1:28">
      <c r="A80" s="100" t="str">
        <f t="shared" si="5"/>
        <v/>
      </c>
      <c r="B80" s="128" t="str">
        <f>IF($AB$55="N",IF($B$12&gt;=450,450,IF($B79=$B$12,"",IF($B79="","",$B$12))),IF(OR($AB80="",$AB80&gt;$B$12),"",$AB80))</f>
        <v/>
      </c>
      <c r="C80" s="136" t="str">
        <f t="shared" si="0"/>
        <v/>
      </c>
      <c r="D80" s="128" t="str">
        <f t="shared" si="1"/>
        <v/>
      </c>
      <c r="E80" s="136" t="str">
        <f t="shared" si="6"/>
        <v/>
      </c>
      <c r="F80" s="128" t="str">
        <f t="shared" si="2"/>
        <v/>
      </c>
      <c r="G80" s="136" t="str">
        <f t="shared" si="3"/>
        <v/>
      </c>
      <c r="H80" s="128" t="str">
        <f t="shared" si="4"/>
        <v/>
      </c>
      <c r="AB80" s="157"/>
    </row>
    <row r="81" spans="1:28">
      <c r="A81" s="100" t="str">
        <f t="shared" si="5"/>
        <v/>
      </c>
      <c r="B81" s="128" t="str">
        <f>IF($AB$55="N",IF($B$12&gt;=500,500,IF($B80=$B$12,"",IF($B80="","",$B$12))),IF(OR($AB81="",$AB81&gt;$B$12),"",$AB81))</f>
        <v/>
      </c>
      <c r="C81" s="136" t="str">
        <f t="shared" si="0"/>
        <v/>
      </c>
      <c r="D81" s="128" t="str">
        <f t="shared" si="1"/>
        <v/>
      </c>
      <c r="E81" s="136" t="str">
        <f t="shared" si="6"/>
        <v/>
      </c>
      <c r="F81" s="128" t="str">
        <f t="shared" si="2"/>
        <v/>
      </c>
      <c r="G81" s="136" t="str">
        <f t="shared" si="3"/>
        <v/>
      </c>
      <c r="H81" s="128" t="str">
        <f t="shared" si="4"/>
        <v/>
      </c>
      <c r="AB81" s="211"/>
    </row>
    <row r="82" spans="1:28">
      <c r="A82" s="100" t="s">
        <v>246</v>
      </c>
      <c r="B82" s="128">
        <f>$B$13</f>
        <v>14.67</v>
      </c>
      <c r="C82" s="136">
        <f t="shared" si="0"/>
        <v>0.84888415207790313</v>
      </c>
      <c r="D82" s="128">
        <f t="shared" si="1"/>
        <v>22.350780170550358</v>
      </c>
      <c r="E82" s="136">
        <f t="shared" si="6"/>
        <v>18.104131938145791</v>
      </c>
      <c r="F82" s="128">
        <f t="shared" si="2"/>
        <v>-20.115702153495324</v>
      </c>
      <c r="G82" s="136">
        <f t="shared" si="3"/>
        <v>18.104131938145791</v>
      </c>
      <c r="H82" s="128">
        <f t="shared" si="4"/>
        <v>-20.115702153495324</v>
      </c>
    </row>
    <row r="83" spans="1:28">
      <c r="A83" s="108" t="s">
        <v>247</v>
      </c>
      <c r="B83" s="130">
        <f>$B$27</f>
        <v>14.67</v>
      </c>
      <c r="C83" s="137">
        <f t="shared" si="0"/>
        <v>0.84888415207790313</v>
      </c>
      <c r="D83" s="130">
        <f t="shared" si="1"/>
        <v>22.350780170550358</v>
      </c>
      <c r="E83" s="137">
        <f t="shared" si="6"/>
        <v>18.104131938145791</v>
      </c>
      <c r="F83" s="130">
        <f t="shared" si="2"/>
        <v>-20.115702153495324</v>
      </c>
      <c r="G83" s="137">
        <f t="shared" si="3"/>
        <v>18.104131938145791</v>
      </c>
      <c r="H83" s="130">
        <f t="shared" si="4"/>
        <v>-20.115702153495324</v>
      </c>
    </row>
    <row r="84" spans="1:28">
      <c r="A84" s="44"/>
      <c r="H84" s="50"/>
    </row>
    <row r="85" spans="1:28">
      <c r="A85" s="44" t="s">
        <v>198</v>
      </c>
      <c r="H85" s="50"/>
    </row>
    <row r="86" spans="1:28">
      <c r="A86" s="77" t="s">
        <v>207</v>
      </c>
      <c r="E86" s="59">
        <f>IF($B$27&lt;=60,$M$19,$O$17)</f>
        <v>8.16</v>
      </c>
      <c r="F86" s="94" t="s">
        <v>133</v>
      </c>
      <c r="H86" s="50"/>
    </row>
    <row r="87" spans="1:28">
      <c r="A87" s="106" t="s">
        <v>329</v>
      </c>
      <c r="B87" s="69"/>
      <c r="H87" s="50"/>
    </row>
    <row r="88" spans="1:28">
      <c r="A88" s="44" t="s">
        <v>108</v>
      </c>
      <c r="B88" s="45" t="s">
        <v>322</v>
      </c>
      <c r="H88" s="50"/>
    </row>
    <row r="89" spans="1:28">
      <c r="A89" s="44"/>
      <c r="B89" s="45" t="s">
        <v>106</v>
      </c>
      <c r="H89" s="50"/>
    </row>
    <row r="90" spans="1:28">
      <c r="A90" s="82"/>
      <c r="B90" s="79" t="s">
        <v>107</v>
      </c>
      <c r="H90" s="50"/>
    </row>
    <row r="91" spans="1:28">
      <c r="A91" s="44"/>
      <c r="H91" s="50"/>
    </row>
    <row r="92" spans="1:28">
      <c r="A92" s="44"/>
      <c r="H92" s="50"/>
    </row>
    <row r="93" spans="1:28">
      <c r="A93" s="44"/>
      <c r="H93" s="50"/>
    </row>
    <row r="94" spans="1:28">
      <c r="A94" s="44"/>
      <c r="H94" s="50"/>
    </row>
    <row r="95" spans="1:28">
      <c r="A95" s="44"/>
      <c r="H95" s="50"/>
    </row>
    <row r="96" spans="1:28">
      <c r="A96" s="44"/>
      <c r="H96" s="50"/>
    </row>
    <row r="97" spans="1:20">
      <c r="A97" s="44"/>
      <c r="H97" s="50"/>
    </row>
    <row r="98" spans="1:20">
      <c r="A98" s="44"/>
      <c r="H98" s="50"/>
    </row>
    <row r="99" spans="1:20">
      <c r="A99" s="44"/>
      <c r="H99" s="50"/>
      <c r="T99" s="18"/>
    </row>
    <row r="100" spans="1:20">
      <c r="A100" s="44"/>
      <c r="H100" s="50"/>
      <c r="T100" s="20"/>
    </row>
    <row r="101" spans="1:20">
      <c r="A101" s="44"/>
      <c r="H101" s="50"/>
      <c r="T101" s="21"/>
    </row>
    <row r="102" spans="1:20">
      <c r="A102" s="44"/>
      <c r="H102" s="50"/>
    </row>
    <row r="103" spans="1:20">
      <c r="A103" s="44"/>
      <c r="H103" s="50"/>
    </row>
    <row r="104" spans="1:20">
      <c r="A104" s="66"/>
      <c r="B104" s="54"/>
      <c r="C104" s="54"/>
      <c r="D104" s="54"/>
      <c r="E104" s="54"/>
      <c r="F104" s="54"/>
      <c r="G104" s="54"/>
      <c r="H104" s="67"/>
    </row>
    <row r="105" spans="1:20">
      <c r="A105" s="88"/>
      <c r="B105" s="89"/>
      <c r="C105" s="89"/>
      <c r="D105" s="89"/>
      <c r="E105" s="89"/>
      <c r="F105" s="89"/>
      <c r="G105" s="151"/>
      <c r="H105" s="146"/>
    </row>
    <row r="106" spans="1:20">
      <c r="A106" s="44"/>
      <c r="B106" s="104"/>
      <c r="G106" s="38"/>
      <c r="H106" s="147"/>
    </row>
    <row r="107" spans="1:20">
      <c r="A107" s="44"/>
      <c r="G107" s="38"/>
      <c r="H107" s="152"/>
    </row>
    <row r="108" spans="1:20">
      <c r="A108" s="44"/>
      <c r="H108" s="50"/>
    </row>
    <row r="109" spans="1:20" ht="15.75">
      <c r="A109" s="91" t="s">
        <v>296</v>
      </c>
      <c r="H109" s="50"/>
    </row>
    <row r="110" spans="1:20">
      <c r="A110" s="44"/>
      <c r="H110" s="50"/>
    </row>
    <row r="111" spans="1:20">
      <c r="A111" s="44"/>
      <c r="H111" s="50"/>
    </row>
    <row r="112" spans="1:20">
      <c r="A112" s="44"/>
      <c r="H112" s="50"/>
    </row>
    <row r="113" spans="1:8">
      <c r="A113" s="44"/>
      <c r="H113" s="50"/>
    </row>
    <row r="114" spans="1:8">
      <c r="A114" s="44"/>
      <c r="H114" s="50"/>
    </row>
    <row r="115" spans="1:8">
      <c r="A115" s="44"/>
      <c r="H115" s="50"/>
    </row>
    <row r="116" spans="1:8">
      <c r="A116" s="44"/>
      <c r="H116" s="50"/>
    </row>
    <row r="117" spans="1:8">
      <c r="A117" s="44"/>
      <c r="H117" s="50"/>
    </row>
    <row r="118" spans="1:8">
      <c r="A118" s="44"/>
      <c r="H118" s="50"/>
    </row>
    <row r="119" spans="1:8">
      <c r="A119" s="44"/>
      <c r="H119" s="50"/>
    </row>
    <row r="120" spans="1:8">
      <c r="A120" s="44"/>
      <c r="C120" s="105"/>
      <c r="D120" s="105"/>
      <c r="E120" s="105"/>
      <c r="F120" s="105"/>
      <c r="H120" s="50"/>
    </row>
    <row r="121" spans="1:8">
      <c r="A121" s="44"/>
      <c r="H121" s="50"/>
    </row>
    <row r="122" spans="1:8">
      <c r="A122" s="44"/>
      <c r="D122" s="70"/>
      <c r="E122" s="70"/>
      <c r="F122" s="70"/>
      <c r="H122" s="50"/>
    </row>
    <row r="123" spans="1:8">
      <c r="A123" s="44"/>
      <c r="H123" s="50"/>
    </row>
    <row r="124" spans="1:8">
      <c r="A124" s="44"/>
      <c r="C124" s="104" t="s">
        <v>212</v>
      </c>
      <c r="H124" s="50"/>
    </row>
    <row r="125" spans="1:8">
      <c r="A125" s="44"/>
      <c r="H125" s="50"/>
    </row>
    <row r="126" spans="1:8">
      <c r="A126" s="44"/>
      <c r="H126" s="50"/>
    </row>
    <row r="127" spans="1:8">
      <c r="A127" s="44"/>
      <c r="H127" s="50"/>
    </row>
    <row r="128" spans="1:8">
      <c r="A128" s="44"/>
      <c r="H128" s="50"/>
    </row>
    <row r="129" spans="1:8">
      <c r="A129" s="44"/>
      <c r="H129" s="50"/>
    </row>
    <row r="130" spans="1:8">
      <c r="A130" s="44"/>
      <c r="H130" s="50"/>
    </row>
    <row r="131" spans="1:8">
      <c r="A131" s="44"/>
      <c r="H131" s="50"/>
    </row>
    <row r="132" spans="1:8">
      <c r="A132" s="44"/>
      <c r="H132" s="50"/>
    </row>
    <row r="133" spans="1:8">
      <c r="A133" s="44"/>
      <c r="H133" s="50"/>
    </row>
    <row r="134" spans="1:8">
      <c r="A134" s="44"/>
      <c r="H134" s="50"/>
    </row>
    <row r="135" spans="1:8">
      <c r="A135" s="44"/>
      <c r="H135" s="50"/>
    </row>
    <row r="136" spans="1:8">
      <c r="A136" s="44"/>
      <c r="H136" s="50"/>
    </row>
    <row r="137" spans="1:8">
      <c r="A137" s="44"/>
      <c r="H137" s="50"/>
    </row>
    <row r="138" spans="1:8">
      <c r="A138" s="44"/>
      <c r="H138" s="50"/>
    </row>
    <row r="139" spans="1:8">
      <c r="A139" s="44"/>
      <c r="H139" s="50"/>
    </row>
    <row r="140" spans="1:8">
      <c r="A140" s="44"/>
      <c r="B140" s="105"/>
      <c r="D140" s="105"/>
      <c r="E140" s="105"/>
      <c r="F140" s="105"/>
      <c r="H140" s="50"/>
    </row>
    <row r="141" spans="1:8">
      <c r="A141" s="44"/>
      <c r="H141" s="50"/>
    </row>
    <row r="142" spans="1:8">
      <c r="A142" s="44"/>
      <c r="H142" s="50"/>
    </row>
    <row r="143" spans="1:8">
      <c r="A143" s="44"/>
      <c r="H143" s="50"/>
    </row>
    <row r="144" spans="1:8">
      <c r="A144" s="44"/>
      <c r="H144" s="50"/>
    </row>
    <row r="145" spans="1:8">
      <c r="A145" s="44"/>
      <c r="H145" s="50"/>
    </row>
    <row r="146" spans="1:8">
      <c r="A146" s="44"/>
      <c r="H146" s="50"/>
    </row>
    <row r="147" spans="1:8">
      <c r="A147" s="44"/>
      <c r="C147" s="104" t="s">
        <v>213</v>
      </c>
      <c r="H147" s="50"/>
    </row>
    <row r="148" spans="1:8">
      <c r="A148" s="44"/>
      <c r="H148" s="50"/>
    </row>
    <row r="149" spans="1:8">
      <c r="A149" s="44"/>
      <c r="H149" s="50"/>
    </row>
    <row r="150" spans="1:8">
      <c r="A150" s="44"/>
      <c r="H150" s="50"/>
    </row>
    <row r="151" spans="1:8">
      <c r="A151" s="44"/>
      <c r="G151" s="61"/>
      <c r="H151" s="90"/>
    </row>
    <row r="152" spans="1:8">
      <c r="A152" s="44"/>
      <c r="H152" s="50"/>
    </row>
    <row r="153" spans="1:8">
      <c r="A153" s="44"/>
      <c r="H153" s="50"/>
    </row>
    <row r="154" spans="1:8">
      <c r="A154" s="44"/>
      <c r="H154" s="50"/>
    </row>
    <row r="155" spans="1:8">
      <c r="A155" s="44"/>
      <c r="H155" s="50"/>
    </row>
    <row r="156" spans="1:8">
      <c r="A156" s="66"/>
      <c r="B156" s="54"/>
      <c r="C156" s="54"/>
      <c r="D156" s="54"/>
      <c r="E156" s="54"/>
      <c r="F156" s="54"/>
      <c r="G156" s="54"/>
      <c r="H156" s="67"/>
    </row>
  </sheetData>
  <sheetProtection sheet="1" objects="1" scenarios="1"/>
  <mergeCells count="1">
    <mergeCell ref="AA1:AB1"/>
  </mergeCells>
  <phoneticPr fontId="38" type="noConversion"/>
  <conditionalFormatting sqref="AB56:AB81">
    <cfRule type="cellIs" dxfId="2" priority="1" stopIfTrue="1" operator="greaterThan">
      <formula>$B$12</formula>
    </cfRule>
  </conditionalFormatting>
  <dataValidations count="9">
    <dataValidation type="list" allowBlank="1" showInputMessage="1" showErrorMessage="1" errorTitle="Warning!" error="Invalid reply" sqref="B21" xr:uid="{00000000-0002-0000-0600-000000000000}">
      <formula1>$J$14:$J$17</formula1>
    </dataValidation>
    <dataValidation type="list" allowBlank="1" showInputMessage="1" showErrorMessage="1" errorTitle="Warning!" error="Invalid exposure category_x000a_Must input either B, C, or D" sqref="B11" xr:uid="{00000000-0002-0000-0600-000001000000}">
      <formula1>$J$7:$J$9</formula1>
    </dataValidation>
    <dataValidation type="list" allowBlank="1" showInputMessage="1" showErrorMessage="1" errorTitle="Warning!" error="Invalid roof type (must input either G or M)" sqref="B16" xr:uid="{00000000-0002-0000-0600-000002000000}">
      <formula1>$J$10:$J$11</formula1>
    </dataValidation>
    <dataValidation type="list" allowBlank="1" showInputMessage="1" showErrorMessage="1" errorTitle="Warning!" error="Invalid reply (must input either Y or N)" sqref="B19" xr:uid="{00000000-0002-0000-0600-000003000000}">
      <formula1>$J$12:$J$13</formula1>
    </dataValidation>
    <dataValidation type="decimal" operator="greaterThanOrEqual" allowBlank="1" showInputMessage="1" showErrorMessage="1" errorTitle="Warning!" error="Minimum design wind speed = 85 mph" sqref="B9" xr:uid="{00000000-0002-0000-0600-000004000000}">
      <formula1>85</formula1>
    </dataValidation>
    <dataValidation type="list" allowBlank="1" showInputMessage="1" showErrorMessage="1" errorTitle="Warning!" error="Invalid building category_x000a_Must input either I, II, III, or IV" sqref="B10" xr:uid="{00000000-0002-0000-0600-000005000000}">
      <formula1>$J$3:$J$6</formula1>
    </dataValidation>
    <dataValidation type="list" allowBlank="1" showInputMessage="1" showErrorMessage="1" sqref="AB55" xr:uid="{00000000-0002-0000-0600-000006000000}">
      <formula1>$J$12:$J$13</formula1>
    </dataValidation>
    <dataValidation type="decimal" allowBlank="1" showInputMessage="1" showErrorMessage="1" sqref="AB56:AB81" xr:uid="{00000000-0002-0000-0600-000007000000}">
      <formula1>0</formula1>
      <formula2>$B$12</formula2>
    </dataValidation>
    <dataValidation type="list" allowBlank="1" showInputMessage="1" showErrorMessage="1" prompt="Is location in a hurricane prone or non-hurricane prone region?" sqref="B20" xr:uid="{00000000-0002-0000-0600-000008000000}">
      <formula1>$J$12:$J$13</formula1>
    </dataValidation>
  </dataValidations>
  <pageMargins left="1" right="0.5" top="1" bottom="1" header="0.5" footer="0.5"/>
  <pageSetup scale="90" orientation="portrait" horizontalDpi="4294967292" r:id="rId1"/>
  <headerFooter alignWithMargins="0">
    <oddHeader>&amp;R"ASCE710W.xls" Program
Version 2.2</oddHeader>
    <oddFooter>&amp;C&amp;P of 3&amp;R&amp;D  &amp;T</oddFooter>
  </headerFooter>
  <rowBreaks count="2" manualBreakCount="2">
    <brk id="52" max="7" man="1"/>
    <brk id="104" max="7"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56"/>
  <sheetViews>
    <sheetView showGridLines="0" topLeftCell="A28" workbookViewId="0">
      <selection activeCell="AB49" sqref="AB49"/>
    </sheetView>
  </sheetViews>
  <sheetFormatPr defaultColWidth="9.140625" defaultRowHeight="12.75"/>
  <cols>
    <col min="1" max="1" width="18.7109375" style="45" customWidth="1"/>
    <col min="2" max="3" width="9.140625" style="45"/>
    <col min="4" max="4" width="9.7109375" style="45" customWidth="1"/>
    <col min="5" max="5" width="11.7109375" style="45" customWidth="1"/>
    <col min="6" max="7" width="10.140625" style="45" customWidth="1"/>
    <col min="8" max="8" width="12.28515625" style="45" customWidth="1"/>
    <col min="9" max="10" width="9.140625" hidden="1" customWidth="1"/>
    <col min="11" max="11" width="15.7109375" hidden="1" customWidth="1"/>
    <col min="12" max="12" width="9.140625" hidden="1" customWidth="1"/>
    <col min="13" max="13" width="14.7109375" hidden="1" customWidth="1"/>
    <col min="14" max="14" width="15.7109375" hidden="1" customWidth="1"/>
    <col min="15" max="18" width="9.140625" hidden="1" customWidth="1"/>
    <col min="19" max="19" width="9.140625" style="17" hidden="1" customWidth="1"/>
    <col min="20" max="26" width="9.140625" hidden="1" customWidth="1"/>
    <col min="27" max="28" width="11.7109375" customWidth="1"/>
    <col min="29" max="29" width="9.7109375" customWidth="1"/>
  </cols>
  <sheetData>
    <row r="1" spans="1:28" ht="15.75">
      <c r="A1" s="23" t="s">
        <v>252</v>
      </c>
      <c r="B1" s="24"/>
      <c r="C1" s="24"/>
      <c r="D1" s="24"/>
      <c r="E1" s="24"/>
      <c r="F1" s="24"/>
      <c r="G1" s="24"/>
      <c r="H1" s="39"/>
      <c r="L1" s="19" t="s">
        <v>175</v>
      </c>
      <c r="M1" s="7"/>
      <c r="N1" s="7"/>
      <c r="O1" s="7"/>
      <c r="P1" s="7"/>
      <c r="Q1" s="7"/>
      <c r="R1" s="7"/>
      <c r="AA1" s="453" t="e">
        <f>#REF!</f>
        <v>#REF!</v>
      </c>
      <c r="AB1" s="454"/>
    </row>
    <row r="2" spans="1:28" ht="12.75" customHeight="1">
      <c r="A2" s="25" t="s">
        <v>337</v>
      </c>
      <c r="B2" s="27"/>
      <c r="C2" s="27"/>
      <c r="D2" s="27"/>
      <c r="E2" s="27"/>
      <c r="F2" s="27"/>
      <c r="G2" s="27"/>
      <c r="H2" s="41"/>
      <c r="L2" s="7"/>
      <c r="M2" s="7"/>
      <c r="N2" s="7"/>
      <c r="O2" s="7"/>
      <c r="P2" s="7"/>
      <c r="Q2" s="7"/>
      <c r="R2" s="7"/>
    </row>
    <row r="3" spans="1:28" ht="12.75" customHeight="1">
      <c r="A3" s="42" t="s">
        <v>318</v>
      </c>
      <c r="B3" s="29"/>
      <c r="C3" s="29"/>
      <c r="D3" s="29"/>
      <c r="E3" s="29"/>
      <c r="F3" s="29"/>
      <c r="G3" s="29"/>
      <c r="H3" s="43"/>
      <c r="J3" s="161" t="s">
        <v>291</v>
      </c>
      <c r="L3" s="11" t="s">
        <v>236</v>
      </c>
      <c r="M3" s="6">
        <f>IF($B$16="Gable",DEGREES(ATAN(($B$12-$B$13)/($B$14/2))),DEGREES(ATAN(($B$12-$B$13)/($B$14))))</f>
        <v>0</v>
      </c>
      <c r="N3" s="7"/>
      <c r="O3" s="11" t="s">
        <v>155</v>
      </c>
      <c r="P3" s="6">
        <f>IF($M$3&lt;=10,$B$13,$B$13+($B$12-$B$13)/2)</f>
        <v>42</v>
      </c>
      <c r="Q3" s="7"/>
      <c r="R3" s="7"/>
    </row>
    <row r="4" spans="1:28">
      <c r="A4" s="200" t="s">
        <v>110</v>
      </c>
      <c r="B4" s="201"/>
      <c r="C4" s="118"/>
      <c r="D4" s="202"/>
      <c r="E4" s="109" t="s">
        <v>300</v>
      </c>
      <c r="F4" s="119"/>
      <c r="G4" s="118"/>
      <c r="H4" s="117"/>
      <c r="J4" s="161" t="s">
        <v>282</v>
      </c>
      <c r="L4" s="7"/>
      <c r="M4" s="7"/>
      <c r="N4" s="7"/>
      <c r="O4" s="7"/>
      <c r="P4" s="7"/>
      <c r="Q4" s="7"/>
      <c r="R4" s="7"/>
    </row>
    <row r="5" spans="1:28">
      <c r="A5" s="47" t="s">
        <v>111</v>
      </c>
      <c r="B5" s="110"/>
      <c r="C5" s="111"/>
      <c r="D5" s="112"/>
      <c r="E5" s="115" t="s">
        <v>299</v>
      </c>
      <c r="F5" s="149"/>
      <c r="G5" s="116" t="s">
        <v>298</v>
      </c>
      <c r="H5" s="150"/>
      <c r="J5" s="161" t="s">
        <v>283</v>
      </c>
      <c r="L5" s="7" t="s">
        <v>2</v>
      </c>
      <c r="M5" s="6"/>
      <c r="N5" s="12"/>
      <c r="O5" s="7"/>
      <c r="P5" s="7"/>
      <c r="Q5" s="7"/>
      <c r="R5" s="7"/>
    </row>
    <row r="6" spans="1:28">
      <c r="A6" s="44"/>
      <c r="B6" s="72"/>
      <c r="C6" s="72"/>
      <c r="D6" s="72"/>
      <c r="E6" s="72"/>
      <c r="F6" s="145"/>
      <c r="G6" s="38"/>
      <c r="H6" s="146"/>
      <c r="J6" s="161" t="s">
        <v>284</v>
      </c>
      <c r="L6" s="10" t="s">
        <v>338</v>
      </c>
      <c r="M6" s="7"/>
      <c r="N6" s="7"/>
      <c r="O6" s="12" t="s">
        <v>340</v>
      </c>
      <c r="P6" s="7"/>
      <c r="Q6" s="7"/>
      <c r="R6" s="7"/>
    </row>
    <row r="7" spans="1:28">
      <c r="A7" s="46" t="s">
        <v>150</v>
      </c>
      <c r="B7" s="72"/>
      <c r="C7" s="72"/>
      <c r="D7" s="72"/>
      <c r="E7" s="72"/>
      <c r="F7" s="205"/>
      <c r="G7" s="31"/>
      <c r="H7" s="152"/>
      <c r="J7" s="10" t="s">
        <v>271</v>
      </c>
      <c r="K7" s="11" t="s">
        <v>339</v>
      </c>
      <c r="L7" s="7" t="s">
        <v>11</v>
      </c>
      <c r="M7" s="7"/>
      <c r="N7" s="12"/>
      <c r="O7" s="7" t="s">
        <v>240</v>
      </c>
      <c r="P7" s="7"/>
      <c r="Q7" s="7"/>
      <c r="R7" s="7"/>
    </row>
    <row r="8" spans="1:28">
      <c r="A8" s="46"/>
      <c r="B8" s="72"/>
      <c r="C8" s="72"/>
      <c r="D8" s="72"/>
      <c r="E8" s="72"/>
      <c r="H8" s="50"/>
      <c r="J8" s="10" t="s">
        <v>157</v>
      </c>
      <c r="L8" s="11" t="s">
        <v>146</v>
      </c>
      <c r="M8" s="8">
        <f>IF($B$23="N",IF($M$3&lt;=7,IF($P$3&lt;=60,IF($B$22&lt;=10,0.3,IF($B$22&lt;=100,(0.4-0.1*LOG($B$22)),0.2)),"N.A."),"N.A."),"N.A.")</f>
        <v>0.2</v>
      </c>
      <c r="N8" s="7"/>
      <c r="O8" s="11" t="s">
        <v>146</v>
      </c>
      <c r="P8" s="8" t="str">
        <f>IF($B$23="N",IF($M$3&lt;=10,IF($P$3&gt;60,"N.A.","N.A."),"N.A."),"N.A.")</f>
        <v>N.A.</v>
      </c>
      <c r="Q8" s="7"/>
      <c r="R8" s="7"/>
    </row>
    <row r="9" spans="1:28">
      <c r="A9" s="49" t="s">
        <v>151</v>
      </c>
      <c r="B9" s="121">
        <v>170</v>
      </c>
      <c r="C9" s="186" t="s">
        <v>350</v>
      </c>
      <c r="H9" s="50"/>
      <c r="J9" s="10" t="s">
        <v>285</v>
      </c>
      <c r="L9" s="11" t="s">
        <v>147</v>
      </c>
      <c r="M9" s="8">
        <f>IF($B$23="N",IF($M$3&lt;=7,IF($P$3&lt;=60,IF($B$22&lt;=10,-1,IF($B$22&lt;=100,(-1.1+0.1*LOG($B$22)),-0.9)),"N.A."),"N.A."),"N.A.")</f>
        <v>-0.9</v>
      </c>
      <c r="N9" s="7"/>
      <c r="O9" s="11" t="s">
        <v>147</v>
      </c>
      <c r="P9" s="8" t="str">
        <f>IF($B$23="N",IF($M$3&lt;=10,IF($P$3&lt;=60,"N.A.",IF($B$22&lt;=10,-1.4,IF($B$22&lt;=500,-1.6943+0.2943*LOG($B$22),-0.9))),"N.A."),"N.A.")</f>
        <v>N.A.</v>
      </c>
      <c r="Q9" s="7"/>
      <c r="R9" s="7"/>
    </row>
    <row r="10" spans="1:28">
      <c r="A10" s="49" t="s">
        <v>307</v>
      </c>
      <c r="B10" s="158" t="s">
        <v>283</v>
      </c>
      <c r="C10" s="186" t="s">
        <v>315</v>
      </c>
      <c r="H10" s="159"/>
      <c r="J10" s="10" t="s">
        <v>312</v>
      </c>
      <c r="L10" s="11" t="s">
        <v>148</v>
      </c>
      <c r="M10" s="8">
        <f>IF($B$23="N",IF($M$3&lt;=7,IF($P$3&lt;=60,IF($B$22&lt;=10,-1.8,IF($B$22&lt;=100,(-2.5+0.7*LOG($B$22)),-1.1)),"N.A."),"N.A."),"N.A.")</f>
        <v>-1.1000000000000001</v>
      </c>
      <c r="N10" s="7"/>
      <c r="O10" s="11" t="s">
        <v>148</v>
      </c>
      <c r="P10" s="8" t="str">
        <f>IF($B$23="N",IF($M$3&lt;=10,IF($P$3&lt;=60,"N.A.",IF($B$22&lt;=10,-2.3,IF($B$22&lt;=500,-2.712+0.412*LOG($B$22),-1.6))),"N.A."),"N.A.")</f>
        <v>N.A.</v>
      </c>
      <c r="Q10" s="7"/>
      <c r="R10" s="7"/>
    </row>
    <row r="11" spans="1:28">
      <c r="A11" s="49" t="s">
        <v>309</v>
      </c>
      <c r="B11" s="122" t="s">
        <v>157</v>
      </c>
      <c r="C11" s="94" t="s">
        <v>319</v>
      </c>
      <c r="H11" s="160"/>
      <c r="J11" s="10" t="s">
        <v>311</v>
      </c>
      <c r="L11" s="11" t="s">
        <v>149</v>
      </c>
      <c r="M11" s="8">
        <f>IF($B$23="N",IF($M$3&lt;=7,IF($P$3&lt;=60,IF($B$22&lt;=10,-2.8,IF($B$22&lt;=100,(-4.5+1.7*LOG($B$22)),-1.1)),"N.A."),"N.A."),"N.A.")</f>
        <v>-1.1000000000000001</v>
      </c>
      <c r="N11" s="8"/>
      <c r="O11" s="11" t="s">
        <v>149</v>
      </c>
      <c r="P11" s="8" t="str">
        <f>IF($B$23="N",IF($M$3&lt;=10,IF($P$3&lt;=60,"N.A.",IF($B$22&lt;=10,-3.2,IF($B$22&lt;=500,-3.7297+0.5297*LOG($B$22),-2.3))),"N.A."),"N.A.")</f>
        <v>N.A.</v>
      </c>
      <c r="Q11" s="7"/>
      <c r="R11" s="7"/>
    </row>
    <row r="12" spans="1:28">
      <c r="A12" s="49" t="s">
        <v>152</v>
      </c>
      <c r="B12" s="123">
        <v>42</v>
      </c>
      <c r="C12" s="182" t="s">
        <v>18</v>
      </c>
      <c r="H12" s="50"/>
      <c r="J12" s="10" t="s">
        <v>272</v>
      </c>
      <c r="K12" s="11" t="s">
        <v>341</v>
      </c>
      <c r="L12" s="7" t="s">
        <v>12</v>
      </c>
      <c r="M12" s="7"/>
      <c r="N12" s="7"/>
      <c r="O12" s="7" t="s">
        <v>13</v>
      </c>
      <c r="P12" s="7"/>
      <c r="Q12" s="7"/>
      <c r="R12" s="7"/>
    </row>
    <row r="13" spans="1:28">
      <c r="A13" s="49" t="s">
        <v>153</v>
      </c>
      <c r="B13" s="123">
        <v>42</v>
      </c>
      <c r="C13" s="182" t="s">
        <v>19</v>
      </c>
      <c r="E13" s="51" t="str">
        <f>IF($B$13&gt;$B$12,"hr MUST BE &gt;= he !","")</f>
        <v/>
      </c>
      <c r="H13" s="50"/>
      <c r="J13" s="10" t="s">
        <v>121</v>
      </c>
      <c r="L13" s="11" t="s">
        <v>146</v>
      </c>
      <c r="M13" s="8" t="str">
        <f>IF($B$23="N",IF($M$3&gt;7,IF($M$3&lt;=27,IF($P$3&lt;=60,IF($B$22&lt;=10,0.5,IF($B$22&lt;=100,(0.7-0.2*LOG($B$22)),0.3)),"N.A."),"N.A."),"N.A."),"N.A.")</f>
        <v>N.A.</v>
      </c>
      <c r="N13" s="7"/>
      <c r="O13" s="11" t="s">
        <v>146</v>
      </c>
      <c r="P13" s="8" t="str">
        <f>IF($B$23="N",IF($M$3&gt;10,IF($M$3&lt;=27,IF($P$3&lt;=60,"N.A.",IF($B$22&lt;=10,0.5,IF($B$22&lt;=100,(0.7-0.2*LOG($B$22)),0.3))),"N.A."),"N.A."),"N.A.")</f>
        <v>N.A.</v>
      </c>
      <c r="Q13" s="7"/>
      <c r="R13" s="7"/>
    </row>
    <row r="14" spans="1:28">
      <c r="A14" s="49" t="s">
        <v>269</v>
      </c>
      <c r="B14" s="123">
        <v>222</v>
      </c>
      <c r="C14" s="182" t="s">
        <v>20</v>
      </c>
      <c r="H14" s="50"/>
      <c r="J14" s="10" t="s">
        <v>211</v>
      </c>
      <c r="L14" s="11" t="s">
        <v>147</v>
      </c>
      <c r="M14" s="8" t="str">
        <f>IF($B$23="N",IF($M$3&gt;7,IF($M$3&lt;=27,IF($P$3&lt;=60,IF($B$22&lt;=10,-0.9,IF($B$22&lt;=100,(-1+0.1*LOG($B$22)),-0.8)),"N.A."),"N.A."),"N.A."),"N.A.")</f>
        <v>N.A.</v>
      </c>
      <c r="N14" s="8"/>
      <c r="O14" s="11" t="s">
        <v>147</v>
      </c>
      <c r="P14" s="8" t="str">
        <f>IF($B$23="N",IF($M$3&gt;10,IF($M$3&lt;=27,IF($P$3&lt;=60,"N.A.",IF($B$22&lt;=10,-0.9,IF($B$22&lt;=100,(-1+0.1*LOG($B$22)),-0.8))),"N.A."),"N.A."),"N.A.")</f>
        <v>N.A.</v>
      </c>
      <c r="Q14" s="7"/>
      <c r="R14" s="7"/>
    </row>
    <row r="15" spans="1:28">
      <c r="A15" s="49" t="s">
        <v>270</v>
      </c>
      <c r="B15" s="123">
        <v>204</v>
      </c>
      <c r="C15" s="182" t="s">
        <v>21</v>
      </c>
      <c r="F15" s="162"/>
      <c r="H15" s="50"/>
      <c r="J15" s="10" t="s">
        <v>287</v>
      </c>
      <c r="L15" s="11" t="s">
        <v>148</v>
      </c>
      <c r="M15" s="8" t="str">
        <f>IF($B$23="N",IF($M$3&gt;7,IF($M$3&lt;=27,IF($P$3&lt;=60,IF($B$22&lt;=10,-1.7,IF($B$22&lt;=100,(-2.2+0.5*LOG($B$22)),-1.2)),"N.A."),"N.A."),"N.A."),"N.A.")</f>
        <v>N.A.</v>
      </c>
      <c r="N15" s="9"/>
      <c r="O15" s="11" t="s">
        <v>148</v>
      </c>
      <c r="P15" s="8" t="str">
        <f>IF($B$23="N",IF($M$3&gt;10,IF($M$3&lt;=27,IF($P$3&lt;=60,"N.A.",IF($B$22&lt;=10,-1.7,IF($B$22&lt;=100,(-2.2+0.5*LOG($B$22)),-1.4))),"N.A."),"N.A."),"N.A.")</f>
        <v>N.A.</v>
      </c>
      <c r="Q15" s="9"/>
      <c r="R15" s="7"/>
    </row>
    <row r="16" spans="1:28">
      <c r="A16" s="49" t="s">
        <v>310</v>
      </c>
      <c r="B16" s="402" t="s">
        <v>312</v>
      </c>
      <c r="C16" s="182" t="s">
        <v>210</v>
      </c>
      <c r="F16" s="104"/>
      <c r="G16" s="207"/>
      <c r="H16" s="50"/>
      <c r="J16" s="10" t="s">
        <v>288</v>
      </c>
      <c r="L16" s="11" t="s">
        <v>149</v>
      </c>
      <c r="M16" s="8" t="str">
        <f>IF($B$23="N",IF($M$3&gt;7,IF($M$3&lt;=27,IF($P$3&lt;=60,IF($B$22&lt;=10,-2.6,IF($B$22&lt;=100,(-3.2+0.6*LOG($B$22)),-2)),"N.A."),"N.A."),"N.A."),"N.A.")</f>
        <v>N.A.</v>
      </c>
      <c r="N16" s="9"/>
      <c r="O16" s="11" t="s">
        <v>149</v>
      </c>
      <c r="P16" s="8" t="str">
        <f>IF($B$23="N",IF($M$3&gt;10,IF($M$3&lt;=27,IF($P$3&lt;=60,"N.A.",IF($B$22&lt;=10,-2.6,IF($B$22&lt;=100,(-3.2+0.6*LOG($B$22)),-2))),"N.A."),"N.A."),"N.A.")</f>
        <v>N.A.</v>
      </c>
      <c r="Q16" s="9"/>
      <c r="R16" s="7"/>
    </row>
    <row r="17" spans="1:18">
      <c r="A17" s="49" t="s">
        <v>154</v>
      </c>
      <c r="B17" s="123">
        <v>1</v>
      </c>
      <c r="C17" s="213" t="s">
        <v>316</v>
      </c>
      <c r="H17" s="50"/>
      <c r="J17" s="10" t="s">
        <v>289</v>
      </c>
      <c r="K17" s="11" t="s">
        <v>342</v>
      </c>
      <c r="L17" s="7" t="s">
        <v>14</v>
      </c>
      <c r="M17" s="7"/>
      <c r="N17" s="7"/>
      <c r="O17" s="7" t="s">
        <v>15</v>
      </c>
      <c r="P17" s="7"/>
      <c r="Q17" s="7"/>
      <c r="R17" s="7"/>
    </row>
    <row r="18" spans="1:18">
      <c r="A18" s="49" t="s">
        <v>253</v>
      </c>
      <c r="B18" s="123">
        <v>0.85</v>
      </c>
      <c r="C18" s="94" t="s">
        <v>320</v>
      </c>
      <c r="H18" s="50"/>
      <c r="L18" s="11" t="s">
        <v>146</v>
      </c>
      <c r="M18" s="8" t="str">
        <f>IF($B$23="N",IF($M$3&gt;27,IF($M$3&lt;=45,IF($P$3&lt;=60,IF($B$22&lt;=10,0.9,IF($B$22&lt;=100,(1-0.1*LOG($B$22)),0.8)),"N.A."),"N.A."),"N.A."),"N.A.")</f>
        <v>N.A.</v>
      </c>
      <c r="N18" s="7"/>
      <c r="O18" s="11" t="s">
        <v>146</v>
      </c>
      <c r="P18" s="8" t="str">
        <f>IF($B$23="N",IF($M$3&gt;27,IF($M$3&lt;=45,IF($P$3&lt;=60,"N.A.",IF($B$22&lt;=10,0.9,IF($B$22&lt;=100,(1-0.1*LOG($B$22)),0.8))),"N.A."),"N.A."),"N.A.")</f>
        <v>N.A.</v>
      </c>
      <c r="Q18" s="7"/>
      <c r="R18" s="7"/>
    </row>
    <row r="19" spans="1:18">
      <c r="A19" s="49" t="s">
        <v>4</v>
      </c>
      <c r="B19" s="122" t="s">
        <v>272</v>
      </c>
      <c r="C19" s="92" t="s">
        <v>321</v>
      </c>
      <c r="H19" s="50"/>
      <c r="L19" s="11" t="s">
        <v>147</v>
      </c>
      <c r="M19" s="8" t="str">
        <f>IF($B$23="N",IF($M$3&gt;27,IF($M$3&lt;=45,IF($P$3&lt;=60,IF($B$22&lt;=10,-1,IF($B$22&lt;=100,(-1.2+0.2*LOG($B$22)),-0.8)),"N.A."),"N.A."),"N.A."),"N.A.")</f>
        <v>N.A.</v>
      </c>
      <c r="N19" s="8"/>
      <c r="O19" s="11" t="s">
        <v>147</v>
      </c>
      <c r="P19" s="8" t="str">
        <f>IF($B$23="N",IF($M$3&gt;27,IF($M$3&lt;=45,IF($P$3&lt;=60,"N.A.",IF($B$22&lt;=10,-1,IF($B$22&lt;=100,(-1.2+0.2*LOG($B$22)),-0.8))),"N.A."),"N.A."),"N.A.")</f>
        <v>N.A.</v>
      </c>
      <c r="Q19" s="7"/>
      <c r="R19" s="7"/>
    </row>
    <row r="20" spans="1:18">
      <c r="A20" s="199" t="s">
        <v>277</v>
      </c>
      <c r="B20" s="122" t="s">
        <v>121</v>
      </c>
      <c r="H20" s="50"/>
      <c r="L20" s="11" t="s">
        <v>148</v>
      </c>
      <c r="M20" s="8" t="str">
        <f>IF($B$23="N",IF($M$3&gt;27,IF($M$3&lt;=45,IF($P$3&lt;=60,IF($B$22&lt;=10,-1.2,IF($B$22&lt;=100,(-1.4+0.2*LOG($B$22)),-1)),"N.A."),"N.A."),"N.A."),"N.A.")</f>
        <v>N.A.</v>
      </c>
      <c r="N20" s="9"/>
      <c r="O20" s="11" t="s">
        <v>148</v>
      </c>
      <c r="P20" s="8" t="str">
        <f>IF($B$23="N",IF($M$3&gt;27,IF($M$3&lt;=45,IF($P$3&lt;=60,"N.A.",IF($B$22&lt;=10,-1.2,IF($B$22&lt;=100,(-1.4+0.2*LOG($B$22)),-1))),"N.A."),"N.A."),"N.A.")</f>
        <v>N.A.</v>
      </c>
      <c r="Q20" s="9"/>
      <c r="R20" s="7"/>
    </row>
    <row r="21" spans="1:18">
      <c r="A21" s="49" t="s">
        <v>275</v>
      </c>
      <c r="B21" s="122" t="s">
        <v>287</v>
      </c>
      <c r="C21" s="213" t="s">
        <v>286</v>
      </c>
      <c r="F21" s="162"/>
      <c r="H21" s="159"/>
      <c r="L21" s="11" t="s">
        <v>149</v>
      </c>
      <c r="M21" s="8" t="str">
        <f>IF($B$23="N",IF($M$3&gt;27,IF($M$3&lt;=45,IF($P$3&lt;=60,IF($B$22&lt;=10,-1.2,IF($B$22&lt;=100,(-1.4+0.2*LOG($B$22)),-1)),"N.A."),"N.A."),"N.A."),"N.A.")</f>
        <v>N.A.</v>
      </c>
      <c r="N21" s="9"/>
      <c r="O21" s="11" t="s">
        <v>149</v>
      </c>
      <c r="P21" s="8" t="str">
        <f>IF($B$23="N",IF($M$3&gt;27,IF($M$3&lt;=45,IF($P$3&lt;=60,"N.A.",IF($B$22&lt;=10,-1.2,IF($B$22&lt;=100,(-1.4+0.2*LOG($B$22)),-1))),"N.A."),"N.A."),"N.A.")</f>
        <v>N.A.</v>
      </c>
      <c r="Q21" s="9"/>
      <c r="R21" s="7"/>
    </row>
    <row r="22" spans="1:18">
      <c r="A22" s="49" t="s">
        <v>156</v>
      </c>
      <c r="B22" s="122">
        <v>208</v>
      </c>
      <c r="C22" s="213" t="s">
        <v>22</v>
      </c>
      <c r="H22" s="204"/>
      <c r="L22" s="11" t="s">
        <v>199</v>
      </c>
      <c r="M22" s="8">
        <f>IF($M$3&lt;=7,IF($P$3&lt;=60,$M$8,"N.A."),IF($M$3&lt;=27,IF($P$3&lt;=60,$M$13,"N.A."),IF($M$3&lt;=45,IF($P$3&lt;=60,$M$18,"N.A."))))</f>
        <v>0.2</v>
      </c>
      <c r="O22" s="11" t="s">
        <v>199</v>
      </c>
      <c r="P22" s="8" t="str">
        <f>IF($M$3&lt;=10,IF($P$3&lt;=60,"N.A.",$P$8),IF($M$3&lt;=27,IF($P$3&lt;=60,"N.A.",$P$13),IF($M$3&lt;=45,IF($P$3&lt;=60,"N.A.",$P$18))))</f>
        <v>N.A.</v>
      </c>
      <c r="Q22" s="7"/>
      <c r="R22" s="7"/>
    </row>
    <row r="23" spans="1:18">
      <c r="A23" s="49" t="s">
        <v>209</v>
      </c>
      <c r="B23" s="131" t="s">
        <v>121</v>
      </c>
      <c r="C23" s="213" t="s">
        <v>104</v>
      </c>
      <c r="F23" s="162"/>
      <c r="H23" s="50"/>
      <c r="L23" s="11" t="s">
        <v>200</v>
      </c>
      <c r="M23" s="8">
        <f>IF($M$3&lt;=7,IF($P$3&lt;=60,$M$9,"N.A."),IF($M$3&lt;=27,IF($P$3&lt;=60,$M$14,"N.A."),IF($M$3&lt;=45,IF($P$3&lt;=60,$M$19,"N.A."))))</f>
        <v>-0.9</v>
      </c>
      <c r="O23" s="11" t="s">
        <v>200</v>
      </c>
      <c r="P23" s="8" t="str">
        <f>IF($M$3&lt;=10,IF($P$3&lt;=60,"N.A.",$P$9),IF($M$3&lt;=27,IF($P$3&lt;=60,"N.A.",$P$14),IF($M$3&lt;=45,IF($P$3&lt;=60,"N.A.",$P$19))))</f>
        <v>N.A.</v>
      </c>
      <c r="Q23" s="7"/>
      <c r="R23" s="7"/>
    </row>
    <row r="24" spans="1:18">
      <c r="A24" s="44"/>
      <c r="F24" s="162"/>
      <c r="H24" s="50"/>
      <c r="L24" s="11" t="s">
        <v>201</v>
      </c>
      <c r="M24" s="8">
        <f>IF($M$3&lt;=7,IF($P$3&lt;=60,$M$10,"N.A."),IF($M$3&lt;=27,IF($P$3&lt;=60,$M$15,"N.A."),IF($M$3&lt;=45,IF($P$3&lt;=60,$M$20,"N.A."))))</f>
        <v>-1.1000000000000001</v>
      </c>
      <c r="O24" s="11" t="s">
        <v>201</v>
      </c>
      <c r="P24" s="8" t="str">
        <f>IF($M$3&lt;=10,IF($P$3&lt;=60,"N.A.",$P$10),IF($M$3&lt;=27,IF($P$3&lt;=60,"N.A.",$P$15),IF($M$3&lt;=45,IF($P$3&lt;=60,"N.A.",$P$20))))</f>
        <v>N.A.</v>
      </c>
      <c r="Q24" s="7"/>
      <c r="R24" s="7"/>
    </row>
    <row r="25" spans="1:18">
      <c r="A25" s="46" t="s">
        <v>172</v>
      </c>
      <c r="B25" s="31"/>
      <c r="C25" s="52"/>
      <c r="F25" s="71"/>
      <c r="G25" s="71"/>
      <c r="H25" s="50"/>
      <c r="L25" s="11" t="s">
        <v>202</v>
      </c>
      <c r="M25" s="8">
        <f>IF($M$3&lt;=7,IF($P$3&lt;=60,$M$11,"N.A."),IF($M$3&lt;=27,IF($P$3&lt;=60,$M$16,"N.A."),IF($M$3&lt;=45,IF($P$3&lt;=60,$M$21,"N.A."))))</f>
        <v>-1.1000000000000001</v>
      </c>
      <c r="O25" s="11" t="s">
        <v>202</v>
      </c>
      <c r="P25" s="8" t="str">
        <f>IF($M$3&lt;=10,IF($P$3&lt;=60,"N.A.",$P$11),IF($M$3&lt;=27,IF($P$3&lt;=60,"N.A.",$P$16),IF($M$3&lt;=45,IF($P$3&lt;=60,"N.A.",$P$21))))</f>
        <v>N.A.</v>
      </c>
      <c r="Q25" s="7"/>
      <c r="R25" s="7"/>
    </row>
    <row r="26" spans="1:18">
      <c r="A26" s="44"/>
      <c r="H26" s="50"/>
      <c r="L26" s="7"/>
      <c r="M26" s="7"/>
      <c r="N26" s="7"/>
      <c r="O26" s="7"/>
      <c r="P26" s="7"/>
      <c r="Q26" s="7"/>
      <c r="R26" s="7"/>
    </row>
    <row r="27" spans="1:18">
      <c r="A27" s="49" t="s">
        <v>235</v>
      </c>
      <c r="B27" s="127">
        <f>$M$3</f>
        <v>0</v>
      </c>
      <c r="C27" s="45" t="s">
        <v>276</v>
      </c>
      <c r="F27" s="53" t="str">
        <f>IF($B$16="Monoslope",IF($M$3&gt;3,"Monoslope Roof &gt; 3 degrees!",""),"")</f>
        <v/>
      </c>
      <c r="G27" s="94"/>
      <c r="H27" s="95"/>
      <c r="L27" s="7" t="s">
        <v>3</v>
      </c>
      <c r="M27" s="6"/>
      <c r="N27" s="12"/>
      <c r="O27" s="7"/>
      <c r="P27" s="7"/>
      <c r="Q27" s="7"/>
      <c r="R27" s="7"/>
    </row>
    <row r="28" spans="1:18">
      <c r="A28" s="49" t="s">
        <v>155</v>
      </c>
      <c r="B28" s="126">
        <f>$P$3</f>
        <v>42</v>
      </c>
      <c r="C28" s="52" t="str">
        <f>IF($B$27&lt;=10,"ft. (h = he, for roof angle &lt;=10 deg.)","ft. (h = (hr+he)/2, for roof angle &gt;10 deg.)")</f>
        <v>ft. (h = he, for roof angle &lt;=10 deg.)</v>
      </c>
      <c r="H28" s="50"/>
      <c r="L28" s="10" t="s">
        <v>338</v>
      </c>
      <c r="M28" s="7"/>
      <c r="N28" s="7"/>
      <c r="O28" s="12" t="s">
        <v>340</v>
      </c>
      <c r="P28" s="7"/>
      <c r="Q28" s="7"/>
      <c r="R28" s="7"/>
    </row>
    <row r="29" spans="1:18">
      <c r="A29" s="44"/>
      <c r="H29" s="50"/>
      <c r="K29" s="11" t="s">
        <v>339</v>
      </c>
      <c r="L29" s="7" t="s">
        <v>11</v>
      </c>
      <c r="M29" s="7"/>
      <c r="N29" s="12"/>
      <c r="O29" s="7" t="s">
        <v>240</v>
      </c>
      <c r="P29" s="7"/>
      <c r="Q29" s="7"/>
      <c r="R29" s="7"/>
    </row>
    <row r="30" spans="1:18">
      <c r="A30" s="44" t="s">
        <v>206</v>
      </c>
      <c r="H30" s="50"/>
      <c r="K30" s="1"/>
      <c r="L30" s="11" t="s">
        <v>146</v>
      </c>
      <c r="M30" s="8" t="str">
        <f>IF($B$23="Y",IF($M$3&lt;=7,IF($P$3&lt;=60,IF($B$22&lt;=10,0.3,IF($B$22&lt;=100,(0.4-0.1*LOG($B$22)),0.2)),"N.A."),"N.A."),"N.A.")</f>
        <v>N.A.</v>
      </c>
      <c r="N30" s="7"/>
      <c r="O30" s="11" t="s">
        <v>146</v>
      </c>
      <c r="P30" s="8" t="str">
        <f>IF($B$23="Y",IF($M$3&lt;=10,IF($P$3&gt;60,IF($B$22&lt;=10,0.3,IF($B$22&lt;=100,(0.4-0.1*LOG($B$22)),0.2)),"N.A."),"N.A."),"N.A.")</f>
        <v>N.A.</v>
      </c>
      <c r="Q30" s="7"/>
      <c r="R30" s="7"/>
    </row>
    <row r="31" spans="1:18">
      <c r="A31" s="49" t="s">
        <v>204</v>
      </c>
      <c r="B31" s="127">
        <f>IF(AND($P$3&lt;=60,$B$23="N"),$M$22,IF(AND($P$3&lt;=60,$B$23="Y"),$M$44,IF(AND($P$3&gt;60,$B$23="N"),$P$22,IF(AND($P$3&gt;60,$B$23="Y"),$P$44))))</f>
        <v>0.2</v>
      </c>
      <c r="C31" s="52" t="str">
        <f>IF($B$28&lt;=60,"(Fig. 30.4-2A, 30.4-2B, and 30.4-2C)",IF($M$3&lt;=10,"(Fig. 30.6-1)","(Fig. 30.4-2A, 30.4-2B, and 30.4-2C)"))</f>
        <v>(Fig. 30.4-2A, 30.4-2B, and 30.4-2C)</v>
      </c>
      <c r="D31" s="64"/>
      <c r="E31" s="65"/>
      <c r="H31" s="50"/>
      <c r="J31" s="2"/>
      <c r="K31" s="1"/>
      <c r="L31" s="11" t="s">
        <v>147</v>
      </c>
      <c r="M31" s="8" t="str">
        <f>IF($B$23="Y",IF($M$3&lt;=7,IF($P$3&lt;=60,IF($B$22&lt;=10,-1.7,IF($B$22&lt;=100,(-1.8+0.1*LOG($B$22)),IF($B$22&lt;=500,(-3.0307+0.7153*LOG($B$22)),-1.1))),"N.A"),"N.A."),"N.A.")</f>
        <v>N.A.</v>
      </c>
      <c r="N31" s="7"/>
      <c r="O31" s="11" t="s">
        <v>147</v>
      </c>
      <c r="P31" s="8" t="str">
        <f>IF($B$23="Y",IF($M$3&lt;=10,IF($P$3&gt;60,IF($B$22&lt;=10,-1.7,IF($B$22&lt;=100,(-1.8+0.1*LOG($B$22)),IF($B$22&lt;=500,(-3.0307+0.7153*LOG($B$22)),-1.1))),"N.A"),"N.A."),"N.A.")</f>
        <v>N.A.</v>
      </c>
      <c r="Q31" s="7"/>
      <c r="R31" s="7"/>
    </row>
    <row r="32" spans="1:18">
      <c r="A32" s="49" t="s">
        <v>134</v>
      </c>
      <c r="B32" s="128">
        <f>IF(AND($P$3&lt;=60,$B$23="N"),$M$23,IF(AND($P$3&lt;=60,$B$23="Y"),$M$45,IF(AND($P$3&gt;60,$B$23="N"),$P$23,IF(AND($P$3&gt;60,$B$23="Y"),$P$45))))</f>
        <v>-0.9</v>
      </c>
      <c r="C32" s="52" t="str">
        <f>IF($B$28&lt;=60,"(Fig. 30.4-2A, 30.4-2B, and 30.4-2C)",IF($M$3&lt;=10,"(Fig. 30.6-1)","(Fig. 30.4-2A, 30.4-2B, and 30.4-2C)"))</f>
        <v>(Fig. 30.4-2A, 30.4-2B, and 30.4-2C)</v>
      </c>
      <c r="D32" s="64"/>
      <c r="H32" s="50"/>
      <c r="L32" s="11" t="s">
        <v>148</v>
      </c>
      <c r="M32" s="8" t="str">
        <f>IF($B$23="Y",IF($M$3&lt;=7,IF($P$3&lt;=60,IF($B$22&lt;=10,-1.7,IF($B$22&lt;=100,(-1.8+0.1*LOG($B$22)),IF($B$22&lt;=500,(-3.0307+0.7153*LOG($B$22)),-1.1))),"N.A"),"N.A."),"N.A.")</f>
        <v>N.A.</v>
      </c>
      <c r="N32" s="7"/>
      <c r="O32" s="11" t="s">
        <v>148</v>
      </c>
      <c r="P32" s="8" t="str">
        <f>IF($B$23="Y",IF($M$3&lt;=10,IF($P$3&gt;60,IF($B$22&lt;=10,-1.7,IF($B$22&lt;=100,(-1.8+0.1*LOG($B$22)),IF($B$22&lt;=500,(-3.0307+0.7153*LOG($B$22)),-1.1))),"N.A"),"N.A."),"N.A.")</f>
        <v>N.A.</v>
      </c>
      <c r="Q32" s="7"/>
      <c r="R32" s="7"/>
    </row>
    <row r="33" spans="1:18">
      <c r="A33" s="49" t="s">
        <v>135</v>
      </c>
      <c r="B33" s="128">
        <f>IF(AND($P$3&lt;=60,$B$23="N"),$M$24,IF(AND($P$3&lt;=60,$B$23="Y"),$M$46,IF(AND($P$3&gt;60,$B$23="N"),$P$24,IF(AND($P$3&gt;60,$B$23="Y"),$P$46))))</f>
        <v>-1.1000000000000001</v>
      </c>
      <c r="C33" s="52" t="str">
        <f>IF($B$28&lt;=60,"(Fig. 30.4-2A, 30.4-2B, and 30.4-2C)",IF($M$3&lt;=10,"(Fig. 30.6-1)","(Fig. 30.4-2A, 30.4-2B, and 30.4-2C)"))</f>
        <v>(Fig. 30.4-2A, 30.4-2B, and 30.4-2C)</v>
      </c>
      <c r="D33" s="64"/>
      <c r="H33" s="50"/>
      <c r="K33" s="1"/>
      <c r="L33" s="11" t="s">
        <v>149</v>
      </c>
      <c r="M33" s="8" t="str">
        <f>IF($B$23="Y",IF($M$3&lt;=7,IF($P$3&lt;=60,IF($B$22&lt;=10,-2.8,IF($B$22&lt;=100,(-4.8+2*LOG($B$22)),-0.8)),"N.A"),"N.A."),"N.A.")</f>
        <v>N.A.</v>
      </c>
      <c r="N33" s="8"/>
      <c r="O33" s="11" t="s">
        <v>149</v>
      </c>
      <c r="P33" s="8" t="str">
        <f>IF($B$23="Y",IF($M$3&lt;=10,IF($P$3&gt;60,IF($B$22&lt;=10,-2.8,IF($B$22&lt;=100,(-4.8+2*LOG($B$22)),-0.8)),"N.A"),"N.A."),"N.A.")</f>
        <v>N.A.</v>
      </c>
      <c r="Q33" s="7"/>
      <c r="R33" s="7"/>
    </row>
    <row r="34" spans="1:18">
      <c r="A34" s="49" t="s">
        <v>136</v>
      </c>
      <c r="B34" s="130">
        <f>IF(AND($P$3&lt;=60,$B$23="N"),$M$25,IF(AND($P$3&lt;=60,$B$23="Y"),$M$47,IF(AND($P$3&gt;60,$B$23="N"),$P$25,IF(AND($P$3&gt;60,$B$23="Y"),$P$47))))</f>
        <v>-1.1000000000000001</v>
      </c>
      <c r="C34" s="52" t="str">
        <f>IF($B$28&lt;=60,"(Fig. 30.4-2A, 30.4-2B, and 30.4-2C)",IF($M$3&lt;=10,"(Fig. 30.6-1)","(Fig. 30.4-2A, 30.4-2B, and 30.4-2C)"))</f>
        <v>(Fig. 30.4-2A, 30.4-2B, and 30.4-2C)</v>
      </c>
      <c r="D34" s="64"/>
      <c r="H34" s="50"/>
      <c r="J34" s="2"/>
      <c r="K34" s="11" t="s">
        <v>341</v>
      </c>
      <c r="L34" s="7" t="s">
        <v>12</v>
      </c>
      <c r="M34" s="7"/>
      <c r="N34" s="7"/>
      <c r="O34" s="7" t="s">
        <v>13</v>
      </c>
      <c r="P34" s="7"/>
      <c r="Q34" s="7"/>
      <c r="R34" s="7"/>
    </row>
    <row r="35" spans="1:18">
      <c r="A35" s="106" t="s">
        <v>323</v>
      </c>
      <c r="E35" s="34"/>
      <c r="H35" s="50"/>
      <c r="J35" s="5"/>
      <c r="K35" s="1"/>
      <c r="L35" s="11" t="s">
        <v>146</v>
      </c>
      <c r="M35" s="8" t="str">
        <f>IF($B$23="Y",IF($M$3&gt;7,IF($M$3&lt;=27,IF($P$3&lt;=60,IF($B$22&lt;=10,0.5,IF($B$22&lt;=100,(0.7-0.2*LOG($B$22)),0.3)),"N.A."),"N.A."),"N.A."),"N.A.")</f>
        <v>N.A.</v>
      </c>
      <c r="N35" s="7"/>
      <c r="O35" s="11" t="s">
        <v>146</v>
      </c>
      <c r="P35" s="8" t="str">
        <f>IF($B$23="Y",IF($M$3&gt;10,IF($M$3&lt;=27,IF($P$3&gt;60,IF($B$22&lt;=10,0.5,IF($B$22&lt;=100,(0.7-0.2*LOG($B$22)),0.3)),"N.A."),"N.A."),"N.A."),"N.A.")</f>
        <v>N.A.</v>
      </c>
      <c r="Q35" s="7"/>
      <c r="R35" s="7"/>
    </row>
    <row r="36" spans="1:18">
      <c r="A36" s="76" t="s">
        <v>189</v>
      </c>
      <c r="B36" s="125">
        <f>$M$60</f>
        <v>0.18</v>
      </c>
      <c r="C36" s="45" t="s">
        <v>217</v>
      </c>
      <c r="H36" s="50"/>
      <c r="J36" s="5"/>
      <c r="K36" s="1"/>
      <c r="L36" s="11" t="s">
        <v>147</v>
      </c>
      <c r="M36" s="8" t="str">
        <f>IF($B$23="Y",IF($M$3&gt;7,IF($M$3&lt;=27,IF($P$3&lt;=60,IF($B$22&lt;=10,-0.9,IF($B$22&lt;=100,(-1+0.1*LOG($B$22)),-0.8)),"N.A."),"N.A."),"N.A."),"N.A.")</f>
        <v>N.A.</v>
      </c>
      <c r="N36" s="8"/>
      <c r="O36" s="11" t="s">
        <v>147</v>
      </c>
      <c r="P36" s="8" t="str">
        <f>IF($B$23="Y",IF($M$3&gt;10,IF($M$3&lt;=27,IF($P$3&gt;60,IF($B$22&lt;=10,-0.9,IF($B$22&lt;=100,(-1+0.1*LOG($B$22)),-0.8)),"N.A."),"N.A."),"N.A."),"N.A.")</f>
        <v>N.A.</v>
      </c>
      <c r="Q36" s="7"/>
      <c r="R36" s="7"/>
    </row>
    <row r="37" spans="1:18">
      <c r="A37" s="76" t="s">
        <v>190</v>
      </c>
      <c r="B37" s="126">
        <f>$M$61</f>
        <v>-0.18</v>
      </c>
      <c r="C37" s="45" t="s">
        <v>218</v>
      </c>
      <c r="H37" s="50"/>
      <c r="L37" s="11" t="s">
        <v>148</v>
      </c>
      <c r="M37" s="8" t="str">
        <f>IF($B$23="Y",IF($M$3&gt;7,IF($M$3&lt;=27,IF($P$3&lt;=60,-2.2,"N.A."),"N.A."),"N.A."),"N.A.")</f>
        <v>N.A.</v>
      </c>
      <c r="N37" s="9"/>
      <c r="O37" s="11" t="s">
        <v>148</v>
      </c>
      <c r="P37" s="8" t="str">
        <f>IF($B$23="Y",IF($M$3&gt;10,IF($M$3&lt;=27,IF($P$3&gt;60,-2.2,"N.A."),"N.A."),"N.A."),"N.A.")</f>
        <v>N.A.</v>
      </c>
      <c r="Q37" s="9"/>
      <c r="R37" s="7"/>
    </row>
    <row r="38" spans="1:18">
      <c r="A38" s="388" t="s">
        <v>324</v>
      </c>
      <c r="H38" s="50"/>
      <c r="L38" s="11" t="s">
        <v>149</v>
      </c>
      <c r="M38" s="8" t="str">
        <f>IF($B$23="Y",IF($M$3&gt;7,IF($M$3&lt;=27,IF($P$3&lt;=60,IF($B$22&lt;=10,-3.7,IF($B$22&lt;=100,(-4.9+1.2*LOG($B$22)),-2.5)),"N.A."),"N.A."),"N.A."),"N.A.")</f>
        <v>N.A.</v>
      </c>
      <c r="N38" s="9"/>
      <c r="O38" s="11" t="s">
        <v>149</v>
      </c>
      <c r="P38" s="8" t="str">
        <f>IF($B$23="Y",IF($M$3&gt;10,IF($M$3&lt;=27,IF($P$3&gt;60,IF($B$22&lt;=10,-3.7,IF($B$22&lt;=100,(-4.9+1.2*LOG($B$22)),-2.5)),"N.A."),"N.A."),"N.A."),"N.A.")</f>
        <v>N.A.</v>
      </c>
      <c r="Q38" s="9"/>
      <c r="R38" s="7"/>
    </row>
    <row r="39" spans="1:18">
      <c r="A39" s="78" t="s">
        <v>229</v>
      </c>
      <c r="B39" s="127">
        <f>$M$64</f>
        <v>9.5</v>
      </c>
      <c r="C39" s="213" t="s">
        <v>325</v>
      </c>
      <c r="H39" s="50"/>
      <c r="K39" s="11" t="s">
        <v>342</v>
      </c>
      <c r="L39" s="7" t="s">
        <v>14</v>
      </c>
      <c r="M39" s="7"/>
      <c r="N39" s="7"/>
      <c r="O39" s="7" t="s">
        <v>15</v>
      </c>
      <c r="P39" s="7"/>
      <c r="Q39" s="7"/>
      <c r="R39" s="7"/>
    </row>
    <row r="40" spans="1:18">
      <c r="A40" s="49" t="s">
        <v>119</v>
      </c>
      <c r="B40" s="141">
        <f>$M$65</f>
        <v>900</v>
      </c>
      <c r="C40" s="182" t="s">
        <v>325</v>
      </c>
      <c r="F40" s="52" t="str">
        <f>IF($B$11="B","(Note: z not &lt; 30, Exp. B, Case 1)","")</f>
        <v/>
      </c>
      <c r="G40" s="61"/>
      <c r="H40" s="50"/>
      <c r="J40" s="2"/>
      <c r="K40" s="1"/>
      <c r="L40" s="11" t="s">
        <v>146</v>
      </c>
      <c r="M40" s="8" t="str">
        <f>IF($B$23="Y",IF($M$3&gt;27,IF($M$3&lt;=45,IF($P$3&lt;=60,IF($B$22&lt;=10,0.9,IF($B$22&lt;=100,(1-0.1*LOG($B$22)),0.8)),"N.A."),"N.A."),"N.A."),"N.A.")</f>
        <v>N.A.</v>
      </c>
      <c r="N40" s="7"/>
      <c r="O40" s="11" t="s">
        <v>146</v>
      </c>
      <c r="P40" s="8" t="str">
        <f>IF($B$23="Y",IF($M$3&gt;27,IF($M$3&lt;=45,IF($P$3&gt;60,IF($B$22&lt;=10,0.9,IF($B$22&lt;=100,(1-0.1*LOG($B$22)),0.8)),"N.A."),"N.A."),"N.A."),"N.A.")</f>
        <v>N.A.</v>
      </c>
      <c r="Q40" s="7"/>
      <c r="R40" s="7"/>
    </row>
    <row r="41" spans="1:18">
      <c r="A41" s="49" t="s">
        <v>120</v>
      </c>
      <c r="B41" s="389">
        <f>$M$66</f>
        <v>1.0543552349348324</v>
      </c>
      <c r="C41" s="45" t="s">
        <v>188</v>
      </c>
      <c r="F41" s="64"/>
      <c r="G41" s="61"/>
      <c r="H41" s="75"/>
      <c r="J41" s="5"/>
      <c r="K41" s="1"/>
      <c r="L41" s="11" t="s">
        <v>147</v>
      </c>
      <c r="M41" s="8" t="str">
        <f>IF($B$23="Y",IF($M$3&gt;27,IF($M$3&lt;=45,IF($P$3&lt;=60,IF($B$22&lt;=10,-1,IF($B$22&lt;=100,(-1.2+0.2*LOG($B$22)),-0.8)),"N.A."),"N.A."),"N.A."),"N.A.")</f>
        <v>N.A.</v>
      </c>
      <c r="N41" s="8"/>
      <c r="O41" s="11" t="s">
        <v>147</v>
      </c>
      <c r="P41" s="8" t="str">
        <f>IF($B$23="Y",IF($M$3&gt;27,IF($M$3&lt;=45,IF($P$3&gt;60,IF($B$22&lt;=10,-1,IF($B$22&lt;=100,(-1.2+0.2*LOG($B$22)),-0.8)),"N.A."),"N.A."),"N.A."),"N.A.")</f>
        <v>N.A.</v>
      </c>
      <c r="Q41" s="7"/>
      <c r="R41" s="7"/>
    </row>
    <row r="42" spans="1:18">
      <c r="A42" s="203"/>
      <c r="B42" s="403"/>
      <c r="C42" s="79"/>
      <c r="F42" s="64"/>
      <c r="G42" s="61"/>
      <c r="H42" s="75"/>
      <c r="J42" s="5"/>
      <c r="K42" s="1"/>
      <c r="L42" s="11" t="s">
        <v>148</v>
      </c>
      <c r="M42" s="8" t="str">
        <f>IF($B$23="Y",IF($M$3&gt;27,IF($M$3&lt;=45,IF($P$3&lt;=60,IF($B$22&lt;=10,-2,IF($B$22&lt;=100,(-2.2+0.2*LOG($B$22)),-1.8)),"N.A."),"N.A."),"N.A."),"N.A.")</f>
        <v>N.A.</v>
      </c>
      <c r="N42" s="9"/>
      <c r="O42" s="11" t="s">
        <v>148</v>
      </c>
      <c r="P42" s="8" t="str">
        <f>IF($B$23="Y",IF($M$3&gt;27,IF($M$3&lt;=45,IF($P$3&gt;60,IF($B$22&lt;=10,-2,IF($B$22&lt;=100,(-2.2+0.2*LOG($B$22)),-1.8)),"N.A."),"N.A."),"N.A."),"N.A.")</f>
        <v>N.A.</v>
      </c>
      <c r="Q42" s="9"/>
      <c r="R42" s="7"/>
    </row>
    <row r="43" spans="1:18">
      <c r="A43" s="185" t="s">
        <v>327</v>
      </c>
      <c r="E43" s="68"/>
      <c r="F43" s="68"/>
      <c r="G43" s="68"/>
      <c r="H43" s="50"/>
      <c r="J43" s="1"/>
      <c r="K43" s="4"/>
      <c r="L43" s="11" t="s">
        <v>149</v>
      </c>
      <c r="M43" s="8" t="str">
        <f>IF($B$23="Y",IF($M$3&gt;27,IF($M$3&lt;=45,IF($P$3&lt;=60,IF($B$22&lt;=10,-2,IF($B$22&lt;=100,(-2.2+0.2*LOG($B$22)),-1.8)),"N.A."),"N.A."),"N.A."),"N.A.")</f>
        <v>N.A.</v>
      </c>
      <c r="N43" s="9"/>
      <c r="O43" s="11" t="s">
        <v>149</v>
      </c>
      <c r="P43" s="8" t="str">
        <f>IF($B$23="Y",IF($M$3&gt;27,IF($M$3&lt;=45,IF($P$3&gt;60,IF($B$22&lt;=10,-2,IF($B$22&lt;=100,(-2.2+0.2*LOG($B$22)),-1.8)),"N.A."),"N.A."),"N.A."),"N.A.")</f>
        <v>N.A.</v>
      </c>
      <c r="Q43" s="9"/>
      <c r="R43" s="7"/>
    </row>
    <row r="44" spans="1:18">
      <c r="A44" s="49" t="s">
        <v>192</v>
      </c>
      <c r="B44" s="59">
        <f>$M$67</f>
        <v>66.304605046205836</v>
      </c>
      <c r="C44" s="45" t="s">
        <v>293</v>
      </c>
      <c r="D44" s="186" t="s">
        <v>328</v>
      </c>
      <c r="G44" s="68"/>
      <c r="H44" s="75"/>
      <c r="J44" s="1"/>
      <c r="K44" s="4"/>
      <c r="L44" s="11" t="s">
        <v>199</v>
      </c>
      <c r="M44" s="8" t="str">
        <f>IF($M$3&lt;=7,IF($P$3&lt;=60,$M$30,"N.A."),IF($M$3&lt;=27,IF($P$3&lt;=60,$M$35,"N.A."),IF($M$3&lt;=45,IF($P$3&lt;=60,$M$40,"N.A."))))</f>
        <v>N.A.</v>
      </c>
      <c r="O44" s="11" t="s">
        <v>199</v>
      </c>
      <c r="P44" s="8" t="str">
        <f>IF($M$3&lt;=10,IF($P$3&lt;=60,"N.A.",$P$30),IF($M$3&lt;=27,IF($P$3&lt;=60,"N.A.",$P$35),IF($M$3&lt;=45,IF($P$3&lt;=60,"N.A.",$P$40))))</f>
        <v>N.A.</v>
      </c>
      <c r="Q44" s="7"/>
      <c r="R44" s="7"/>
    </row>
    <row r="45" spans="1:18">
      <c r="A45" s="44"/>
      <c r="H45" s="50"/>
      <c r="J45" s="1"/>
      <c r="K45" s="4"/>
      <c r="L45" s="11" t="s">
        <v>200</v>
      </c>
      <c r="M45" s="8" t="str">
        <f>IF($M$3&lt;=7,IF($P$3&lt;=60,$M$31,"N.A."),IF($M$3&lt;=27,IF($P$3&lt;=60,$M$36,"N.A."),IF($M$3&lt;=45,IF($P$3&lt;=60,$M$41,"N.A."))))</f>
        <v>N.A.</v>
      </c>
      <c r="O45" s="11" t="s">
        <v>200</v>
      </c>
      <c r="P45" s="8" t="str">
        <f>IF($M$3&lt;=10,IF($P$3&lt;=60,"N.A.",$P$31),IF($M$3&lt;=27,IF($P$3&lt;=60,"N.A.",$P$36),IF($M$3&lt;=45,IF($P$3&lt;=60,"N.A.",$P$41))))</f>
        <v>N.A.</v>
      </c>
      <c r="Q45" s="7"/>
      <c r="R45" s="7"/>
    </row>
    <row r="46" spans="1:18">
      <c r="A46" s="106" t="s">
        <v>330</v>
      </c>
      <c r="D46" s="69"/>
      <c r="E46" s="80"/>
      <c r="F46" s="68"/>
      <c r="G46" s="68"/>
      <c r="H46" s="75"/>
      <c r="J46" s="1"/>
      <c r="K46" s="4"/>
      <c r="L46" s="11" t="s">
        <v>201</v>
      </c>
      <c r="M46" s="8" t="str">
        <f>IF($M$3&lt;=7,IF($P$3&lt;=60,$M$32,"N.A."),IF($M$3&lt;=27,IF($P$3&lt;=60,$M$37,"N.A."),IF($M$3&lt;=45,IF($P$3&lt;=60,$M$42,"N.A."))))</f>
        <v>N.A.</v>
      </c>
      <c r="O46" s="11" t="s">
        <v>201</v>
      </c>
      <c r="P46" s="8" t="str">
        <f>IF($M$3&lt;=10,IF($P$3&lt;=60,"N.A.",$P$32),IF($M$3&lt;=27,IF($P$3&lt;=60,"N.A.",$P$37),IF($M$3&lt;=45,IF($P$3&lt;=60,"N.A.",$P$42))))</f>
        <v>N.A.</v>
      </c>
      <c r="Q46" s="7"/>
      <c r="R46" s="7"/>
    </row>
    <row r="47" spans="1:18">
      <c r="A47" s="44" t="s">
        <v>256</v>
      </c>
      <c r="C47" s="79"/>
      <c r="D47" s="69"/>
      <c r="F47" s="68"/>
      <c r="G47" s="68"/>
      <c r="H47" s="75"/>
      <c r="L47" s="11" t="s">
        <v>202</v>
      </c>
      <c r="M47" s="8" t="str">
        <f>IF($M$3&lt;=7,IF($P$3&lt;=60,$M$33,"N.A."),IF($M$3&lt;=27,IF($P$3&lt;=60,$M$38,"N.A."),IF($M$3&lt;=45,IF($P$3&lt;=60,$M$43,"N.A."))))</f>
        <v>N.A.</v>
      </c>
      <c r="O47" s="11" t="s">
        <v>202</v>
      </c>
      <c r="P47" s="8" t="str">
        <f>IF($M$3&lt;=10,IF($P$3&lt;=60,"N.A.",$P$33),IF($M$3&lt;=27,IF($P$3&lt;=60,"N.A.",$P$38),IF($M$3&lt;=45,IF($P$3&lt;=60,"N.A.",$P$43))))</f>
        <v>N.A.</v>
      </c>
      <c r="Q47" s="7"/>
      <c r="R47" s="7"/>
    </row>
    <row r="48" spans="1:18">
      <c r="A48" s="44" t="s">
        <v>257</v>
      </c>
      <c r="H48" s="50"/>
      <c r="L48" s="7"/>
      <c r="M48" s="7"/>
      <c r="N48" s="7"/>
      <c r="O48" s="7"/>
      <c r="P48" s="7"/>
      <c r="Q48" s="7"/>
      <c r="R48" s="7"/>
    </row>
    <row r="49" spans="1:29">
      <c r="A49" s="82" t="s">
        <v>255</v>
      </c>
      <c r="D49" s="68"/>
      <c r="G49" s="68"/>
      <c r="H49" s="50"/>
      <c r="L49" s="7"/>
      <c r="M49" s="7"/>
      <c r="N49" s="7"/>
      <c r="O49" s="7"/>
      <c r="P49" s="7"/>
      <c r="Q49" s="7"/>
      <c r="R49" s="7"/>
    </row>
    <row r="50" spans="1:29">
      <c r="A50" s="190" t="s">
        <v>344</v>
      </c>
      <c r="D50" s="68"/>
      <c r="G50" s="68"/>
      <c r="H50" s="75"/>
      <c r="L50" s="7"/>
      <c r="M50" s="7"/>
      <c r="N50" s="7"/>
      <c r="O50" s="7"/>
      <c r="P50" s="7"/>
      <c r="Q50" s="7"/>
      <c r="R50" s="7"/>
    </row>
    <row r="51" spans="1:29">
      <c r="A51" s="44"/>
      <c r="G51" s="38"/>
      <c r="H51" s="169"/>
      <c r="L51" s="7" t="s">
        <v>144</v>
      </c>
      <c r="M51" s="7"/>
      <c r="N51" s="7"/>
      <c r="O51" s="7" t="s">
        <v>145</v>
      </c>
      <c r="P51" s="7"/>
      <c r="Q51" s="7"/>
      <c r="R51" s="7"/>
    </row>
    <row r="52" spans="1:29">
      <c r="A52" s="66"/>
      <c r="B52" s="54"/>
      <c r="C52" s="54"/>
      <c r="D52" s="54"/>
      <c r="E52" s="54"/>
      <c r="F52" s="54"/>
      <c r="G52" s="170"/>
      <c r="H52" s="171"/>
      <c r="L52" s="11" t="s">
        <v>176</v>
      </c>
      <c r="M52" s="8">
        <f>IF($P$3&lt;=60,IF($B$14&lt;=$B$15,$B$14,$B$15),"N.A.")</f>
        <v>204</v>
      </c>
      <c r="N52" s="7"/>
      <c r="O52" s="11" t="s">
        <v>176</v>
      </c>
      <c r="P52" s="8" t="str">
        <f>IF($P$3&gt;60,IF($B$14&lt;=$B$15,$B$14,$B$15),"N.A.")</f>
        <v>N.A.</v>
      </c>
      <c r="Q52" s="7"/>
      <c r="R52" s="7"/>
    </row>
    <row r="53" spans="1:29">
      <c r="A53" s="103" t="s">
        <v>245</v>
      </c>
      <c r="B53" s="55"/>
      <c r="C53" s="55"/>
      <c r="D53" s="83"/>
      <c r="E53" s="83"/>
      <c r="F53" s="96"/>
      <c r="G53" s="96"/>
      <c r="H53" s="56"/>
      <c r="L53" s="13" t="s">
        <v>177</v>
      </c>
      <c r="M53" s="8">
        <f>IF($P$3&lt;=60,0.1*$M$52,"N.A.")</f>
        <v>20.400000000000002</v>
      </c>
      <c r="N53" s="7"/>
      <c r="O53" s="13" t="s">
        <v>177</v>
      </c>
      <c r="P53" s="8" t="str">
        <f>IF($P$3&gt;60,0.1*$P$52,"N.A.")</f>
        <v>N.A.</v>
      </c>
      <c r="Q53" s="7"/>
      <c r="R53" s="7"/>
    </row>
    <row r="54" spans="1:29">
      <c r="A54" s="98" t="s">
        <v>122</v>
      </c>
      <c r="B54" s="62" t="s">
        <v>116</v>
      </c>
      <c r="C54" s="153" t="str">
        <f>IF($B$28&lt;=60,"Kh","Kh")</f>
        <v>Kh</v>
      </c>
      <c r="D54" s="154" t="str">
        <f>IF($B$28&lt;=60,"qh","qh")</f>
        <v>qh</v>
      </c>
      <c r="E54" s="57" t="s">
        <v>241</v>
      </c>
      <c r="F54" s="55"/>
      <c r="G54" s="96"/>
      <c r="H54" s="97"/>
      <c r="L54" s="11" t="s">
        <v>132</v>
      </c>
      <c r="M54" s="8">
        <f>IF($P$3&lt;=60,IF($M$53&lt;=0.4*$P$3,$M$53,0.4*$P$3),"N.A.")</f>
        <v>16.8</v>
      </c>
      <c r="N54" s="7"/>
      <c r="O54" s="11" t="s">
        <v>143</v>
      </c>
      <c r="P54" s="8" t="str">
        <f>IF($P$3&gt;60,IF($P$53&gt;=3,$P$53,3),"N.A.")</f>
        <v>N.A.</v>
      </c>
      <c r="Q54" s="7"/>
      <c r="R54" s="7"/>
      <c r="AB54" s="209" t="s">
        <v>17</v>
      </c>
    </row>
    <row r="55" spans="1:29">
      <c r="A55" s="63"/>
      <c r="B55" s="98" t="s">
        <v>117</v>
      </c>
      <c r="C55" s="155"/>
      <c r="D55" s="156" t="s">
        <v>118</v>
      </c>
      <c r="E55" s="99" t="s">
        <v>137</v>
      </c>
      <c r="F55" s="99" t="s">
        <v>138</v>
      </c>
      <c r="G55" s="99" t="s">
        <v>139</v>
      </c>
      <c r="H55" s="99" t="s">
        <v>140</v>
      </c>
      <c r="L55" s="11" t="s">
        <v>173</v>
      </c>
      <c r="M55" s="8">
        <f>IF($P$3&lt;=60,IF($M$54&gt;=0.04*$M$52,$M$54,0.04*$M$52),"N.A.")</f>
        <v>16.8</v>
      </c>
      <c r="N55" s="7"/>
      <c r="O55" s="11" t="s">
        <v>131</v>
      </c>
      <c r="P55" s="8" t="str">
        <f>$P$54</f>
        <v>N.A.</v>
      </c>
      <c r="Q55" s="7"/>
      <c r="R55" s="7"/>
      <c r="AB55" s="210" t="s">
        <v>121</v>
      </c>
      <c r="AC55" s="212" t="s">
        <v>103</v>
      </c>
    </row>
    <row r="56" spans="1:29">
      <c r="A56" s="107" t="str">
        <f>$B$21</f>
        <v>Joist</v>
      </c>
      <c r="B56" s="140">
        <f>IF($AB$55="N",0,$AB56)</f>
        <v>0</v>
      </c>
      <c r="C56" s="135">
        <f t="shared" ref="C56:C83" si="0">IF($P$3&lt;=60,IF($B56="","",$M$66),IF($B56="","",$M$66))</f>
        <v>1.0543552349348324</v>
      </c>
      <c r="D56" s="127">
        <f t="shared" ref="D56:D83" si="1">IF($P$3&lt;=60,IF($B56="","",$M$67),IF($B56="","",$M$67))</f>
        <v>66.304605046205836</v>
      </c>
      <c r="E56" s="135">
        <f t="shared" ref="E56:E83" si="2">IF($P$3&lt;=60,IF($B56="","",$M$67*($B$31-$M$61)),IF($B56="","",IF($B$27&lt;=10,"-",$D56*$B$31-$M$67*$M$61)))</f>
        <v>25.195749917558217</v>
      </c>
      <c r="F56" s="127">
        <f t="shared" ref="F56:F83" si="3">IF($P$3&lt;=60,IF($B56="","",$M$67*($B$32-$M$60)),IF($B56="","",$D56*$B$32-$M$67*$M$60))</f>
        <v>-71.608973449902308</v>
      </c>
      <c r="G56" s="135">
        <f t="shared" ref="G56:G83" si="4">IF($P$3&lt;=60,IF($B56="","",$M$67*($B$33-$M$60)),IF($B56="","",$D56*$B$33-$M$67*$M$60))</f>
        <v>-84.869894459143467</v>
      </c>
      <c r="H56" s="127">
        <f t="shared" ref="H56:H83" si="5">IF($P$3&lt;=60,IF($B56="","",$M$67*($B$34-$M$60)),IF($B56="","",$D56*$B$34-$M$67*$M$60))</f>
        <v>-84.869894459143467</v>
      </c>
      <c r="L56" s="11" t="s">
        <v>143</v>
      </c>
      <c r="M56" s="8">
        <f>IF($P$3&lt;=60,IF($M$55&gt;=3,$M$55,3),"N.A.")</f>
        <v>16.8</v>
      </c>
      <c r="N56" s="12"/>
      <c r="O56" s="7"/>
      <c r="P56" s="7"/>
      <c r="Q56" s="7"/>
      <c r="R56" s="7"/>
      <c r="AB56" s="157"/>
    </row>
    <row r="57" spans="1:29">
      <c r="A57" s="100" t="str">
        <f t="shared" ref="A57:A81" si="6">IF($B57=$B$12,"For z = hr:","")</f>
        <v/>
      </c>
      <c r="B57" s="128">
        <f>IF($AB$55="N",IF($B$12&gt;=15,15,IF($B56=$B$12,"",IF($B56="","",$B$12))),IF(OR($AB57="",$AB57&gt;$B$12),"",$AB57))</f>
        <v>15</v>
      </c>
      <c r="C57" s="136">
        <f t="shared" si="0"/>
        <v>1.0543552349348324</v>
      </c>
      <c r="D57" s="128">
        <f t="shared" si="1"/>
        <v>66.304605046205836</v>
      </c>
      <c r="E57" s="136">
        <f t="shared" si="2"/>
        <v>25.195749917558217</v>
      </c>
      <c r="F57" s="128">
        <f t="shared" si="3"/>
        <v>-71.608973449902308</v>
      </c>
      <c r="G57" s="136">
        <f t="shared" si="4"/>
        <v>-84.869894459143467</v>
      </c>
      <c r="H57" s="128">
        <f t="shared" si="5"/>
        <v>-84.869894459143467</v>
      </c>
      <c r="L57" s="11" t="s">
        <v>131</v>
      </c>
      <c r="M57" s="8">
        <f>$M$56</f>
        <v>16.8</v>
      </c>
      <c r="N57" s="12"/>
      <c r="O57" s="7"/>
      <c r="P57" s="7"/>
      <c r="Q57" s="7"/>
      <c r="R57" s="7"/>
      <c r="AB57" s="157"/>
    </row>
    <row r="58" spans="1:29">
      <c r="A58" s="100" t="str">
        <f t="shared" si="6"/>
        <v/>
      </c>
      <c r="B58" s="128">
        <f>IF($AB$55="N",IF($B$12&gt;=20,20,IF($B57=$B$12,"",IF($B57="","",$B$12))),IF(OR($AB58="",$AB58&gt;$B$12),"",$AB58))</f>
        <v>20</v>
      </c>
      <c r="C58" s="136">
        <f t="shared" si="0"/>
        <v>1.0543552349348324</v>
      </c>
      <c r="D58" s="128">
        <f t="shared" si="1"/>
        <v>66.304605046205836</v>
      </c>
      <c r="E58" s="136">
        <f t="shared" si="2"/>
        <v>25.195749917558217</v>
      </c>
      <c r="F58" s="128">
        <f t="shared" si="3"/>
        <v>-71.608973449902308</v>
      </c>
      <c r="G58" s="136">
        <f t="shared" si="4"/>
        <v>-84.869894459143467</v>
      </c>
      <c r="H58" s="128">
        <f t="shared" si="5"/>
        <v>-84.869894459143467</v>
      </c>
      <c r="L58" s="7"/>
      <c r="M58" s="7"/>
      <c r="N58" s="7"/>
      <c r="O58" s="7"/>
      <c r="P58" s="7"/>
      <c r="Q58" s="7"/>
      <c r="R58" s="7"/>
      <c r="AB58" s="157"/>
    </row>
    <row r="59" spans="1:29">
      <c r="A59" s="100" t="str">
        <f t="shared" si="6"/>
        <v/>
      </c>
      <c r="B59" s="128">
        <f>IF($AB$55="N",IF($B$12&gt;=25,25,IF($B58=$B$12,"",IF($B58="","",$B$12))),IF(OR($AB59="",$AB59&gt;$B$12),"",$AB59))</f>
        <v>25</v>
      </c>
      <c r="C59" s="136">
        <f t="shared" si="0"/>
        <v>1.0543552349348324</v>
      </c>
      <c r="D59" s="128">
        <f t="shared" si="1"/>
        <v>66.304605046205836</v>
      </c>
      <c r="E59" s="136">
        <f t="shared" si="2"/>
        <v>25.195749917558217</v>
      </c>
      <c r="F59" s="128">
        <f t="shared" si="3"/>
        <v>-71.608973449902308</v>
      </c>
      <c r="G59" s="136">
        <f t="shared" si="4"/>
        <v>-84.869894459143467</v>
      </c>
      <c r="H59" s="128">
        <f t="shared" si="5"/>
        <v>-84.869894459143467</v>
      </c>
      <c r="L59" s="7" t="s">
        <v>323</v>
      </c>
      <c r="M59" s="7"/>
      <c r="N59" s="7"/>
      <c r="O59" s="7"/>
      <c r="P59" s="7"/>
      <c r="Q59" s="7"/>
      <c r="R59" s="7"/>
      <c r="AB59" s="157"/>
    </row>
    <row r="60" spans="1:29">
      <c r="A60" s="100" t="str">
        <f t="shared" si="6"/>
        <v/>
      </c>
      <c r="B60" s="128">
        <f>IF($AB$55="N",IF($B$12&gt;=30,30,IF($B59=$B$12,"",IF($B59="","",$B$12))),IF(OR($AB60="",$AB60&gt;$B$12),"",$AB60))</f>
        <v>30</v>
      </c>
      <c r="C60" s="136">
        <f t="shared" si="0"/>
        <v>1.0543552349348324</v>
      </c>
      <c r="D60" s="128">
        <f t="shared" si="1"/>
        <v>66.304605046205836</v>
      </c>
      <c r="E60" s="136">
        <f t="shared" si="2"/>
        <v>25.195749917558217</v>
      </c>
      <c r="F60" s="128">
        <f t="shared" si="3"/>
        <v>-71.608973449902308</v>
      </c>
      <c r="G60" s="136">
        <f t="shared" si="4"/>
        <v>-84.869894459143467</v>
      </c>
      <c r="H60" s="128">
        <f t="shared" si="5"/>
        <v>-84.869894459143467</v>
      </c>
      <c r="L60" s="13" t="s">
        <v>186</v>
      </c>
      <c r="M60" s="3">
        <f>IF($B$19="Y",0.18,0.55)</f>
        <v>0.18</v>
      </c>
      <c r="N60" s="7"/>
      <c r="O60" s="7"/>
      <c r="P60" s="7"/>
      <c r="Q60" s="7"/>
      <c r="R60" s="7"/>
      <c r="AB60" s="157"/>
    </row>
    <row r="61" spans="1:29">
      <c r="A61" s="100" t="str">
        <f t="shared" si="6"/>
        <v/>
      </c>
      <c r="B61" s="128">
        <f>IF($AB$55="N",IF($B$12&gt;=35,35,IF($B60=$B$12,"",IF($B60="","",$B$12))),IF(OR($AB61="",$AB61&gt;$B$12),"",$AB61))</f>
        <v>35</v>
      </c>
      <c r="C61" s="136">
        <f t="shared" si="0"/>
        <v>1.0543552349348324</v>
      </c>
      <c r="D61" s="128">
        <f t="shared" si="1"/>
        <v>66.304605046205836</v>
      </c>
      <c r="E61" s="136">
        <f t="shared" si="2"/>
        <v>25.195749917558217</v>
      </c>
      <c r="F61" s="128">
        <f t="shared" si="3"/>
        <v>-71.608973449902308</v>
      </c>
      <c r="G61" s="136">
        <f t="shared" si="4"/>
        <v>-84.869894459143467</v>
      </c>
      <c r="H61" s="128">
        <f t="shared" si="5"/>
        <v>-84.869894459143467</v>
      </c>
      <c r="L61" s="13" t="s">
        <v>187</v>
      </c>
      <c r="M61" s="3">
        <f>IF($B$19="Y",-0.18,-0.55)</f>
        <v>-0.18</v>
      </c>
      <c r="N61" s="7"/>
      <c r="O61" s="7"/>
      <c r="P61" s="7"/>
      <c r="Q61" s="7"/>
      <c r="R61" s="7"/>
      <c r="AB61" s="157"/>
    </row>
    <row r="62" spans="1:29">
      <c r="A62" s="100" t="str">
        <f t="shared" si="6"/>
        <v/>
      </c>
      <c r="B62" s="128">
        <f>IF($AB$55="N",IF($B$12&gt;=40,40,IF($B61=$B$12,"",IF($B61="","",$B$12))),IF(OR($AB62="",$AB62&gt;$B$12),"",$AB62))</f>
        <v>40</v>
      </c>
      <c r="C62" s="136">
        <f t="shared" si="0"/>
        <v>1.0543552349348324</v>
      </c>
      <c r="D62" s="128">
        <f t="shared" si="1"/>
        <v>66.304605046205836</v>
      </c>
      <c r="E62" s="136">
        <f t="shared" si="2"/>
        <v>25.195749917558217</v>
      </c>
      <c r="F62" s="128">
        <f t="shared" si="3"/>
        <v>-71.608973449902308</v>
      </c>
      <c r="G62" s="136">
        <f t="shared" si="4"/>
        <v>-84.869894459143467</v>
      </c>
      <c r="H62" s="128">
        <f t="shared" si="5"/>
        <v>-84.869894459143467</v>
      </c>
      <c r="L62" s="7"/>
      <c r="M62" s="7"/>
      <c r="N62" s="7"/>
      <c r="O62" s="7"/>
      <c r="P62" s="7"/>
      <c r="Q62" s="7"/>
      <c r="R62" s="7"/>
      <c r="AB62" s="157"/>
    </row>
    <row r="63" spans="1:29">
      <c r="A63" s="100" t="str">
        <f t="shared" si="6"/>
        <v>For z = hr:</v>
      </c>
      <c r="B63" s="128">
        <f>IF($AB$55="N",IF($B$12&gt;=45,45,IF($B62=$B$12,"",IF($B62="","",$B$12))),IF(OR($AB63="",$AB63&gt;$B$12),"",$AB63))</f>
        <v>42</v>
      </c>
      <c r="C63" s="136">
        <f t="shared" si="0"/>
        <v>1.0543552349348324</v>
      </c>
      <c r="D63" s="128">
        <f t="shared" si="1"/>
        <v>66.304605046205836</v>
      </c>
      <c r="E63" s="136">
        <f t="shared" si="2"/>
        <v>25.195749917558217</v>
      </c>
      <c r="F63" s="128">
        <f t="shared" si="3"/>
        <v>-71.608973449902308</v>
      </c>
      <c r="G63" s="136">
        <f t="shared" si="4"/>
        <v>-84.869894459143467</v>
      </c>
      <c r="H63" s="128">
        <f t="shared" si="5"/>
        <v>-84.869894459143467</v>
      </c>
      <c r="L63" s="7" t="s">
        <v>343</v>
      </c>
      <c r="M63" s="7"/>
      <c r="N63" s="7"/>
      <c r="O63" s="7"/>
      <c r="P63" s="7"/>
      <c r="Q63" s="7"/>
      <c r="R63" s="7"/>
      <c r="AB63" s="157"/>
    </row>
    <row r="64" spans="1:29">
      <c r="A64" s="100" t="str">
        <f t="shared" si="6"/>
        <v/>
      </c>
      <c r="B64" s="128" t="str">
        <f>IF($AB$55="N",IF($B$12&gt;=50,50,IF($B63=$B$12,"",IF($B63="","",$B$12))),IF(OR($AB64="",$AB64&gt;$B$12),"",$AB64))</f>
        <v/>
      </c>
      <c r="C64" s="136" t="str">
        <f t="shared" si="0"/>
        <v/>
      </c>
      <c r="D64" s="128" t="str">
        <f t="shared" si="1"/>
        <v/>
      </c>
      <c r="E64" s="136" t="str">
        <f t="shared" si="2"/>
        <v/>
      </c>
      <c r="F64" s="128" t="str">
        <f t="shared" si="3"/>
        <v/>
      </c>
      <c r="G64" s="136" t="str">
        <f t="shared" si="4"/>
        <v/>
      </c>
      <c r="H64" s="128" t="str">
        <f t="shared" si="5"/>
        <v/>
      </c>
      <c r="L64" s="15" t="s">
        <v>238</v>
      </c>
      <c r="M64" s="8">
        <f>IF($B$11="A",5,IF($B$11="B",7,IF($B$11="C",9.5,IF($B$11="D",11.5,"Error!"))))</f>
        <v>9.5</v>
      </c>
      <c r="N64" s="12" t="s">
        <v>325</v>
      </c>
      <c r="O64" s="7"/>
      <c r="P64" s="7"/>
      <c r="Q64" s="7"/>
      <c r="R64" s="7"/>
      <c r="AB64" s="157"/>
    </row>
    <row r="65" spans="1:28">
      <c r="A65" s="100" t="str">
        <f t="shared" si="6"/>
        <v/>
      </c>
      <c r="B65" s="128" t="str">
        <f>IF($AB$55="N",IF($B$12&gt;=55,55,IF($B64=$B$12,"",IF($B64="","",$B$12))),IF(OR($AB65="",$AB65&gt;$B$12),"",$AB65))</f>
        <v/>
      </c>
      <c r="C65" s="136" t="str">
        <f t="shared" si="0"/>
        <v/>
      </c>
      <c r="D65" s="128" t="str">
        <f t="shared" si="1"/>
        <v/>
      </c>
      <c r="E65" s="136" t="str">
        <f t="shared" si="2"/>
        <v/>
      </c>
      <c r="F65" s="128" t="str">
        <f t="shared" si="3"/>
        <v/>
      </c>
      <c r="G65" s="136" t="str">
        <f t="shared" si="4"/>
        <v/>
      </c>
      <c r="H65" s="128" t="str">
        <f t="shared" si="5"/>
        <v/>
      </c>
      <c r="L65" s="11" t="s">
        <v>119</v>
      </c>
      <c r="M65" s="10">
        <f>IF($B$11="A",1500,IF($B$11="B",1200,IF($B$11="C",900,IF($B$11="D",700,"Error!"))))</f>
        <v>900</v>
      </c>
      <c r="N65" s="12" t="s">
        <v>325</v>
      </c>
      <c r="O65" s="7"/>
      <c r="P65" s="7"/>
      <c r="Q65" s="7"/>
      <c r="R65" s="7"/>
      <c r="AB65" s="157"/>
    </row>
    <row r="66" spans="1:28">
      <c r="A66" s="100" t="str">
        <f t="shared" si="6"/>
        <v/>
      </c>
      <c r="B66" s="128" t="str">
        <f>IF($AB$55="N",IF($B$12&gt;=60,60,IF($B65=$B$12,"",IF($B65="","",$B$12))),IF(OR($AB66="",$AB66&gt;$B$12),"",$AB66))</f>
        <v/>
      </c>
      <c r="C66" s="136" t="str">
        <f t="shared" si="0"/>
        <v/>
      </c>
      <c r="D66" s="128" t="str">
        <f t="shared" si="1"/>
        <v/>
      </c>
      <c r="E66" s="136" t="str">
        <f t="shared" si="2"/>
        <v/>
      </c>
      <c r="F66" s="128" t="str">
        <f t="shared" si="3"/>
        <v/>
      </c>
      <c r="G66" s="136" t="str">
        <f t="shared" si="4"/>
        <v/>
      </c>
      <c r="H66" s="128" t="str">
        <f t="shared" si="5"/>
        <v/>
      </c>
      <c r="K66" s="8"/>
      <c r="L66" s="11" t="s">
        <v>120</v>
      </c>
      <c r="M66" s="8">
        <f>IF($B$11="A",IF($P$3&lt;100,2.01*(100/$M$65)^(2/$M$64),2.01*($P$3/$M$65)^(2/$M$64)),IF($B$11="B",IF($P$3&lt;30,2.01*(30/$M$65)^(2/$M$64),2.01*($P$3/$M$65)^(2/$M$64)),IF(OR($B$11="C",$B$11="D"),IF($P$3&lt;15,2.01*(15/$M$65)^(2/$M$64),2.01*($P$3/$M$65)^(2/$M$64)))))</f>
        <v>1.0543552349348324</v>
      </c>
      <c r="N66" s="7" t="s">
        <v>335</v>
      </c>
      <c r="O66" s="7"/>
      <c r="P66" s="7"/>
      <c r="Q66" s="7"/>
      <c r="R66" s="7"/>
      <c r="AB66" s="157"/>
    </row>
    <row r="67" spans="1:28">
      <c r="A67" s="100" t="str">
        <f t="shared" si="6"/>
        <v/>
      </c>
      <c r="B67" s="128" t="str">
        <f>IF($AB$55="N",IF($B$12&gt;=70,70,IF($B66=$B$12,"",IF($B66="","",$B$12))),IF(OR($AB67="",$AB67&gt;$B$12),"",$AB67))</f>
        <v/>
      </c>
      <c r="C67" s="136" t="str">
        <f t="shared" si="0"/>
        <v/>
      </c>
      <c r="D67" s="128" t="str">
        <f t="shared" si="1"/>
        <v/>
      </c>
      <c r="E67" s="136" t="str">
        <f t="shared" si="2"/>
        <v/>
      </c>
      <c r="F67" s="128" t="str">
        <f t="shared" si="3"/>
        <v/>
      </c>
      <c r="G67" s="136" t="str">
        <f t="shared" si="4"/>
        <v/>
      </c>
      <c r="H67" s="128" t="str">
        <f t="shared" si="5"/>
        <v/>
      </c>
      <c r="L67" s="11" t="s">
        <v>192</v>
      </c>
      <c r="M67" s="8">
        <f>0.00256*$M$66*$B$17*$B$18*$B$9^2</f>
        <v>66.304605046205836</v>
      </c>
      <c r="N67" s="7"/>
      <c r="O67" s="7"/>
      <c r="P67" s="7"/>
      <c r="Q67" s="7"/>
      <c r="R67" s="7"/>
      <c r="AB67" s="157"/>
    </row>
    <row r="68" spans="1:28">
      <c r="A68" s="100" t="str">
        <f t="shared" si="6"/>
        <v/>
      </c>
      <c r="B68" s="128" t="str">
        <f>IF($AB$55="N",IF($B$12&gt;=80,80,IF($B67=$B$12,"",IF($B67="","",$B$12))),IF(OR($AB68="",$AB68&gt;$B$12),"",$AB68))</f>
        <v/>
      </c>
      <c r="C68" s="136" t="str">
        <f t="shared" si="0"/>
        <v/>
      </c>
      <c r="D68" s="128" t="str">
        <f t="shared" si="1"/>
        <v/>
      </c>
      <c r="E68" s="136" t="str">
        <f t="shared" si="2"/>
        <v/>
      </c>
      <c r="F68" s="128" t="str">
        <f t="shared" si="3"/>
        <v/>
      </c>
      <c r="G68" s="136" t="str">
        <f t="shared" si="4"/>
        <v/>
      </c>
      <c r="H68" s="128" t="str">
        <f t="shared" si="5"/>
        <v/>
      </c>
      <c r="N68" s="7"/>
      <c r="O68" s="7"/>
      <c r="P68" s="7"/>
      <c r="Q68" s="7"/>
      <c r="R68" s="7"/>
      <c r="AB68" s="157"/>
    </row>
    <row r="69" spans="1:28">
      <c r="A69" s="100" t="str">
        <f t="shared" si="6"/>
        <v/>
      </c>
      <c r="B69" s="128" t="str">
        <f>IF($AB$55="N",IF($B$12&gt;=90,90,IF($B68=$B$12,"",IF($B68="","",$B$12))),IF(OR($AB69="",$AB69&gt;$B$12),"",$AB69))</f>
        <v/>
      </c>
      <c r="C69" s="136" t="str">
        <f t="shared" si="0"/>
        <v/>
      </c>
      <c r="D69" s="128" t="str">
        <f t="shared" si="1"/>
        <v/>
      </c>
      <c r="E69" s="136" t="str">
        <f t="shared" si="2"/>
        <v/>
      </c>
      <c r="F69" s="128" t="str">
        <f t="shared" si="3"/>
        <v/>
      </c>
      <c r="G69" s="136" t="str">
        <f t="shared" si="4"/>
        <v/>
      </c>
      <c r="H69" s="128" t="str">
        <f t="shared" si="5"/>
        <v/>
      </c>
      <c r="L69" s="7"/>
      <c r="M69" s="7"/>
      <c r="N69" s="7"/>
      <c r="O69" s="7"/>
      <c r="P69" s="7"/>
      <c r="Q69" s="7"/>
      <c r="R69" s="7"/>
      <c r="AB69" s="157"/>
    </row>
    <row r="70" spans="1:28">
      <c r="A70" s="100" t="str">
        <f t="shared" si="6"/>
        <v/>
      </c>
      <c r="B70" s="128" t="str">
        <f>IF($AB$55="N",IF($B$12&gt;=100,100,IF($B69=$B$12,"",IF($B69="","",$B$12))),IF(OR($AB70="",$AB70&gt;$B$12),"",$AB70))</f>
        <v/>
      </c>
      <c r="C70" s="136" t="str">
        <f t="shared" si="0"/>
        <v/>
      </c>
      <c r="D70" s="128" t="str">
        <f t="shared" si="1"/>
        <v/>
      </c>
      <c r="E70" s="136" t="str">
        <f t="shared" si="2"/>
        <v/>
      </c>
      <c r="F70" s="128" t="str">
        <f t="shared" si="3"/>
        <v/>
      </c>
      <c r="G70" s="136" t="str">
        <f t="shared" si="4"/>
        <v/>
      </c>
      <c r="H70" s="128" t="str">
        <f t="shared" si="5"/>
        <v/>
      </c>
      <c r="L70" s="7"/>
      <c r="M70" s="7"/>
      <c r="N70" s="7"/>
      <c r="O70" s="7"/>
      <c r="P70" s="14"/>
      <c r="Q70" s="7"/>
      <c r="R70" s="7"/>
      <c r="AB70" s="157"/>
    </row>
    <row r="71" spans="1:28">
      <c r="A71" s="100" t="str">
        <f t="shared" si="6"/>
        <v/>
      </c>
      <c r="B71" s="128" t="str">
        <f>IF($AB$55="N",IF($B$12&gt;=120,120,IF($B70=$B$12,"",IF($B70="","",$B$12))),IF(OR($AB71="",$AB71&gt;$B$12),"",$AB71))</f>
        <v/>
      </c>
      <c r="C71" s="136" t="str">
        <f t="shared" si="0"/>
        <v/>
      </c>
      <c r="D71" s="128" t="str">
        <f t="shared" si="1"/>
        <v/>
      </c>
      <c r="E71" s="136" t="str">
        <f t="shared" si="2"/>
        <v/>
      </c>
      <c r="F71" s="128" t="str">
        <f t="shared" si="3"/>
        <v/>
      </c>
      <c r="G71" s="136" t="str">
        <f t="shared" si="4"/>
        <v/>
      </c>
      <c r="H71" s="128" t="str">
        <f t="shared" si="5"/>
        <v/>
      </c>
      <c r="L71" s="7"/>
      <c r="M71" s="7"/>
      <c r="N71" s="7"/>
      <c r="O71" s="7"/>
      <c r="P71" s="7"/>
      <c r="Q71" s="7"/>
      <c r="R71" s="7"/>
      <c r="AB71" s="157"/>
    </row>
    <row r="72" spans="1:28">
      <c r="A72" s="100" t="str">
        <f t="shared" si="6"/>
        <v/>
      </c>
      <c r="B72" s="128" t="str">
        <f>IF($AB$55="N",IF($B$12&gt;=140,140,IF($B71=$B$12,"",IF($B71="","",$B$12))),IF(OR($AB72="",$AB72&gt;$B$12),"",$AB72))</f>
        <v/>
      </c>
      <c r="C72" s="136" t="str">
        <f t="shared" si="0"/>
        <v/>
      </c>
      <c r="D72" s="128" t="str">
        <f t="shared" si="1"/>
        <v/>
      </c>
      <c r="E72" s="136" t="str">
        <f t="shared" si="2"/>
        <v/>
      </c>
      <c r="F72" s="128" t="str">
        <f t="shared" si="3"/>
        <v/>
      </c>
      <c r="G72" s="136" t="str">
        <f t="shared" si="4"/>
        <v/>
      </c>
      <c r="H72" s="128" t="str">
        <f t="shared" si="5"/>
        <v/>
      </c>
      <c r="L72" s="7"/>
      <c r="M72" s="7"/>
      <c r="N72" s="7"/>
      <c r="O72" s="7"/>
      <c r="P72" s="7"/>
      <c r="Q72" s="7"/>
      <c r="R72" s="7"/>
      <c r="AB72" s="157"/>
    </row>
    <row r="73" spans="1:28">
      <c r="A73" s="100" t="str">
        <f t="shared" si="6"/>
        <v/>
      </c>
      <c r="B73" s="128" t="str">
        <f>IF($AB$55="N",IF($B$12&gt;=160,160,IF($B72=$B$12,"",IF($B72="","",$B$12))),IF(OR($AB73="",$AB73&gt;$B$12),"",$AB73))</f>
        <v/>
      </c>
      <c r="C73" s="136" t="str">
        <f t="shared" si="0"/>
        <v/>
      </c>
      <c r="D73" s="128" t="str">
        <f t="shared" si="1"/>
        <v/>
      </c>
      <c r="E73" s="136" t="str">
        <f t="shared" si="2"/>
        <v/>
      </c>
      <c r="F73" s="128" t="str">
        <f t="shared" si="3"/>
        <v/>
      </c>
      <c r="G73" s="136" t="str">
        <f t="shared" si="4"/>
        <v/>
      </c>
      <c r="H73" s="128" t="str">
        <f t="shared" si="5"/>
        <v/>
      </c>
      <c r="L73" s="7"/>
      <c r="M73" s="7"/>
      <c r="N73" s="7"/>
      <c r="O73" s="7"/>
      <c r="P73" s="7"/>
      <c r="Q73" s="7"/>
      <c r="R73" s="7"/>
      <c r="AB73" s="157"/>
    </row>
    <row r="74" spans="1:28">
      <c r="A74" s="100" t="str">
        <f t="shared" si="6"/>
        <v/>
      </c>
      <c r="B74" s="128" t="str">
        <f>IF($AB$55="N",IF($B$12&gt;=180,180,IF($B73=$B$12,"",IF($B73="","",$B$12))),IF(OR($AB74="",$AB74&gt;$B$12),"",$AB74))</f>
        <v/>
      </c>
      <c r="C74" s="136" t="str">
        <f t="shared" si="0"/>
        <v/>
      </c>
      <c r="D74" s="128" t="str">
        <f t="shared" si="1"/>
        <v/>
      </c>
      <c r="E74" s="136" t="str">
        <f t="shared" si="2"/>
        <v/>
      </c>
      <c r="F74" s="128" t="str">
        <f t="shared" si="3"/>
        <v/>
      </c>
      <c r="G74" s="136" t="str">
        <f t="shared" si="4"/>
        <v/>
      </c>
      <c r="H74" s="128" t="str">
        <f t="shared" si="5"/>
        <v/>
      </c>
      <c r="L74" s="7"/>
      <c r="M74" s="7"/>
      <c r="N74" s="7"/>
      <c r="O74" s="7"/>
      <c r="P74" s="7"/>
      <c r="Q74" s="7"/>
      <c r="R74" s="7"/>
      <c r="AB74" s="157"/>
    </row>
    <row r="75" spans="1:28">
      <c r="A75" s="100" t="str">
        <f t="shared" si="6"/>
        <v/>
      </c>
      <c r="B75" s="128" t="str">
        <f>IF($AB$55="N",IF($B$12&gt;=200,200,IF($B74=$B$12,"",IF($B74="","",$B$12))),IF(OR($AB75="",$AB75&gt;$B$12),"",$AB75))</f>
        <v/>
      </c>
      <c r="C75" s="136" t="str">
        <f t="shared" si="0"/>
        <v/>
      </c>
      <c r="D75" s="128" t="str">
        <f t="shared" si="1"/>
        <v/>
      </c>
      <c r="E75" s="136" t="str">
        <f t="shared" si="2"/>
        <v/>
      </c>
      <c r="F75" s="128" t="str">
        <f t="shared" si="3"/>
        <v/>
      </c>
      <c r="G75" s="136" t="str">
        <f t="shared" si="4"/>
        <v/>
      </c>
      <c r="H75" s="128" t="str">
        <f t="shared" si="5"/>
        <v/>
      </c>
      <c r="L75" s="7"/>
      <c r="M75" s="7"/>
      <c r="N75" s="7"/>
      <c r="O75" s="7"/>
      <c r="P75" s="7"/>
      <c r="Q75" s="7"/>
      <c r="R75" s="7"/>
      <c r="AB75" s="157"/>
    </row>
    <row r="76" spans="1:28">
      <c r="A76" s="100" t="str">
        <f t="shared" si="6"/>
        <v/>
      </c>
      <c r="B76" s="128" t="str">
        <f>IF($AB$55="N",IF($B$12&gt;=250,250,IF($B75=$B$12,"",IF($B75="","",$B$12))),IF(OR($AB76="",$AB76&gt;$B$12),"",$AB76))</f>
        <v/>
      </c>
      <c r="C76" s="136" t="str">
        <f t="shared" si="0"/>
        <v/>
      </c>
      <c r="D76" s="128" t="str">
        <f t="shared" si="1"/>
        <v/>
      </c>
      <c r="E76" s="136" t="str">
        <f t="shared" si="2"/>
        <v/>
      </c>
      <c r="F76" s="128" t="str">
        <f t="shared" si="3"/>
        <v/>
      </c>
      <c r="G76" s="136" t="str">
        <f t="shared" si="4"/>
        <v/>
      </c>
      <c r="H76" s="128" t="str">
        <f t="shared" si="5"/>
        <v/>
      </c>
      <c r="L76" s="7"/>
      <c r="M76" s="7"/>
      <c r="N76" s="7"/>
      <c r="O76" s="7"/>
      <c r="P76" s="7"/>
      <c r="Q76" s="7"/>
      <c r="R76" s="7"/>
      <c r="AB76" s="157"/>
    </row>
    <row r="77" spans="1:28">
      <c r="A77" s="100" t="str">
        <f t="shared" si="6"/>
        <v/>
      </c>
      <c r="B77" s="128" t="str">
        <f>IF($AB$55="N",IF($B$12&gt;=300,300,IF($B76=$B$12,"",IF($B76="","",$B$12))),IF(OR($AB77="",$AB77&gt;$B$12),"",$AB77))</f>
        <v/>
      </c>
      <c r="C77" s="136" t="str">
        <f t="shared" si="0"/>
        <v/>
      </c>
      <c r="D77" s="128" t="str">
        <f t="shared" si="1"/>
        <v/>
      </c>
      <c r="E77" s="136" t="str">
        <f t="shared" si="2"/>
        <v/>
      </c>
      <c r="F77" s="128" t="str">
        <f t="shared" si="3"/>
        <v/>
      </c>
      <c r="G77" s="136" t="str">
        <f t="shared" si="4"/>
        <v/>
      </c>
      <c r="H77" s="128" t="str">
        <f t="shared" si="5"/>
        <v/>
      </c>
      <c r="L77" s="7"/>
      <c r="M77" s="7"/>
      <c r="N77" s="7"/>
      <c r="O77" s="7"/>
      <c r="P77" s="7"/>
      <c r="Q77" s="7"/>
      <c r="R77" s="7"/>
      <c r="AB77" s="157"/>
    </row>
    <row r="78" spans="1:28">
      <c r="A78" s="100" t="str">
        <f t="shared" si="6"/>
        <v/>
      </c>
      <c r="B78" s="128" t="str">
        <f>IF($AB$55="N",IF($B$12&gt;=350,350,IF($B77=$B$12,"",IF($B77="","",$B$12))),IF(OR($AB78="",$AB78&gt;$B$12),"",$AB78))</f>
        <v/>
      </c>
      <c r="C78" s="136" t="str">
        <f t="shared" si="0"/>
        <v/>
      </c>
      <c r="D78" s="128" t="str">
        <f t="shared" si="1"/>
        <v/>
      </c>
      <c r="E78" s="136" t="str">
        <f t="shared" si="2"/>
        <v/>
      </c>
      <c r="F78" s="128" t="str">
        <f t="shared" si="3"/>
        <v/>
      </c>
      <c r="G78" s="136" t="str">
        <f t="shared" si="4"/>
        <v/>
      </c>
      <c r="H78" s="128" t="str">
        <f t="shared" si="5"/>
        <v/>
      </c>
      <c r="L78" s="7"/>
      <c r="M78" s="7"/>
      <c r="N78" s="7"/>
      <c r="O78" s="7"/>
      <c r="P78" s="7"/>
      <c r="Q78" s="7"/>
      <c r="R78" s="7"/>
      <c r="AB78" s="157"/>
    </row>
    <row r="79" spans="1:28">
      <c r="A79" s="100" t="str">
        <f t="shared" si="6"/>
        <v/>
      </c>
      <c r="B79" s="128" t="str">
        <f>IF($AB$55="N",IF($B$12&gt;=400,400,IF($B78=$B$12,"",IF($B78="","",$B$12))),IF(OR($AB79="",$AB79&gt;$B$12),"",$AB79))</f>
        <v/>
      </c>
      <c r="C79" s="136" t="str">
        <f t="shared" si="0"/>
        <v/>
      </c>
      <c r="D79" s="128" t="str">
        <f t="shared" si="1"/>
        <v/>
      </c>
      <c r="E79" s="136" t="str">
        <f t="shared" si="2"/>
        <v/>
      </c>
      <c r="F79" s="128" t="str">
        <f t="shared" si="3"/>
        <v/>
      </c>
      <c r="G79" s="136" t="str">
        <f t="shared" si="4"/>
        <v/>
      </c>
      <c r="H79" s="128" t="str">
        <f t="shared" si="5"/>
        <v/>
      </c>
      <c r="L79" s="7"/>
      <c r="M79" s="7"/>
      <c r="N79" s="7"/>
      <c r="O79" s="7"/>
      <c r="P79" s="7"/>
      <c r="Q79" s="7"/>
      <c r="R79" s="7"/>
      <c r="AB79" s="157"/>
    </row>
    <row r="80" spans="1:28">
      <c r="A80" s="100" t="str">
        <f t="shared" si="6"/>
        <v/>
      </c>
      <c r="B80" s="128" t="str">
        <f>IF($AB$55="N",IF($B$12&gt;=450,450,IF($B79=$B$12,"",IF($B79="","",$B$12))),IF(OR($AB80="",$AB80&gt;$B$12),"",$AB80))</f>
        <v/>
      </c>
      <c r="C80" s="136" t="str">
        <f t="shared" si="0"/>
        <v/>
      </c>
      <c r="D80" s="128" t="str">
        <f t="shared" si="1"/>
        <v/>
      </c>
      <c r="E80" s="136" t="str">
        <f t="shared" si="2"/>
        <v/>
      </c>
      <c r="F80" s="128" t="str">
        <f t="shared" si="3"/>
        <v/>
      </c>
      <c r="G80" s="136" t="str">
        <f t="shared" si="4"/>
        <v/>
      </c>
      <c r="H80" s="128" t="str">
        <f t="shared" si="5"/>
        <v/>
      </c>
      <c r="L80" s="7"/>
      <c r="M80" s="7"/>
      <c r="N80" s="7"/>
      <c r="O80" s="7"/>
      <c r="P80" s="7"/>
      <c r="Q80" s="7"/>
      <c r="R80" s="7"/>
      <c r="AB80" s="157"/>
    </row>
    <row r="81" spans="1:28">
      <c r="A81" s="100" t="str">
        <f t="shared" si="6"/>
        <v/>
      </c>
      <c r="B81" s="128" t="str">
        <f>IF($AB$55="N",IF($B$12&gt;=500,500,IF($B80=$B$12,"",IF($B80="","",$B$12))),IF(OR($AB81="",$AB81&gt;$B$12),"",$AB81))</f>
        <v/>
      </c>
      <c r="C81" s="136" t="str">
        <f t="shared" si="0"/>
        <v/>
      </c>
      <c r="D81" s="128" t="str">
        <f t="shared" si="1"/>
        <v/>
      </c>
      <c r="E81" s="136" t="str">
        <f t="shared" si="2"/>
        <v/>
      </c>
      <c r="F81" s="128" t="str">
        <f t="shared" si="3"/>
        <v/>
      </c>
      <c r="G81" s="136" t="str">
        <f t="shared" si="4"/>
        <v/>
      </c>
      <c r="H81" s="128" t="str">
        <f t="shared" si="5"/>
        <v/>
      </c>
      <c r="L81" s="7"/>
      <c r="M81" s="7"/>
      <c r="N81" s="7"/>
      <c r="O81" s="7"/>
      <c r="P81" s="7"/>
      <c r="Q81" s="7"/>
      <c r="R81" s="7"/>
      <c r="AB81" s="211"/>
    </row>
    <row r="82" spans="1:28">
      <c r="A82" s="100" t="s">
        <v>246</v>
      </c>
      <c r="B82" s="128">
        <f>$B$13</f>
        <v>42</v>
      </c>
      <c r="C82" s="136">
        <f t="shared" si="0"/>
        <v>1.0543552349348324</v>
      </c>
      <c r="D82" s="128">
        <f t="shared" si="1"/>
        <v>66.304605046205836</v>
      </c>
      <c r="E82" s="136">
        <f t="shared" si="2"/>
        <v>25.195749917558217</v>
      </c>
      <c r="F82" s="128">
        <f t="shared" si="3"/>
        <v>-71.608973449902308</v>
      </c>
      <c r="G82" s="136">
        <f t="shared" si="4"/>
        <v>-84.869894459143467</v>
      </c>
      <c r="H82" s="128">
        <f t="shared" si="5"/>
        <v>-84.869894459143467</v>
      </c>
      <c r="L82" s="7"/>
      <c r="M82" s="7"/>
      <c r="N82" s="7"/>
      <c r="O82" s="7"/>
      <c r="P82" s="7"/>
      <c r="Q82" s="7"/>
      <c r="R82" s="7"/>
    </row>
    <row r="83" spans="1:28">
      <c r="A83" s="108" t="s">
        <v>247</v>
      </c>
      <c r="B83" s="130">
        <f>$B$28</f>
        <v>42</v>
      </c>
      <c r="C83" s="137">
        <f t="shared" si="0"/>
        <v>1.0543552349348324</v>
      </c>
      <c r="D83" s="130">
        <f t="shared" si="1"/>
        <v>66.304605046205836</v>
      </c>
      <c r="E83" s="137">
        <f t="shared" si="2"/>
        <v>25.195749917558217</v>
      </c>
      <c r="F83" s="130">
        <f t="shared" si="3"/>
        <v>-71.608973449902308</v>
      </c>
      <c r="G83" s="137">
        <f t="shared" si="4"/>
        <v>-84.869894459143467</v>
      </c>
      <c r="H83" s="130">
        <f t="shared" si="5"/>
        <v>-84.869894459143467</v>
      </c>
      <c r="L83" s="7"/>
      <c r="M83" s="7"/>
      <c r="N83" s="7"/>
      <c r="O83" s="7"/>
      <c r="P83" s="7"/>
      <c r="Q83" s="7"/>
      <c r="R83" s="7"/>
    </row>
    <row r="84" spans="1:28">
      <c r="A84" s="44"/>
      <c r="H84" s="50"/>
      <c r="L84" s="7"/>
      <c r="M84" s="7"/>
      <c r="N84" s="7"/>
      <c r="O84" s="7"/>
      <c r="P84" s="7"/>
      <c r="Q84" s="7"/>
      <c r="R84" s="7"/>
    </row>
    <row r="85" spans="1:28">
      <c r="A85" s="44" t="s">
        <v>198</v>
      </c>
      <c r="H85" s="50"/>
      <c r="L85" s="7"/>
      <c r="M85" s="7"/>
      <c r="N85" s="7"/>
      <c r="O85" s="7"/>
      <c r="P85" s="7"/>
      <c r="Q85" s="7"/>
      <c r="R85" s="7"/>
    </row>
    <row r="86" spans="1:28">
      <c r="A86" s="77" t="s">
        <v>226</v>
      </c>
      <c r="D86" s="127">
        <f>IF($B$28&lt;=60,$M$57,$P$55)</f>
        <v>16.8</v>
      </c>
      <c r="E86" s="94" t="s">
        <v>133</v>
      </c>
      <c r="G86" s="69"/>
      <c r="H86" s="50"/>
      <c r="L86" s="7"/>
      <c r="M86" s="7"/>
      <c r="N86" s="7"/>
      <c r="O86" s="7"/>
      <c r="P86" s="7"/>
      <c r="Q86" s="7"/>
      <c r="R86" s="7"/>
    </row>
    <row r="87" spans="1:28">
      <c r="A87" s="44" t="str">
        <f>IF($B$28&lt;=60,"            3. Width of Zone 3 (corner), 'a' =",IF($B$27&lt;=10,"            3. Width of Zone 3 (corner), ' 2*a' =","            3. Width of Zone 3 (corner), 'a' ="))</f>
        <v xml:space="preserve">            3. Width of Zone 3 (corner), 'a' =</v>
      </c>
      <c r="D87" s="130">
        <f>IF($B$28&lt;=60,$M$57,IF($B$27&lt;=10,2*$P$55,$P$55))</f>
        <v>16.8</v>
      </c>
      <c r="E87" s="45" t="s">
        <v>133</v>
      </c>
      <c r="H87" s="50"/>
      <c r="L87" s="7"/>
      <c r="M87" s="7"/>
      <c r="N87" s="7"/>
      <c r="O87" s="7"/>
      <c r="P87" s="7"/>
      <c r="Q87" s="7"/>
      <c r="R87" s="7"/>
    </row>
    <row r="88" spans="1:28">
      <c r="A88" s="404" t="s">
        <v>346</v>
      </c>
      <c r="C88" s="69"/>
      <c r="H88" s="50"/>
      <c r="L88" s="7"/>
      <c r="M88" s="7"/>
      <c r="N88" s="7"/>
      <c r="O88" s="7"/>
      <c r="P88" s="7"/>
      <c r="Q88" s="7"/>
      <c r="R88" s="7"/>
    </row>
    <row r="89" spans="1:28">
      <c r="A89" s="404" t="s">
        <v>348</v>
      </c>
      <c r="H89" s="50"/>
      <c r="L89" s="7"/>
      <c r="M89" s="7"/>
      <c r="N89" s="7"/>
      <c r="O89" s="7"/>
      <c r="P89" s="7"/>
      <c r="Q89" s="7"/>
      <c r="R89" s="7"/>
    </row>
    <row r="90" spans="1:28">
      <c r="A90" s="404" t="s">
        <v>347</v>
      </c>
      <c r="H90" s="50"/>
      <c r="L90" s="7"/>
      <c r="M90" s="7"/>
      <c r="N90" s="7"/>
      <c r="O90" s="7"/>
      <c r="P90" s="7"/>
      <c r="Q90" s="7"/>
      <c r="R90" s="7"/>
    </row>
    <row r="91" spans="1:28">
      <c r="A91" s="44" t="s">
        <v>251</v>
      </c>
      <c r="H91" s="50"/>
      <c r="S91" s="7"/>
    </row>
    <row r="92" spans="1:28">
      <c r="A92" s="44" t="s">
        <v>250</v>
      </c>
      <c r="H92" s="50"/>
      <c r="S92" s="7"/>
    </row>
    <row r="93" spans="1:28">
      <c r="A93" s="185" t="s">
        <v>345</v>
      </c>
      <c r="B93" s="69"/>
      <c r="H93" s="50"/>
      <c r="S93" s="7"/>
    </row>
    <row r="94" spans="1:28">
      <c r="A94" s="44" t="s">
        <v>109</v>
      </c>
      <c r="B94" s="45" t="s">
        <v>105</v>
      </c>
      <c r="H94" s="50"/>
      <c r="S94" s="7"/>
    </row>
    <row r="95" spans="1:28">
      <c r="A95" s="44"/>
      <c r="B95" s="45" t="s">
        <v>106</v>
      </c>
      <c r="H95" s="50"/>
      <c r="S95" s="7"/>
    </row>
    <row r="96" spans="1:28">
      <c r="A96" s="82"/>
      <c r="B96" s="79" t="s">
        <v>107</v>
      </c>
      <c r="H96" s="50"/>
      <c r="S96" s="7"/>
    </row>
    <row r="97" spans="1:19">
      <c r="A97" s="44"/>
      <c r="H97" s="50"/>
      <c r="S97" s="7"/>
    </row>
    <row r="98" spans="1:19">
      <c r="A98" s="44"/>
      <c r="H98" s="50"/>
      <c r="S98" s="7"/>
    </row>
    <row r="99" spans="1:19">
      <c r="A99" s="44"/>
      <c r="H99" s="50"/>
    </row>
    <row r="100" spans="1:19">
      <c r="A100" s="44"/>
      <c r="H100" s="50"/>
    </row>
    <row r="101" spans="1:19">
      <c r="A101" s="44"/>
      <c r="H101" s="50"/>
    </row>
    <row r="102" spans="1:19">
      <c r="A102" s="44"/>
      <c r="H102" s="50"/>
    </row>
    <row r="103" spans="1:19">
      <c r="A103" s="44"/>
      <c r="H103" s="50"/>
    </row>
    <row r="104" spans="1:19">
      <c r="A104" s="66"/>
      <c r="B104" s="54"/>
      <c r="C104" s="54"/>
      <c r="D104" s="54"/>
      <c r="E104" s="54"/>
      <c r="F104" s="54"/>
      <c r="G104" s="54"/>
      <c r="H104" s="67"/>
    </row>
    <row r="105" spans="1:19">
      <c r="A105" s="88"/>
      <c r="B105" s="89"/>
      <c r="C105" s="89"/>
      <c r="D105" s="89"/>
      <c r="E105" s="89"/>
      <c r="F105" s="89"/>
      <c r="G105" s="151"/>
      <c r="H105" s="146"/>
    </row>
    <row r="106" spans="1:19" ht="15.75">
      <c r="A106" s="91" t="s">
        <v>297</v>
      </c>
      <c r="G106" s="38"/>
      <c r="H106" s="147"/>
    </row>
    <row r="107" spans="1:19">
      <c r="A107" s="44"/>
      <c r="H107" s="50"/>
    </row>
    <row r="108" spans="1:19">
      <c r="A108" s="44"/>
      <c r="B108" s="104"/>
      <c r="G108" s="38"/>
      <c r="H108" s="152"/>
    </row>
    <row r="109" spans="1:19">
      <c r="A109" s="44"/>
      <c r="H109" s="50"/>
    </row>
    <row r="110" spans="1:19">
      <c r="A110" s="44"/>
      <c r="H110" s="50"/>
    </row>
    <row r="111" spans="1:19">
      <c r="A111" s="93"/>
      <c r="B111" s="94"/>
      <c r="H111" s="50"/>
    </row>
    <row r="112" spans="1:19">
      <c r="A112" s="93"/>
      <c r="B112" s="94"/>
      <c r="H112" s="50"/>
    </row>
    <row r="113" spans="1:8">
      <c r="A113" s="106"/>
      <c r="H113" s="50"/>
    </row>
    <row r="114" spans="1:8">
      <c r="A114" s="44"/>
      <c r="H114" s="50"/>
    </row>
    <row r="115" spans="1:8">
      <c r="A115" s="44"/>
      <c r="H115" s="50"/>
    </row>
    <row r="116" spans="1:8">
      <c r="A116" s="44"/>
      <c r="H116" s="50"/>
    </row>
    <row r="117" spans="1:8">
      <c r="A117" s="44"/>
      <c r="H117" s="50"/>
    </row>
    <row r="118" spans="1:8">
      <c r="A118" s="44"/>
      <c r="H118" s="50"/>
    </row>
    <row r="119" spans="1:8">
      <c r="A119" s="44"/>
      <c r="H119" s="50"/>
    </row>
    <row r="120" spans="1:8">
      <c r="A120" s="44"/>
      <c r="H120" s="50"/>
    </row>
    <row r="121" spans="1:8">
      <c r="A121" s="44"/>
      <c r="H121" s="50"/>
    </row>
    <row r="122" spans="1:8">
      <c r="A122" s="44"/>
      <c r="H122" s="50"/>
    </row>
    <row r="123" spans="1:8">
      <c r="A123" s="44"/>
      <c r="H123" s="50"/>
    </row>
    <row r="124" spans="1:8">
      <c r="A124" s="44"/>
      <c r="H124" s="50"/>
    </row>
    <row r="125" spans="1:8">
      <c r="A125" s="44"/>
      <c r="H125" s="50"/>
    </row>
    <row r="126" spans="1:8">
      <c r="A126" s="44"/>
      <c r="H126" s="50"/>
    </row>
    <row r="127" spans="1:8">
      <c r="A127" s="214" t="s">
        <v>24</v>
      </c>
      <c r="B127" s="215"/>
      <c r="C127" s="216" t="s">
        <v>25</v>
      </c>
      <c r="D127" s="215"/>
      <c r="E127" s="215"/>
      <c r="F127" s="216" t="s">
        <v>26</v>
      </c>
      <c r="G127" s="215"/>
      <c r="H127" s="217"/>
    </row>
    <row r="128" spans="1:8">
      <c r="A128" s="44"/>
      <c r="H128" s="50"/>
    </row>
    <row r="129" spans="1:8">
      <c r="A129" s="44"/>
      <c r="C129" s="104" t="s">
        <v>214</v>
      </c>
      <c r="H129" s="50"/>
    </row>
    <row r="130" spans="1:8" ht="14.25">
      <c r="A130" s="44"/>
      <c r="B130" s="70" t="s">
        <v>216</v>
      </c>
      <c r="H130" s="50"/>
    </row>
    <row r="131" spans="1:8">
      <c r="A131" s="44"/>
      <c r="H131" s="50"/>
    </row>
    <row r="132" spans="1:8">
      <c r="A132" s="44"/>
      <c r="H132" s="50"/>
    </row>
    <row r="133" spans="1:8">
      <c r="A133" s="44"/>
      <c r="H133" s="50"/>
    </row>
    <row r="134" spans="1:8">
      <c r="A134" s="44"/>
      <c r="H134" s="50"/>
    </row>
    <row r="135" spans="1:8">
      <c r="A135" s="44"/>
      <c r="H135" s="50"/>
    </row>
    <row r="136" spans="1:8">
      <c r="A136" s="44"/>
      <c r="H136" s="50"/>
    </row>
    <row r="137" spans="1:8">
      <c r="A137" s="44"/>
      <c r="H137" s="50"/>
    </row>
    <row r="138" spans="1:8">
      <c r="A138" s="44"/>
      <c r="H138" s="50"/>
    </row>
    <row r="139" spans="1:8">
      <c r="A139" s="44"/>
      <c r="H139" s="50"/>
    </row>
    <row r="140" spans="1:8">
      <c r="A140" s="44"/>
      <c r="H140" s="50"/>
    </row>
    <row r="141" spans="1:8">
      <c r="A141" s="44"/>
      <c r="H141" s="50"/>
    </row>
    <row r="142" spans="1:8">
      <c r="A142" s="44"/>
      <c r="H142" s="50"/>
    </row>
    <row r="143" spans="1:8">
      <c r="A143" s="44"/>
      <c r="H143" s="50"/>
    </row>
    <row r="144" spans="1:8">
      <c r="A144" s="44"/>
      <c r="H144" s="50"/>
    </row>
    <row r="145" spans="1:8">
      <c r="A145" s="44"/>
      <c r="H145" s="50"/>
    </row>
    <row r="146" spans="1:8">
      <c r="A146" s="44"/>
      <c r="H146" s="50"/>
    </row>
    <row r="147" spans="1:8">
      <c r="A147" s="44"/>
      <c r="H147" s="50"/>
    </row>
    <row r="148" spans="1:8">
      <c r="A148" s="44"/>
      <c r="H148" s="50"/>
    </row>
    <row r="149" spans="1:8">
      <c r="A149" s="44"/>
      <c r="C149" s="104" t="s">
        <v>215</v>
      </c>
      <c r="H149" s="50"/>
    </row>
    <row r="150" spans="1:8" ht="14.25">
      <c r="A150" s="44"/>
      <c r="B150" s="70" t="s">
        <v>225</v>
      </c>
      <c r="H150" s="50"/>
    </row>
    <row r="151" spans="1:8">
      <c r="A151" s="44"/>
      <c r="G151" s="61"/>
      <c r="H151" s="90"/>
    </row>
    <row r="152" spans="1:8">
      <c r="A152" s="44"/>
      <c r="H152" s="50"/>
    </row>
    <row r="153" spans="1:8">
      <c r="A153" s="44"/>
      <c r="H153" s="50"/>
    </row>
    <row r="154" spans="1:8">
      <c r="A154" s="44"/>
      <c r="H154" s="50"/>
    </row>
    <row r="155" spans="1:8">
      <c r="A155" s="44"/>
      <c r="H155" s="50"/>
    </row>
    <row r="156" spans="1:8">
      <c r="A156" s="66"/>
      <c r="B156" s="54"/>
      <c r="C156" s="54"/>
      <c r="D156" s="54"/>
      <c r="E156" s="54"/>
      <c r="F156" s="54"/>
      <c r="G156" s="54"/>
      <c r="H156" s="67"/>
    </row>
  </sheetData>
  <sheetProtection sheet="1" objects="1" scenarios="1"/>
  <mergeCells count="1">
    <mergeCell ref="AA1:AB1"/>
  </mergeCells>
  <phoneticPr fontId="38" type="noConversion"/>
  <conditionalFormatting sqref="AB56:AB81">
    <cfRule type="cellIs" dxfId="1" priority="1" stopIfTrue="1" operator="greaterThan">
      <formula>$B$12</formula>
    </cfRule>
  </conditionalFormatting>
  <dataValidations count="9">
    <dataValidation type="list" allowBlank="1" showInputMessage="1" showErrorMessage="1" errorTitle="Warning!" error="Invalid reply" sqref="B21" xr:uid="{00000000-0002-0000-0700-000000000000}">
      <formula1>$J$14:$J$17</formula1>
    </dataValidation>
    <dataValidation type="list" allowBlank="1" showInputMessage="1" showErrorMessage="1" errorTitle="Warning!" error="Invalid reply (must input either Y or N)" sqref="B23 B19" xr:uid="{00000000-0002-0000-0700-000001000000}">
      <formula1>$J$12:$J$13</formula1>
    </dataValidation>
    <dataValidation type="list" allowBlank="1" showInputMessage="1" showErrorMessage="1" errorTitle="Warning!" error="Invalid building category_x000a_Must input either I, II, III, or IV" sqref="B10" xr:uid="{00000000-0002-0000-0700-000002000000}">
      <formula1>$J$3:$J$6</formula1>
    </dataValidation>
    <dataValidation type="list" allowBlank="1" showInputMessage="1" showErrorMessage="1" errorTitle="Warning!" error="Invalid roof type (must input either G or M)" sqref="B16" xr:uid="{00000000-0002-0000-0700-000003000000}">
      <formula1>$J$10:$J$11</formula1>
    </dataValidation>
    <dataValidation type="list" allowBlank="1" showInputMessage="1" showErrorMessage="1" errorTitle="Warning!" error="Invalid exposure category_x000a_Must input either B, C, or D" sqref="B11" xr:uid="{00000000-0002-0000-0700-000004000000}">
      <formula1>$J$7:$J$9</formula1>
    </dataValidation>
    <dataValidation type="decimal" operator="greaterThanOrEqual" allowBlank="1" showInputMessage="1" showErrorMessage="1" errorTitle="Warning!" error="Minimum design wind speed = 85 mph" sqref="B9" xr:uid="{00000000-0002-0000-0700-000005000000}">
      <formula1>85</formula1>
    </dataValidation>
    <dataValidation type="list" allowBlank="1" showInputMessage="1" showErrorMessage="1" sqref="AB55" xr:uid="{00000000-0002-0000-0700-000006000000}">
      <formula1>$J$12:$J$13</formula1>
    </dataValidation>
    <dataValidation type="decimal" allowBlank="1" showInputMessage="1" showErrorMessage="1" sqref="AB56:AB81" xr:uid="{00000000-0002-0000-0700-000007000000}">
      <formula1>0</formula1>
      <formula2>$B$12</formula2>
    </dataValidation>
    <dataValidation type="list" allowBlank="1" showInputMessage="1" showErrorMessage="1" prompt="Is location in a hurricane prone or non-hurricane prone region?" sqref="B20" xr:uid="{00000000-0002-0000-0700-000008000000}">
      <formula1>$J$12:$J$13</formula1>
    </dataValidation>
  </dataValidations>
  <pageMargins left="1" right="0.5" top="1" bottom="1" header="0.5" footer="0.5"/>
  <pageSetup scale="90" orientation="portrait" horizontalDpi="4294967292" r:id="rId1"/>
  <headerFooter alignWithMargins="0">
    <oddHeader>&amp;R"ASCE710W.xls" Program
Version 2.2</oddHeader>
    <oddFooter>&amp;C&amp;P of &amp;N&amp;R&amp;D  &amp;T</oddFooter>
  </headerFooter>
  <rowBreaks count="2" manualBreakCount="2">
    <brk id="52" max="7" man="1"/>
    <brk id="104"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69"/>
  <sheetViews>
    <sheetView topLeftCell="A22" workbookViewId="0">
      <selection activeCell="J1" sqref="J1:J1048576"/>
    </sheetView>
  </sheetViews>
  <sheetFormatPr defaultColWidth="9.140625" defaultRowHeight="12.75"/>
  <cols>
    <col min="1" max="1" width="12.28515625" style="30" customWidth="1"/>
    <col min="2" max="9" width="9.140625" style="30"/>
    <col min="10" max="10" width="8" style="286" customWidth="1"/>
    <col min="11" max="14" width="9.140625" style="286" hidden="1" customWidth="1"/>
    <col min="15" max="15" width="10.7109375" style="286" hidden="1" customWidth="1"/>
    <col min="16" max="17" width="9.140625" style="286" hidden="1" customWidth="1"/>
    <col min="18" max="18" width="10.7109375" style="286" hidden="1" customWidth="1"/>
    <col min="19" max="21" width="9.140625" style="286" hidden="1" customWidth="1"/>
    <col min="22" max="25" width="10.7109375" style="286" hidden="1" customWidth="1"/>
    <col min="26" max="26" width="9.140625" style="286" hidden="1" customWidth="1"/>
    <col min="27" max="27" width="11.7109375" style="36" customWidth="1"/>
    <col min="28" max="28" width="11.7109375" style="205" customWidth="1"/>
    <col min="29" max="29" width="9.5703125" style="36" bestFit="1" customWidth="1"/>
    <col min="30" max="30" width="9.7109375" style="36" customWidth="1"/>
    <col min="31" max="32" width="5.7109375" style="36" customWidth="1"/>
    <col min="33" max="35" width="9.140625" style="36"/>
    <col min="36" max="16384" width="9.140625" style="30"/>
  </cols>
  <sheetData>
    <row r="1" spans="1:35" ht="15.75">
      <c r="A1" s="23" t="s">
        <v>314</v>
      </c>
      <c r="B1" s="24"/>
      <c r="C1" s="234"/>
      <c r="D1" s="234"/>
      <c r="E1" s="234"/>
      <c r="F1" s="234"/>
      <c r="G1" s="24"/>
      <c r="H1" s="24"/>
      <c r="I1" s="24"/>
      <c r="J1" s="285"/>
      <c r="L1" s="31"/>
      <c r="N1" s="287" t="s">
        <v>175</v>
      </c>
      <c r="Q1" s="205"/>
      <c r="AA1" s="453" t="e">
        <f>#REF!</f>
        <v>#REF!</v>
      </c>
      <c r="AB1" s="454"/>
    </row>
    <row r="2" spans="1:35">
      <c r="A2" s="25" t="s">
        <v>349</v>
      </c>
      <c r="B2" s="235"/>
      <c r="C2" s="26"/>
      <c r="D2" s="235"/>
      <c r="E2" s="235"/>
      <c r="F2" s="235"/>
      <c r="G2" s="27"/>
      <c r="H2" s="27"/>
      <c r="I2" s="27"/>
      <c r="J2" s="41"/>
      <c r="L2" s="31"/>
      <c r="AB2" s="218"/>
      <c r="AC2" s="218"/>
    </row>
    <row r="3" spans="1:35">
      <c r="A3" s="42" t="s">
        <v>66</v>
      </c>
      <c r="B3" s="236"/>
      <c r="C3" s="236"/>
      <c r="D3" s="236"/>
      <c r="E3" s="236"/>
      <c r="F3" s="236"/>
      <c r="G3" s="29"/>
      <c r="H3" s="29"/>
      <c r="I3" s="29"/>
      <c r="J3" s="288"/>
      <c r="L3" s="289" t="s">
        <v>291</v>
      </c>
      <c r="N3" s="206" t="s">
        <v>53</v>
      </c>
      <c r="O3" s="292"/>
      <c r="P3" s="292"/>
      <c r="Q3" s="290"/>
      <c r="R3" s="291"/>
      <c r="S3" s="291"/>
      <c r="T3" s="290"/>
      <c r="U3" s="291"/>
      <c r="V3" s="290"/>
      <c r="W3" s="290"/>
      <c r="AB3" s="167"/>
      <c r="AC3" s="167"/>
    </row>
    <row r="4" spans="1:35">
      <c r="A4" s="219" t="s">
        <v>110</v>
      </c>
      <c r="B4" s="220"/>
      <c r="C4" s="221"/>
      <c r="D4" s="221"/>
      <c r="E4" s="221"/>
      <c r="F4" s="222" t="s">
        <v>300</v>
      </c>
      <c r="G4" s="223"/>
      <c r="H4" s="224"/>
      <c r="I4" s="224"/>
      <c r="J4" s="225"/>
      <c r="L4" s="289" t="s">
        <v>282</v>
      </c>
      <c r="N4" s="297" t="s">
        <v>238</v>
      </c>
      <c r="O4" s="32">
        <f>IF($C$11="A",5,IF($C$11="B",7,IF($C$11="C",9.5,IF($C$11="D",11.5,"Error!"))))</f>
        <v>9.5</v>
      </c>
      <c r="P4" s="302" t="s">
        <v>325</v>
      </c>
      <c r="Q4" s="31"/>
      <c r="R4" s="31"/>
      <c r="S4" s="31"/>
      <c r="T4" s="240"/>
      <c r="U4" s="240"/>
      <c r="V4" s="240"/>
      <c r="W4" s="240"/>
      <c r="AC4" s="205"/>
    </row>
    <row r="5" spans="1:35">
      <c r="A5" s="219" t="s">
        <v>111</v>
      </c>
      <c r="B5" s="384"/>
      <c r="C5" s="226"/>
      <c r="D5" s="226"/>
      <c r="E5" s="226"/>
      <c r="F5" s="120" t="s">
        <v>299</v>
      </c>
      <c r="G5" s="223"/>
      <c r="H5" s="225"/>
      <c r="I5" s="227" t="s">
        <v>298</v>
      </c>
      <c r="J5" s="225"/>
      <c r="L5" s="289" t="s">
        <v>283</v>
      </c>
      <c r="N5" s="298" t="s">
        <v>119</v>
      </c>
      <c r="O5" s="31">
        <f>IF($C$11="A",1500,IF($C$11="B",1200,IF($C$11="C",900,IF($C$11="D",700,"Error!"))))</f>
        <v>900</v>
      </c>
      <c r="P5" s="302" t="s">
        <v>325</v>
      </c>
      <c r="Q5" s="239"/>
      <c r="R5" s="239"/>
      <c r="S5" s="239"/>
      <c r="T5" s="292"/>
      <c r="U5" s="292"/>
      <c r="V5" s="239"/>
      <c r="W5" s="239"/>
      <c r="AE5" s="293"/>
      <c r="AF5" s="294"/>
      <c r="AG5" s="294"/>
      <c r="AH5" s="294"/>
      <c r="AI5" s="295"/>
    </row>
    <row r="6" spans="1:35">
      <c r="A6" s="228"/>
      <c r="B6" s="148"/>
      <c r="C6" s="148"/>
      <c r="D6" s="148"/>
      <c r="E6" s="148"/>
      <c r="F6" s="148"/>
      <c r="G6" s="148"/>
      <c r="H6" s="148"/>
      <c r="I6" s="380"/>
      <c r="J6" s="381"/>
      <c r="L6" s="289" t="s">
        <v>284</v>
      </c>
      <c r="N6" s="238"/>
      <c r="O6" s="32"/>
      <c r="P6" s="299"/>
      <c r="Q6" s="239"/>
      <c r="R6" s="239"/>
      <c r="S6" s="239"/>
      <c r="T6" s="292"/>
      <c r="U6" s="292"/>
      <c r="V6" s="239"/>
      <c r="W6" s="239"/>
      <c r="AB6" s="379" t="s">
        <v>102</v>
      </c>
      <c r="AC6" s="377"/>
      <c r="AD6" s="377"/>
      <c r="AE6" s="378"/>
      <c r="AF6" s="378"/>
      <c r="AG6" s="294"/>
      <c r="AH6" s="294"/>
      <c r="AI6" s="295"/>
    </row>
    <row r="7" spans="1:35">
      <c r="A7" s="46" t="s">
        <v>150</v>
      </c>
      <c r="B7" s="148"/>
      <c r="C7" s="148"/>
      <c r="D7" s="148"/>
      <c r="E7" s="148"/>
      <c r="F7" s="148"/>
      <c r="G7" s="148"/>
      <c r="H7" s="148"/>
      <c r="I7" s="382"/>
      <c r="J7" s="381"/>
      <c r="L7" s="31" t="s">
        <v>271</v>
      </c>
      <c r="R7" s="239"/>
      <c r="S7" s="239"/>
      <c r="T7" s="292"/>
      <c r="U7" s="292"/>
      <c r="V7" s="239"/>
      <c r="W7" s="239"/>
      <c r="AB7" s="377" t="s">
        <v>16</v>
      </c>
      <c r="AC7" s="377"/>
      <c r="AD7" s="377"/>
      <c r="AE7" s="378"/>
      <c r="AF7" s="378"/>
      <c r="AG7" s="294"/>
      <c r="AH7" s="294"/>
      <c r="AI7" s="295"/>
    </row>
    <row r="8" spans="1:35">
      <c r="A8" s="228"/>
      <c r="B8" s="148"/>
      <c r="C8" s="148"/>
      <c r="D8" s="148"/>
      <c r="E8" s="148"/>
      <c r="F8" s="104" t="s">
        <v>172</v>
      </c>
      <c r="J8" s="296"/>
      <c r="L8" s="31" t="s">
        <v>157</v>
      </c>
      <c r="R8" s="239"/>
      <c r="S8" s="239"/>
      <c r="T8" s="292"/>
      <c r="U8" s="292"/>
      <c r="V8" s="239"/>
      <c r="W8" s="239"/>
      <c r="AE8" s="294"/>
      <c r="AF8" s="294"/>
      <c r="AG8" s="294"/>
      <c r="AH8" s="294"/>
      <c r="AI8" s="295"/>
    </row>
    <row r="9" spans="1:35">
      <c r="A9" s="168"/>
      <c r="B9" s="232" t="s">
        <v>151</v>
      </c>
      <c r="C9" s="121">
        <v>170</v>
      </c>
      <c r="D9" s="281" t="s">
        <v>28</v>
      </c>
      <c r="J9" s="296"/>
      <c r="L9" s="31" t="s">
        <v>285</v>
      </c>
      <c r="R9" s="239"/>
      <c r="S9" s="239"/>
      <c r="T9" s="292"/>
      <c r="U9" s="292"/>
      <c r="V9" s="239"/>
      <c r="W9" s="239"/>
    </row>
    <row r="10" spans="1:35">
      <c r="A10" s="168"/>
      <c r="B10" s="232" t="s">
        <v>23</v>
      </c>
      <c r="C10" s="158" t="s">
        <v>282</v>
      </c>
      <c r="D10" s="281" t="s">
        <v>308</v>
      </c>
      <c r="F10" s="237" t="s">
        <v>233</v>
      </c>
      <c r="J10" s="296"/>
      <c r="L10" s="31" t="s">
        <v>272</v>
      </c>
      <c r="R10" s="239"/>
      <c r="S10" s="239"/>
      <c r="T10" s="292"/>
      <c r="U10" s="292"/>
      <c r="V10" s="239"/>
      <c r="W10" s="239"/>
      <c r="AD10" s="229"/>
    </row>
    <row r="11" spans="1:35">
      <c r="A11" s="168"/>
      <c r="B11" s="232" t="s">
        <v>309</v>
      </c>
      <c r="C11" s="122" t="s">
        <v>157</v>
      </c>
      <c r="D11" s="281" t="s">
        <v>319</v>
      </c>
      <c r="F11" s="237" t="s">
        <v>234</v>
      </c>
      <c r="J11" s="296"/>
      <c r="L11" s="31" t="s">
        <v>121</v>
      </c>
      <c r="R11" s="239"/>
      <c r="S11" s="239"/>
      <c r="T11" s="292"/>
      <c r="U11" s="292"/>
      <c r="V11" s="239"/>
      <c r="W11" s="239"/>
    </row>
    <row r="12" spans="1:35">
      <c r="A12" s="168"/>
      <c r="B12" s="232" t="s">
        <v>154</v>
      </c>
      <c r="C12" s="157">
        <v>1</v>
      </c>
      <c r="D12" s="281" t="s">
        <v>357</v>
      </c>
      <c r="F12" s="300" t="s">
        <v>52</v>
      </c>
      <c r="G12" s="244">
        <f>$O$4</f>
        <v>9.5</v>
      </c>
      <c r="H12" s="213" t="s">
        <v>325</v>
      </c>
      <c r="J12" s="296"/>
      <c r="L12" s="31"/>
      <c r="R12" s="239"/>
      <c r="S12" s="239"/>
      <c r="T12" s="292"/>
      <c r="U12" s="292"/>
      <c r="V12" s="239"/>
      <c r="W12" s="239"/>
      <c r="AE12" s="230"/>
      <c r="AF12" s="230"/>
    </row>
    <row r="13" spans="1:35">
      <c r="A13" s="168"/>
      <c r="B13" s="232" t="s">
        <v>54</v>
      </c>
      <c r="C13" s="157">
        <v>125</v>
      </c>
      <c r="D13" s="281" t="s">
        <v>133</v>
      </c>
      <c r="F13" s="241" t="s">
        <v>119</v>
      </c>
      <c r="G13" s="405">
        <f>$O$5</f>
        <v>900</v>
      </c>
      <c r="H13" s="182" t="s">
        <v>325</v>
      </c>
      <c r="J13" s="296"/>
      <c r="L13" s="31"/>
      <c r="R13" s="239"/>
      <c r="S13" s="239"/>
      <c r="T13" s="292"/>
      <c r="U13" s="292"/>
      <c r="V13" s="239"/>
      <c r="W13" s="239"/>
      <c r="AE13" s="230"/>
      <c r="AF13" s="230"/>
    </row>
    <row r="14" spans="1:35">
      <c r="A14" s="168"/>
      <c r="B14" s="232" t="s">
        <v>93</v>
      </c>
      <c r="C14" s="157">
        <v>150</v>
      </c>
      <c r="D14" s="281" t="s">
        <v>9</v>
      </c>
      <c r="F14" s="64" t="s">
        <v>191</v>
      </c>
      <c r="G14" s="406">
        <f>$B$91</f>
        <v>1.337480609952844</v>
      </c>
      <c r="H14" s="282" t="str">
        <f>IF($B$91&gt;=1,"Hz. (f &gt;=1)","Hz.  (f &lt; 1)")</f>
        <v>Hz. (f &gt;=1)</v>
      </c>
      <c r="J14" s="296"/>
      <c r="R14" s="239"/>
      <c r="S14" s="239"/>
      <c r="T14" s="292"/>
      <c r="U14" s="292"/>
      <c r="V14" s="239"/>
      <c r="W14" s="239"/>
      <c r="AE14" s="230"/>
      <c r="AF14" s="230"/>
    </row>
    <row r="15" spans="1:35">
      <c r="A15" s="168"/>
      <c r="B15" s="232" t="s">
        <v>7</v>
      </c>
      <c r="C15" s="157">
        <v>100</v>
      </c>
      <c r="D15" s="281" t="s">
        <v>10</v>
      </c>
      <c r="F15" s="232" t="s">
        <v>184</v>
      </c>
      <c r="G15" s="139">
        <f>$B$104</f>
        <v>0.85</v>
      </c>
      <c r="H15" s="52" t="s">
        <v>258</v>
      </c>
      <c r="I15" s="81" t="str">
        <f>IF($B$91&gt;=1," Rigid"," Flexible")</f>
        <v xml:space="preserve"> Rigid</v>
      </c>
      <c r="J15" s="296"/>
      <c r="R15" s="239"/>
      <c r="S15" s="239"/>
      <c r="T15" s="292"/>
      <c r="U15" s="292"/>
      <c r="V15" s="239"/>
      <c r="W15" s="239"/>
      <c r="AE15" s="230"/>
      <c r="AF15" s="230"/>
    </row>
    <row r="16" spans="1:35">
      <c r="A16" s="301"/>
      <c r="B16" s="322" t="s">
        <v>232</v>
      </c>
      <c r="C16" s="138">
        <v>0.01</v>
      </c>
      <c r="D16" s="323" t="s">
        <v>99</v>
      </c>
      <c r="J16" s="296"/>
      <c r="L16" s="31"/>
      <c r="R16" s="239"/>
      <c r="S16" s="239"/>
      <c r="T16" s="292"/>
      <c r="U16" s="292"/>
      <c r="V16" s="239"/>
      <c r="W16" s="239"/>
      <c r="AE16" s="230"/>
      <c r="AF16" s="230"/>
    </row>
    <row r="17" spans="1:32">
      <c r="A17" s="301"/>
      <c r="B17" s="241" t="s">
        <v>97</v>
      </c>
      <c r="C17" s="144">
        <v>0.02</v>
      </c>
      <c r="D17" s="323" t="s">
        <v>98</v>
      </c>
      <c r="J17" s="296"/>
      <c r="L17" s="31"/>
      <c r="R17" s="239"/>
      <c r="S17" s="239"/>
      <c r="T17" s="292"/>
      <c r="U17" s="292"/>
      <c r="V17" s="239"/>
      <c r="W17" s="239"/>
      <c r="AE17" s="230"/>
      <c r="AF17" s="230"/>
    </row>
    <row r="18" spans="1:32">
      <c r="A18" s="168"/>
      <c r="B18" s="232" t="s">
        <v>253</v>
      </c>
      <c r="C18" s="387">
        <v>0.85</v>
      </c>
      <c r="D18" s="324" t="s">
        <v>114</v>
      </c>
      <c r="F18" s="286" t="s">
        <v>359</v>
      </c>
      <c r="J18" s="296"/>
      <c r="L18" s="31"/>
      <c r="R18" s="239"/>
      <c r="S18" s="239"/>
      <c r="T18" s="292"/>
      <c r="U18" s="292"/>
      <c r="V18" s="239"/>
      <c r="W18" s="239"/>
      <c r="AE18" s="230"/>
      <c r="AF18" s="230"/>
    </row>
    <row r="19" spans="1:32">
      <c r="A19" s="168"/>
      <c r="B19" s="199" t="s">
        <v>277</v>
      </c>
      <c r="C19" s="131" t="s">
        <v>121</v>
      </c>
      <c r="F19" s="286" t="s">
        <v>358</v>
      </c>
      <c r="J19" s="296"/>
      <c r="L19" s="31"/>
      <c r="S19" s="239"/>
      <c r="T19" s="292"/>
      <c r="U19" s="292"/>
      <c r="V19" s="239"/>
      <c r="W19" s="239"/>
      <c r="AE19" s="230"/>
      <c r="AF19" s="230"/>
    </row>
    <row r="20" spans="1:32">
      <c r="A20" s="168"/>
      <c r="F20" s="286" t="s">
        <v>367</v>
      </c>
      <c r="I20" s="68"/>
      <c r="J20" s="296"/>
      <c r="L20" s="31"/>
      <c r="R20" s="239"/>
      <c r="S20" s="239"/>
      <c r="T20" s="292"/>
      <c r="U20" s="292"/>
      <c r="V20" s="239"/>
      <c r="W20" s="239"/>
      <c r="AF20" s="230"/>
    </row>
    <row r="21" spans="1:32">
      <c r="A21" s="362" t="s">
        <v>365</v>
      </c>
      <c r="D21" s="281"/>
      <c r="F21" s="33" t="s">
        <v>100</v>
      </c>
      <c r="J21" s="296"/>
      <c r="L21" s="31"/>
      <c r="R21" s="239"/>
      <c r="S21" s="239"/>
      <c r="T21" s="292"/>
      <c r="U21" s="292"/>
      <c r="V21" s="239"/>
      <c r="W21" s="239"/>
      <c r="AF21" s="230"/>
    </row>
    <row r="22" spans="1:32">
      <c r="A22" s="410" t="s">
        <v>366</v>
      </c>
      <c r="F22" s="30" t="s">
        <v>101</v>
      </c>
      <c r="J22" s="296"/>
      <c r="L22" s="31"/>
      <c r="R22" s="239"/>
      <c r="S22" s="239"/>
      <c r="T22" s="292"/>
      <c r="U22" s="292"/>
      <c r="V22" s="239"/>
      <c r="W22" s="239"/>
      <c r="AB22" s="326" t="s">
        <v>94</v>
      </c>
      <c r="AC22" s="327"/>
      <c r="AD22" s="328"/>
      <c r="AE22" s="329"/>
      <c r="AF22" s="230"/>
    </row>
    <row r="23" spans="1:32">
      <c r="A23" s="325" t="s">
        <v>55</v>
      </c>
      <c r="J23" s="296"/>
      <c r="L23" s="31"/>
      <c r="O23" s="31"/>
      <c r="R23" s="239"/>
      <c r="S23" s="239"/>
      <c r="T23" s="292"/>
      <c r="U23" s="292"/>
      <c r="V23" s="239"/>
      <c r="W23" s="239"/>
      <c r="AB23" s="330" t="s">
        <v>95</v>
      </c>
      <c r="AC23" s="205"/>
      <c r="AE23" s="331"/>
      <c r="AF23" s="230"/>
    </row>
    <row r="24" spans="1:32">
      <c r="A24" s="168"/>
      <c r="J24" s="296"/>
      <c r="L24" s="31"/>
      <c r="R24" s="239"/>
      <c r="S24" s="239"/>
      <c r="T24" s="292"/>
      <c r="U24" s="292"/>
      <c r="V24" s="239"/>
      <c r="W24" s="239"/>
      <c r="AB24" s="330" t="s">
        <v>96</v>
      </c>
      <c r="AE24" s="332"/>
      <c r="AF24" s="230"/>
    </row>
    <row r="25" spans="1:32">
      <c r="A25" s="168"/>
      <c r="B25" s="311" t="s">
        <v>279</v>
      </c>
      <c r="C25" s="234"/>
      <c r="D25" s="234"/>
      <c r="E25" s="234"/>
      <c r="F25" s="164"/>
      <c r="G25" s="55"/>
      <c r="H25" s="55"/>
      <c r="I25" s="56"/>
      <c r="J25" s="296"/>
      <c r="L25" s="31"/>
      <c r="R25" s="239"/>
      <c r="S25" s="239"/>
      <c r="T25" s="292"/>
      <c r="U25" s="292"/>
      <c r="V25" s="239"/>
      <c r="W25" s="239"/>
      <c r="AB25" s="333" t="s">
        <v>56</v>
      </c>
      <c r="AC25" s="334"/>
      <c r="AD25" s="334"/>
      <c r="AE25" s="335"/>
      <c r="AF25" s="230"/>
    </row>
    <row r="26" spans="1:32">
      <c r="A26" s="168"/>
      <c r="B26" s="315"/>
      <c r="C26" s="284"/>
      <c r="D26" s="283"/>
      <c r="E26" s="315"/>
      <c r="F26" s="383" t="s">
        <v>278</v>
      </c>
      <c r="G26" s="165"/>
      <c r="H26" s="165"/>
      <c r="I26" s="376"/>
      <c r="J26" s="296"/>
      <c r="L26" s="31"/>
      <c r="R26" s="239"/>
      <c r="S26" s="239"/>
      <c r="T26" s="292"/>
      <c r="U26" s="292"/>
      <c r="V26" s="239"/>
      <c r="W26" s="239"/>
      <c r="AF26" s="230"/>
    </row>
    <row r="27" spans="1:32">
      <c r="A27" s="168"/>
      <c r="B27" s="99" t="s">
        <v>116</v>
      </c>
      <c r="C27" s="314" t="s">
        <v>112</v>
      </c>
      <c r="D27" s="98" t="s">
        <v>113</v>
      </c>
      <c r="E27" s="99" t="s">
        <v>29</v>
      </c>
      <c r="F27" s="318">
        <v>1.2</v>
      </c>
      <c r="G27" s="306">
        <v>1.6</v>
      </c>
      <c r="H27" s="306">
        <v>1.8</v>
      </c>
      <c r="I27" s="306">
        <v>2</v>
      </c>
      <c r="J27" s="296"/>
      <c r="L27" s="31"/>
      <c r="R27" s="239"/>
      <c r="S27" s="239"/>
      <c r="T27" s="292"/>
      <c r="U27" s="292"/>
      <c r="V27" s="239"/>
      <c r="W27" s="239"/>
      <c r="AB27" s="209" t="s">
        <v>17</v>
      </c>
      <c r="AC27"/>
      <c r="AD27"/>
      <c r="AF27" s="230"/>
    </row>
    <row r="28" spans="1:32">
      <c r="A28" s="168"/>
      <c r="B28" s="320" t="s">
        <v>117</v>
      </c>
      <c r="C28" s="363"/>
      <c r="D28" s="321" t="s">
        <v>118</v>
      </c>
      <c r="E28" s="320" t="s">
        <v>118</v>
      </c>
      <c r="F28" s="310" t="s">
        <v>27</v>
      </c>
      <c r="G28" s="85" t="s">
        <v>27</v>
      </c>
      <c r="H28" s="85" t="s">
        <v>27</v>
      </c>
      <c r="I28" s="85" t="s">
        <v>27</v>
      </c>
      <c r="J28" s="296"/>
      <c r="R28" s="239"/>
      <c r="S28" s="239"/>
      <c r="T28" s="292"/>
      <c r="U28" s="292"/>
      <c r="V28" s="239"/>
      <c r="W28" s="239"/>
      <c r="AB28" s="210" t="s">
        <v>121</v>
      </c>
      <c r="AC28" s="385" t="s">
        <v>103</v>
      </c>
      <c r="AD28" s="386"/>
      <c r="AF28" s="230"/>
    </row>
    <row r="29" spans="1:32">
      <c r="A29" s="168"/>
      <c r="B29" s="183"/>
      <c r="C29" s="319"/>
      <c r="D29" s="63"/>
      <c r="E29" s="183"/>
      <c r="F29" s="317" t="s">
        <v>118</v>
      </c>
      <c r="G29" s="316" t="s">
        <v>118</v>
      </c>
      <c r="H29" s="316" t="s">
        <v>118</v>
      </c>
      <c r="I29" s="316" t="s">
        <v>118</v>
      </c>
      <c r="J29" s="296"/>
      <c r="R29" s="239"/>
      <c r="S29" s="239"/>
      <c r="T29" s="292"/>
      <c r="U29" s="292"/>
      <c r="V29" s="239"/>
      <c r="W29" s="239"/>
      <c r="AB29" s="157"/>
      <c r="AC29" s="386"/>
      <c r="AD29" s="386"/>
      <c r="AE29" s="230"/>
      <c r="AF29" s="230"/>
    </row>
    <row r="30" spans="1:32">
      <c r="A30" s="168" t="str">
        <f t="shared" ref="A30:A55" si="0">IF($B30=$C$13,"For z = h:","")</f>
        <v/>
      </c>
      <c r="B30" s="312">
        <f>IF($AB$28="N",0,$AB29)</f>
        <v>0</v>
      </c>
      <c r="C30" s="313">
        <f>2.01*(IF($B30&lt;=15,15,$B30)/$O$5)^(2/$O$4)</f>
        <v>0.84888415207790313</v>
      </c>
      <c r="D30" s="242">
        <f>0.00256*$C30*$C$12*$C$18*$C$9^2</f>
        <v>53.383268341231854</v>
      </c>
      <c r="E30" s="242">
        <f>$D30*$G$15</f>
        <v>45.375778090047078</v>
      </c>
      <c r="F30" s="244">
        <f>$E30*$F$27</f>
        <v>54.450933708056489</v>
      </c>
      <c r="G30" s="244">
        <f>$E30*$G$27</f>
        <v>72.601244944075333</v>
      </c>
      <c r="H30" s="244">
        <f>$E30*$H$27</f>
        <v>81.676400562084737</v>
      </c>
      <c r="I30" s="244">
        <f>$E30*$I$27</f>
        <v>90.751556180094155</v>
      </c>
      <c r="J30" s="296"/>
      <c r="AB30" s="157"/>
      <c r="AC30" s="386"/>
      <c r="AD30" s="386"/>
      <c r="AE30" s="230"/>
      <c r="AF30" s="230"/>
    </row>
    <row r="31" spans="1:32">
      <c r="A31" s="248" t="str">
        <f t="shared" si="0"/>
        <v/>
      </c>
      <c r="B31" s="133">
        <f>IF($AB$28="N",IF($C$13&gt;=15,15,IF($B30=$C$13,"",IF($B30="","",$C$13))),IF(OR($AB30="",$AB30&gt;$B$13),"",$AB30))</f>
        <v>15</v>
      </c>
      <c r="C31" s="128">
        <f t="shared" ref="C31:C55" si="1">IF($B31="","",2.01*(IF($B31&lt;=15,15,$B31)/$O$5)^(2/$O$4))</f>
        <v>0.84888415207790313</v>
      </c>
      <c r="D31" s="243">
        <f t="shared" ref="D31:D55" si="2">IF($B31="","",0.00256*$C31*$C$12*$C$18*$C$9^2)</f>
        <v>53.383268341231854</v>
      </c>
      <c r="E31" s="243">
        <f t="shared" ref="E31:E55" si="3">IF($B31="","",$D31*$G$15)</f>
        <v>45.375778090047078</v>
      </c>
      <c r="F31" s="243">
        <f t="shared" ref="F31:F55" si="4">IF($B31="","",$E31*$F$27)</f>
        <v>54.450933708056489</v>
      </c>
      <c r="G31" s="243">
        <f t="shared" ref="G31:G55" si="5">IF($B31="","",$E31*$G$27)</f>
        <v>72.601244944075333</v>
      </c>
      <c r="H31" s="243">
        <f t="shared" ref="H31:H55" si="6">IF($B31="","",$E31*$H$27)</f>
        <v>81.676400562084737</v>
      </c>
      <c r="I31" s="243">
        <f t="shared" ref="I31:I55" si="7">IF($B31="","",$E31*$I$27)</f>
        <v>90.751556180094155</v>
      </c>
      <c r="J31" s="296"/>
      <c r="R31" s="302"/>
      <c r="U31" s="291"/>
      <c r="V31" s="291"/>
      <c r="W31" s="299"/>
      <c r="AB31" s="157"/>
      <c r="AC31" s="386"/>
      <c r="AD31" s="386"/>
      <c r="AE31" s="230"/>
      <c r="AF31" s="230"/>
    </row>
    <row r="32" spans="1:32">
      <c r="A32" s="248" t="str">
        <f t="shared" si="0"/>
        <v/>
      </c>
      <c r="B32" s="133">
        <f>IF($AB$28="N",IF($C$13&gt;=20,20,IF($B31=$C$13,"",IF($B31="","",$C$13))),IF(OR($AB31="",$AB31&gt;$B$13),"",$AB31))</f>
        <v>20</v>
      </c>
      <c r="C32" s="243">
        <f t="shared" si="1"/>
        <v>0.9018853194026647</v>
      </c>
      <c r="D32" s="243">
        <f t="shared" si="2"/>
        <v>56.716320950083741</v>
      </c>
      <c r="E32" s="243">
        <f t="shared" si="3"/>
        <v>48.208872807571176</v>
      </c>
      <c r="F32" s="243">
        <f t="shared" si="4"/>
        <v>57.850647369085408</v>
      </c>
      <c r="G32" s="243">
        <f t="shared" si="5"/>
        <v>77.134196492113887</v>
      </c>
      <c r="H32" s="243">
        <f t="shared" si="6"/>
        <v>86.775971053628112</v>
      </c>
      <c r="I32" s="243">
        <f t="shared" si="7"/>
        <v>96.417745615142351</v>
      </c>
      <c r="J32" s="296"/>
      <c r="R32" s="205"/>
      <c r="S32" s="31"/>
      <c r="T32" s="31"/>
      <c r="U32" s="31"/>
      <c r="V32" s="31"/>
      <c r="W32" s="299"/>
      <c r="AB32" s="157"/>
      <c r="AC32" s="386"/>
      <c r="AD32" s="386"/>
      <c r="AE32" s="230"/>
      <c r="AF32" s="230"/>
    </row>
    <row r="33" spans="1:35">
      <c r="A33" s="248" t="str">
        <f t="shared" si="0"/>
        <v/>
      </c>
      <c r="B33" s="133">
        <f>IF($AB$28="N",IF($C$13&gt;=25,25,IF($B32=$C$13,"",IF($B32="","",$C$13))),IF(OR($AB32="",$AB32&gt;$B$13),"",$AB32))</f>
        <v>25</v>
      </c>
      <c r="C33" s="243">
        <f t="shared" si="1"/>
        <v>0.94526466907719109</v>
      </c>
      <c r="D33" s="243">
        <f t="shared" si="2"/>
        <v>59.444292085455871</v>
      </c>
      <c r="E33" s="243">
        <f t="shared" si="3"/>
        <v>50.527648272637492</v>
      </c>
      <c r="F33" s="243">
        <f t="shared" si="4"/>
        <v>60.633177927164986</v>
      </c>
      <c r="G33" s="243">
        <f t="shared" si="5"/>
        <v>80.844237236219996</v>
      </c>
      <c r="H33" s="243">
        <f t="shared" si="6"/>
        <v>90.949766890747483</v>
      </c>
      <c r="I33" s="243">
        <f t="shared" si="7"/>
        <v>101.05529654527498</v>
      </c>
      <c r="J33" s="296"/>
      <c r="R33" s="37"/>
      <c r="S33" s="37"/>
      <c r="T33" s="37"/>
      <c r="U33" s="37"/>
      <c r="V33" s="37"/>
      <c r="W33" s="299"/>
      <c r="AB33" s="157"/>
      <c r="AC33" s="386"/>
      <c r="AD33" s="386"/>
      <c r="AE33" s="230"/>
      <c r="AF33" s="230"/>
    </row>
    <row r="34" spans="1:35">
      <c r="A34" s="248" t="str">
        <f t="shared" si="0"/>
        <v/>
      </c>
      <c r="B34" s="133">
        <f>IF($AB$28="N",IF($C$13&gt;=30,30,IF($B33=$C$13,"",IF($B33="","",$C$13))),IF(OR($AB33="",$AB33&gt;$B$13),"",$AB33))</f>
        <v>30</v>
      </c>
      <c r="C34" s="243">
        <f t="shared" si="1"/>
        <v>0.98225254263640283</v>
      </c>
      <c r="D34" s="243">
        <f t="shared" si="2"/>
        <v>61.770326297249881</v>
      </c>
      <c r="E34" s="243">
        <f t="shared" si="3"/>
        <v>52.504777352662394</v>
      </c>
      <c r="F34" s="243">
        <f t="shared" si="4"/>
        <v>63.005732823194869</v>
      </c>
      <c r="G34" s="243">
        <f t="shared" si="5"/>
        <v>84.007643764259839</v>
      </c>
      <c r="H34" s="243">
        <f t="shared" si="6"/>
        <v>94.508599234792314</v>
      </c>
      <c r="I34" s="243">
        <f t="shared" si="7"/>
        <v>105.00955470532479</v>
      </c>
      <c r="J34" s="296"/>
      <c r="R34" s="37"/>
      <c r="S34" s="37"/>
      <c r="T34" s="37"/>
      <c r="U34" s="37"/>
      <c r="V34" s="37"/>
      <c r="W34" s="299"/>
      <c r="AB34" s="157"/>
      <c r="AC34" s="386"/>
      <c r="AD34" s="386"/>
      <c r="AE34" s="230"/>
      <c r="AF34" s="230"/>
    </row>
    <row r="35" spans="1:35">
      <c r="A35" s="248" t="str">
        <f t="shared" si="0"/>
        <v/>
      </c>
      <c r="B35" s="133">
        <f>IF($AB$28="N",IF($C$13&gt;=35,35,IF($B34=$C$13,"",IF($B34="","",$C$13))),IF(OR($AB34="",$AB34&gt;$B$13),"",$AB34))</f>
        <v>35</v>
      </c>
      <c r="C35" s="243">
        <f t="shared" si="1"/>
        <v>1.0146522497823687</v>
      </c>
      <c r="D35" s="243">
        <f t="shared" si="2"/>
        <v>63.807827240713955</v>
      </c>
      <c r="E35" s="243">
        <f t="shared" si="3"/>
        <v>54.236653154606863</v>
      </c>
      <c r="F35" s="243">
        <f t="shared" si="4"/>
        <v>65.083983785528233</v>
      </c>
      <c r="G35" s="243">
        <f t="shared" si="5"/>
        <v>86.778645047370986</v>
      </c>
      <c r="H35" s="243">
        <f t="shared" si="6"/>
        <v>97.625975678292349</v>
      </c>
      <c r="I35" s="243">
        <f t="shared" si="7"/>
        <v>108.47330630921373</v>
      </c>
      <c r="J35" s="296"/>
      <c r="R35" s="31"/>
      <c r="S35" s="32"/>
      <c r="T35" s="32"/>
      <c r="U35" s="32"/>
      <c r="V35" s="32"/>
      <c r="W35" s="299"/>
      <c r="AB35" s="157"/>
      <c r="AC35" s="386"/>
      <c r="AD35" s="386"/>
      <c r="AE35" s="230"/>
      <c r="AF35" s="230"/>
    </row>
    <row r="36" spans="1:35">
      <c r="A36" s="248" t="str">
        <f t="shared" si="0"/>
        <v/>
      </c>
      <c r="B36" s="133">
        <f>IF($AB$28="N",IF($C$13&gt;=40,40,IF($B35=$C$13,"",IF($B35="","",$C$13))),IF(OR($AB35="",$AB35&gt;$B$13),"",$AB35))</f>
        <v>40</v>
      </c>
      <c r="C36" s="243">
        <f t="shared" si="1"/>
        <v>1.0435807359358187</v>
      </c>
      <c r="D36" s="243">
        <f t="shared" si="2"/>
        <v>65.627035592354275</v>
      </c>
      <c r="E36" s="243">
        <f t="shared" si="3"/>
        <v>55.78298025350113</v>
      </c>
      <c r="F36" s="243">
        <f t="shared" si="4"/>
        <v>66.939576304201353</v>
      </c>
      <c r="G36" s="243">
        <f t="shared" si="5"/>
        <v>89.252768405601813</v>
      </c>
      <c r="H36" s="243">
        <f t="shared" si="6"/>
        <v>100.40936445630203</v>
      </c>
      <c r="I36" s="243">
        <f t="shared" si="7"/>
        <v>111.56596050700226</v>
      </c>
      <c r="J36" s="296"/>
      <c r="R36" s="31"/>
      <c r="S36" s="32"/>
      <c r="T36" s="32"/>
      <c r="U36" s="32"/>
      <c r="V36" s="32"/>
      <c r="W36" s="299"/>
      <c r="AB36" s="157"/>
      <c r="AC36" s="386"/>
      <c r="AD36" s="386"/>
      <c r="AE36" s="230"/>
      <c r="AF36" s="230"/>
    </row>
    <row r="37" spans="1:35">
      <c r="A37" s="248" t="str">
        <f t="shared" si="0"/>
        <v/>
      </c>
      <c r="B37" s="133">
        <f>IF($AB$28="N",IF($C$13&gt;=45,45,IF($B36=$C$13,"",IF($B36="","",$C$13))),IF(OR($AB36="",$AB36&gt;$B$13),"",$AB36))</f>
        <v>45</v>
      </c>
      <c r="C37" s="243">
        <f t="shared" si="1"/>
        <v>1.0697813089525581</v>
      </c>
      <c r="D37" s="243">
        <f t="shared" si="2"/>
        <v>67.274695307314147</v>
      </c>
      <c r="E37" s="243">
        <f t="shared" si="3"/>
        <v>57.183491011217022</v>
      </c>
      <c r="F37" s="243">
        <f t="shared" si="4"/>
        <v>68.620189213460421</v>
      </c>
      <c r="G37" s="243">
        <f t="shared" si="5"/>
        <v>91.493585617947247</v>
      </c>
      <c r="H37" s="243">
        <f t="shared" si="6"/>
        <v>102.93028382019064</v>
      </c>
      <c r="I37" s="243">
        <f t="shared" si="7"/>
        <v>114.36698202243404</v>
      </c>
      <c r="J37" s="296"/>
      <c r="R37" s="31"/>
      <c r="S37" s="32"/>
      <c r="T37" s="32"/>
      <c r="U37" s="32"/>
      <c r="V37" s="32"/>
      <c r="W37" s="299"/>
      <c r="AB37" s="157"/>
      <c r="AC37" s="386"/>
      <c r="AD37" s="386"/>
    </row>
    <row r="38" spans="1:35" ht="12.75" customHeight="1">
      <c r="A38" s="248" t="str">
        <f t="shared" si="0"/>
        <v/>
      </c>
      <c r="B38" s="133">
        <f>IF($AB$28="N",IF($C$13&gt;=50,50,IF($B37=$C$13,"",IF($B37="","",$C$13))),IF(OR($AB37="",$AB37&gt;$B$13),"",$AB37))</f>
        <v>50</v>
      </c>
      <c r="C38" s="243">
        <f t="shared" si="1"/>
        <v>1.0937754255308798</v>
      </c>
      <c r="D38" s="243">
        <f t="shared" si="2"/>
        <v>68.783598920105135</v>
      </c>
      <c r="E38" s="243">
        <f t="shared" si="3"/>
        <v>58.466059082089366</v>
      </c>
      <c r="F38" s="243">
        <f t="shared" si="4"/>
        <v>70.159270898507231</v>
      </c>
      <c r="G38" s="243">
        <f t="shared" si="5"/>
        <v>93.545694531342988</v>
      </c>
      <c r="H38" s="243">
        <f t="shared" si="6"/>
        <v>105.23890634776086</v>
      </c>
      <c r="I38" s="243">
        <f t="shared" si="7"/>
        <v>116.93211816417873</v>
      </c>
      <c r="J38" s="296"/>
      <c r="R38" s="31"/>
      <c r="S38" s="32"/>
      <c r="T38" s="32"/>
      <c r="U38" s="32"/>
      <c r="V38" s="32"/>
      <c r="W38" s="299"/>
      <c r="AB38" s="157"/>
      <c r="AC38" s="386"/>
      <c r="AD38" s="386"/>
    </row>
    <row r="39" spans="1:35">
      <c r="A39" s="248" t="str">
        <f t="shared" si="0"/>
        <v/>
      </c>
      <c r="B39" s="133">
        <f>IF($AB$28="N",IF($C$13&gt;=55,55,IF($B38=$C$13,"",IF($B38="","",$C$13))),IF(OR($AB38="",$AB38&gt;$B$13),"",$AB38))</f>
        <v>55</v>
      </c>
      <c r="C39" s="243">
        <f t="shared" si="1"/>
        <v>1.1159440247091945</v>
      </c>
      <c r="D39" s="243">
        <f t="shared" si="2"/>
        <v>70.177702315472303</v>
      </c>
      <c r="E39" s="243">
        <f t="shared" si="3"/>
        <v>59.651046968151455</v>
      </c>
      <c r="F39" s="243">
        <f t="shared" si="4"/>
        <v>71.58125636178174</v>
      </c>
      <c r="G39" s="243">
        <f t="shared" si="5"/>
        <v>95.441675149042339</v>
      </c>
      <c r="H39" s="243">
        <f t="shared" si="6"/>
        <v>107.37188454267262</v>
      </c>
      <c r="I39" s="243">
        <f t="shared" si="7"/>
        <v>119.30209393630291</v>
      </c>
      <c r="J39" s="296"/>
      <c r="R39" s="31"/>
      <c r="S39" s="32"/>
      <c r="T39" s="32"/>
      <c r="U39" s="32"/>
      <c r="V39" s="32"/>
      <c r="W39" s="299"/>
      <c r="AB39" s="157"/>
      <c r="AC39" s="386"/>
      <c r="AD39" s="386"/>
    </row>
    <row r="40" spans="1:35">
      <c r="A40" s="248" t="str">
        <f t="shared" si="0"/>
        <v/>
      </c>
      <c r="B40" s="133">
        <f>IF($AB$28="N",IF($C$13&gt;=60,60,IF($B39=$C$13,"",IF($B39="","",$C$13))),IF(OR($AB39="",$AB39&gt;$B$13),"",$AB39))</f>
        <v>60</v>
      </c>
      <c r="C40" s="243">
        <f t="shared" si="1"/>
        <v>1.136574472681563</v>
      </c>
      <c r="D40" s="243">
        <f t="shared" si="2"/>
        <v>71.475076918841836</v>
      </c>
      <c r="E40" s="243">
        <f t="shared" si="3"/>
        <v>60.753815381015556</v>
      </c>
      <c r="F40" s="243">
        <f t="shared" si="4"/>
        <v>72.904578457218662</v>
      </c>
      <c r="G40" s="243">
        <f t="shared" si="5"/>
        <v>97.206104609624902</v>
      </c>
      <c r="H40" s="243">
        <f t="shared" si="6"/>
        <v>109.35686768582801</v>
      </c>
      <c r="I40" s="243">
        <f t="shared" si="7"/>
        <v>121.50763076203111</v>
      </c>
      <c r="J40" s="296"/>
      <c r="N40" s="297"/>
      <c r="O40" s="37"/>
      <c r="R40" s="31"/>
      <c r="S40" s="32"/>
      <c r="T40" s="32"/>
      <c r="U40" s="32"/>
      <c r="V40" s="32"/>
      <c r="W40" s="299"/>
      <c r="AB40" s="157"/>
      <c r="AC40" s="386"/>
      <c r="AD40" s="386"/>
      <c r="AE40" s="229"/>
    </row>
    <row r="41" spans="1:35">
      <c r="A41" s="307" t="str">
        <f t="shared" si="0"/>
        <v/>
      </c>
      <c r="B41" s="133">
        <f>IF($AB$28="N",IF($C$13&gt;=70,70,IF($B40=$C$13,"",IF($B40="","",$C$13))),IF(OR($AB40="",$AB40&gt;$B$13),"",$AB40))</f>
        <v>70</v>
      </c>
      <c r="C41" s="243">
        <f t="shared" si="1"/>
        <v>1.1740645055051222</v>
      </c>
      <c r="D41" s="243">
        <f t="shared" si="2"/>
        <v>73.83269011899732</v>
      </c>
      <c r="E41" s="243">
        <f t="shared" si="3"/>
        <v>62.757786601147721</v>
      </c>
      <c r="F41" s="243">
        <f t="shared" si="4"/>
        <v>75.309343921377263</v>
      </c>
      <c r="G41" s="243">
        <f t="shared" si="5"/>
        <v>100.41245856183636</v>
      </c>
      <c r="H41" s="243">
        <f t="shared" si="6"/>
        <v>112.96401588206589</v>
      </c>
      <c r="I41" s="243">
        <f t="shared" si="7"/>
        <v>125.51557320229544</v>
      </c>
      <c r="J41" s="296"/>
      <c r="R41" s="299"/>
      <c r="S41" s="299"/>
      <c r="T41" s="299"/>
      <c r="U41" s="299"/>
      <c r="V41" s="299"/>
      <c r="W41" s="299"/>
      <c r="AB41" s="157"/>
      <c r="AC41" s="386"/>
      <c r="AD41" s="386"/>
      <c r="AF41" s="230"/>
      <c r="AG41" s="230"/>
      <c r="AH41" s="230"/>
      <c r="AI41" s="230"/>
    </row>
    <row r="42" spans="1:35">
      <c r="A42" s="307" t="str">
        <f t="shared" si="0"/>
        <v/>
      </c>
      <c r="B42" s="133">
        <f>IF($AB$28="N",IF($C$13&gt;=80,80,IF($B41=$C$13,"",IF($B41="","",$C$13))),IF(OR($AB41="",$AB41&gt;$B$13),"",$AB41))</f>
        <v>80</v>
      </c>
      <c r="C42" s="243">
        <f t="shared" si="1"/>
        <v>1.2075379529823704</v>
      </c>
      <c r="D42" s="243">
        <f t="shared" si="2"/>
        <v>75.937714726430542</v>
      </c>
      <c r="E42" s="243">
        <f t="shared" si="3"/>
        <v>64.547057517465959</v>
      </c>
      <c r="F42" s="243">
        <f t="shared" si="4"/>
        <v>77.456469020959148</v>
      </c>
      <c r="G42" s="243">
        <f t="shared" si="5"/>
        <v>103.27529202794554</v>
      </c>
      <c r="H42" s="243">
        <f t="shared" si="6"/>
        <v>116.18470353143873</v>
      </c>
      <c r="I42" s="243">
        <f t="shared" si="7"/>
        <v>129.09411503493192</v>
      </c>
      <c r="J42" s="296"/>
      <c r="R42" s="303"/>
      <c r="T42" s="299"/>
      <c r="U42" s="299"/>
      <c r="V42" s="299"/>
      <c r="W42" s="299"/>
      <c r="AB42" s="157"/>
      <c r="AC42" s="386"/>
      <c r="AD42" s="386"/>
      <c r="AF42" s="230"/>
      <c r="AG42" s="230"/>
      <c r="AH42" s="230"/>
      <c r="AI42" s="230"/>
    </row>
    <row r="43" spans="1:35">
      <c r="A43" s="307" t="str">
        <f t="shared" si="0"/>
        <v/>
      </c>
      <c r="B43" s="133">
        <f>IF($AB$28="N",IF($C$13&gt;=90,90,IF($B42=$C$13,"",IF($B42="","",$C$13))),IF(OR($AB42="",$AB42&gt;$B$13),"",$AB42))</f>
        <v>90</v>
      </c>
      <c r="C43" s="243">
        <f t="shared" si="1"/>
        <v>1.2378549042427129</v>
      </c>
      <c r="D43" s="243">
        <f t="shared" si="2"/>
        <v>77.844238650168947</v>
      </c>
      <c r="E43" s="243">
        <f t="shared" si="3"/>
        <v>66.167602852643597</v>
      </c>
      <c r="F43" s="243">
        <f t="shared" si="4"/>
        <v>79.401123423172308</v>
      </c>
      <c r="G43" s="243">
        <f t="shared" si="5"/>
        <v>105.86816456422976</v>
      </c>
      <c r="H43" s="243">
        <f t="shared" si="6"/>
        <v>119.10168513475848</v>
      </c>
      <c r="I43" s="243">
        <f t="shared" si="7"/>
        <v>132.33520570528719</v>
      </c>
      <c r="J43" s="296"/>
      <c r="R43" s="297"/>
      <c r="S43" s="32"/>
      <c r="T43" s="299"/>
      <c r="U43" s="299"/>
      <c r="V43" s="299"/>
      <c r="W43" s="299"/>
      <c r="AB43" s="157"/>
      <c r="AC43" s="386"/>
      <c r="AD43" s="386"/>
      <c r="AF43" s="230"/>
      <c r="AG43" s="230"/>
      <c r="AH43" s="230"/>
      <c r="AI43" s="230"/>
    </row>
    <row r="44" spans="1:35">
      <c r="A44" s="307" t="str">
        <f t="shared" si="0"/>
        <v/>
      </c>
      <c r="B44" s="133">
        <f>IF($AB$28="N",IF($C$13&gt;=100,100,IF($B43=$C$13,"",IF($B43="","",$C$13))),IF(OR($AB43="",$AB43&gt;$B$13),"",$AB43))</f>
        <v>100</v>
      </c>
      <c r="C44" s="243">
        <f t="shared" si="1"/>
        <v>1.2656187421700444</v>
      </c>
      <c r="D44" s="243">
        <f t="shared" si="2"/>
        <v>79.5902064676023</v>
      </c>
      <c r="E44" s="243">
        <f t="shared" si="3"/>
        <v>67.651675497461952</v>
      </c>
      <c r="F44" s="243">
        <f t="shared" si="4"/>
        <v>81.182010596954342</v>
      </c>
      <c r="G44" s="243">
        <f t="shared" si="5"/>
        <v>108.24268079593912</v>
      </c>
      <c r="H44" s="243">
        <f t="shared" si="6"/>
        <v>121.77301589543151</v>
      </c>
      <c r="I44" s="243">
        <f t="shared" si="7"/>
        <v>135.3033509949239</v>
      </c>
      <c r="J44" s="296"/>
      <c r="R44" s="297"/>
      <c r="S44" s="32"/>
      <c r="T44" s="299"/>
      <c r="U44" s="299"/>
      <c r="V44" s="299"/>
      <c r="W44" s="299"/>
      <c r="AB44" s="157"/>
      <c r="AC44" s="386"/>
      <c r="AD44" s="386"/>
      <c r="AF44" s="231"/>
      <c r="AG44" s="231"/>
      <c r="AH44" s="231"/>
      <c r="AI44" s="231"/>
    </row>
    <row r="45" spans="1:35">
      <c r="A45" s="307" t="str">
        <f t="shared" si="0"/>
        <v/>
      </c>
      <c r="B45" s="133">
        <f>IF($AB$28="N",IF($C$13&gt;=120,120,IF($B44=$C$13,"",IF($B44="","",$C$13))),IF(OR($AB44="",$AB44&gt;$B$13),"",$AB44))</f>
        <v>120</v>
      </c>
      <c r="C45" s="243">
        <f t="shared" si="1"/>
        <v>1.3151419577740455</v>
      </c>
      <c r="D45" s="243">
        <f t="shared" si="2"/>
        <v>82.704543213361731</v>
      </c>
      <c r="E45" s="243">
        <f t="shared" si="3"/>
        <v>70.298861731357476</v>
      </c>
      <c r="F45" s="243">
        <f t="shared" si="4"/>
        <v>84.358634077628963</v>
      </c>
      <c r="G45" s="243">
        <f t="shared" si="5"/>
        <v>112.47817877017197</v>
      </c>
      <c r="H45" s="243">
        <f t="shared" si="6"/>
        <v>126.53795111644347</v>
      </c>
      <c r="I45" s="243">
        <f t="shared" si="7"/>
        <v>140.59772346271495</v>
      </c>
      <c r="J45" s="296"/>
      <c r="R45" s="297"/>
      <c r="S45" s="32"/>
      <c r="T45" s="299"/>
      <c r="U45" s="299"/>
      <c r="V45" s="299"/>
      <c r="W45" s="299"/>
      <c r="AB45" s="157"/>
      <c r="AC45" s="386"/>
      <c r="AD45" s="386"/>
      <c r="AF45" s="231"/>
      <c r="AG45" s="231"/>
      <c r="AH45" s="231"/>
      <c r="AI45" s="231"/>
    </row>
    <row r="46" spans="1:35">
      <c r="A46" s="307" t="str">
        <f t="shared" si="0"/>
        <v>For z = h:</v>
      </c>
      <c r="B46" s="133">
        <f>IF($AB$28="N",IF($C$13&gt;=140,140,IF($B45=$C$13,"",IF($B45="","",$C$13))),IF(OR($AB45="",$AB45&gt;$B$13),"",$AB45))</f>
        <v>125</v>
      </c>
      <c r="C46" s="243">
        <f t="shared" si="1"/>
        <v>1.3264931313968156</v>
      </c>
      <c r="D46" s="243">
        <f t="shared" si="2"/>
        <v>83.418377658272703</v>
      </c>
      <c r="E46" s="243">
        <f t="shared" si="3"/>
        <v>70.905621009531799</v>
      </c>
      <c r="F46" s="243">
        <f t="shared" si="4"/>
        <v>85.086745211438156</v>
      </c>
      <c r="G46" s="243">
        <f t="shared" si="5"/>
        <v>113.44899361525088</v>
      </c>
      <c r="H46" s="243">
        <f t="shared" si="6"/>
        <v>127.63011781715724</v>
      </c>
      <c r="I46" s="243">
        <f t="shared" si="7"/>
        <v>141.8112420190636</v>
      </c>
      <c r="J46" s="296"/>
      <c r="R46" s="297"/>
      <c r="S46" s="239"/>
      <c r="T46" s="299"/>
      <c r="U46" s="299"/>
      <c r="V46" s="299"/>
      <c r="W46" s="299"/>
      <c r="AB46" s="157"/>
      <c r="AC46" s="386"/>
      <c r="AD46" s="386"/>
      <c r="AF46" s="231"/>
      <c r="AG46" s="231"/>
      <c r="AH46" s="231"/>
      <c r="AI46" s="231"/>
    </row>
    <row r="47" spans="1:35">
      <c r="A47" s="277" t="str">
        <f t="shared" si="0"/>
        <v/>
      </c>
      <c r="B47" s="133" t="str">
        <f>IF($AB$28="N",IF($C$13&gt;=160,160,IF($B46=$C$13,"",IF($B46="","",$C$13))),IF(OR($AB46="",$AB46&gt;$B$13),"",$AB46))</f>
        <v/>
      </c>
      <c r="C47" s="243" t="str">
        <f t="shared" si="1"/>
        <v/>
      </c>
      <c r="D47" s="243" t="str">
        <f t="shared" si="2"/>
        <v/>
      </c>
      <c r="E47" s="243" t="str">
        <f t="shared" si="3"/>
        <v/>
      </c>
      <c r="F47" s="243" t="str">
        <f t="shared" si="4"/>
        <v/>
      </c>
      <c r="G47" s="243" t="str">
        <f t="shared" si="5"/>
        <v/>
      </c>
      <c r="H47" s="243" t="str">
        <f t="shared" si="6"/>
        <v/>
      </c>
      <c r="I47" s="243" t="str">
        <f t="shared" si="7"/>
        <v/>
      </c>
      <c r="J47" s="296"/>
      <c r="R47" s="297"/>
      <c r="S47" s="239"/>
      <c r="T47" s="299"/>
      <c r="U47" s="299"/>
      <c r="V47" s="299"/>
      <c r="W47" s="299"/>
      <c r="AB47" s="157"/>
      <c r="AC47" s="386"/>
      <c r="AD47" s="386"/>
      <c r="AF47" s="231"/>
      <c r="AG47" s="231"/>
      <c r="AH47" s="231"/>
      <c r="AI47" s="231"/>
    </row>
    <row r="48" spans="1:35">
      <c r="A48" s="307" t="str">
        <f t="shared" si="0"/>
        <v/>
      </c>
      <c r="B48" s="133" t="str">
        <f>IF($AB$28="N",IF($C$13&gt;=180,180,IF($B47=$C$13,"",IF($B47="","",$C$13))),IF(OR($AB47="",$AB47&gt;$B$13),"",$AB47))</f>
        <v/>
      </c>
      <c r="C48" s="243" t="str">
        <f t="shared" si="1"/>
        <v/>
      </c>
      <c r="D48" s="243" t="str">
        <f t="shared" si="2"/>
        <v/>
      </c>
      <c r="E48" s="243" t="str">
        <f t="shared" si="3"/>
        <v/>
      </c>
      <c r="F48" s="243" t="str">
        <f t="shared" si="4"/>
        <v/>
      </c>
      <c r="G48" s="243" t="str">
        <f t="shared" si="5"/>
        <v/>
      </c>
      <c r="H48" s="243" t="str">
        <f t="shared" si="6"/>
        <v/>
      </c>
      <c r="I48" s="243" t="str">
        <f t="shared" si="7"/>
        <v/>
      </c>
      <c r="J48" s="296"/>
      <c r="R48" s="297"/>
      <c r="S48" s="239"/>
      <c r="T48" s="299"/>
      <c r="U48" s="299"/>
      <c r="V48" s="299"/>
      <c r="W48" s="299"/>
      <c r="AB48" s="157"/>
      <c r="AC48" s="386"/>
      <c r="AD48" s="386"/>
      <c r="AF48" s="231"/>
      <c r="AG48" s="231"/>
      <c r="AH48" s="231"/>
      <c r="AI48" s="231"/>
    </row>
    <row r="49" spans="1:35">
      <c r="A49" s="307" t="str">
        <f t="shared" si="0"/>
        <v/>
      </c>
      <c r="B49" s="133" t="str">
        <f>IF($AB$28="N",IF($C$13&gt;=200,200,IF($B48=$C$13,"",IF($B48="","",$C$13))),IF(OR($AB48="",$AB48&gt;$B$13),"",$AB48))</f>
        <v/>
      </c>
      <c r="C49" s="243" t="str">
        <f t="shared" si="1"/>
        <v/>
      </c>
      <c r="D49" s="243" t="str">
        <f t="shared" si="2"/>
        <v/>
      </c>
      <c r="E49" s="243" t="str">
        <f t="shared" si="3"/>
        <v/>
      </c>
      <c r="F49" s="243" t="str">
        <f t="shared" si="4"/>
        <v/>
      </c>
      <c r="G49" s="243" t="str">
        <f t="shared" si="5"/>
        <v/>
      </c>
      <c r="H49" s="243" t="str">
        <f t="shared" si="6"/>
        <v/>
      </c>
      <c r="I49" s="243" t="str">
        <f t="shared" si="7"/>
        <v/>
      </c>
      <c r="J49" s="296"/>
      <c r="AB49" s="157"/>
      <c r="AC49" s="386"/>
      <c r="AD49" s="386"/>
      <c r="AF49" s="231"/>
      <c r="AG49" s="231"/>
      <c r="AH49" s="231"/>
      <c r="AI49" s="231"/>
    </row>
    <row r="50" spans="1:35">
      <c r="A50" s="307" t="str">
        <f t="shared" si="0"/>
        <v/>
      </c>
      <c r="B50" s="133" t="str">
        <f>IF($AB$28="N",IF($C$13&gt;=250,250,IF($B49=$C$13,"",IF($B49="","",$C$13))),IF(OR($AB49="",$AB49&gt;$B$13),"",$AB49))</f>
        <v/>
      </c>
      <c r="C50" s="243" t="str">
        <f t="shared" si="1"/>
        <v/>
      </c>
      <c r="D50" s="243" t="str">
        <f t="shared" si="2"/>
        <v/>
      </c>
      <c r="E50" s="243" t="str">
        <f t="shared" si="3"/>
        <v/>
      </c>
      <c r="F50" s="243" t="str">
        <f t="shared" si="4"/>
        <v/>
      </c>
      <c r="G50" s="243" t="str">
        <f t="shared" si="5"/>
        <v/>
      </c>
      <c r="H50" s="243" t="str">
        <f t="shared" si="6"/>
        <v/>
      </c>
      <c r="I50" s="243" t="str">
        <f t="shared" si="7"/>
        <v/>
      </c>
      <c r="J50" s="296"/>
      <c r="AB50" s="157"/>
      <c r="AC50" s="386"/>
      <c r="AD50" s="386"/>
    </row>
    <row r="51" spans="1:35">
      <c r="A51" s="307" t="str">
        <f t="shared" si="0"/>
        <v/>
      </c>
      <c r="B51" s="133" t="str">
        <f>IF($AB$28="N",IF($C$13&gt;=300,300,IF($B50=$C$13,"",IF($B50="","",$C$13))),IF(OR($AB50="",$AB50&gt;$B$13),"",$AB50))</f>
        <v/>
      </c>
      <c r="C51" s="243" t="str">
        <f t="shared" si="1"/>
        <v/>
      </c>
      <c r="D51" s="243" t="str">
        <f t="shared" si="2"/>
        <v/>
      </c>
      <c r="E51" s="243" t="str">
        <f t="shared" si="3"/>
        <v/>
      </c>
      <c r="F51" s="243" t="str">
        <f t="shared" si="4"/>
        <v/>
      </c>
      <c r="G51" s="243" t="str">
        <f t="shared" si="5"/>
        <v/>
      </c>
      <c r="H51" s="243" t="str">
        <f t="shared" si="6"/>
        <v/>
      </c>
      <c r="I51" s="243" t="str">
        <f t="shared" si="7"/>
        <v/>
      </c>
      <c r="J51" s="296"/>
      <c r="AB51" s="157"/>
      <c r="AC51" s="386"/>
      <c r="AD51" s="386"/>
    </row>
    <row r="52" spans="1:35">
      <c r="A52" s="248" t="str">
        <f t="shared" si="0"/>
        <v/>
      </c>
      <c r="B52" s="133" t="str">
        <f>IF($AB$28="N",IF($C$13&gt;=350,350,IF($B51=$C$13,"",IF($B51="","",$C$13))),IF(OR($AB51="",$AB51&gt;$B$13),"",$AB51))</f>
        <v/>
      </c>
      <c r="C52" s="243" t="str">
        <f t="shared" si="1"/>
        <v/>
      </c>
      <c r="D52" s="243" t="str">
        <f t="shared" si="2"/>
        <v/>
      </c>
      <c r="E52" s="243" t="str">
        <f t="shared" si="3"/>
        <v/>
      </c>
      <c r="F52" s="243" t="str">
        <f t="shared" si="4"/>
        <v/>
      </c>
      <c r="G52" s="243" t="str">
        <f t="shared" si="5"/>
        <v/>
      </c>
      <c r="H52" s="243" t="str">
        <f t="shared" si="6"/>
        <v/>
      </c>
      <c r="I52" s="243" t="str">
        <f t="shared" si="7"/>
        <v/>
      </c>
      <c r="J52" s="296"/>
      <c r="AB52" s="157"/>
      <c r="AC52" s="386"/>
      <c r="AD52" s="386"/>
    </row>
    <row r="53" spans="1:35">
      <c r="A53" s="308" t="str">
        <f t="shared" si="0"/>
        <v/>
      </c>
      <c r="B53" s="133" t="str">
        <f>IF($AB$28="N",IF($C$13&gt;=400,400,IF($B52=$C$13,"",IF($B52="","",$C$13))),IF(OR($AB52="",$AB52&gt;$B$13),"",$AB52))</f>
        <v/>
      </c>
      <c r="C53" s="243" t="str">
        <f t="shared" si="1"/>
        <v/>
      </c>
      <c r="D53" s="243" t="str">
        <f t="shared" si="2"/>
        <v/>
      </c>
      <c r="E53" s="243" t="str">
        <f t="shared" si="3"/>
        <v/>
      </c>
      <c r="F53" s="243" t="str">
        <f t="shared" si="4"/>
        <v/>
      </c>
      <c r="G53" s="243" t="str">
        <f t="shared" si="5"/>
        <v/>
      </c>
      <c r="H53" s="243" t="str">
        <f t="shared" si="6"/>
        <v/>
      </c>
      <c r="I53" s="243" t="str">
        <f t="shared" si="7"/>
        <v/>
      </c>
      <c r="J53" s="296"/>
      <c r="AB53" s="157"/>
      <c r="AC53" s="386"/>
      <c r="AD53" s="386"/>
    </row>
    <row r="54" spans="1:35">
      <c r="A54" s="309" t="str">
        <f t="shared" si="0"/>
        <v/>
      </c>
      <c r="B54" s="133" t="str">
        <f>IF($AB$28="N",IF($C$13&gt;=450,450,IF($B53=$C$13,"",IF($B53="","",$C$13))),IF(OR($AB53="",$AB53&gt;$B$13),"",$AB53))</f>
        <v/>
      </c>
      <c r="C54" s="243" t="str">
        <f t="shared" si="1"/>
        <v/>
      </c>
      <c r="D54" s="243" t="str">
        <f t="shared" si="2"/>
        <v/>
      </c>
      <c r="E54" s="243" t="str">
        <f t="shared" si="3"/>
        <v/>
      </c>
      <c r="F54" s="243" t="str">
        <f t="shared" si="4"/>
        <v/>
      </c>
      <c r="G54" s="243" t="str">
        <f t="shared" si="5"/>
        <v/>
      </c>
      <c r="H54" s="243" t="str">
        <f t="shared" si="6"/>
        <v/>
      </c>
      <c r="I54" s="243" t="str">
        <f t="shared" si="7"/>
        <v/>
      </c>
      <c r="J54" s="296"/>
      <c r="AB54" s="211"/>
      <c r="AC54" s="386"/>
      <c r="AD54" s="386"/>
    </row>
    <row r="55" spans="1:35">
      <c r="A55" s="248" t="str">
        <f t="shared" si="0"/>
        <v/>
      </c>
      <c r="B55" s="134" t="str">
        <f>IF($AB$28="N",IF($C$13&gt;=500,500,IF($B54=$C$13,"",IF($B54="","",$C$13))),IF(OR($AB54="",$AB54&gt;$B$13),"",$AB54))</f>
        <v/>
      </c>
      <c r="C55" s="304" t="str">
        <f t="shared" si="1"/>
        <v/>
      </c>
      <c r="D55" s="304" t="str">
        <f t="shared" si="2"/>
        <v/>
      </c>
      <c r="E55" s="304" t="str">
        <f t="shared" si="3"/>
        <v/>
      </c>
      <c r="F55" s="304" t="str">
        <f t="shared" si="4"/>
        <v/>
      </c>
      <c r="G55" s="304" t="str">
        <f t="shared" si="5"/>
        <v/>
      </c>
      <c r="H55" s="304" t="str">
        <f t="shared" si="6"/>
        <v/>
      </c>
      <c r="I55" s="304" t="str">
        <f t="shared" si="7"/>
        <v/>
      </c>
      <c r="J55" s="296"/>
    </row>
    <row r="56" spans="1:35">
      <c r="A56" s="35"/>
      <c r="B56" s="233"/>
      <c r="C56" s="233"/>
      <c r="D56" s="233"/>
      <c r="E56" s="233"/>
      <c r="F56" s="233"/>
      <c r="G56" s="233"/>
      <c r="H56" s="233"/>
      <c r="I56" s="233"/>
      <c r="J56" s="305"/>
    </row>
    <row r="57" spans="1:35">
      <c r="A57" s="245"/>
      <c r="B57" s="246"/>
      <c r="C57" s="246"/>
      <c r="D57" s="246"/>
      <c r="E57" s="246"/>
      <c r="F57" s="246"/>
      <c r="G57" s="246"/>
      <c r="H57" s="246"/>
      <c r="I57" s="151"/>
      <c r="J57" s="146"/>
    </row>
    <row r="58" spans="1:35">
      <c r="A58" s="247" t="s">
        <v>220</v>
      </c>
      <c r="I58" s="38"/>
      <c r="J58" s="147"/>
    </row>
    <row r="59" spans="1:35">
      <c r="A59" s="168"/>
      <c r="I59" s="38"/>
      <c r="J59" s="152"/>
    </row>
    <row r="60" spans="1:35">
      <c r="A60" s="248" t="s">
        <v>295</v>
      </c>
      <c r="B60" s="249" t="str">
        <f>IF($B$91&lt;1,"Yes","No")</f>
        <v>No</v>
      </c>
      <c r="C60" s="102" t="str">
        <f>IF($B$91&gt;=1,"f &gt;=1 Hz.","f &lt; 1 Hz.")</f>
        <v>f &gt;=1 Hz.</v>
      </c>
      <c r="J60" s="250"/>
    </row>
    <row r="61" spans="1:35">
      <c r="A61" s="168"/>
      <c r="J61" s="251"/>
    </row>
    <row r="62" spans="1:35">
      <c r="A62" s="252" t="s">
        <v>266</v>
      </c>
      <c r="C62" s="68"/>
      <c r="E62" s="68"/>
      <c r="J62" s="251"/>
    </row>
    <row r="63" spans="1:35">
      <c r="A63" s="248" t="s">
        <v>184</v>
      </c>
      <c r="B63" s="253">
        <f>IF($B$60="No",0.85,"N.A.")</f>
        <v>0.85</v>
      </c>
      <c r="J63" s="251"/>
    </row>
    <row r="64" spans="1:35">
      <c r="A64" s="168"/>
      <c r="J64" s="251"/>
    </row>
    <row r="65" spans="1:10">
      <c r="A65" s="407" t="s">
        <v>351</v>
      </c>
      <c r="H65" s="232"/>
      <c r="J65" s="251"/>
    </row>
    <row r="66" spans="1:10" ht="15.75">
      <c r="A66" s="254" t="s">
        <v>180</v>
      </c>
      <c r="B66" s="142">
        <f>IF($C$11="A",1/5,IF($C$11="B",1/7,IF($C$11="C",1/9.5,IF($C$11="D",1/11.5,"Error!"))))</f>
        <v>0.10526315789473684</v>
      </c>
      <c r="C66" s="255"/>
      <c r="H66" s="256"/>
      <c r="I66" s="257"/>
      <c r="J66" s="251"/>
    </row>
    <row r="67" spans="1:10">
      <c r="A67" s="258" t="s">
        <v>181</v>
      </c>
      <c r="B67" s="129">
        <f>IF($C$11="A",0.64,IF($C$11="B",0.84,IF($C$11="C",1,IF($C$11="D",1.07,"Error!"))))</f>
        <v>1</v>
      </c>
      <c r="C67" s="255"/>
      <c r="H67" s="259"/>
      <c r="I67" s="68"/>
      <c r="J67" s="251"/>
    </row>
    <row r="68" spans="1:10" ht="15.75">
      <c r="A68" s="254" t="s">
        <v>179</v>
      </c>
      <c r="B68" s="143">
        <f>IF($C$11="A",1/3,IF($C$11="B",1/4,IF($C$11="C",1/6.5,IF($C$11="D",1/9,"Error!"))))</f>
        <v>0.15384615384615385</v>
      </c>
      <c r="C68" s="255"/>
      <c r="H68" s="256"/>
      <c r="I68" s="257"/>
      <c r="J68" s="251"/>
    </row>
    <row r="69" spans="1:10">
      <c r="A69" s="258" t="s">
        <v>159</v>
      </c>
      <c r="B69" s="129">
        <f>IF($C$11="A",0.3,IF($C$11="B",0.45,IF($C$11="C",0.65,IF($C$11="D",0.8,"Error!"))))</f>
        <v>0.65</v>
      </c>
      <c r="C69" s="255"/>
      <c r="H69" s="259"/>
      <c r="I69" s="68"/>
      <c r="J69" s="251"/>
    </row>
    <row r="70" spans="1:10">
      <c r="A70" s="248" t="s">
        <v>161</v>
      </c>
      <c r="B70" s="129">
        <f>IF($C$11="A",0.45,IF($C$11="B",0.3,IF($C$11="C",0.2,IF($C$11="D",0.15,"Error!"))))</f>
        <v>0.2</v>
      </c>
      <c r="C70" s="255"/>
      <c r="H70" s="232"/>
      <c r="I70" s="68"/>
      <c r="J70" s="251"/>
    </row>
    <row r="71" spans="1:10" ht="16.5">
      <c r="A71" s="260" t="s">
        <v>185</v>
      </c>
      <c r="B71" s="261">
        <f>IF($C$11="A",180,IF($C$11="B",320,IF($C$11="C",500,IF($C$11="D",650,"Error!"))))</f>
        <v>500</v>
      </c>
      <c r="C71" s="255" t="s">
        <v>133</v>
      </c>
      <c r="J71" s="251"/>
    </row>
    <row r="72" spans="1:10">
      <c r="A72" s="262" t="s">
        <v>264</v>
      </c>
      <c r="B72" s="143">
        <f>IF($C$11="A",1/2,IF($C$11="B",1/3,IF($C$11="C",1/5,IF($C$11="D",1/8,"Error!"))))</f>
        <v>0.2</v>
      </c>
      <c r="C72" s="255"/>
      <c r="J72" s="251"/>
    </row>
    <row r="73" spans="1:10">
      <c r="A73" s="248" t="s">
        <v>164</v>
      </c>
      <c r="B73" s="263">
        <f>IF($C$11="A",60,IF($C$11="B",30,IF($C$11="C",15,IF($C$11="D",7,"Error!"))))</f>
        <v>15</v>
      </c>
      <c r="C73" s="255" t="s">
        <v>133</v>
      </c>
      <c r="J73" s="251"/>
    </row>
    <row r="74" spans="1:10">
      <c r="A74" s="168"/>
      <c r="J74" s="251"/>
    </row>
    <row r="75" spans="1:10" ht="16.5">
      <c r="A75" s="168" t="s">
        <v>303</v>
      </c>
      <c r="H75" s="264"/>
      <c r="I75" s="265"/>
      <c r="J75" s="251"/>
    </row>
    <row r="76" spans="1:10" ht="15.75">
      <c r="A76" s="248" t="s">
        <v>166</v>
      </c>
      <c r="B76" s="125">
        <f>IF(0.6*$C$13&lt;$B$73,$B$73,0.6*$C$13)</f>
        <v>75</v>
      </c>
      <c r="C76" s="266" t="s">
        <v>248</v>
      </c>
      <c r="D76" s="232"/>
      <c r="E76" s="265"/>
      <c r="H76" s="267"/>
      <c r="I76" s="265"/>
      <c r="J76" s="251"/>
    </row>
    <row r="77" spans="1:10">
      <c r="A77" s="248" t="s">
        <v>167</v>
      </c>
      <c r="B77" s="143">
        <f>$B$70*(33/$B$76)^(1/6)</f>
        <v>0.17442367868523798</v>
      </c>
      <c r="C77" s="268" t="s">
        <v>0</v>
      </c>
      <c r="D77" s="232"/>
      <c r="E77" s="269"/>
      <c r="H77" s="232"/>
      <c r="I77" s="257"/>
      <c r="J77" s="251"/>
    </row>
    <row r="78" spans="1:10" ht="16.5">
      <c r="A78" s="248" t="s">
        <v>169</v>
      </c>
      <c r="B78" s="129">
        <f>$B$71*($B$76/33)^$B$72</f>
        <v>589.22269892396127</v>
      </c>
      <c r="C78" s="268" t="s">
        <v>5</v>
      </c>
      <c r="D78" s="232"/>
      <c r="E78" s="269"/>
      <c r="H78" s="232"/>
      <c r="J78" s="251"/>
    </row>
    <row r="79" spans="1:10">
      <c r="A79" s="248" t="s">
        <v>259</v>
      </c>
      <c r="B79" s="270">
        <v>3.4</v>
      </c>
      <c r="C79" s="286" t="s">
        <v>360</v>
      </c>
      <c r="J79" s="251"/>
    </row>
    <row r="80" spans="1:10">
      <c r="A80" s="248" t="s">
        <v>260</v>
      </c>
      <c r="B80" s="270">
        <v>3.4</v>
      </c>
      <c r="C80" s="286" t="s">
        <v>360</v>
      </c>
      <c r="J80" s="251"/>
    </row>
    <row r="81" spans="1:10">
      <c r="A81" s="248" t="s">
        <v>261</v>
      </c>
      <c r="B81" s="271">
        <f>(2*(LN(3600*$B$91)))^(1/2)+0.577/(2*LN(3600*$B$91))^(1/2)</f>
        <v>4.2582373245974043</v>
      </c>
      <c r="C81" s="408" t="s">
        <v>352</v>
      </c>
      <c r="I81" s="257"/>
      <c r="J81" s="251"/>
    </row>
    <row r="82" spans="1:10">
      <c r="A82" s="248" t="s">
        <v>170</v>
      </c>
      <c r="B82" s="272">
        <f>SQRT(1/(1+0.63*(($C$14+$C$13)/$B$78)^0.63))</f>
        <v>0.84824934178215916</v>
      </c>
      <c r="C82" s="409" t="s">
        <v>353</v>
      </c>
      <c r="D82" s="232"/>
      <c r="E82" s="269"/>
      <c r="H82" s="232"/>
      <c r="I82" s="257"/>
      <c r="J82" s="251"/>
    </row>
    <row r="83" spans="1:10">
      <c r="A83" s="168"/>
      <c r="J83" s="251"/>
    </row>
    <row r="84" spans="1:10">
      <c r="A84" s="273" t="s">
        <v>280</v>
      </c>
      <c r="H84" s="232"/>
      <c r="I84" s="257"/>
      <c r="J84" s="251"/>
    </row>
    <row r="85" spans="1:10">
      <c r="A85" s="248" t="s">
        <v>184</v>
      </c>
      <c r="B85" s="274">
        <f>IF($B$60="No",0.925*((1+1.7*3.4*$B$77*$B$82)/(1+1.7*3.4*$B$77)),"N.A.")</f>
        <v>0.85452982216444928</v>
      </c>
      <c r="C85" s="409" t="s">
        <v>354</v>
      </c>
      <c r="J85" s="251"/>
    </row>
    <row r="86" spans="1:10">
      <c r="A86" s="168"/>
      <c r="J86" s="251"/>
    </row>
    <row r="87" spans="1:10">
      <c r="A87" s="273" t="s">
        <v>281</v>
      </c>
      <c r="J87" s="251"/>
    </row>
    <row r="88" spans="1:10">
      <c r="A88" s="275" t="s">
        <v>183</v>
      </c>
      <c r="B88" s="142">
        <f>$C$16</f>
        <v>0.01</v>
      </c>
      <c r="C88" s="276" t="s">
        <v>223</v>
      </c>
      <c r="J88" s="251"/>
    </row>
    <row r="89" spans="1:10">
      <c r="A89" s="277" t="s">
        <v>178</v>
      </c>
      <c r="B89" s="143">
        <f>$C$17</f>
        <v>0.02</v>
      </c>
      <c r="C89" s="276" t="s">
        <v>221</v>
      </c>
      <c r="J89" s="251"/>
    </row>
    <row r="90" spans="1:10">
      <c r="A90" s="248" t="s">
        <v>230</v>
      </c>
      <c r="B90" s="143">
        <f>$B$89*$C$13^(3/4)</f>
        <v>0.74767439061061025</v>
      </c>
      <c r="C90" s="266" t="s">
        <v>305</v>
      </c>
      <c r="J90" s="251"/>
    </row>
    <row r="91" spans="1:10">
      <c r="A91" s="248" t="s">
        <v>222</v>
      </c>
      <c r="B91" s="143">
        <f>1/$B$90</f>
        <v>1.337480609952844</v>
      </c>
      <c r="C91" s="266" t="s">
        <v>304</v>
      </c>
      <c r="J91" s="251"/>
    </row>
    <row r="92" spans="1:10">
      <c r="A92" s="258" t="s">
        <v>267</v>
      </c>
      <c r="B92" s="129" t="str">
        <f>IF($B$60="Yes",$C$9*5280/3600,"N.A.")</f>
        <v>N.A.</v>
      </c>
      <c r="C92" s="266" t="s">
        <v>265</v>
      </c>
      <c r="J92" s="251"/>
    </row>
    <row r="93" spans="1:10" ht="16.5">
      <c r="A93" s="248" t="s">
        <v>160</v>
      </c>
      <c r="B93" s="129" t="str">
        <f>IF($B$60="Yes",$B$69*($B$76/33)^$B$68*$B$92,"N.A.")</f>
        <v>N.A.</v>
      </c>
      <c r="C93" s="409" t="s">
        <v>355</v>
      </c>
      <c r="D93" s="278"/>
      <c r="E93" s="269"/>
      <c r="J93" s="251"/>
    </row>
    <row r="94" spans="1:10">
      <c r="A94" s="248" t="s">
        <v>162</v>
      </c>
      <c r="B94" s="143" t="str">
        <f>IF($B$60="Yes",$B$91*$B$78/$B$93,"N.A.")</f>
        <v>N.A.</v>
      </c>
      <c r="C94" s="409" t="s">
        <v>356</v>
      </c>
      <c r="D94" s="232"/>
      <c r="E94" s="269"/>
      <c r="J94" s="251"/>
    </row>
    <row r="95" spans="1:10" ht="16.5">
      <c r="A95" s="248" t="s">
        <v>163</v>
      </c>
      <c r="B95" s="143" t="str">
        <f>IF($B$60="Yes",7.47*$B$94/(1+10.3*$B$94)^(5/3),"N.A.")</f>
        <v>N.A.</v>
      </c>
      <c r="C95" s="268" t="s">
        <v>1</v>
      </c>
      <c r="D95" s="278"/>
      <c r="E95" s="269"/>
      <c r="J95" s="251"/>
    </row>
    <row r="96" spans="1:10">
      <c r="A96" s="262" t="s">
        <v>182</v>
      </c>
      <c r="B96" s="143" t="str">
        <f>IF($B$60="Yes",4.6*$B$91*$C$13/$B$93,"N.A.")</f>
        <v>N.A.</v>
      </c>
      <c r="C96" s="266" t="s">
        <v>249</v>
      </c>
      <c r="D96" s="232"/>
      <c r="E96" s="269"/>
      <c r="J96" s="251"/>
    </row>
    <row r="97" spans="1:10" ht="16.5">
      <c r="A97" s="248" t="s">
        <v>165</v>
      </c>
      <c r="B97" s="143" t="str">
        <f>IF($B$60="Yes",IF($B$96&gt;0,1/$B$96-1/(2*$B$96^2)*(1-EXP(-2*$B$96)),1),"N.A.")</f>
        <v>N.A.</v>
      </c>
      <c r="C97" s="409" t="s">
        <v>361</v>
      </c>
      <c r="D97" s="278"/>
      <c r="E97" s="269"/>
      <c r="J97" s="251"/>
    </row>
    <row r="98" spans="1:10">
      <c r="A98" s="262" t="s">
        <v>8</v>
      </c>
      <c r="B98" s="143" t="str">
        <f>IF($B$60="Yes",4.6*$B$91*$C$14/$B$93,"N.A.")</f>
        <v>N.A.</v>
      </c>
      <c r="C98" s="266" t="s">
        <v>273</v>
      </c>
      <c r="D98" s="232"/>
      <c r="E98" s="269"/>
      <c r="J98" s="251"/>
    </row>
    <row r="99" spans="1:10">
      <c r="A99" s="248" t="s">
        <v>263</v>
      </c>
      <c r="B99" s="143" t="str">
        <f>IF($B$60="Yes",IF($B$98&gt;0,1/$B$98-1/(2*$B$98^2)*(1-EXP(-2*$B$98)),1),"N.A.")</f>
        <v>N.A.</v>
      </c>
      <c r="C99" s="409" t="s">
        <v>362</v>
      </c>
      <c r="D99" s="232"/>
      <c r="E99" s="269"/>
      <c r="J99" s="251"/>
    </row>
    <row r="100" spans="1:10">
      <c r="A100" s="262" t="s">
        <v>219</v>
      </c>
      <c r="B100" s="143" t="str">
        <f>IF($B$60="Yes",15.4*$B$91*$C$15/$B$93,"N.A.")</f>
        <v>N.A.</v>
      </c>
      <c r="C100" s="266" t="s">
        <v>302</v>
      </c>
      <c r="D100" s="232"/>
      <c r="J100" s="251"/>
    </row>
    <row r="101" spans="1:10">
      <c r="A101" s="248" t="s">
        <v>262</v>
      </c>
      <c r="B101" s="143" t="str">
        <f>IF($B$60="Yes",IF($B$100&gt;0,1/$B$100-1/(2*$B$100^2)*(1-EXP(-2*$B$100)),1),"N.A.")</f>
        <v>N.A.</v>
      </c>
      <c r="C101" s="409" t="s">
        <v>363</v>
      </c>
      <c r="J101" s="279"/>
    </row>
    <row r="102" spans="1:10">
      <c r="A102" s="248" t="s">
        <v>171</v>
      </c>
      <c r="B102" s="143" t="str">
        <f>IF($B$60="Yes",SQRT(1/$B$88*$B$95*$B$97*$B$99*(0.53+0.47*$B$101)),"N.A.")</f>
        <v>N.A.</v>
      </c>
      <c r="C102" s="268" t="s">
        <v>6</v>
      </c>
      <c r="J102" s="251"/>
    </row>
    <row r="103" spans="1:10">
      <c r="A103" s="248" t="s">
        <v>227</v>
      </c>
      <c r="B103" s="143" t="str">
        <f>IF($B$60="Yes",0.925*(1+1.7*$B$77*($B$79^2*$B$82^2+$B$81^2*$B$102^2)^(1/2))/(1+1.7*$B$80*$B$77),"N.A.")</f>
        <v>N.A.</v>
      </c>
      <c r="C103" s="280" t="s">
        <v>364</v>
      </c>
      <c r="J103" s="251"/>
    </row>
    <row r="104" spans="1:10">
      <c r="A104" s="248" t="s">
        <v>224</v>
      </c>
      <c r="B104" s="272">
        <f>IF($B$60="No",MIN($B$63,$B$85),$B$103)</f>
        <v>0.85</v>
      </c>
      <c r="J104" s="251"/>
    </row>
    <row r="105" spans="1:10">
      <c r="A105" s="168"/>
      <c r="J105" s="251"/>
    </row>
    <row r="106" spans="1:10">
      <c r="A106" s="168"/>
      <c r="J106" s="251"/>
    </row>
    <row r="107" spans="1:10">
      <c r="A107" s="168"/>
      <c r="J107" s="296"/>
    </row>
    <row r="108" spans="1:10">
      <c r="A108" s="168"/>
      <c r="J108" s="296"/>
    </row>
    <row r="109" spans="1:10">
      <c r="A109" s="168"/>
      <c r="J109" s="296"/>
    </row>
    <row r="110" spans="1:10">
      <c r="A110" s="168"/>
      <c r="J110" s="296"/>
    </row>
    <row r="111" spans="1:10">
      <c r="A111" s="168"/>
      <c r="J111" s="296"/>
    </row>
    <row r="112" spans="1:10">
      <c r="A112" s="35"/>
      <c r="B112" s="233"/>
      <c r="C112" s="233"/>
      <c r="D112" s="233"/>
      <c r="E112" s="233"/>
      <c r="F112" s="233"/>
      <c r="G112" s="233"/>
      <c r="H112" s="233"/>
      <c r="I112" s="233"/>
      <c r="J112" s="305"/>
    </row>
    <row r="113" spans="1:31">
      <c r="A113" s="245"/>
      <c r="B113" s="246"/>
      <c r="C113" s="246"/>
      <c r="D113" s="246"/>
      <c r="E113" s="246"/>
      <c r="F113" s="246"/>
      <c r="G113" s="246"/>
      <c r="H113" s="246"/>
      <c r="I113" s="246"/>
      <c r="J113" s="336"/>
    </row>
    <row r="114" spans="1:31">
      <c r="A114" s="168"/>
      <c r="B114" s="60" t="s">
        <v>369</v>
      </c>
      <c r="C114" s="164"/>
      <c r="D114" s="164"/>
      <c r="E114" s="338"/>
      <c r="F114" s="60" t="s">
        <v>57</v>
      </c>
      <c r="G114" s="55"/>
      <c r="H114" s="164"/>
      <c r="I114" s="56"/>
      <c r="J114" s="296"/>
    </row>
    <row r="115" spans="1:31">
      <c r="A115" s="168"/>
      <c r="B115" s="311" t="s">
        <v>368</v>
      </c>
      <c r="C115" s="337"/>
      <c r="D115" s="311" t="s">
        <v>61</v>
      </c>
      <c r="E115" s="337"/>
      <c r="F115" s="311" t="s">
        <v>59</v>
      </c>
      <c r="G115" s="24"/>
      <c r="H115" s="234"/>
      <c r="I115" s="39"/>
      <c r="J115" s="296"/>
      <c r="AB115" s="366" t="s">
        <v>44</v>
      </c>
      <c r="AC115" s="205"/>
      <c r="AD115" s="205"/>
      <c r="AE115" s="239"/>
    </row>
    <row r="116" spans="1:31">
      <c r="A116" s="168"/>
      <c r="B116" s="28"/>
      <c r="C116" s="43"/>
      <c r="D116" s="339" t="s">
        <v>60</v>
      </c>
      <c r="E116" s="43"/>
      <c r="F116" s="339" t="s">
        <v>58</v>
      </c>
      <c r="G116" s="29"/>
      <c r="H116" s="236"/>
      <c r="I116" s="43"/>
      <c r="J116" s="296"/>
      <c r="AB116" s="241" t="s">
        <v>34</v>
      </c>
      <c r="AC116" s="368">
        <v>6250</v>
      </c>
      <c r="AD116" s="323" t="s">
        <v>35</v>
      </c>
      <c r="AE116" s="371"/>
    </row>
    <row r="117" spans="1:31" ht="15">
      <c r="A117" s="168"/>
      <c r="B117" s="364" t="s">
        <v>65</v>
      </c>
      <c r="C117" s="337"/>
      <c r="D117" s="311" t="s">
        <v>70</v>
      </c>
      <c r="E117" s="337"/>
      <c r="F117" s="60" t="s">
        <v>38</v>
      </c>
      <c r="G117" s="164"/>
      <c r="H117" s="164"/>
      <c r="I117" s="338"/>
      <c r="J117" s="296"/>
      <c r="AB117" s="241" t="s">
        <v>36</v>
      </c>
      <c r="AC117" s="124">
        <v>12500</v>
      </c>
      <c r="AD117" s="323" t="s">
        <v>35</v>
      </c>
      <c r="AE117" s="371"/>
    </row>
    <row r="118" spans="1:31">
      <c r="A118" s="168"/>
      <c r="B118" s="347"/>
      <c r="C118" s="348"/>
      <c r="D118" s="339" t="s">
        <v>69</v>
      </c>
      <c r="E118" s="349"/>
      <c r="F118" s="311" t="s">
        <v>67</v>
      </c>
      <c r="G118" s="337"/>
      <c r="H118" s="311" t="s">
        <v>68</v>
      </c>
      <c r="I118" s="337"/>
      <c r="J118" s="296"/>
      <c r="AB118" s="241" t="s">
        <v>37</v>
      </c>
      <c r="AC118" s="369">
        <f>$AC$116/$AC$117</f>
        <v>0.5</v>
      </c>
      <c r="AD118" s="276"/>
      <c r="AE118" s="372" t="s">
        <v>47</v>
      </c>
    </row>
    <row r="119" spans="1:31">
      <c r="A119" s="168"/>
      <c r="B119" s="352"/>
      <c r="C119" s="353"/>
      <c r="D119" s="340"/>
      <c r="E119" s="341"/>
      <c r="F119" s="340"/>
      <c r="G119" s="341"/>
      <c r="H119" s="340"/>
      <c r="I119" s="341"/>
      <c r="J119" s="296"/>
      <c r="AB119" s="241" t="s">
        <v>168</v>
      </c>
      <c r="AC119" s="367">
        <f>IF($AC$118&lt;0.1,2,IF($AC$118&lt;=0.29,1.8,IF($AC$118&lt;=0.7,1.6)))</f>
        <v>1.6</v>
      </c>
      <c r="AD119" s="276"/>
      <c r="AE119" s="373" t="s">
        <v>43</v>
      </c>
    </row>
    <row r="120" spans="1:31">
      <c r="A120" s="168"/>
      <c r="B120" s="354" t="s">
        <v>62</v>
      </c>
      <c r="C120" s="355"/>
      <c r="D120" s="342">
        <v>2</v>
      </c>
      <c r="E120" s="343"/>
      <c r="F120" s="346">
        <v>1.2</v>
      </c>
      <c r="G120" s="343"/>
      <c r="H120" s="346">
        <v>0.8</v>
      </c>
      <c r="I120" s="343"/>
      <c r="J120" s="296"/>
      <c r="AC120" s="205"/>
      <c r="AD120" s="302"/>
      <c r="AE120" s="239"/>
    </row>
    <row r="121" spans="1:31">
      <c r="A121" s="168"/>
      <c r="B121" s="356"/>
      <c r="C121" s="357"/>
      <c r="D121" s="344"/>
      <c r="E121" s="345"/>
      <c r="F121" s="344"/>
      <c r="G121" s="345"/>
      <c r="H121" s="344"/>
      <c r="I121" s="345"/>
      <c r="J121" s="296"/>
      <c r="AB121" s="366" t="s">
        <v>45</v>
      </c>
      <c r="AC121" s="205"/>
      <c r="AD121" s="302"/>
      <c r="AE121" s="239"/>
    </row>
    <row r="122" spans="1:31">
      <c r="A122" s="168"/>
      <c r="B122" s="352"/>
      <c r="C122" s="353"/>
      <c r="D122" s="340"/>
      <c r="E122" s="341"/>
      <c r="F122" s="340"/>
      <c r="G122" s="341"/>
      <c r="H122" s="340"/>
      <c r="I122" s="341"/>
      <c r="J122" s="296"/>
      <c r="AB122" s="241" t="s">
        <v>174</v>
      </c>
      <c r="AC122" s="370">
        <v>10</v>
      </c>
      <c r="AD122" s="323" t="s">
        <v>133</v>
      </c>
      <c r="AE122" s="371"/>
    </row>
    <row r="123" spans="1:31">
      <c r="A123" s="168"/>
      <c r="B123" s="354" t="s">
        <v>63</v>
      </c>
      <c r="C123" s="355"/>
      <c r="D123" s="346">
        <v>1.8</v>
      </c>
      <c r="E123" s="343"/>
      <c r="F123" s="346">
        <v>1.3</v>
      </c>
      <c r="G123" s="343"/>
      <c r="H123" s="346">
        <v>0.9</v>
      </c>
      <c r="I123" s="343"/>
      <c r="J123" s="296"/>
      <c r="AB123" s="241" t="s">
        <v>33</v>
      </c>
      <c r="AC123" s="123">
        <v>25</v>
      </c>
      <c r="AD123" s="323" t="s">
        <v>293</v>
      </c>
      <c r="AE123" s="371"/>
    </row>
    <row r="124" spans="1:31">
      <c r="A124" s="168"/>
      <c r="B124" s="356"/>
      <c r="C124" s="357"/>
      <c r="D124" s="344"/>
      <c r="E124" s="345"/>
      <c r="F124" s="344"/>
      <c r="G124" s="345"/>
      <c r="H124" s="344"/>
      <c r="I124" s="345"/>
      <c r="J124" s="296"/>
      <c r="AB124" s="241" t="s">
        <v>34</v>
      </c>
      <c r="AC124" s="123">
        <v>6250</v>
      </c>
      <c r="AD124" s="323" t="s">
        <v>35</v>
      </c>
      <c r="AE124" s="371"/>
    </row>
    <row r="125" spans="1:31">
      <c r="A125" s="168"/>
      <c r="B125" s="352"/>
      <c r="C125" s="353"/>
      <c r="D125" s="340"/>
      <c r="E125" s="341"/>
      <c r="F125" s="340"/>
      <c r="G125" s="341"/>
      <c r="H125" s="340"/>
      <c r="I125" s="341"/>
      <c r="J125" s="296"/>
      <c r="AB125" s="241" t="s">
        <v>36</v>
      </c>
      <c r="AC125" s="124">
        <v>12500</v>
      </c>
      <c r="AD125" s="323" t="s">
        <v>35</v>
      </c>
      <c r="AE125" s="371"/>
    </row>
    <row r="126" spans="1:31">
      <c r="A126" s="168"/>
      <c r="B126" s="354" t="s">
        <v>64</v>
      </c>
      <c r="C126" s="355"/>
      <c r="D126" s="346">
        <v>1.6</v>
      </c>
      <c r="E126" s="343"/>
      <c r="F126" s="346">
        <v>1.5</v>
      </c>
      <c r="G126" s="343"/>
      <c r="H126" s="346">
        <v>1.1000000000000001</v>
      </c>
      <c r="I126" s="343"/>
      <c r="J126" s="296"/>
      <c r="AB126" s="241" t="s">
        <v>37</v>
      </c>
      <c r="AC126" s="369">
        <f>$AC$124/$AC$125</f>
        <v>0.5</v>
      </c>
      <c r="AD126" s="167"/>
      <c r="AE126" s="372" t="s">
        <v>47</v>
      </c>
    </row>
    <row r="127" spans="1:31">
      <c r="A127" s="168"/>
      <c r="B127" s="356"/>
      <c r="C127" s="357"/>
      <c r="D127" s="344"/>
      <c r="E127" s="345"/>
      <c r="F127" s="344"/>
      <c r="G127" s="345"/>
      <c r="H127" s="344"/>
      <c r="I127" s="345"/>
      <c r="J127" s="296"/>
      <c r="AB127" s="241" t="s">
        <v>40</v>
      </c>
      <c r="AC127" s="129">
        <f>$AC$122*SQRT($AC$123)</f>
        <v>50</v>
      </c>
      <c r="AD127" s="167"/>
      <c r="AE127" s="167"/>
    </row>
    <row r="128" spans="1:31">
      <c r="A128" s="168"/>
      <c r="J128" s="296"/>
      <c r="AB128" s="241" t="s">
        <v>168</v>
      </c>
      <c r="AC128" s="270" t="str">
        <f xml:space="preserve">  IF($AC$122*SQRT($AC$123)&lt;=2.5,IF(AND($AC$122*SQRT($AC$123)&lt;=2.5,$AC$126&lt;0.1),1.2,IF(AND($AC$122*SQRT($AC$123)&lt;=2.5,$AC$126&lt;0.29),1.3,IF(AND($AC$122*SQRT($AC$123)&lt;=2.5,$AC$126&lt;0.7),1.5))),"N.A.")</f>
        <v>N.A.</v>
      </c>
      <c r="AD128" s="276"/>
      <c r="AE128" s="276" t="s">
        <v>41</v>
      </c>
    </row>
    <row r="129" spans="1:31">
      <c r="A129" s="361" t="s">
        <v>71</v>
      </c>
      <c r="B129" s="30" t="s">
        <v>72</v>
      </c>
      <c r="J129" s="296"/>
      <c r="AB129" s="241" t="s">
        <v>168</v>
      </c>
      <c r="AC129" s="270">
        <f>IF($AC$122*SQRT($AC$123)&gt;2.5,IF(AND($AC$122*SQRT($AC$123)&gt;2.5,$AC$126&lt;0.1),0.8,IF(AND($AC$122*SQRT($AC$123)&gt;2.5,$AC$126&lt;0.29),0.9,IF(AND($AC$122*SQRT($AC$123)&gt;2.5,$AC$126&lt;0.7),1.1))),"N.A.")</f>
        <v>1.1000000000000001</v>
      </c>
      <c r="AD129" s="276"/>
      <c r="AE129" s="276" t="s">
        <v>42</v>
      </c>
    </row>
    <row r="130" spans="1:31">
      <c r="A130" s="168"/>
      <c r="B130" s="30" t="s">
        <v>73</v>
      </c>
      <c r="J130" s="296"/>
      <c r="AB130" s="241" t="s">
        <v>39</v>
      </c>
      <c r="AC130" s="365">
        <f>IF($AC$122*SQRT($AC$123)&lt;=2.5,$AC$128,$AC$129)</f>
        <v>1.1000000000000001</v>
      </c>
      <c r="AD130" s="276"/>
      <c r="AE130" s="373" t="s">
        <v>43</v>
      </c>
    </row>
    <row r="131" spans="1:31">
      <c r="A131" s="168"/>
      <c r="B131" s="30" t="s">
        <v>74</v>
      </c>
      <c r="J131" s="296"/>
    </row>
    <row r="132" spans="1:31">
      <c r="A132" s="168"/>
      <c r="B132" s="30" t="s">
        <v>75</v>
      </c>
      <c r="J132" s="296"/>
    </row>
    <row r="133" spans="1:31">
      <c r="A133" s="168"/>
      <c r="B133" s="30" t="s">
        <v>76</v>
      </c>
      <c r="J133" s="296"/>
    </row>
    <row r="134" spans="1:31">
      <c r="A134" s="168"/>
      <c r="B134" s="30" t="s">
        <v>77</v>
      </c>
      <c r="J134" s="296"/>
    </row>
    <row r="135" spans="1:31">
      <c r="A135" s="168"/>
      <c r="B135" s="30" t="s">
        <v>78</v>
      </c>
      <c r="J135" s="296"/>
    </row>
    <row r="136" spans="1:31">
      <c r="A136" s="168"/>
      <c r="B136" s="30" t="s">
        <v>79</v>
      </c>
      <c r="J136" s="296"/>
    </row>
    <row r="137" spans="1:31">
      <c r="A137" s="168"/>
      <c r="B137" s="30" t="s">
        <v>80</v>
      </c>
      <c r="J137" s="296"/>
    </row>
    <row r="138" spans="1:31">
      <c r="A138" s="168"/>
      <c r="B138" s="30" t="s">
        <v>81</v>
      </c>
      <c r="J138" s="296"/>
    </row>
    <row r="139" spans="1:31">
      <c r="A139" s="168"/>
      <c r="J139" s="296"/>
    </row>
    <row r="140" spans="1:31">
      <c r="A140" s="168"/>
      <c r="J140" s="296"/>
    </row>
    <row r="141" spans="1:31">
      <c r="A141" s="168"/>
      <c r="J141" s="296"/>
    </row>
    <row r="142" spans="1:31">
      <c r="A142" s="168"/>
      <c r="B142" s="60" t="s">
        <v>369</v>
      </c>
      <c r="C142" s="164"/>
      <c r="D142" s="164"/>
      <c r="E142" s="338"/>
      <c r="F142" s="60" t="s">
        <v>57</v>
      </c>
      <c r="G142" s="55"/>
      <c r="H142" s="164"/>
      <c r="I142" s="56"/>
      <c r="J142" s="296"/>
    </row>
    <row r="143" spans="1:31">
      <c r="A143" s="168"/>
      <c r="B143" s="311" t="s">
        <v>370</v>
      </c>
      <c r="C143" s="337"/>
      <c r="D143" s="311" t="s">
        <v>61</v>
      </c>
      <c r="E143" s="337"/>
      <c r="F143" s="311" t="s">
        <v>306</v>
      </c>
      <c r="G143" s="234"/>
      <c r="H143" s="234"/>
      <c r="I143" s="337"/>
      <c r="J143" s="296"/>
    </row>
    <row r="144" spans="1:31">
      <c r="A144" s="168"/>
      <c r="B144" s="28"/>
      <c r="C144" s="43"/>
      <c r="D144" s="339" t="s">
        <v>60</v>
      </c>
      <c r="E144" s="43"/>
      <c r="F144" s="350" t="s">
        <v>86</v>
      </c>
      <c r="G144" s="235"/>
      <c r="H144" s="235"/>
      <c r="I144" s="351"/>
      <c r="J144" s="296"/>
    </row>
    <row r="145" spans="1:31">
      <c r="A145" s="168"/>
      <c r="B145" s="60" t="s">
        <v>87</v>
      </c>
      <c r="C145" s="164"/>
      <c r="D145" s="164"/>
      <c r="E145" s="338"/>
      <c r="F145" s="339" t="s">
        <v>306</v>
      </c>
      <c r="G145" s="236"/>
      <c r="H145" s="236"/>
      <c r="I145" s="349"/>
      <c r="J145" s="296"/>
    </row>
    <row r="146" spans="1:31">
      <c r="A146" s="168"/>
      <c r="B146" s="311"/>
      <c r="C146" s="234"/>
      <c r="D146" s="234"/>
      <c r="E146" s="337"/>
      <c r="F146" s="311"/>
      <c r="G146" s="234"/>
      <c r="H146" s="234"/>
      <c r="I146" s="337"/>
      <c r="J146" s="296"/>
    </row>
    <row r="147" spans="1:31">
      <c r="A147" s="168"/>
      <c r="B147" s="350" t="s">
        <v>82</v>
      </c>
      <c r="C147" s="235"/>
      <c r="D147" s="235"/>
      <c r="E147" s="351"/>
      <c r="F147" s="350" t="s">
        <v>60</v>
      </c>
      <c r="G147" s="235"/>
      <c r="H147" s="235"/>
      <c r="I147" s="351"/>
      <c r="J147" s="296"/>
      <c r="AB147" s="366" t="s">
        <v>46</v>
      </c>
    </row>
    <row r="148" spans="1:31">
      <c r="A148" s="168"/>
      <c r="B148" s="339"/>
      <c r="C148" s="236"/>
      <c r="D148" s="236"/>
      <c r="E148" s="349"/>
      <c r="F148" s="339"/>
      <c r="G148" s="236"/>
      <c r="H148" s="236"/>
      <c r="I148" s="349"/>
      <c r="J148" s="296"/>
      <c r="AB148" s="241" t="s">
        <v>34</v>
      </c>
      <c r="AC148" s="368">
        <v>6250</v>
      </c>
      <c r="AD148" s="323" t="s">
        <v>35</v>
      </c>
      <c r="AE148" s="167"/>
    </row>
    <row r="149" spans="1:31">
      <c r="A149" s="168"/>
      <c r="B149" s="311"/>
      <c r="C149" s="234"/>
      <c r="D149" s="234"/>
      <c r="E149" s="337"/>
      <c r="F149" s="340"/>
      <c r="G149" s="358"/>
      <c r="H149" s="358"/>
      <c r="I149" s="341"/>
      <c r="J149" s="296"/>
      <c r="AB149" s="241" t="s">
        <v>36</v>
      </c>
      <c r="AC149" s="124">
        <v>12500</v>
      </c>
      <c r="AD149" s="323" t="s">
        <v>35</v>
      </c>
      <c r="AE149" s="167"/>
    </row>
    <row r="150" spans="1:31">
      <c r="A150" s="168"/>
      <c r="B150" s="350" t="s">
        <v>292</v>
      </c>
      <c r="C150" s="235"/>
      <c r="D150" s="235"/>
      <c r="E150" s="351"/>
      <c r="F150" s="346" t="s">
        <v>84</v>
      </c>
      <c r="G150" s="359"/>
      <c r="H150" s="359"/>
      <c r="I150" s="343"/>
      <c r="J150" s="296"/>
      <c r="AB150" s="241" t="s">
        <v>313</v>
      </c>
      <c r="AC150" s="369">
        <f>$AC$148/$AC$149</f>
        <v>0.5</v>
      </c>
      <c r="AD150" s="323"/>
      <c r="AE150" s="372" t="s">
        <v>47</v>
      </c>
    </row>
    <row r="151" spans="1:31">
      <c r="A151" s="168"/>
      <c r="B151" s="339"/>
      <c r="C151" s="236"/>
      <c r="D151" s="236"/>
      <c r="E151" s="349"/>
      <c r="F151" s="344"/>
      <c r="G151" s="360"/>
      <c r="H151" s="360"/>
      <c r="I151" s="345"/>
      <c r="J151" s="296"/>
      <c r="AB151" s="241" t="s">
        <v>50</v>
      </c>
      <c r="AC151" s="129">
        <f>4*$AC$150^2-5.9*$AC$150+4</f>
        <v>2.0499999999999998</v>
      </c>
      <c r="AD151" s="375"/>
      <c r="AE151" s="374" t="s">
        <v>48</v>
      </c>
    </row>
    <row r="152" spans="1:31">
      <c r="A152" s="168"/>
      <c r="B152" s="311"/>
      <c r="C152" s="234"/>
      <c r="D152" s="234"/>
      <c r="E152" s="337"/>
      <c r="F152" s="340"/>
      <c r="G152" s="358"/>
      <c r="H152" s="358"/>
      <c r="I152" s="341"/>
      <c r="J152" s="296"/>
      <c r="AB152" s="241" t="s">
        <v>51</v>
      </c>
      <c r="AC152" s="126">
        <f>3.4*$AC$150^2-4.7*$AC$150+3.4</f>
        <v>1.9</v>
      </c>
      <c r="AD152" s="375"/>
      <c r="AE152" s="374" t="s">
        <v>49</v>
      </c>
    </row>
    <row r="153" spans="1:31">
      <c r="A153" s="168"/>
      <c r="B153" s="350" t="s">
        <v>83</v>
      </c>
      <c r="C153" s="235"/>
      <c r="D153" s="235"/>
      <c r="E153" s="351"/>
      <c r="F153" s="346" t="s">
        <v>85</v>
      </c>
      <c r="G153" s="359"/>
      <c r="H153" s="359"/>
      <c r="I153" s="343"/>
      <c r="J153" s="296"/>
    </row>
    <row r="154" spans="1:31">
      <c r="A154" s="168"/>
      <c r="B154" s="339"/>
      <c r="C154" s="236"/>
      <c r="D154" s="236"/>
      <c r="E154" s="349"/>
      <c r="F154" s="344"/>
      <c r="G154" s="360"/>
      <c r="H154" s="360"/>
      <c r="I154" s="345"/>
      <c r="J154" s="296"/>
    </row>
    <row r="155" spans="1:31">
      <c r="A155" s="168"/>
      <c r="J155" s="296"/>
    </row>
    <row r="156" spans="1:31">
      <c r="A156" s="361" t="s">
        <v>71</v>
      </c>
      <c r="B156" s="286" t="s">
        <v>371</v>
      </c>
      <c r="J156" s="296"/>
    </row>
    <row r="157" spans="1:31">
      <c r="A157" s="168"/>
      <c r="B157" s="286" t="s">
        <v>372</v>
      </c>
      <c r="J157" s="296"/>
    </row>
    <row r="158" spans="1:31">
      <c r="A158" s="168"/>
      <c r="B158" s="286" t="s">
        <v>373</v>
      </c>
      <c r="J158" s="296"/>
    </row>
    <row r="159" spans="1:31">
      <c r="A159" s="168"/>
      <c r="B159" s="30" t="s">
        <v>30</v>
      </c>
      <c r="J159" s="296"/>
    </row>
    <row r="160" spans="1:31">
      <c r="A160" s="168"/>
      <c r="B160" s="30" t="s">
        <v>88</v>
      </c>
      <c r="J160" s="296"/>
    </row>
    <row r="161" spans="1:10">
      <c r="A161" s="168"/>
      <c r="B161" s="30" t="s">
        <v>91</v>
      </c>
      <c r="J161" s="296"/>
    </row>
    <row r="162" spans="1:10">
      <c r="A162" s="168"/>
      <c r="B162" s="30" t="s">
        <v>89</v>
      </c>
      <c r="J162" s="296"/>
    </row>
    <row r="163" spans="1:10">
      <c r="A163" s="168"/>
      <c r="B163" s="30" t="s">
        <v>90</v>
      </c>
      <c r="J163" s="296"/>
    </row>
    <row r="164" spans="1:10">
      <c r="A164" s="168"/>
      <c r="B164" s="30" t="s">
        <v>92</v>
      </c>
      <c r="J164" s="296"/>
    </row>
    <row r="165" spans="1:10">
      <c r="A165" s="168"/>
      <c r="B165" s="30" t="s">
        <v>31</v>
      </c>
      <c r="J165" s="296"/>
    </row>
    <row r="166" spans="1:10">
      <c r="A166" s="168"/>
      <c r="B166" s="30" t="s">
        <v>32</v>
      </c>
      <c r="J166" s="296"/>
    </row>
    <row r="167" spans="1:10">
      <c r="A167" s="168"/>
      <c r="B167" s="286" t="s">
        <v>375</v>
      </c>
      <c r="J167" s="296"/>
    </row>
    <row r="168" spans="1:10">
      <c r="A168" s="168"/>
      <c r="B168" s="286" t="s">
        <v>374</v>
      </c>
      <c r="J168" s="296"/>
    </row>
    <row r="169" spans="1:10">
      <c r="A169" s="35"/>
      <c r="B169" s="233"/>
      <c r="C169" s="233"/>
      <c r="D169" s="233"/>
      <c r="E169" s="233"/>
      <c r="F169" s="233"/>
      <c r="G169" s="233"/>
      <c r="H169" s="233"/>
      <c r="I169" s="233"/>
      <c r="J169" s="305"/>
    </row>
  </sheetData>
  <sheetProtection sheet="1" objects="1" scenarios="1"/>
  <mergeCells count="1">
    <mergeCell ref="AA1:AB1"/>
  </mergeCells>
  <phoneticPr fontId="0" type="noConversion"/>
  <conditionalFormatting sqref="AB29:AB54">
    <cfRule type="cellIs" dxfId="0" priority="1" stopIfTrue="1" operator="greaterThan">
      <formula>$C$13</formula>
    </cfRule>
  </conditionalFormatting>
  <dataValidations count="8">
    <dataValidation allowBlank="1" showInputMessage="1" showErrorMessage="1" prompt="Structure width, 'B', is the dimension of the structure normal to the direction of the wind." sqref="C14" xr:uid="{00000000-0002-0000-0800-000000000000}"/>
    <dataValidation allowBlank="1" showInputMessage="1" showErrorMessage="1" prompt="Structure length, 'L', is the dimension of the structure parallel to the direction of the wind." sqref="C15" xr:uid="{00000000-0002-0000-0800-000001000000}"/>
    <dataValidation type="list" allowBlank="1" showInputMessage="1" showErrorMessage="1" sqref="AB28" xr:uid="{00000000-0002-0000-0800-000002000000}">
      <formula1>$L$10:$L$11</formula1>
    </dataValidation>
    <dataValidation type="decimal" allowBlank="1" showInputMessage="1" showErrorMessage="1" sqref="AB29:AB54" xr:uid="{00000000-0002-0000-0800-000003000000}">
      <formula1>0</formula1>
      <formula2>$C$13</formula2>
    </dataValidation>
    <dataValidation type="list" allowBlank="1" showInputMessage="1" showErrorMessage="1" prompt="Is location in a hurricane prone or non-hurricane prone region?" sqref="C19" xr:uid="{00000000-0002-0000-0800-000004000000}">
      <formula1>$L$10:$L$11</formula1>
    </dataValidation>
    <dataValidation type="decimal" operator="greaterThanOrEqual" allowBlank="1" showInputMessage="1" showErrorMessage="1" errorTitle="Warning!" error="Minimum design wind speed = 85 mph" sqref="C9" xr:uid="{00000000-0002-0000-0800-000005000000}">
      <formula1>85</formula1>
    </dataValidation>
    <dataValidation type="list" allowBlank="1" showInputMessage="1" showErrorMessage="1" errorTitle="Warning!" error="Invalid exposure category_x000a_Must input either B, C, or D" sqref="C11" xr:uid="{00000000-0002-0000-0800-000006000000}">
      <formula1>$L$7:$L$9</formula1>
    </dataValidation>
    <dataValidation type="list" allowBlank="1" showInputMessage="1" showErrorMessage="1" errorTitle="Warning!" error="Invalid building category_x000a_Must input either I, II, III, or IV" sqref="C10" xr:uid="{00000000-0002-0000-0800-000007000000}">
      <formula1>$L$3:$L$6</formula1>
    </dataValidation>
  </dataValidations>
  <pageMargins left="1" right="0.5" top="1" bottom="1" header="0.5" footer="0.5"/>
  <pageSetup scale="89" orientation="portrait" r:id="rId1"/>
  <headerFooter alignWithMargins="0">
    <oddHeader>&amp;R"ASCE710W.xls" Program
Version 2.2</oddHeader>
    <oddFooter>&amp;C&amp;P of &amp;N&amp;R&amp;D  &amp;T</oddFooter>
  </headerFooter>
  <rowBreaks count="2" manualBreakCount="2">
    <brk id="56" max="9" man="1"/>
    <brk id="112"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具名範圍</vt:lpstr>
      </vt:variant>
      <vt:variant>
        <vt:i4>30</vt:i4>
      </vt:variant>
    </vt:vector>
  </HeadingPairs>
  <TitlesOfParts>
    <vt:vector size="39" baseType="lpstr">
      <vt:lpstr>MWFRS (普通建築物-封閉或部分封閉) (&gt;18m)</vt:lpstr>
      <vt:lpstr>MWFRS (普通建築物-封閉或部分封閉)</vt:lpstr>
      <vt:lpstr>MWFRS (開放)</vt:lpstr>
      <vt:lpstr>基本風速表</vt:lpstr>
      <vt:lpstr>地況、地形、外風壓係數</vt:lpstr>
      <vt:lpstr>Sheet3</vt:lpstr>
      <vt:lpstr>Wall C&amp;C</vt:lpstr>
      <vt:lpstr>Roof C&amp;C</vt:lpstr>
      <vt:lpstr>Open Structures (no roof)</vt:lpstr>
      <vt:lpstr>'MWFRS (普通建築物-封閉或部分封閉)'!Print_Area</vt:lpstr>
      <vt:lpstr>'MWFRS (普通建築物-封閉或部分封閉) (&gt;18m)'!Print_Area</vt:lpstr>
      <vt:lpstr>'MWFRS (開放)'!Print_Area</vt:lpstr>
      <vt:lpstr>'Open Structures (no roof)'!Print_Area</vt:lpstr>
      <vt:lpstr>'Roof C&amp;C'!Print_Area</vt:lpstr>
      <vt:lpstr>'Wall C&amp;C'!Print_Area</vt:lpstr>
      <vt:lpstr>宜蘭縣</vt:lpstr>
      <vt:lpstr>花蓮縣</vt:lpstr>
      <vt:lpstr>金門縣</vt:lpstr>
      <vt:lpstr>南投縣</vt:lpstr>
      <vt:lpstr>南海諸島</vt:lpstr>
      <vt:lpstr>屏東縣</vt:lpstr>
      <vt:lpstr>苗栗縣</vt:lpstr>
      <vt:lpstr>桃園市</vt:lpstr>
      <vt:lpstr>高雄市</vt:lpstr>
      <vt:lpstr>基隆市</vt:lpstr>
      <vt:lpstr>連江縣</vt:lpstr>
      <vt:lpstr>雲林縣</vt:lpstr>
      <vt:lpstr>新北市</vt:lpstr>
      <vt:lpstr>新竹市</vt:lpstr>
      <vt:lpstr>新竹縣</vt:lpstr>
      <vt:lpstr>嘉義市</vt:lpstr>
      <vt:lpstr>嘉義縣</vt:lpstr>
      <vt:lpstr>彰化縣</vt:lpstr>
      <vt:lpstr>臺中市</vt:lpstr>
      <vt:lpstr>臺北市</vt:lpstr>
      <vt:lpstr>臺東縣</vt:lpstr>
      <vt:lpstr>臺南市</vt:lpstr>
      <vt:lpstr>澎湖縣</vt:lpstr>
      <vt:lpstr>縣市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"ASCE710W" Program</dc:title>
  <dc:creator>Alex Tomanovich, P.E., modified by David Taylor and William Fultz</dc:creator>
  <dc:description>ASCE 7-10 Wind Code Wind Analysis Program</dc:description>
  <cp:lastModifiedBy>施忠賢</cp:lastModifiedBy>
  <cp:revision>1</cp:revision>
  <cp:lastPrinted>2015-09-09T16:03:53Z</cp:lastPrinted>
  <dcterms:created xsi:type="dcterms:W3CDTF">2000-02-14T22:01:47Z</dcterms:created>
  <dcterms:modified xsi:type="dcterms:W3CDTF">2023-08-03T12:57:55Z</dcterms:modified>
  <cp:category>Structural Enginnering Analysis/Design</cp:category>
</cp:coreProperties>
</file>